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T:\OPO14\Contratações\2026 - REC. PRÓPRIOS - Passarelas Rio Vila Guaíra\Docs para o LINK\"/>
    </mc:Choice>
  </mc:AlternateContent>
  <xr:revisionPtr revIDLastSave="0" documentId="8_{7D6EE15B-FB39-4904-BA80-C59795EA73C8}" xr6:coauthVersionLast="47" xr6:coauthVersionMax="47" xr10:uidLastSave="{00000000-0000-0000-0000-000000000000}"/>
  <bookViews>
    <workbookView xWindow="-120" yWindow="-120" windowWidth="29040" windowHeight="15840" tabRatio="938" activeTab="3" xr2:uid="{00000000-000D-0000-FFFF-FFFF00000000}"/>
  </bookViews>
  <sheets>
    <sheet name="DADOS GERAIS" sheetId="16" r:id="rId1"/>
    <sheet name="MEMORIAL CÁLCULO QTDE" sheetId="17" state="hidden" r:id="rId2"/>
    <sheet name="Encargos Sociais" sheetId="36" state="hidden" r:id="rId3"/>
    <sheet name="ORÇAMENTO S.D." sheetId="9" r:id="rId4"/>
    <sheet name="ORÇAMENTO C.D." sheetId="41" state="hidden" r:id="rId5"/>
    <sheet name="CRONOGRAMA S.D." sheetId="10" r:id="rId6"/>
    <sheet name="CRONOGRAMA C.D." sheetId="50" state="hidden" r:id="rId7"/>
    <sheet name="COMPOSIÇÕES" sheetId="45" state="hidden" r:id="rId8"/>
    <sheet name="AUX COMPOSIÇÕES" sheetId="33" r:id="rId9"/>
    <sheet name="COTAÇÕES" sheetId="56" state="hidden" r:id="rId10"/>
    <sheet name="AUX COTAÇÕES" sheetId="55" state="hidden" r:id="rId11"/>
    <sheet name="MOBILIZAÇÃO" sheetId="38" state="hidden" r:id="rId12"/>
    <sheet name="SINAPI" sheetId="42" state="hidden" r:id="rId13"/>
    <sheet name="SICRO" sheetId="43" state="hidden" r:id="rId14"/>
    <sheet name="SIURB" sheetId="48" state="hidden" r:id="rId15"/>
    <sheet name="ORSE" sheetId="49" state="hidden" r:id="rId16"/>
    <sheet name="aux calc" sheetId="37" state="hidden" r:id="rId17"/>
    <sheet name="SMOP ALO-ICO-MOB S.D 2023-04" sheetId="14" state="hidden" r:id="rId18"/>
    <sheet name="SMOP INFRA S.D 2023-04" sheetId="15" state="hidden" r:id="rId19"/>
    <sheet name="SMOP ENCARGOS S.D 2023-04" sheetId="19" state="hidden" r:id="rId20"/>
    <sheet name="SMOP MO S.D 2023-04" sheetId="13" state="hidden" r:id="rId21"/>
    <sheet name="SMOP EQPTOS S.D 2023-04" sheetId="20" state="hidden" r:id="rId22"/>
    <sheet name="SMOP ALO-ICO-MOB C.D 2023-04" sheetId="22" state="hidden" r:id="rId23"/>
    <sheet name="SMOP INFRA C.D 2023-04" sheetId="23" state="hidden" r:id="rId24"/>
    <sheet name="SMOP ENCARGOS C.D 2023-04" sheetId="24" state="hidden" r:id="rId25"/>
    <sheet name="SMOP MO C.D 2023-04" sheetId="25" state="hidden" r:id="rId26"/>
    <sheet name="SMOP EQPTOS C.D 2023-04" sheetId="26" state="hidden" r:id="rId27"/>
  </sheets>
  <definedNames>
    <definedName name="_xlnm._FilterDatabase" localSheetId="7" hidden="1">COMPOSIÇÕES!$A$4:$F$4</definedName>
    <definedName name="_xlnm._FilterDatabase" localSheetId="4" hidden="1">'ORÇAMENTO C.D.'!$B$12:$L$115</definedName>
    <definedName name="_xlnm._FilterDatabase" localSheetId="3" hidden="1">'ORÇAMENTO S.D.'!$B$12:$L$115</definedName>
    <definedName name="_xlnm._FilterDatabase" localSheetId="13" hidden="1">SICRO!$A$3:$F$3</definedName>
    <definedName name="_xlnm._FilterDatabase" localSheetId="12" hidden="1">SINAPI!$A$3:$F$3</definedName>
    <definedName name="_xlnm._FilterDatabase" localSheetId="22" hidden="1">'SMOP ALO-ICO-MOB C.D 2023-04'!$B$1:$E$90</definedName>
    <definedName name="_xlnm._FilterDatabase" localSheetId="17" hidden="1">'SMOP ALO-ICO-MOB S.D 2023-04'!$B$1:$E$90</definedName>
    <definedName name="_xlnm._FilterDatabase" localSheetId="26" hidden="1">'SMOP EQPTOS C.D 2023-04'!$A$9:$D$122</definedName>
    <definedName name="_xlnm._FilterDatabase" localSheetId="21" hidden="1">'SMOP EQPTOS S.D 2023-04'!$A$11:$D$123</definedName>
    <definedName name="_xlnm._FilterDatabase" localSheetId="23" hidden="1">'SMOP INFRA C.D 2023-04'!$A$1:$E$649</definedName>
    <definedName name="_xlnm._FilterDatabase" localSheetId="18" hidden="1">'SMOP INFRA S.D 2023-04'!$A$1:$E$649</definedName>
    <definedName name="_xlnm._FilterDatabase" localSheetId="20" hidden="1">'SMOP MO S.D 2023-04'!$A$10:$E$172</definedName>
    <definedName name="_xlnm.Print_Area" localSheetId="8">'AUX COMPOSIÇÕES'!$A$1:$I$203</definedName>
    <definedName name="_xlnm.Print_Area" localSheetId="10">'AUX COTAÇÕES'!$A$1:$G$44</definedName>
    <definedName name="_xlnm.Print_Area" localSheetId="7">COMPOSIÇÕES!$A$1:$F$28</definedName>
    <definedName name="_xlnm.Print_Area" localSheetId="9">COTAÇÕES!$A$1:$I$45</definedName>
    <definedName name="_xlnm.Print_Area" localSheetId="6">'CRONOGRAMA C.D.'!$B$1:$Q$42</definedName>
    <definedName name="_xlnm.Print_Area" localSheetId="5">'CRONOGRAMA S.D.'!$B$2:$Q$42</definedName>
    <definedName name="_xlnm.Print_Area" localSheetId="0">'DADOS GERAIS'!$B$1:$I$27</definedName>
    <definedName name="_xlnm.Print_Area" localSheetId="4">'ORÇAMENTO C.D.'!$B$2:$L$114</definedName>
    <definedName name="_xlnm.Print_Area" localSheetId="3">'ORÇAMENTO S.D.'!$B$2:$L$114</definedName>
    <definedName name="_xlnm.Print_Area" localSheetId="22">'SMOP ALO-ICO-MOB C.D 2023-04'!$B$2:$E$89</definedName>
    <definedName name="_xlnm.Print_Area" localSheetId="17">'SMOP ALO-ICO-MOB S.D 2023-04'!$B$2:$E$89</definedName>
    <definedName name="_xlnm.Print_Area" localSheetId="26">'SMOP EQPTOS C.D 2023-04'!$A$2:$D$122</definedName>
    <definedName name="_xlnm.Print_Area" localSheetId="21">'SMOP EQPTOS S.D 2023-04'!$A$8:$D$123</definedName>
    <definedName name="_xlnm.Print_Area" localSheetId="23">'SMOP INFRA C.D 2023-04'!$B$2:$E$649</definedName>
    <definedName name="_xlnm.Print_Area" localSheetId="18">'SMOP INFRA S.D 2023-04'!$B$2:$E$649</definedName>
    <definedName name="_xlnm.Print_Area" localSheetId="25">'SMOP MO C.D 2023-04'!$A$10:$D$167</definedName>
    <definedName name="_xlnm.Print_Area" localSheetId="20">'SMOP MO S.D 2023-04'!$A$2:$C$167</definedName>
    <definedName name="ListaFontes">OFFSET(#REF!,0,0,COUNTA(#REF!),1)</definedName>
    <definedName name="ReceitaLíq" hidden="1">{#N/A,#N/A,FALSE,"Frota";#N/A,#N/A,FALSE,"Rodagem";#N/A,#N/A,FALSE,"Combustíveis";#N/A,#N/A,FALSE,"Tabela"}</definedName>
    <definedName name="TipoOrçamento">"BASE"</definedName>
    <definedName name="_xlnm.Print_Titles" localSheetId="22">'SMOP ALO-ICO-MOB C.D 2023-04'!$2:$5</definedName>
    <definedName name="_xlnm.Print_Titles" localSheetId="17">'SMOP ALO-ICO-MOB S.D 2023-04'!$2:$5</definedName>
    <definedName name="_xlnm.Print_Titles" localSheetId="23">'SMOP INFRA C.D 2023-04'!$2:$5</definedName>
    <definedName name="_xlnm.Print_Titles" localSheetId="18">'SMOP INFRA S.D 2023-04'!$2:$5</definedName>
    <definedName name="wim.prelimi" hidden="1">{#N/A,#N/A,FALSE,"Frota";#N/A,#N/A,FALSE,"Rodagem";#N/A,#N/A,FALSE,"Combustíveis";#N/A,#N/A,FALSE,"Tabela"}</definedName>
    <definedName name="wimpri" hidden="1">{#N/A,#N/A,FALSE,"Frota";#N/A,#N/A,FALSE,"Rodagem";#N/A,#N/A,FALSE,"Combustíveis";#N/A,#N/A,FALSE,"Tabela"}</definedName>
    <definedName name="win.pr" hidden="1">{#N/A,#N/A,FALSE,"Frota";#N/A,#N/A,FALSE,"Rodagem";#N/A,#N/A,FALSE,"Combustíveis";#N/A,#N/A,FALSE,"Tabela"}</definedName>
    <definedName name="WINPRE" hidden="1">{#N/A,#N/A,FALSE,"Frota";#N/A,#N/A,FALSE,"Rodagem";#N/A,#N/A,FALSE,"Combustíveis";#N/A,#N/A,FALSE,"Tabela"}</definedName>
    <definedName name="winpri" hidden="1">{#N/A,#N/A,FALSE,"Frota";#N/A,#N/A,FALSE,"Rodagem";#N/A,#N/A,FALSE,"Combustíveis";#N/A,#N/A,FALSE,"Tabela"}</definedName>
    <definedName name="winpro" hidden="1">{#N/A,#N/A,FALSE,"Frota";#N/A,#N/A,FALSE,"Rodagem";#N/A,#N/A,FALSE,"Combustíveis";#N/A,#N/A,FALSE,"Tabela"}</definedName>
    <definedName name="wrn.admgeral." hidden="1">{#N/A,#N/A,FALSE,"AdmGeral"}</definedName>
    <definedName name="wrn.Balanco." hidden="1">{#N/A,#N/A,FALSE,"Balanço"}</definedName>
    <definedName name="wrn.capa." hidden="1">{#N/A,#N/A,FALSE,"Capa Junho"}</definedName>
    <definedName name="wrn.capa._.junho." hidden="1">{#N/A,#N/A,FALSE,"Capa Junho"}</definedName>
    <definedName name="wrn.ddre._.Obras._.Viárias." hidden="1">{#N/A,#N/A,FALSE,"DRE Obras Viárias"}</definedName>
    <definedName name="wrn.DRE._.CAVO." hidden="1">{#N/A,#N/A,FALSE,"DRE CAVO"}</definedName>
    <definedName name="wrn.DRE._.Limpeza._.Urbana." hidden="1">{#N/A,#N/A,FALSE,"DRE Limpeza Urbana"}</definedName>
    <definedName name="wrn.DRE._.Obras._.Viarias." hidden="1">{#N/A,#N/A,FALSE,"DRE Obras Viárias"}</definedName>
    <definedName name="wrn.DRE._.Obras._.Viárias." hidden="1">{#N/A,#N/A,FALSE,"DRE Obras Viárias"}</definedName>
    <definedName name="wrn.dre._.tratam.._.de._.residuos." hidden="1">{#N/A,#N/A,FALSE,"DRE Tratam. de Resíduos"}</definedName>
    <definedName name="wrn.dre._.tratam.._.residuos." hidden="1">{#N/A,#N/A,FALSE,"DRE Tratam. de Resíduos"}</definedName>
    <definedName name="wrn.DRE._.TRATAM.DE._.RESIDUOS." hidden="1">{#N/A,#N/A,FALSE,"DRE Tratam. de Resíduos"}</definedName>
    <definedName name="wrn.dre._.tratam.residuos." hidden="1">{#N/A,#N/A,FALSE,"DRE Tratam. de Resíduos"}</definedName>
    <definedName name="wrn.fluxa." hidden="1">{#N/A,#N/A,FALSE,"Fluxo"}</definedName>
    <definedName name="wrn.Fluxo." hidden="1">{#N/A,#N/A,FALSE,"Fluxo"}</definedName>
    <definedName name="wrn.indicadores._.limpeza._.urbana." hidden="1">{#N/A,#N/A,FALSE,"Indicadores Limpeza Urbana"}</definedName>
    <definedName name="wrn.Preliminar." hidden="1">{#N/A,#N/A,FALSE,"Frota";#N/A,#N/A,FALSE,"Rodagem";#N/A,#N/A,FALSE,"Combustíveis";#N/A,#N/A,FALSE,"Tabela"}</definedName>
    <definedName name="wrn.prelinina" hidden="1">{#N/A,#N/A,FALSE,"Frota";#N/A,#N/A,FALSE,"Rodagem";#N/A,#N/A,FALSE,"Combustíveis";#N/A,#N/A,FALSE,"Tabela"}</definedName>
    <definedName name="wrn.rec.._.cus.._.mar.." hidden="1">{#N/A,#N/A,FALSE,"Rec. Cus. Mar."}</definedName>
    <definedName name="wrn.rec.cus.mar.." hidden="1">{#N/A,#N/A,FALSE,"Rec. Cus. Mar."}</definedName>
    <definedName name="wrn.saldo._.caixa." hidden="1">{#N/A,#N/A,FALSE,"Saldo Caixa"}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0" i="41" l="1"/>
  <c r="H45" i="56"/>
  <c r="I189" i="33"/>
  <c r="I190" i="33"/>
  <c r="I192" i="33"/>
  <c r="I196" i="33"/>
  <c r="I197" i="33"/>
  <c r="I186" i="33"/>
  <c r="I187" i="33"/>
  <c r="I195" i="33"/>
  <c r="I194" i="33"/>
  <c r="I198" i="33"/>
  <c r="G189" i="33"/>
  <c r="G190" i="33"/>
  <c r="G192" i="33"/>
  <c r="G196" i="33"/>
  <c r="G197" i="33"/>
  <c r="G186" i="33"/>
  <c r="G187" i="33"/>
  <c r="G195" i="33"/>
  <c r="G194" i="33"/>
  <c r="G198" i="33"/>
  <c r="H23" i="56"/>
  <c r="G173" i="33"/>
  <c r="I173" i="33"/>
  <c r="G174" i="33"/>
  <c r="I174" i="33"/>
  <c r="G175" i="33"/>
  <c r="I175" i="33"/>
  <c r="G176" i="33"/>
  <c r="I176" i="33"/>
  <c r="H36" i="56"/>
  <c r="H29" i="56"/>
  <c r="H16" i="56"/>
  <c r="H86" i="9" s="1"/>
  <c r="H10" i="56"/>
  <c r="H85" i="9" s="1"/>
  <c r="H191" i="33" l="1"/>
  <c r="I191" i="33" s="1"/>
  <c r="F191" i="33"/>
  <c r="G191" i="33" s="1"/>
  <c r="H177" i="33"/>
  <c r="I177" i="33" s="1"/>
  <c r="I178" i="33" s="1"/>
  <c r="F177" i="33"/>
  <c r="G177" i="33" s="1"/>
  <c r="G178" i="33" s="1"/>
  <c r="H200" i="33"/>
  <c r="I200" i="33" s="1"/>
  <c r="F200" i="33"/>
  <c r="G200" i="33" s="1"/>
  <c r="H199" i="33"/>
  <c r="I199" i="33" s="1"/>
  <c r="F199" i="33"/>
  <c r="G199" i="33" s="1"/>
  <c r="H193" i="33" l="1"/>
  <c r="I193" i="33" s="1"/>
  <c r="I171" i="33"/>
  <c r="F193" i="33"/>
  <c r="G193" i="33" s="1"/>
  <c r="G171" i="33"/>
  <c r="G18" i="33"/>
  <c r="D24" i="45" l="1"/>
  <c r="I169" i="50"/>
  <c r="G169" i="50"/>
  <c r="O45" i="50"/>
  <c r="N45" i="50"/>
  <c r="M45" i="50"/>
  <c r="L45" i="50"/>
  <c r="K45" i="50"/>
  <c r="J45" i="50"/>
  <c r="I45" i="50"/>
  <c r="H45" i="50"/>
  <c r="O38" i="50"/>
  <c r="N38" i="50"/>
  <c r="M38" i="50"/>
  <c r="L38" i="50"/>
  <c r="K38" i="50"/>
  <c r="J38" i="50"/>
  <c r="I38" i="50"/>
  <c r="H38" i="50"/>
  <c r="R35" i="50"/>
  <c r="C34" i="50"/>
  <c r="R33" i="50"/>
  <c r="C32" i="50"/>
  <c r="R31" i="50"/>
  <c r="C30" i="50"/>
  <c r="R29" i="50"/>
  <c r="C28" i="50"/>
  <c r="R27" i="50"/>
  <c r="C26" i="50"/>
  <c r="R25" i="50"/>
  <c r="C24" i="50"/>
  <c r="R23" i="50"/>
  <c r="C22" i="50"/>
  <c r="R21" i="50"/>
  <c r="C20" i="50"/>
  <c r="R19" i="50"/>
  <c r="C18" i="50"/>
  <c r="C16" i="50"/>
  <c r="C11" i="50"/>
  <c r="C10" i="50"/>
  <c r="C9" i="50"/>
  <c r="Q8" i="50"/>
  <c r="C8" i="50"/>
  <c r="D23" i="45"/>
  <c r="I153" i="33"/>
  <c r="G153" i="33"/>
  <c r="D6" i="45"/>
  <c r="D7" i="45"/>
  <c r="D8" i="45"/>
  <c r="D9" i="45"/>
  <c r="D10" i="45"/>
  <c r="D11" i="45"/>
  <c r="D12" i="45"/>
  <c r="D13" i="45"/>
  <c r="D14" i="45"/>
  <c r="D15" i="45"/>
  <c r="D16" i="45"/>
  <c r="D17" i="45"/>
  <c r="D18" i="45"/>
  <c r="D19" i="45"/>
  <c r="D20" i="45"/>
  <c r="D21" i="45"/>
  <c r="D22" i="45"/>
  <c r="D25" i="45"/>
  <c r="D26" i="45"/>
  <c r="D27" i="45"/>
  <c r="D28" i="45"/>
  <c r="G166" i="33"/>
  <c r="I166" i="33"/>
  <c r="I167" i="33"/>
  <c r="G167" i="33"/>
  <c r="I165" i="33"/>
  <c r="G165" i="33"/>
  <c r="G103" i="41"/>
  <c r="G102" i="41"/>
  <c r="I160" i="33"/>
  <c r="G160" i="33"/>
  <c r="I159" i="33"/>
  <c r="G159" i="33"/>
  <c r="I154" i="33"/>
  <c r="G154" i="33"/>
  <c r="K8" i="41"/>
  <c r="K8" i="9"/>
  <c r="H94" i="41"/>
  <c r="H91" i="41"/>
  <c r="H87" i="41"/>
  <c r="H76" i="41"/>
  <c r="H75" i="41"/>
  <c r="H74" i="41"/>
  <c r="H69" i="41"/>
  <c r="H68" i="41"/>
  <c r="H61" i="41"/>
  <c r="H48" i="41"/>
  <c r="H42" i="41"/>
  <c r="H41" i="41"/>
  <c r="H40" i="41"/>
  <c r="H37" i="41"/>
  <c r="H36" i="41"/>
  <c r="H20" i="41"/>
  <c r="J20" i="41" s="1"/>
  <c r="K20" i="41" s="1"/>
  <c r="H19" i="41"/>
  <c r="H94" i="9"/>
  <c r="H91" i="9"/>
  <c r="H87" i="9"/>
  <c r="H75" i="9"/>
  <c r="H74" i="9"/>
  <c r="H69" i="9"/>
  <c r="H68" i="9"/>
  <c r="H61" i="9"/>
  <c r="H48" i="9"/>
  <c r="H42" i="9"/>
  <c r="H41" i="9"/>
  <c r="H40" i="9"/>
  <c r="H37" i="9"/>
  <c r="H36" i="9"/>
  <c r="H20" i="9"/>
  <c r="H19" i="9"/>
  <c r="H76" i="9"/>
  <c r="G146" i="33"/>
  <c r="I147" i="33"/>
  <c r="G147" i="33"/>
  <c r="I146" i="33"/>
  <c r="I145" i="33"/>
  <c r="G145" i="33"/>
  <c r="I131" i="33"/>
  <c r="G131" i="33"/>
  <c r="I130" i="33"/>
  <c r="G130" i="33"/>
  <c r="I129" i="33"/>
  <c r="G129" i="33"/>
  <c r="G137" i="33"/>
  <c r="I139" i="33"/>
  <c r="G139" i="33"/>
  <c r="I138" i="33"/>
  <c r="G138" i="33"/>
  <c r="I137" i="33"/>
  <c r="I123" i="33"/>
  <c r="G123" i="33"/>
  <c r="I122" i="33"/>
  <c r="G122" i="33"/>
  <c r="I121" i="33"/>
  <c r="I124" i="33" s="1"/>
  <c r="I119" i="33" s="1"/>
  <c r="F16" i="45" s="1"/>
  <c r="G121" i="33"/>
  <c r="G113" i="33"/>
  <c r="G112" i="33"/>
  <c r="I113" i="33"/>
  <c r="I114" i="33"/>
  <c r="I115" i="33"/>
  <c r="I112" i="33"/>
  <c r="G114" i="33"/>
  <c r="G115" i="33"/>
  <c r="H93" i="41"/>
  <c r="H92" i="41"/>
  <c r="H78" i="41"/>
  <c r="H77" i="41"/>
  <c r="H73" i="41"/>
  <c r="H71" i="41"/>
  <c r="H70" i="41"/>
  <c r="H66" i="41"/>
  <c r="H65" i="41"/>
  <c r="H60" i="41"/>
  <c r="H59" i="41"/>
  <c r="H58" i="41"/>
  <c r="H56" i="41"/>
  <c r="H51" i="41"/>
  <c r="H50" i="41"/>
  <c r="H43" i="41"/>
  <c r="H39" i="41"/>
  <c r="H38" i="41"/>
  <c r="H35" i="41"/>
  <c r="H34" i="41"/>
  <c r="H21" i="41"/>
  <c r="H18" i="41"/>
  <c r="H93" i="9"/>
  <c r="H92" i="9"/>
  <c r="H78" i="9"/>
  <c r="H73" i="9"/>
  <c r="H77" i="9"/>
  <c r="H71" i="9"/>
  <c r="H70" i="9"/>
  <c r="H66" i="9"/>
  <c r="H65" i="9"/>
  <c r="H60" i="9"/>
  <c r="H59" i="9"/>
  <c r="H58" i="9"/>
  <c r="H56" i="9"/>
  <c r="H51" i="9"/>
  <c r="H43" i="9"/>
  <c r="H50" i="9"/>
  <c r="H39" i="9"/>
  <c r="H38" i="9"/>
  <c r="H35" i="9"/>
  <c r="H34" i="9"/>
  <c r="H21" i="9"/>
  <c r="H18" i="9"/>
  <c r="E26" i="45"/>
  <c r="H28" i="9" s="1"/>
  <c r="F26" i="45"/>
  <c r="H28" i="41" s="1"/>
  <c r="E27" i="45"/>
  <c r="H29" i="9" s="1"/>
  <c r="F27" i="45"/>
  <c r="H29" i="41" s="1"/>
  <c r="E28" i="45"/>
  <c r="H30" i="9" s="1"/>
  <c r="F28" i="45"/>
  <c r="H30" i="41" s="1"/>
  <c r="F25" i="45"/>
  <c r="H27" i="41" s="1"/>
  <c r="E25" i="45"/>
  <c r="H27" i="9" s="1"/>
  <c r="D5" i="45"/>
  <c r="N7" i="38"/>
  <c r="M7" i="38"/>
  <c r="I66" i="33"/>
  <c r="I60" i="33"/>
  <c r="I59" i="33"/>
  <c r="I58" i="33"/>
  <c r="I57" i="33"/>
  <c r="I56" i="33"/>
  <c r="I50" i="33"/>
  <c r="I49" i="33"/>
  <c r="I48" i="33"/>
  <c r="I47" i="33"/>
  <c r="H40" i="33"/>
  <c r="I40" i="33" s="1"/>
  <c r="I41" i="33" s="1"/>
  <c r="I38" i="33" s="1"/>
  <c r="F8" i="45" s="1"/>
  <c r="H23" i="41" s="1"/>
  <c r="F40" i="33"/>
  <c r="I34" i="33"/>
  <c r="I33" i="33"/>
  <c r="I32" i="33"/>
  <c r="I31" i="33"/>
  <c r="I30" i="33"/>
  <c r="I29" i="33"/>
  <c r="I7" i="33"/>
  <c r="I6" i="33"/>
  <c r="I24" i="33"/>
  <c r="I23" i="33"/>
  <c r="I22" i="33"/>
  <c r="I21" i="33"/>
  <c r="I20" i="33"/>
  <c r="I19" i="33"/>
  <c r="I18" i="33"/>
  <c r="I13" i="33"/>
  <c r="N5" i="38"/>
  <c r="M5" i="38"/>
  <c r="I7" i="9"/>
  <c r="I7" i="41"/>
  <c r="I27" i="41" s="1"/>
  <c r="E98" i="41"/>
  <c r="E97" i="41"/>
  <c r="G96" i="41"/>
  <c r="E96" i="41"/>
  <c r="G95" i="41"/>
  <c r="G94" i="41"/>
  <c r="G92" i="41"/>
  <c r="G91" i="41"/>
  <c r="H86" i="41"/>
  <c r="J86" i="41" s="1"/>
  <c r="G86" i="41"/>
  <c r="H85" i="41"/>
  <c r="J85" i="41" s="1"/>
  <c r="G85" i="41"/>
  <c r="G80" i="41"/>
  <c r="G79" i="41"/>
  <c r="G78" i="41"/>
  <c r="G77" i="41"/>
  <c r="G76" i="41"/>
  <c r="G75" i="41"/>
  <c r="G74" i="41"/>
  <c r="G73" i="41"/>
  <c r="G72" i="41"/>
  <c r="G70" i="41"/>
  <c r="G69" i="41"/>
  <c r="I69" i="41" s="1"/>
  <c r="G68" i="41"/>
  <c r="G67" i="41"/>
  <c r="G66" i="41"/>
  <c r="G65" i="41"/>
  <c r="G61" i="41"/>
  <c r="G60" i="41"/>
  <c r="G58" i="41"/>
  <c r="G57" i="41"/>
  <c r="G56" i="41"/>
  <c r="B54" i="41"/>
  <c r="G52" i="41"/>
  <c r="G50" i="41"/>
  <c r="G49" i="41"/>
  <c r="G48" i="41"/>
  <c r="I47" i="41"/>
  <c r="E47" i="41"/>
  <c r="B45" i="41"/>
  <c r="I43" i="41"/>
  <c r="G42" i="41"/>
  <c r="G41" i="41"/>
  <c r="G40" i="41"/>
  <c r="G39" i="41"/>
  <c r="G38" i="41"/>
  <c r="G37" i="41"/>
  <c r="G36" i="41"/>
  <c r="G35" i="41"/>
  <c r="G34" i="41"/>
  <c r="B32" i="41"/>
  <c r="B25" i="41"/>
  <c r="I22" i="41"/>
  <c r="I18" i="41"/>
  <c r="B16" i="41"/>
  <c r="B9" i="41"/>
  <c r="E8" i="41"/>
  <c r="E7" i="41"/>
  <c r="I6" i="41"/>
  <c r="I5" i="41"/>
  <c r="N6" i="38"/>
  <c r="M6" i="38"/>
  <c r="N4" i="38"/>
  <c r="M4" i="38"/>
  <c r="E7" i="9"/>
  <c r="E106" i="33"/>
  <c r="G74" i="9"/>
  <c r="G61" i="9"/>
  <c r="G102" i="9"/>
  <c r="G103" i="9"/>
  <c r="G94" i="9"/>
  <c r="G92" i="9"/>
  <c r="G93" i="9" s="1"/>
  <c r="G91" i="9"/>
  <c r="G96" i="9"/>
  <c r="E98" i="9"/>
  <c r="E97" i="9"/>
  <c r="G95" i="9"/>
  <c r="E94" i="33"/>
  <c r="E105" i="33"/>
  <c r="E104" i="33"/>
  <c r="E103" i="33"/>
  <c r="E102" i="33"/>
  <c r="E101" i="33"/>
  <c r="E100" i="33"/>
  <c r="E82" i="33"/>
  <c r="E93" i="33"/>
  <c r="E92" i="33"/>
  <c r="E91" i="33"/>
  <c r="E90" i="33"/>
  <c r="E89" i="33"/>
  <c r="E88" i="33"/>
  <c r="G85" i="9"/>
  <c r="C17" i="37"/>
  <c r="C18" i="37"/>
  <c r="C19" i="37"/>
  <c r="C20" i="37"/>
  <c r="C21" i="37"/>
  <c r="C22" i="37"/>
  <c r="C23" i="37"/>
  <c r="C16" i="37"/>
  <c r="C5" i="37"/>
  <c r="C6" i="37"/>
  <c r="C7" i="37"/>
  <c r="C8" i="37"/>
  <c r="C9" i="37"/>
  <c r="C10" i="37"/>
  <c r="C11" i="37"/>
  <c r="C12" i="37"/>
  <c r="C13" i="37"/>
  <c r="C4" i="37"/>
  <c r="D25" i="37"/>
  <c r="D24" i="37"/>
  <c r="D23" i="37"/>
  <c r="D22" i="37"/>
  <c r="D21" i="37"/>
  <c r="D20" i="37"/>
  <c r="D19" i="37"/>
  <c r="D18" i="37"/>
  <c r="D17" i="37"/>
  <c r="D16" i="37"/>
  <c r="D8" i="37"/>
  <c r="D9" i="37"/>
  <c r="D10" i="37"/>
  <c r="D11" i="37"/>
  <c r="G80" i="9"/>
  <c r="G79" i="9"/>
  <c r="G78" i="9"/>
  <c r="G77" i="9"/>
  <c r="G76" i="9"/>
  <c r="E96" i="9"/>
  <c r="E81" i="33"/>
  <c r="E80" i="33"/>
  <c r="E79" i="33"/>
  <c r="E78" i="33"/>
  <c r="E77" i="33"/>
  <c r="E76" i="33"/>
  <c r="C32" i="10"/>
  <c r="R33" i="10"/>
  <c r="R31" i="10"/>
  <c r="C30" i="10"/>
  <c r="G86" i="9"/>
  <c r="G60" i="9"/>
  <c r="G58" i="9"/>
  <c r="G59" i="9" s="1"/>
  <c r="G57" i="9"/>
  <c r="G56" i="9"/>
  <c r="G52" i="9"/>
  <c r="G50" i="9"/>
  <c r="G49" i="9"/>
  <c r="G48" i="9"/>
  <c r="G75" i="9"/>
  <c r="G73" i="9"/>
  <c r="G72" i="9"/>
  <c r="G70" i="9"/>
  <c r="G69" i="9"/>
  <c r="G68" i="9"/>
  <c r="G67" i="9"/>
  <c r="G66" i="9"/>
  <c r="G65" i="9"/>
  <c r="G42" i="9"/>
  <c r="G41" i="9"/>
  <c r="G40" i="9"/>
  <c r="G39" i="9"/>
  <c r="G38" i="9"/>
  <c r="G37" i="9"/>
  <c r="G36" i="9"/>
  <c r="G35" i="9"/>
  <c r="G34" i="9"/>
  <c r="E70" i="33"/>
  <c r="I70" i="33" s="1"/>
  <c r="E69" i="33"/>
  <c r="I69" i="33" s="1"/>
  <c r="E68" i="33"/>
  <c r="I68" i="33" s="1"/>
  <c r="E67" i="33"/>
  <c r="I67" i="33" s="1"/>
  <c r="E47" i="9"/>
  <c r="G66" i="33"/>
  <c r="E46" i="33"/>
  <c r="I46" i="33" s="1"/>
  <c r="G56" i="33"/>
  <c r="G60" i="33"/>
  <c r="G47" i="33"/>
  <c r="G48" i="33"/>
  <c r="G49" i="33"/>
  <c r="G50" i="33"/>
  <c r="I74" i="41" l="1"/>
  <c r="J74" i="41" s="1"/>
  <c r="K74" i="41" s="1"/>
  <c r="I14" i="41"/>
  <c r="I107" i="41"/>
  <c r="G168" i="33"/>
  <c r="I106" i="33"/>
  <c r="G106" i="33"/>
  <c r="I185" i="33"/>
  <c r="G185" i="33"/>
  <c r="I107" i="9"/>
  <c r="I36" i="9"/>
  <c r="J36" i="9" s="1"/>
  <c r="K36" i="9" s="1"/>
  <c r="I35" i="9"/>
  <c r="J35" i="9" s="1"/>
  <c r="K35" i="9" s="1"/>
  <c r="I40" i="9"/>
  <c r="J40" i="9" s="1"/>
  <c r="K40" i="9" s="1"/>
  <c r="I43" i="9"/>
  <c r="J43" i="9" s="1"/>
  <c r="K43" i="9" s="1"/>
  <c r="I168" i="33"/>
  <c r="I161" i="33"/>
  <c r="I155" i="33"/>
  <c r="I94" i="9"/>
  <c r="J94" i="9" s="1"/>
  <c r="I91" i="9"/>
  <c r="J91" i="9" s="1"/>
  <c r="K91" i="9" s="1"/>
  <c r="I79" i="9"/>
  <c r="I77" i="9"/>
  <c r="J77" i="9" s="1"/>
  <c r="K77" i="9" s="1"/>
  <c r="I76" i="9"/>
  <c r="J76" i="9" s="1"/>
  <c r="K76" i="9" s="1"/>
  <c r="I52" i="9"/>
  <c r="I69" i="9"/>
  <c r="J69" i="9" s="1"/>
  <c r="K69" i="9" s="1"/>
  <c r="I39" i="9"/>
  <c r="J39" i="9" s="1"/>
  <c r="K39" i="9" s="1"/>
  <c r="I95" i="9"/>
  <c r="I78" i="9"/>
  <c r="J78" i="9" s="1"/>
  <c r="K78" i="9" s="1"/>
  <c r="I72" i="9"/>
  <c r="I67" i="9"/>
  <c r="I38" i="9"/>
  <c r="J38" i="9" s="1"/>
  <c r="K38" i="9" s="1"/>
  <c r="I48" i="9"/>
  <c r="J48" i="9" s="1"/>
  <c r="K48" i="9" s="1"/>
  <c r="I66" i="9"/>
  <c r="J66" i="9" s="1"/>
  <c r="K66" i="9" s="1"/>
  <c r="I41" i="9"/>
  <c r="J41" i="9" s="1"/>
  <c r="K41" i="9" s="1"/>
  <c r="I60" i="9"/>
  <c r="I73" i="9"/>
  <c r="J73" i="9" s="1"/>
  <c r="K73" i="9" s="1"/>
  <c r="I68" i="9"/>
  <c r="J68" i="9" s="1"/>
  <c r="K68" i="9" s="1"/>
  <c r="I37" i="9"/>
  <c r="J37" i="9" s="1"/>
  <c r="K37" i="9" s="1"/>
  <c r="I98" i="9"/>
  <c r="I87" i="9"/>
  <c r="J87" i="9" s="1"/>
  <c r="K87" i="9" s="1"/>
  <c r="I97" i="9"/>
  <c r="I103" i="41"/>
  <c r="I102" i="41"/>
  <c r="G161" i="33"/>
  <c r="I148" i="33"/>
  <c r="I143" i="33" s="1"/>
  <c r="F19" i="45" s="1"/>
  <c r="G148" i="33"/>
  <c r="G143" i="33" s="1"/>
  <c r="E19" i="45" s="1"/>
  <c r="I132" i="33"/>
  <c r="I127" i="33" s="1"/>
  <c r="F17" i="45" s="1"/>
  <c r="G132" i="33"/>
  <c r="G127" i="33" s="1"/>
  <c r="E17" i="45" s="1"/>
  <c r="G155" i="33"/>
  <c r="G124" i="33"/>
  <c r="G119" i="33" s="1"/>
  <c r="E16" i="45" s="1"/>
  <c r="I116" i="33"/>
  <c r="I110" i="33" s="1"/>
  <c r="F15" i="45" s="1"/>
  <c r="H67" i="41" s="1"/>
  <c r="J69" i="41"/>
  <c r="K69" i="41" s="1"/>
  <c r="I80" i="9"/>
  <c r="I49" i="9"/>
  <c r="J49" i="9" s="1"/>
  <c r="K49" i="9" s="1"/>
  <c r="I28" i="9"/>
  <c r="J28" i="9" s="1"/>
  <c r="K28" i="9" s="1"/>
  <c r="I29" i="9"/>
  <c r="J29" i="9" s="1"/>
  <c r="K29" i="9" s="1"/>
  <c r="I81" i="41"/>
  <c r="I97" i="41"/>
  <c r="I98" i="41"/>
  <c r="I87" i="41"/>
  <c r="J87" i="41" s="1"/>
  <c r="K87" i="41" s="1"/>
  <c r="I23" i="41"/>
  <c r="I35" i="33"/>
  <c r="I27" i="33" s="1"/>
  <c r="F7" i="45" s="1"/>
  <c r="H22" i="41" s="1"/>
  <c r="I140" i="33"/>
  <c r="I135" i="33" s="1"/>
  <c r="F18" i="45" s="1"/>
  <c r="H102" i="41" s="1"/>
  <c r="G140" i="33"/>
  <c r="G135" i="33" s="1"/>
  <c r="E18" i="45" s="1"/>
  <c r="G116" i="33"/>
  <c r="G110" i="33" s="1"/>
  <c r="E15" i="45" s="1"/>
  <c r="H67" i="9" s="1"/>
  <c r="D27" i="37"/>
  <c r="E27" i="37" s="1"/>
  <c r="J43" i="41"/>
  <c r="K43" i="41" s="1"/>
  <c r="J18" i="41"/>
  <c r="K18" i="41" s="1"/>
  <c r="I29" i="41"/>
  <c r="J29" i="41" s="1"/>
  <c r="K29" i="41" s="1"/>
  <c r="I28" i="41"/>
  <c r="J28" i="41" s="1"/>
  <c r="K28" i="41" s="1"/>
  <c r="I30" i="41"/>
  <c r="J30" i="41" s="1"/>
  <c r="K30" i="41" s="1"/>
  <c r="K85" i="41"/>
  <c r="G105" i="33"/>
  <c r="I105" i="33"/>
  <c r="G104" i="33"/>
  <c r="I104" i="33"/>
  <c r="G103" i="33"/>
  <c r="I103" i="33"/>
  <c r="G102" i="33"/>
  <c r="I102" i="33"/>
  <c r="G101" i="33"/>
  <c r="I101" i="33"/>
  <c r="G100" i="33"/>
  <c r="I100" i="33"/>
  <c r="G94" i="33"/>
  <c r="I94" i="33"/>
  <c r="G82" i="33"/>
  <c r="I82" i="33"/>
  <c r="G93" i="33"/>
  <c r="I93" i="33"/>
  <c r="G92" i="33"/>
  <c r="I92" i="33"/>
  <c r="G91" i="33"/>
  <c r="I91" i="33"/>
  <c r="G90" i="33"/>
  <c r="I90" i="33"/>
  <c r="G89" i="33"/>
  <c r="I89" i="33"/>
  <c r="G88" i="33"/>
  <c r="I88" i="33"/>
  <c r="G81" i="33"/>
  <c r="I81" i="33"/>
  <c r="G80" i="33"/>
  <c r="I80" i="33"/>
  <c r="G79" i="33"/>
  <c r="I79" i="33"/>
  <c r="G78" i="33"/>
  <c r="I78" i="33"/>
  <c r="G77" i="33"/>
  <c r="I77" i="33"/>
  <c r="G76" i="33"/>
  <c r="I76" i="33"/>
  <c r="I71" i="33"/>
  <c r="I64" i="33" s="1"/>
  <c r="F11" i="45" s="1"/>
  <c r="I61" i="33"/>
  <c r="I54" i="33" s="1"/>
  <c r="F10" i="45" s="1"/>
  <c r="H72" i="41" s="1"/>
  <c r="I51" i="33"/>
  <c r="I44" i="33" s="1"/>
  <c r="H14" i="33"/>
  <c r="K86" i="41"/>
  <c r="I30" i="9"/>
  <c r="J30" i="9" s="1"/>
  <c r="K30" i="9" s="1"/>
  <c r="I21" i="41"/>
  <c r="J21" i="41" s="1"/>
  <c r="K21" i="41" s="1"/>
  <c r="I19" i="41"/>
  <c r="J19" i="41" s="1"/>
  <c r="K19" i="41" s="1"/>
  <c r="I96" i="41"/>
  <c r="I95" i="41"/>
  <c r="I94" i="41"/>
  <c r="J94" i="41" s="1"/>
  <c r="K94" i="41" s="1"/>
  <c r="G93" i="41"/>
  <c r="I92" i="41"/>
  <c r="J92" i="41" s="1"/>
  <c r="K92" i="41" s="1"/>
  <c r="I91" i="41"/>
  <c r="J91" i="41" s="1"/>
  <c r="K91" i="41" s="1"/>
  <c r="I80" i="41"/>
  <c r="I79" i="41"/>
  <c r="I78" i="41"/>
  <c r="J78" i="41" s="1"/>
  <c r="K78" i="41" s="1"/>
  <c r="I77" i="41"/>
  <c r="J77" i="41" s="1"/>
  <c r="K77" i="41" s="1"/>
  <c r="I76" i="41"/>
  <c r="J76" i="41" s="1"/>
  <c r="K76" i="41" s="1"/>
  <c r="I75" i="41"/>
  <c r="J75" i="41" s="1"/>
  <c r="K75" i="41" s="1"/>
  <c r="I73" i="41"/>
  <c r="J73" i="41" s="1"/>
  <c r="K73" i="41" s="1"/>
  <c r="I72" i="41"/>
  <c r="G71" i="41"/>
  <c r="I70" i="41"/>
  <c r="J70" i="41" s="1"/>
  <c r="K70" i="41" s="1"/>
  <c r="I68" i="41"/>
  <c r="J68" i="41" s="1"/>
  <c r="K68" i="41" s="1"/>
  <c r="I67" i="41"/>
  <c r="I66" i="41"/>
  <c r="J66" i="41" s="1"/>
  <c r="K66" i="41" s="1"/>
  <c r="I65" i="41"/>
  <c r="J65" i="41" s="1"/>
  <c r="K65" i="41" s="1"/>
  <c r="I61" i="41"/>
  <c r="J61" i="41" s="1"/>
  <c r="K61" i="41" s="1"/>
  <c r="I60" i="41"/>
  <c r="J60" i="41" s="1"/>
  <c r="K60" i="41" s="1"/>
  <c r="G59" i="41"/>
  <c r="I58" i="41"/>
  <c r="J58" i="41" s="1"/>
  <c r="K58" i="41" s="1"/>
  <c r="I57" i="41"/>
  <c r="J57" i="41" s="1"/>
  <c r="K57" i="41" s="1"/>
  <c r="I56" i="41"/>
  <c r="J56" i="41" s="1"/>
  <c r="K56" i="41" s="1"/>
  <c r="I52" i="41"/>
  <c r="G51" i="41"/>
  <c r="I50" i="41"/>
  <c r="J50" i="41" s="1"/>
  <c r="K50" i="41" s="1"/>
  <c r="I49" i="41"/>
  <c r="J49" i="41" s="1"/>
  <c r="K49" i="41" s="1"/>
  <c r="I48" i="41"/>
  <c r="J48" i="41" s="1"/>
  <c r="K48" i="41" s="1"/>
  <c r="I42" i="41"/>
  <c r="J42" i="41" s="1"/>
  <c r="K42" i="41" s="1"/>
  <c r="I41" i="41"/>
  <c r="J41" i="41" s="1"/>
  <c r="K41" i="41" s="1"/>
  <c r="I40" i="41"/>
  <c r="J40" i="41" s="1"/>
  <c r="K40" i="41" s="1"/>
  <c r="I39" i="41"/>
  <c r="J39" i="41" s="1"/>
  <c r="K39" i="41" s="1"/>
  <c r="I38" i="41"/>
  <c r="J38" i="41" s="1"/>
  <c r="K38" i="41" s="1"/>
  <c r="I37" i="41"/>
  <c r="J37" i="41" s="1"/>
  <c r="K37" i="41" s="1"/>
  <c r="I36" i="41"/>
  <c r="J36" i="41" s="1"/>
  <c r="K36" i="41" s="1"/>
  <c r="I35" i="41"/>
  <c r="J35" i="41" s="1"/>
  <c r="K35" i="41" s="1"/>
  <c r="I34" i="41"/>
  <c r="J34" i="41" s="1"/>
  <c r="K34" i="41" s="1"/>
  <c r="J85" i="9"/>
  <c r="K85" i="9" s="1"/>
  <c r="I81" i="9"/>
  <c r="I102" i="9"/>
  <c r="I96" i="9"/>
  <c r="I92" i="9"/>
  <c r="J92" i="9" s="1"/>
  <c r="I93" i="9"/>
  <c r="J93" i="9" s="1"/>
  <c r="I61" i="9"/>
  <c r="I74" i="9"/>
  <c r="J74" i="9" s="1"/>
  <c r="K74" i="9" s="1"/>
  <c r="I70" i="9"/>
  <c r="J70" i="9" s="1"/>
  <c r="K70" i="9" s="1"/>
  <c r="G71" i="9"/>
  <c r="I71" i="9" s="1"/>
  <c r="J71" i="9" s="1"/>
  <c r="K71" i="9" s="1"/>
  <c r="J86" i="9"/>
  <c r="K86" i="9" s="1"/>
  <c r="I50" i="9"/>
  <c r="J50" i="9" s="1"/>
  <c r="K50" i="9" s="1"/>
  <c r="G51" i="9"/>
  <c r="I51" i="9" s="1"/>
  <c r="J51" i="9" s="1"/>
  <c r="K51" i="9" s="1"/>
  <c r="I42" i="9"/>
  <c r="J42" i="9" s="1"/>
  <c r="K42" i="9" s="1"/>
  <c r="I34" i="9"/>
  <c r="J34" i="9" s="1"/>
  <c r="K34" i="9" s="1"/>
  <c r="G67" i="33"/>
  <c r="G70" i="33"/>
  <c r="G69" i="33"/>
  <c r="G68" i="33"/>
  <c r="G59" i="33"/>
  <c r="G58" i="33"/>
  <c r="G57" i="33"/>
  <c r="G46" i="33"/>
  <c r="I47" i="9"/>
  <c r="G163" i="33" l="1"/>
  <c r="E22" i="45" s="1"/>
  <c r="F188" i="33"/>
  <c r="G188" i="33" s="1"/>
  <c r="I163" i="33"/>
  <c r="F22" i="45" s="1"/>
  <c r="H188" i="33"/>
  <c r="I188" i="33" s="1"/>
  <c r="I157" i="33"/>
  <c r="F21" i="45" s="1"/>
  <c r="H184" i="33"/>
  <c r="I184" i="33" s="1"/>
  <c r="I151" i="33"/>
  <c r="F20" i="45" s="1"/>
  <c r="H183" i="33"/>
  <c r="I183" i="33" s="1"/>
  <c r="G157" i="33"/>
  <c r="E21" i="45" s="1"/>
  <c r="F184" i="33"/>
  <c r="G184" i="33" s="1"/>
  <c r="G151" i="33"/>
  <c r="E20" i="45" s="1"/>
  <c r="F183" i="33"/>
  <c r="G183" i="33" s="1"/>
  <c r="J102" i="41"/>
  <c r="K102" i="41" s="1"/>
  <c r="L89" i="9"/>
  <c r="J67" i="9"/>
  <c r="K67" i="9" s="1"/>
  <c r="H103" i="41"/>
  <c r="J103" i="41" s="1"/>
  <c r="K103" i="41" s="1"/>
  <c r="H103" i="9"/>
  <c r="H80" i="41"/>
  <c r="J80" i="41" s="1"/>
  <c r="K80" i="41" s="1"/>
  <c r="H95" i="41"/>
  <c r="J95" i="41" s="1"/>
  <c r="K95" i="41" s="1"/>
  <c r="H80" i="9"/>
  <c r="J80" i="9" s="1"/>
  <c r="K80" i="9" s="1"/>
  <c r="H95" i="9"/>
  <c r="J95" i="9" s="1"/>
  <c r="K95" i="9" s="1"/>
  <c r="J67" i="41"/>
  <c r="K67" i="41" s="1"/>
  <c r="L89" i="41"/>
  <c r="P30" i="50" s="1"/>
  <c r="H81" i="41"/>
  <c r="J81" i="41" s="1"/>
  <c r="K81" i="41" s="1"/>
  <c r="G95" i="33"/>
  <c r="G86" i="33" s="1"/>
  <c r="E13" i="45" s="1"/>
  <c r="H102" i="9"/>
  <c r="J102" i="9" s="1"/>
  <c r="K102" i="9" s="1"/>
  <c r="H81" i="9"/>
  <c r="J81" i="9" s="1"/>
  <c r="K81" i="9" s="1"/>
  <c r="I107" i="33"/>
  <c r="I98" i="33" s="1"/>
  <c r="F14" i="45" s="1"/>
  <c r="H98" i="41" s="1"/>
  <c r="G83" i="33"/>
  <c r="G74" i="33" s="1"/>
  <c r="E12" i="45" s="1"/>
  <c r="F9" i="45"/>
  <c r="P86" i="41"/>
  <c r="Q86" i="41" s="1"/>
  <c r="G107" i="33"/>
  <c r="G98" i="33" s="1"/>
  <c r="E14" i="45" s="1"/>
  <c r="H98" i="9" s="1"/>
  <c r="I95" i="33"/>
  <c r="I86" i="33" s="1"/>
  <c r="F13" i="45" s="1"/>
  <c r="H97" i="41" s="1"/>
  <c r="J97" i="41" s="1"/>
  <c r="K97" i="41" s="1"/>
  <c r="I83" i="33"/>
  <c r="I74" i="33" s="1"/>
  <c r="F12" i="45" s="1"/>
  <c r="H96" i="41" s="1"/>
  <c r="I93" i="41"/>
  <c r="J93" i="41" s="1"/>
  <c r="K93" i="41" s="1"/>
  <c r="I71" i="41"/>
  <c r="J71" i="41" s="1"/>
  <c r="K71" i="41" s="1"/>
  <c r="I59" i="41"/>
  <c r="J59" i="41" s="1"/>
  <c r="K59" i="41" s="1"/>
  <c r="L63" i="41" s="1"/>
  <c r="P28" i="50" s="1"/>
  <c r="I51" i="41"/>
  <c r="J51" i="41" s="1"/>
  <c r="K51" i="41" s="1"/>
  <c r="L45" i="41"/>
  <c r="P22" i="50" s="1"/>
  <c r="K92" i="9"/>
  <c r="K93" i="9"/>
  <c r="K94" i="9"/>
  <c r="G61" i="33"/>
  <c r="G71" i="33"/>
  <c r="G51" i="33"/>
  <c r="G44" i="33" s="1"/>
  <c r="J20" i="9"/>
  <c r="G201" i="33" l="1"/>
  <c r="G181" i="33" s="1"/>
  <c r="E24" i="45" s="1"/>
  <c r="I201" i="33"/>
  <c r="I181" i="33" s="1"/>
  <c r="L105" i="41"/>
  <c r="P34" i="50" s="1"/>
  <c r="E30" i="50"/>
  <c r="D30" i="50"/>
  <c r="F30" i="50"/>
  <c r="G30" i="50"/>
  <c r="M28" i="50"/>
  <c r="D28" i="50"/>
  <c r="G28" i="50"/>
  <c r="I28" i="50"/>
  <c r="L28" i="50"/>
  <c r="F28" i="50"/>
  <c r="J28" i="50"/>
  <c r="K28" i="50"/>
  <c r="O28" i="50"/>
  <c r="E28" i="50"/>
  <c r="H28" i="50"/>
  <c r="N28" i="50"/>
  <c r="M22" i="50"/>
  <c r="N22" i="50"/>
  <c r="O22" i="50"/>
  <c r="D22" i="50"/>
  <c r="G22" i="50"/>
  <c r="I22" i="50"/>
  <c r="J22" i="50"/>
  <c r="H22" i="50"/>
  <c r="K22" i="50"/>
  <c r="E22" i="50"/>
  <c r="F22" i="50"/>
  <c r="L22" i="50"/>
  <c r="F23" i="45"/>
  <c r="E23" i="45"/>
  <c r="H97" i="9"/>
  <c r="J97" i="9" s="1"/>
  <c r="K97" i="9" s="1"/>
  <c r="H96" i="9"/>
  <c r="J96" i="9" s="1"/>
  <c r="K96" i="9" s="1"/>
  <c r="J96" i="41"/>
  <c r="K96" i="41" s="1"/>
  <c r="H47" i="41"/>
  <c r="J47" i="41" s="1"/>
  <c r="K47" i="41" s="1"/>
  <c r="P30" i="10"/>
  <c r="G30" i="10" s="1"/>
  <c r="G64" i="33"/>
  <c r="E11" i="45" s="1"/>
  <c r="H47" i="9" s="1"/>
  <c r="J47" i="9" s="1"/>
  <c r="K47" i="9" s="1"/>
  <c r="H79" i="41"/>
  <c r="J79" i="41" s="1"/>
  <c r="K79" i="41" s="1"/>
  <c r="H52" i="41"/>
  <c r="J52" i="41" s="1"/>
  <c r="K52" i="41" s="1"/>
  <c r="J98" i="9"/>
  <c r="K98" i="9" s="1"/>
  <c r="J98" i="41"/>
  <c r="K98" i="41" s="1"/>
  <c r="J72" i="41"/>
  <c r="K72" i="41" s="1"/>
  <c r="G54" i="33"/>
  <c r="E10" i="45" s="1"/>
  <c r="H72" i="9" s="1"/>
  <c r="J72" i="9" s="1"/>
  <c r="K72" i="9" s="1"/>
  <c r="L100" i="9" l="1"/>
  <c r="F24" i="45"/>
  <c r="H107" i="9"/>
  <c r="J107" i="9" s="1"/>
  <c r="K107" i="9" s="1"/>
  <c r="L109" i="9" s="1"/>
  <c r="P36" i="10" s="1"/>
  <c r="E34" i="50"/>
  <c r="H34" i="50"/>
  <c r="J34" i="50"/>
  <c r="L34" i="50"/>
  <c r="D34" i="50"/>
  <c r="F34" i="50"/>
  <c r="I34" i="50"/>
  <c r="M34" i="50"/>
  <c r="K34" i="50"/>
  <c r="N34" i="50"/>
  <c r="O34" i="50"/>
  <c r="G34" i="50"/>
  <c r="R30" i="50"/>
  <c r="R28" i="50"/>
  <c r="R22" i="50"/>
  <c r="L100" i="41"/>
  <c r="P32" i="50" s="1"/>
  <c r="L54" i="41"/>
  <c r="P24" i="50" s="1"/>
  <c r="L83" i="41"/>
  <c r="P26" i="50" s="1"/>
  <c r="O98" i="41"/>
  <c r="H107" i="41" l="1"/>
  <c r="J107" i="41" s="1"/>
  <c r="K107" i="41" s="1"/>
  <c r="L109" i="41" s="1"/>
  <c r="P36" i="50" s="1"/>
  <c r="D36" i="10"/>
  <c r="E36" i="10"/>
  <c r="F36" i="10"/>
  <c r="G36" i="10"/>
  <c r="H36" i="10"/>
  <c r="I36" i="10"/>
  <c r="J36" i="10"/>
  <c r="K36" i="10"/>
  <c r="L36" i="10"/>
  <c r="M36" i="10"/>
  <c r="N36" i="10"/>
  <c r="O36" i="10"/>
  <c r="R34" i="50"/>
  <c r="G32" i="50"/>
  <c r="D32" i="50"/>
  <c r="E32" i="50"/>
  <c r="F32" i="50"/>
  <c r="D24" i="50"/>
  <c r="E24" i="50"/>
  <c r="F24" i="50"/>
  <c r="G24" i="50"/>
  <c r="H24" i="50"/>
  <c r="I24" i="50"/>
  <c r="J24" i="50"/>
  <c r="K24" i="50"/>
  <c r="L24" i="50"/>
  <c r="M24" i="50"/>
  <c r="N24" i="50"/>
  <c r="O24" i="50"/>
  <c r="D26" i="50"/>
  <c r="E26" i="50"/>
  <c r="F26" i="50"/>
  <c r="G26" i="50"/>
  <c r="H26" i="50"/>
  <c r="I26" i="50"/>
  <c r="J26" i="50"/>
  <c r="K26" i="50"/>
  <c r="L26" i="50"/>
  <c r="M26" i="50"/>
  <c r="N26" i="50"/>
  <c r="O26" i="50"/>
  <c r="E9" i="45"/>
  <c r="P32" i="10"/>
  <c r="G32" i="10" s="1"/>
  <c r="M36" i="50" l="1"/>
  <c r="K36" i="50"/>
  <c r="L36" i="50"/>
  <c r="N36" i="50"/>
  <c r="O36" i="50"/>
  <c r="D36" i="50"/>
  <c r="E36" i="50"/>
  <c r="F36" i="50"/>
  <c r="G36" i="50"/>
  <c r="H36" i="50"/>
  <c r="I36" i="50"/>
  <c r="J36" i="50"/>
  <c r="R26" i="50"/>
  <c r="R32" i="50"/>
  <c r="R24" i="50"/>
  <c r="H52" i="9"/>
  <c r="J52" i="9" s="1"/>
  <c r="K52" i="9" s="1"/>
  <c r="L54" i="9" s="1"/>
  <c r="H79" i="9"/>
  <c r="J79" i="9" s="1"/>
  <c r="K79" i="9" s="1"/>
  <c r="E32" i="10"/>
  <c r="D32" i="10"/>
  <c r="F32" i="10"/>
  <c r="D30" i="10"/>
  <c r="E30" i="10"/>
  <c r="F30" i="10"/>
  <c r="G169" i="10"/>
  <c r="I169" i="10"/>
  <c r="P24" i="10" l="1"/>
  <c r="R32" i="10"/>
  <c r="R30" i="10"/>
  <c r="I103" i="9" l="1"/>
  <c r="J103" i="9" s="1"/>
  <c r="K103" i="9" l="1"/>
  <c r="L105" i="9" s="1"/>
  <c r="C34" i="10" l="1"/>
  <c r="R35" i="10"/>
  <c r="C28" i="10"/>
  <c r="C26" i="10"/>
  <c r="R29" i="10"/>
  <c r="R27" i="10"/>
  <c r="I59" i="9"/>
  <c r="J59" i="9" s="1"/>
  <c r="K59" i="9" s="1"/>
  <c r="I75" i="9"/>
  <c r="J75" i="9" s="1"/>
  <c r="K75" i="9" s="1"/>
  <c r="P34" i="10" l="1"/>
  <c r="N34" i="10" l="1"/>
  <c r="J34" i="10"/>
  <c r="F34" i="10"/>
  <c r="M34" i="10"/>
  <c r="I34" i="10"/>
  <c r="E34" i="10"/>
  <c r="L34" i="10"/>
  <c r="H34" i="10"/>
  <c r="D34" i="10"/>
  <c r="K34" i="10"/>
  <c r="G34" i="10"/>
  <c r="O34" i="10"/>
  <c r="G29" i="33"/>
  <c r="G30" i="33"/>
  <c r="G31" i="33"/>
  <c r="G32" i="33"/>
  <c r="G33" i="33"/>
  <c r="G34" i="33"/>
  <c r="G40" i="33"/>
  <c r="G41" i="33" s="1"/>
  <c r="I58" i="9"/>
  <c r="J58" i="9" s="1"/>
  <c r="K58" i="9" s="1"/>
  <c r="J60" i="9"/>
  <c r="K60" i="9" s="1"/>
  <c r="J61" i="9"/>
  <c r="K61" i="9" s="1"/>
  <c r="I57" i="9"/>
  <c r="J57" i="9" s="1"/>
  <c r="K57" i="9" s="1"/>
  <c r="I56" i="9"/>
  <c r="J56" i="9" s="1"/>
  <c r="K56" i="9" s="1"/>
  <c r="I65" i="9"/>
  <c r="J65" i="9" s="1"/>
  <c r="K65" i="9" s="1"/>
  <c r="L83" i="9" s="1"/>
  <c r="L63" i="9" l="1"/>
  <c r="P26" i="10"/>
  <c r="J23" i="41"/>
  <c r="K23" i="41" s="1"/>
  <c r="G38" i="33"/>
  <c r="E8" i="45" s="1"/>
  <c r="H23" i="9" s="1"/>
  <c r="R34" i="10"/>
  <c r="G35" i="33"/>
  <c r="L45" i="9"/>
  <c r="J22" i="41" l="1"/>
  <c r="K22" i="41" s="1"/>
  <c r="L25" i="41" s="1"/>
  <c r="P18" i="50" s="1"/>
  <c r="G27" i="33"/>
  <c r="E7" i="45" s="1"/>
  <c r="H22" i="9" s="1"/>
  <c r="P28" i="10"/>
  <c r="G28" i="10" s="1"/>
  <c r="P22" i="10"/>
  <c r="E26" i="10"/>
  <c r="J26" i="10"/>
  <c r="D26" i="10"/>
  <c r="H26" i="10"/>
  <c r="K26" i="10"/>
  <c r="I26" i="10"/>
  <c r="G26" i="10"/>
  <c r="N26" i="10"/>
  <c r="L26" i="10"/>
  <c r="F26" i="10"/>
  <c r="M26" i="10"/>
  <c r="O26" i="10"/>
  <c r="O18" i="50" l="1"/>
  <c r="N18" i="50"/>
  <c r="G18" i="50"/>
  <c r="F18" i="50"/>
  <c r="H18" i="50"/>
  <c r="I18" i="50"/>
  <c r="J18" i="50"/>
  <c r="K18" i="50"/>
  <c r="L18" i="50"/>
  <c r="M18" i="50"/>
  <c r="D18" i="50"/>
  <c r="E18" i="50"/>
  <c r="K28" i="10"/>
  <c r="L28" i="10"/>
  <c r="M28" i="10"/>
  <c r="H28" i="10"/>
  <c r="J28" i="10"/>
  <c r="N28" i="10"/>
  <c r="I28" i="10"/>
  <c r="O28" i="10"/>
  <c r="D28" i="10"/>
  <c r="E28" i="10"/>
  <c r="F28" i="10"/>
  <c r="R26" i="10"/>
  <c r="R18" i="50" l="1"/>
  <c r="R28" i="10"/>
  <c r="G6" i="33" l="1"/>
  <c r="G7" i="33"/>
  <c r="F36" i="36" l="1"/>
  <c r="E36" i="36"/>
  <c r="D36" i="36"/>
  <c r="C36" i="36"/>
  <c r="F29" i="36"/>
  <c r="E29" i="36"/>
  <c r="D29" i="36"/>
  <c r="C29" i="36"/>
  <c r="F17" i="36"/>
  <c r="F39" i="36" s="1"/>
  <c r="E17" i="36"/>
  <c r="E39" i="36" s="1"/>
  <c r="D17" i="36"/>
  <c r="D39" i="36" s="1"/>
  <c r="C17" i="36"/>
  <c r="C38" i="36" s="1"/>
  <c r="C39" i="36" l="1"/>
  <c r="C40" i="36" s="1"/>
  <c r="C41" i="36" s="1"/>
  <c r="E38" i="36"/>
  <c r="E40" i="36" s="1"/>
  <c r="E41" i="36" s="1"/>
  <c r="D38" i="36"/>
  <c r="D40" i="36" s="1"/>
  <c r="D41" i="36" s="1"/>
  <c r="F38" i="36"/>
  <c r="F40" i="36" s="1"/>
  <c r="F41" i="36" s="1"/>
  <c r="B45" i="9" l="1"/>
  <c r="E8" i="9"/>
  <c r="I22" i="9" l="1"/>
  <c r="J22" i="9" l="1"/>
  <c r="K22" i="9" s="1"/>
  <c r="I21" i="9"/>
  <c r="J21" i="9" s="1"/>
  <c r="K21" i="9" s="1"/>
  <c r="I23" i="9"/>
  <c r="J23" i="9" s="1"/>
  <c r="K23" i="9" s="1"/>
  <c r="G13" i="33" l="1"/>
  <c r="G19" i="33" l="1"/>
  <c r="G20" i="33"/>
  <c r="G21" i="33"/>
  <c r="G22" i="33"/>
  <c r="G23" i="33"/>
  <c r="G24" i="33"/>
  <c r="E16" i="33"/>
  <c r="E15" i="33"/>
  <c r="E14" i="33"/>
  <c r="I14" i="33" s="1"/>
  <c r="H15" i="33" l="1"/>
  <c r="I15" i="33" s="1"/>
  <c r="F14" i="33"/>
  <c r="G14" i="33" s="1"/>
  <c r="F15" i="33" s="1"/>
  <c r="H16" i="33" l="1"/>
  <c r="I16" i="33" s="1"/>
  <c r="H17" i="33" s="1"/>
  <c r="I17" i="33" s="1"/>
  <c r="I25" i="33" s="1"/>
  <c r="G15" i="33"/>
  <c r="H8" i="33" l="1"/>
  <c r="I8" i="33" s="1"/>
  <c r="I9" i="33" s="1"/>
  <c r="I11" i="33"/>
  <c r="F6" i="45" s="1"/>
  <c r="F16" i="33"/>
  <c r="G16" i="33" s="1"/>
  <c r="F17" i="33" s="1"/>
  <c r="G17" i="33" s="1"/>
  <c r="I4" i="33" l="1"/>
  <c r="F5" i="45" s="1"/>
  <c r="H14" i="41" s="1"/>
  <c r="G25" i="33"/>
  <c r="F8" i="33" l="1"/>
  <c r="G8" i="33" s="1"/>
  <c r="G9" i="33" s="1"/>
  <c r="G11" i="33"/>
  <c r="E6" i="45" s="1"/>
  <c r="J14" i="41" l="1"/>
  <c r="K14" i="41" s="1"/>
  <c r="G4" i="33"/>
  <c r="E5" i="45" s="1"/>
  <c r="H14" i="9" s="1"/>
  <c r="J27" i="41"/>
  <c r="K27" i="41" s="1"/>
  <c r="L16" i="41" l="1"/>
  <c r="P16" i="50" s="1"/>
  <c r="L114" i="41"/>
  <c r="L32" i="41"/>
  <c r="D16" i="50" l="1"/>
  <c r="D45" i="50" s="1"/>
  <c r="E16" i="50"/>
  <c r="E45" i="50" s="1"/>
  <c r="F16" i="50"/>
  <c r="F45" i="50" s="1"/>
  <c r="G16" i="50"/>
  <c r="G45" i="50" s="1"/>
  <c r="L110" i="41"/>
  <c r="L11" i="41" s="1"/>
  <c r="P20" i="50"/>
  <c r="G20" i="50" s="1"/>
  <c r="B9" i="9"/>
  <c r="D49" i="24"/>
  <c r="B49" i="24"/>
  <c r="D40" i="24"/>
  <c r="B40" i="24"/>
  <c r="D26" i="24"/>
  <c r="B26" i="24"/>
  <c r="P38" i="50" l="1"/>
  <c r="Q21" i="50" s="1"/>
  <c r="E20" i="50"/>
  <c r="E38" i="50" s="1"/>
  <c r="D20" i="50"/>
  <c r="F20" i="50"/>
  <c r="F38" i="50" s="1"/>
  <c r="G38" i="50"/>
  <c r="H20" i="50"/>
  <c r="I20" i="50"/>
  <c r="J20" i="50"/>
  <c r="K20" i="50"/>
  <c r="L20" i="50"/>
  <c r="M20" i="50"/>
  <c r="N20" i="50"/>
  <c r="O20" i="50"/>
  <c r="P45" i="50"/>
  <c r="M108" i="41"/>
  <c r="M107" i="41"/>
  <c r="M104" i="41"/>
  <c r="M103" i="41"/>
  <c r="M102" i="41"/>
  <c r="M18" i="41"/>
  <c r="M47" i="41"/>
  <c r="M29" i="41"/>
  <c r="M28" i="41"/>
  <c r="M27" i="41"/>
  <c r="M30" i="41"/>
  <c r="M14" i="41"/>
  <c r="M22" i="41"/>
  <c r="M23" i="41"/>
  <c r="M73" i="41"/>
  <c r="M57" i="41"/>
  <c r="M49" i="41"/>
  <c r="M93" i="41"/>
  <c r="M71" i="41"/>
  <c r="M85" i="41"/>
  <c r="M76" i="41"/>
  <c r="M88" i="41"/>
  <c r="M60" i="41"/>
  <c r="M62" i="41"/>
  <c r="M34" i="41"/>
  <c r="M67" i="41"/>
  <c r="M52" i="41"/>
  <c r="M96" i="41"/>
  <c r="M91" i="41"/>
  <c r="M56" i="41"/>
  <c r="M40" i="41"/>
  <c r="M36" i="41"/>
  <c r="M94" i="41"/>
  <c r="M53" i="41"/>
  <c r="M75" i="41"/>
  <c r="M68" i="41"/>
  <c r="M66" i="41"/>
  <c r="M50" i="41"/>
  <c r="M48" i="41"/>
  <c r="M59" i="41"/>
  <c r="M95" i="41"/>
  <c r="M37" i="41"/>
  <c r="M92" i="41"/>
  <c r="M80" i="41"/>
  <c r="M79" i="41"/>
  <c r="M78" i="41"/>
  <c r="M72" i="41"/>
  <c r="M70" i="41"/>
  <c r="M61" i="41"/>
  <c r="M58" i="41"/>
  <c r="M42" i="41"/>
  <c r="M41" i="41"/>
  <c r="M39" i="41"/>
  <c r="M38" i="41"/>
  <c r="M35" i="41"/>
  <c r="M19" i="41"/>
  <c r="M69" i="41"/>
  <c r="M74" i="41"/>
  <c r="M81" i="41"/>
  <c r="M86" i="41"/>
  <c r="M87" i="41"/>
  <c r="M97" i="41"/>
  <c r="M51" i="41"/>
  <c r="M98" i="41"/>
  <c r="M20" i="41"/>
  <c r="M21" i="41"/>
  <c r="M43" i="41"/>
  <c r="M82" i="41"/>
  <c r="M99" i="41"/>
  <c r="M65" i="41"/>
  <c r="M77" i="41"/>
  <c r="B52" i="24"/>
  <c r="D52" i="24"/>
  <c r="B53" i="24"/>
  <c r="D53" i="24"/>
  <c r="E39" i="50" l="1"/>
  <c r="F39" i="50"/>
  <c r="G39" i="50"/>
  <c r="Q29" i="50"/>
  <c r="Q31" i="50"/>
  <c r="H39" i="50"/>
  <c r="I39" i="50"/>
  <c r="J39" i="50"/>
  <c r="K39" i="50"/>
  <c r="L39" i="50"/>
  <c r="M39" i="50"/>
  <c r="N39" i="50"/>
  <c r="O39" i="50"/>
  <c r="Q23" i="50"/>
  <c r="Q35" i="50"/>
  <c r="Q37" i="50"/>
  <c r="Q33" i="50"/>
  <c r="Q25" i="50"/>
  <c r="Q27" i="50"/>
  <c r="Q19" i="50"/>
  <c r="Q17" i="50"/>
  <c r="D38" i="50"/>
  <c r="R20" i="50"/>
  <c r="D46" i="50"/>
  <c r="J46" i="50"/>
  <c r="J17" i="50" s="1"/>
  <c r="J16" i="50" s="1"/>
  <c r="H46" i="50"/>
  <c r="H17" i="50" s="1"/>
  <c r="I46" i="50"/>
  <c r="I17" i="50" s="1"/>
  <c r="I16" i="50" s="1"/>
  <c r="K46" i="50"/>
  <c r="K17" i="50" s="1"/>
  <c r="K16" i="50" s="1"/>
  <c r="L46" i="50"/>
  <c r="L17" i="50" s="1"/>
  <c r="L16" i="50" s="1"/>
  <c r="M46" i="50"/>
  <c r="M17" i="50" s="1"/>
  <c r="M16" i="50" s="1"/>
  <c r="N46" i="50"/>
  <c r="N17" i="50" s="1"/>
  <c r="N16" i="50" s="1"/>
  <c r="O46" i="50"/>
  <c r="O17" i="50" s="1"/>
  <c r="O16" i="50" s="1"/>
  <c r="E46" i="50"/>
  <c r="G46" i="50"/>
  <c r="F46" i="50"/>
  <c r="M110" i="41"/>
  <c r="B55" i="24"/>
  <c r="B58" i="24" s="1"/>
  <c r="D55" i="24"/>
  <c r="D58" i="24" s="1"/>
  <c r="Q38" i="50" l="1"/>
  <c r="D39" i="50"/>
  <c r="D41" i="50" s="1"/>
  <c r="E41" i="50" s="1"/>
  <c r="F41" i="50" s="1"/>
  <c r="G41" i="50" s="1"/>
  <c r="H41" i="50" s="1"/>
  <c r="I41" i="50" s="1"/>
  <c r="J41" i="50" s="1"/>
  <c r="K41" i="50" s="1"/>
  <c r="L41" i="50" s="1"/>
  <c r="M41" i="50" s="1"/>
  <c r="N41" i="50" s="1"/>
  <c r="O41" i="50" s="1"/>
  <c r="D40" i="50"/>
  <c r="E40" i="50" s="1"/>
  <c r="F40" i="50" s="1"/>
  <c r="G40" i="50" s="1"/>
  <c r="H40" i="50" s="1"/>
  <c r="I40" i="50" s="1"/>
  <c r="J40" i="50" s="1"/>
  <c r="K40" i="50" s="1"/>
  <c r="L40" i="50" s="1"/>
  <c r="M40" i="50" s="1"/>
  <c r="N40" i="50" s="1"/>
  <c r="O40" i="50" s="1"/>
  <c r="H16" i="50"/>
  <c r="R16" i="50" s="1"/>
  <c r="R17" i="50"/>
  <c r="D49" i="19"/>
  <c r="B49" i="19"/>
  <c r="D40" i="19"/>
  <c r="B40" i="19"/>
  <c r="D26" i="19"/>
  <c r="D52" i="19" s="1"/>
  <c r="B26" i="19"/>
  <c r="B52" i="19" s="1"/>
  <c r="B53" i="19" l="1"/>
  <c r="B55" i="19" s="1"/>
  <c r="B58" i="19" s="1"/>
  <c r="D53" i="19"/>
  <c r="D55" i="19" s="1"/>
  <c r="D58" i="19" s="1"/>
  <c r="R25" i="10" l="1"/>
  <c r="R23" i="10"/>
  <c r="R21" i="10"/>
  <c r="R19" i="10"/>
  <c r="C24" i="10" l="1"/>
  <c r="C22" i="10"/>
  <c r="C20" i="10"/>
  <c r="C18" i="10"/>
  <c r="C16" i="10"/>
  <c r="Q8" i="10"/>
  <c r="C11" i="10"/>
  <c r="C10" i="10"/>
  <c r="C9" i="10"/>
  <c r="C8" i="10"/>
  <c r="I6" i="9" l="1"/>
  <c r="I5" i="9"/>
  <c r="I27" i="9" l="1"/>
  <c r="J27" i="9" s="1"/>
  <c r="K27" i="9" s="1"/>
  <c r="L32" i="9" s="1"/>
  <c r="P20" i="10" s="1"/>
  <c r="G20" i="10" s="1"/>
  <c r="K20" i="9"/>
  <c r="I18" i="9"/>
  <c r="J18" i="9" s="1"/>
  <c r="K18" i="9" s="1"/>
  <c r="I19" i="9"/>
  <c r="J19" i="9" s="1"/>
  <c r="K19" i="9" s="1"/>
  <c r="I14" i="9"/>
  <c r="L25" i="9" l="1"/>
  <c r="P18" i="10" s="1"/>
  <c r="B32" i="9"/>
  <c r="D22" i="10" l="1"/>
  <c r="B54" i="9"/>
  <c r="B25" i="9" l="1"/>
  <c r="B16" i="9"/>
  <c r="D20" i="10" l="1"/>
  <c r="M20" i="10" l="1"/>
  <c r="I20" i="10"/>
  <c r="E20" i="10"/>
  <c r="L20" i="10"/>
  <c r="H20" i="10"/>
  <c r="O20" i="10"/>
  <c r="K20" i="10"/>
  <c r="N20" i="10"/>
  <c r="J20" i="10"/>
  <c r="F20" i="10"/>
  <c r="M18" i="10"/>
  <c r="I18" i="10"/>
  <c r="E18" i="10"/>
  <c r="L18" i="10"/>
  <c r="H18" i="10"/>
  <c r="D18" i="10"/>
  <c r="O18" i="10"/>
  <c r="K18" i="10"/>
  <c r="G18" i="10"/>
  <c r="N18" i="10"/>
  <c r="J18" i="10"/>
  <c r="F18" i="10"/>
  <c r="R18" i="10" l="1"/>
  <c r="D24" i="10" l="1"/>
  <c r="K24" i="10"/>
  <c r="I24" i="10"/>
  <c r="N24" i="10"/>
  <c r="G24" i="10"/>
  <c r="E24" i="10"/>
  <c r="J24" i="10"/>
  <c r="M24" i="10"/>
  <c r="H24" i="10"/>
  <c r="O24" i="10"/>
  <c r="F24" i="10"/>
  <c r="L24" i="10"/>
  <c r="J14" i="9"/>
  <c r="K14" i="9" l="1"/>
  <c r="L114" i="9" s="1"/>
  <c r="R24" i="10"/>
  <c r="L16" i="9" l="1"/>
  <c r="L110" i="9" s="1"/>
  <c r="O22" i="10"/>
  <c r="O45" i="10" s="1"/>
  <c r="K22" i="10"/>
  <c r="K45" i="10" s="1"/>
  <c r="G22" i="10"/>
  <c r="N22" i="10"/>
  <c r="N45" i="10" s="1"/>
  <c r="J22" i="10"/>
  <c r="J45" i="10" s="1"/>
  <c r="F22" i="10"/>
  <c r="H22" i="10"/>
  <c r="H45" i="10" s="1"/>
  <c r="M22" i="10"/>
  <c r="M45" i="10" s="1"/>
  <c r="I22" i="10"/>
  <c r="I45" i="10" s="1"/>
  <c r="E22" i="10"/>
  <c r="L22" i="10"/>
  <c r="L45" i="10" s="1"/>
  <c r="P16" i="10" l="1"/>
  <c r="R22" i="10"/>
  <c r="P38" i="10" l="1"/>
  <c r="Q37" i="10" s="1"/>
  <c r="L11" i="9"/>
  <c r="M107" i="9" l="1"/>
  <c r="M108" i="9"/>
  <c r="M29" i="9"/>
  <c r="M28" i="9"/>
  <c r="M30" i="9"/>
  <c r="M97" i="9"/>
  <c r="M98" i="9"/>
  <c r="M88" i="9"/>
  <c r="M87" i="9"/>
  <c r="M80" i="9"/>
  <c r="M96" i="9"/>
  <c r="M81" i="9"/>
  <c r="M78" i="9"/>
  <c r="M76" i="9"/>
  <c r="M79" i="9"/>
  <c r="M82" i="9"/>
  <c r="M77" i="9"/>
  <c r="Q31" i="10"/>
  <c r="Q33" i="10"/>
  <c r="M92" i="9"/>
  <c r="M94" i="9"/>
  <c r="M93" i="9"/>
  <c r="M95" i="9"/>
  <c r="M99" i="9"/>
  <c r="M91" i="9"/>
  <c r="M53" i="9"/>
  <c r="M48" i="9"/>
  <c r="M49" i="9"/>
  <c r="M50" i="9"/>
  <c r="M51" i="9"/>
  <c r="M52" i="9"/>
  <c r="M47" i="9"/>
  <c r="M85" i="9"/>
  <c r="M86" i="9"/>
  <c r="M67" i="9"/>
  <c r="M70" i="9"/>
  <c r="M72" i="9"/>
  <c r="M74" i="9"/>
  <c r="M66" i="9"/>
  <c r="M69" i="9"/>
  <c r="M71" i="9"/>
  <c r="M73" i="9"/>
  <c r="M68" i="9"/>
  <c r="M75" i="9"/>
  <c r="M34" i="9"/>
  <c r="M35" i="9"/>
  <c r="M36" i="9"/>
  <c r="M37" i="9"/>
  <c r="M38" i="9"/>
  <c r="M39" i="9"/>
  <c r="M40" i="9"/>
  <c r="M41" i="9"/>
  <c r="M42" i="9"/>
  <c r="M102" i="9"/>
  <c r="M59" i="9"/>
  <c r="M20" i="9"/>
  <c r="M103" i="9"/>
  <c r="M21" i="9"/>
  <c r="M57" i="9"/>
  <c r="M60" i="9"/>
  <c r="M22" i="9"/>
  <c r="M58" i="9"/>
  <c r="M61" i="9"/>
  <c r="M62" i="9"/>
  <c r="M19" i="9"/>
  <c r="M23" i="9"/>
  <c r="Q35" i="10"/>
  <c r="M104" i="9"/>
  <c r="Q27" i="10"/>
  <c r="Q29" i="10"/>
  <c r="M43" i="9"/>
  <c r="M56" i="9"/>
  <c r="M65" i="9"/>
  <c r="M27" i="9"/>
  <c r="Q17" i="10"/>
  <c r="Q21" i="10"/>
  <c r="Q25" i="10"/>
  <c r="Q19" i="10"/>
  <c r="Q23" i="10"/>
  <c r="M14" i="9"/>
  <c r="M18" i="9"/>
  <c r="Q38" i="10" l="1"/>
  <c r="M110" i="9"/>
  <c r="R20" i="10" l="1"/>
  <c r="D16" i="10" l="1"/>
  <c r="D38" i="10" s="1"/>
  <c r="D39" i="10" l="1"/>
  <c r="D45" i="10"/>
  <c r="D41" i="10" l="1"/>
  <c r="D40" i="10"/>
  <c r="F16" i="10"/>
  <c r="F38" i="10" s="1"/>
  <c r="F39" i="10" l="1"/>
  <c r="F45" i="10"/>
  <c r="E16" i="10"/>
  <c r="E38" i="10" s="1"/>
  <c r="E39" i="10" l="1"/>
  <c r="E41" i="10" s="1"/>
  <c r="F41" i="10" s="1"/>
  <c r="E45" i="10"/>
  <c r="E40" i="10" l="1"/>
  <c r="F40" i="10" s="1"/>
  <c r="G16" i="10" l="1"/>
  <c r="G45" i="10" l="1"/>
  <c r="G38" i="10"/>
  <c r="P45" i="10" l="1"/>
  <c r="G46" i="10" s="1"/>
  <c r="G39" i="10"/>
  <c r="G41" i="10" s="1"/>
  <c r="G40" i="10"/>
  <c r="J46" i="10" l="1"/>
  <c r="J17" i="10" s="1"/>
  <c r="J16" i="10" s="1"/>
  <c r="J38" i="10" s="1"/>
  <c r="J39" i="10" s="1"/>
  <c r="O46" i="10"/>
  <c r="O17" i="10" s="1"/>
  <c r="O16" i="10" s="1"/>
  <c r="O38" i="10" s="1"/>
  <c r="O39" i="10" s="1"/>
  <c r="K46" i="10"/>
  <c r="K17" i="10" s="1"/>
  <c r="K16" i="10" s="1"/>
  <c r="K38" i="10" s="1"/>
  <c r="K39" i="10" s="1"/>
  <c r="N46" i="10"/>
  <c r="N17" i="10" s="1"/>
  <c r="N16" i="10" s="1"/>
  <c r="N38" i="10" s="1"/>
  <c r="N39" i="10" s="1"/>
  <c r="I46" i="10"/>
  <c r="I17" i="10" s="1"/>
  <c r="I16" i="10" s="1"/>
  <c r="I38" i="10" s="1"/>
  <c r="I39" i="10" s="1"/>
  <c r="L46" i="10"/>
  <c r="L17" i="10" s="1"/>
  <c r="L16" i="10" s="1"/>
  <c r="L38" i="10" s="1"/>
  <c r="L39" i="10" s="1"/>
  <c r="M46" i="10"/>
  <c r="M17" i="10" s="1"/>
  <c r="M16" i="10" s="1"/>
  <c r="M38" i="10" s="1"/>
  <c r="M39" i="10" s="1"/>
  <c r="H46" i="10"/>
  <c r="H17" i="10" s="1"/>
  <c r="D46" i="10"/>
  <c r="F46" i="10"/>
  <c r="E46" i="10"/>
  <c r="R17" i="10" l="1"/>
  <c r="H16" i="10"/>
  <c r="R16" i="10" l="1"/>
  <c r="H38" i="10"/>
  <c r="H40" i="10" l="1"/>
  <c r="I40" i="10" s="1"/>
  <c r="J40" i="10" s="1"/>
  <c r="K40" i="10" s="1"/>
  <c r="L40" i="10" s="1"/>
  <c r="M40" i="10" s="1"/>
  <c r="N40" i="10" s="1"/>
  <c r="O40" i="10" s="1"/>
  <c r="H39" i="10"/>
  <c r="H41" i="10" s="1"/>
  <c r="I41" i="10" s="1"/>
  <c r="J41" i="10" s="1"/>
  <c r="K41" i="10" s="1"/>
  <c r="L41" i="10" s="1"/>
  <c r="M41" i="10" s="1"/>
  <c r="N41" i="10" s="1"/>
  <c r="O41" i="10" s="1"/>
</calcChain>
</file>

<file path=xl/sharedStrings.xml><?xml version="1.0" encoding="utf-8"?>
<sst xmlns="http://schemas.openxmlformats.org/spreadsheetml/2006/main" count="7255" uniqueCount="2251">
  <si>
    <t>Total=&gt;</t>
  </si>
  <si>
    <t>OBSERVAÇÃO :</t>
  </si>
  <si>
    <t>Importa o presente Orçamento no valor de :</t>
  </si>
  <si>
    <t>Conferido Por :</t>
  </si>
  <si>
    <t>Visto do Diretor :</t>
  </si>
  <si>
    <t>QUADRÍCULA :</t>
  </si>
  <si>
    <t>ITEM</t>
  </si>
  <si>
    <t>DISCRIMINAÇÃO DOS SERVIÇOS</t>
  </si>
  <si>
    <t>UD.</t>
  </si>
  <si>
    <t>QUANT.</t>
  </si>
  <si>
    <t>TOTAL</t>
  </si>
  <si>
    <t>LOCAL:</t>
  </si>
  <si>
    <t xml:space="preserve">                      PREFEITURA MUNICIPAL DE CURITIBA</t>
  </si>
  <si>
    <t xml:space="preserve">                      SECRETARIA MUNICIPAL DE OBRAS PÚBLICAS</t>
  </si>
  <si>
    <t>BAIRRO:</t>
  </si>
  <si>
    <t xml:space="preserve">                      DEPARTAMENTO DE PONTES E DRENAGEM</t>
  </si>
  <si>
    <t>1.0</t>
  </si>
  <si>
    <t>UD</t>
  </si>
  <si>
    <t>mês</t>
  </si>
  <si>
    <t>2.0</t>
  </si>
  <si>
    <t>3.0</t>
  </si>
  <si>
    <t>4.0</t>
  </si>
  <si>
    <t>5.0</t>
  </si>
  <si>
    <t>TOTAL GERAL</t>
  </si>
  <si>
    <t xml:space="preserve">PROJETO : </t>
  </si>
  <si>
    <t>m³</t>
  </si>
  <si>
    <t xml:space="preserve"> </t>
  </si>
  <si>
    <t>REFERÊNCIA</t>
  </si>
  <si>
    <t>CÓDIGO</t>
  </si>
  <si>
    <t>CONSUMO DE ENERGIA</t>
  </si>
  <si>
    <t>CONSUMO DE ÁGUA E ESGOTO</t>
  </si>
  <si>
    <t>BDI</t>
  </si>
  <si>
    <t>MOB-005</t>
  </si>
  <si>
    <t>MOB-006</t>
  </si>
  <si>
    <t>MOB-001</t>
  </si>
  <si>
    <t>MOB-002</t>
  </si>
  <si>
    <t>ICO-001</t>
  </si>
  <si>
    <t>ICO-002</t>
  </si>
  <si>
    <t>ICO-006</t>
  </si>
  <si>
    <t>SIN-048</t>
  </si>
  <si>
    <t>MOB-003</t>
  </si>
  <si>
    <t>MOB-004</t>
  </si>
  <si>
    <t>M</t>
  </si>
  <si>
    <t xml:space="preserve">BAIRRO: </t>
  </si>
  <si>
    <t>PRAZO</t>
  </si>
  <si>
    <t>TOTAL DE CADA</t>
  </si>
  <si>
    <t>COEFICIENTE</t>
  </si>
  <si>
    <t>30 DIAS</t>
  </si>
  <si>
    <t>60 DIAS</t>
  </si>
  <si>
    <t>90 DIAS</t>
  </si>
  <si>
    <t>120 DIAS</t>
  </si>
  <si>
    <t>150 DIAS</t>
  </si>
  <si>
    <t>180 DIAS</t>
  </si>
  <si>
    <t>SERVIÇO (R$)</t>
  </si>
  <si>
    <t>INF. %</t>
  </si>
  <si>
    <t>TOTAL DA PARCELA (R$)</t>
  </si>
  <si>
    <t>COEFICIENTE DE INF. PARCELADO %</t>
  </si>
  <si>
    <t>TOTAL ACUMULADO (R$)</t>
  </si>
  <si>
    <t>COEFICIENTE DE INF. ACUMULADO %</t>
  </si>
  <si>
    <t>OBS:</t>
  </si>
  <si>
    <t>ADMINISTRAÇÃO LOCAL DA OBRA</t>
  </si>
  <si>
    <t>ALO-006</t>
  </si>
  <si>
    <t>ALO-005</t>
  </si>
  <si>
    <t>ALO-010</t>
  </si>
  <si>
    <t>ALO-009</t>
  </si>
  <si>
    <t>ALO-003</t>
  </si>
  <si>
    <t>PAV-003</t>
  </si>
  <si>
    <t>UNIDADE</t>
  </si>
  <si>
    <t xml:space="preserve">OBRA : </t>
  </si>
  <si>
    <t>GAP-104</t>
  </si>
  <si>
    <t>GAP-116</t>
  </si>
  <si>
    <t>GAP-106</t>
  </si>
  <si>
    <t>MOB-019</t>
  </si>
  <si>
    <t>TER-001</t>
  </si>
  <si>
    <t>TER-002</t>
  </si>
  <si>
    <t>GAP-103</t>
  </si>
  <si>
    <t>GAP-081</t>
  </si>
  <si>
    <t>PAV-005</t>
  </si>
  <si>
    <t>PAV-017</t>
  </si>
  <si>
    <t>PAV-024</t>
  </si>
  <si>
    <t>EQUIPE DE TOPOGRAFIA, INCLUINDO EQUIPAMENTOS, PESSOAL E VEÍCULO UTILITÁRIO COM MANUTENÇÃO E SEGURO</t>
  </si>
  <si>
    <t>MÊS</t>
  </si>
  <si>
    <t>LOCAÇÃO DE SANITÁRIO QUÍMICO COM DUAS LIMPEZAS SEMANAIS</t>
  </si>
  <si>
    <t>GAP-123</t>
  </si>
  <si>
    <t>M3</t>
  </si>
  <si>
    <t xml:space="preserve">PREFEITURA MUNICIPAL DE CURITIBA </t>
  </si>
  <si>
    <t>SECRETARIA MUNICIPAL DE OBRAS PÚBLICAS</t>
  </si>
  <si>
    <t>MÃO DE OBRA</t>
  </si>
  <si>
    <t>Data base:</t>
  </si>
  <si>
    <t>CATEGORIA  PROFISSIONAL</t>
  </si>
  <si>
    <t>SALÁRIO  /  HORA         COM ENC SOCIAIS E COMPLEM.</t>
  </si>
  <si>
    <t>ENCARGO SOCIAL</t>
  </si>
  <si>
    <t xml:space="preserve">Ajudante de eletricista c/enc. sociais e complementares </t>
  </si>
  <si>
    <t>hora</t>
  </si>
  <si>
    <t xml:space="preserve">Ajudante de eletricista de rede c/enc. sociais e complementares </t>
  </si>
  <si>
    <t>Ajudante de encanador c/enc. sociais e complementares</t>
  </si>
  <si>
    <t>Ajudante de laboratório c/enc. sociais e complementares</t>
  </si>
  <si>
    <t>Ajudante de serralheiro c/enc. sociais e complementares</t>
  </si>
  <si>
    <t>Ajudante de topografia c/enc. sociais e complementares</t>
  </si>
  <si>
    <t>Ajudante de almoxarife c/enc. sociais e complementares</t>
  </si>
  <si>
    <t>Ajudante de armador c/enc. sociais e complementares</t>
  </si>
  <si>
    <t>Ajudante de carpinteiro c/enc. sociais e complementares</t>
  </si>
  <si>
    <t>Ajudante de pintor c/enc. sociais e complementares</t>
  </si>
  <si>
    <t>Ajudante de azulejista c/enc. sociais e complementares</t>
  </si>
  <si>
    <t>Ajudante de pedreiro c/enc. sociais e complementares</t>
  </si>
  <si>
    <t>Ajudante de estruturas metálicas c/enc. sociais e complementares</t>
  </si>
  <si>
    <t xml:space="preserve">Auxiliar escritório c/enc. sociais e complementares </t>
  </si>
  <si>
    <t>Auxiliar escritório c/enc. sociais e complementares</t>
  </si>
  <si>
    <t xml:space="preserve">Auxiliar técnico de engenharia c/enc. sociais e complementares </t>
  </si>
  <si>
    <t>Almoxarife c/enc. sociais e complementares</t>
  </si>
  <si>
    <t xml:space="preserve">Apontador c/enc. sociais e complementares </t>
  </si>
  <si>
    <t>Apontador c/enc. sociais e complementares</t>
  </si>
  <si>
    <t>Desenhista/cadista c/enc. sociais e complementares</t>
  </si>
  <si>
    <t xml:space="preserve">Servente c/enc. sociais e complementares </t>
  </si>
  <si>
    <t xml:space="preserve">Vigia noturno 12 x 36 h c/enc. sociais e complementares </t>
  </si>
  <si>
    <t xml:space="preserve">Vigia diurno 12 x 36 h c/enc. sociais e complementares </t>
  </si>
  <si>
    <t xml:space="preserve">Rasteleiro c/enc. sociais e complementares </t>
  </si>
  <si>
    <t xml:space="preserve">Aplicador de gesso/drywall c/enc. sociais e compl. </t>
  </si>
  <si>
    <t>Armador c/enc. sociais e complementares</t>
  </si>
  <si>
    <t xml:space="preserve">Armador c/enc. sociais e complementares </t>
  </si>
  <si>
    <t>Assentador de tubos/manilhas c/enc. sociais e complementares</t>
  </si>
  <si>
    <t>Azulejista c/enc. sociais e complementares</t>
  </si>
  <si>
    <t>Calceteiro c/enc. sociais e complementares</t>
  </si>
  <si>
    <t xml:space="preserve">Carpinteiro de esquadrias c/enc. sociais e complementares </t>
  </si>
  <si>
    <t>Carpinteiro de formas c/enc. sociais e complementares</t>
  </si>
  <si>
    <t xml:space="preserve">Eletricista c/enc. sociais e complementares </t>
  </si>
  <si>
    <t xml:space="preserve">Eletricista de rede A c/enc. sociais e complementares </t>
  </si>
  <si>
    <t xml:space="preserve">Eletricista de rede B c/enc. sociais e complementares </t>
  </si>
  <si>
    <t xml:space="preserve">Encanador c/enc. sociais e complementares </t>
  </si>
  <si>
    <t>Jardineiro c/enc. sociais e complementares</t>
  </si>
  <si>
    <t xml:space="preserve">Mot. veículo leve (até 3.500 kg) c/enc. sociais e compl. </t>
  </si>
  <si>
    <t xml:space="preserve">Mot. veículo médio (rodado simples) c/enc. sociais e compl. </t>
  </si>
  <si>
    <t>Mot. veículo pesado (rodado duplo) c/enc. sociais e compl.</t>
  </si>
  <si>
    <t xml:space="preserve">Mot. veículo pesado (rodado duplo) c/enc. sociais e compl. </t>
  </si>
  <si>
    <t xml:space="preserve">Mot. cavalo mecânico com carreta c/enc. sociais e compl. </t>
  </si>
  <si>
    <t xml:space="preserve">Mot. operador de munck c/enc. sociais e compl. </t>
  </si>
  <si>
    <t xml:space="preserve">Operador de vibro-acabadora de asfalto c/enc. sociais e compl. </t>
  </si>
  <si>
    <t xml:space="preserve">Operador de Bob Cat c/enc. sociais e complementares </t>
  </si>
  <si>
    <t>Operador de demarcadora de faixas c/enc. sociais e compl.</t>
  </si>
  <si>
    <t xml:space="preserve">Operador de escavadeira c/enc. sociais e complementares </t>
  </si>
  <si>
    <t xml:space="preserve">Operador de espargidor de asfalto c/enc. sociais e compl. </t>
  </si>
  <si>
    <t xml:space="preserve">Operador de fresadora c/enc. sociais e complementares </t>
  </si>
  <si>
    <t xml:space="preserve">Operador de máquina intercostal c/enc. sociais e compl. </t>
  </si>
  <si>
    <t xml:space="preserve">Operador de motoniveladora c/enc. sociais e compl. </t>
  </si>
  <si>
    <t>Operador de pá carregadeira c/enc. sociais e compl.</t>
  </si>
  <si>
    <t xml:space="preserve">Operador de pá carregadeira c/enc. sociais e compl. </t>
  </si>
  <si>
    <t xml:space="preserve">Operador de retro-escavadeira c/enc. sociais e compl. </t>
  </si>
  <si>
    <t>Operador de rolo/compactador c/enc. sociais e compl.</t>
  </si>
  <si>
    <t xml:space="preserve">Operador de trator de esteira c/enc. sociais e compl. </t>
  </si>
  <si>
    <t>Operador de trator de pneus c/enc. sociais e compl.</t>
  </si>
  <si>
    <t xml:space="preserve">Operador de trator de pneus c/enc. sociais e compl. </t>
  </si>
  <si>
    <t xml:space="preserve">Operador de usina c/enc. sociais e complementares </t>
  </si>
  <si>
    <t xml:space="preserve">Operador de martelete c/enc. sociais e complementares </t>
  </si>
  <si>
    <t>Operador de equip. de sondagem/perfuratriz c/enc. sociais e compl.</t>
  </si>
  <si>
    <t xml:space="preserve">Pedreiro c/enc. sociais e complementares </t>
  </si>
  <si>
    <t>Pedreiro c/enc. sociais e complementares</t>
  </si>
  <si>
    <t>Pintor c/enc. sociais e complementares</t>
  </si>
  <si>
    <t>Serralheiro c/enc. sociais e complementares</t>
  </si>
  <si>
    <t xml:space="preserve">Soldador c/enc. sociais e complementares </t>
  </si>
  <si>
    <t xml:space="preserve">Telhadista c/enc. sociais e complementares </t>
  </si>
  <si>
    <t xml:space="preserve">Topógrafo c/enc. sociais e complementares </t>
  </si>
  <si>
    <t xml:space="preserve">Vidraceiro c/enc. sociais e complementares </t>
  </si>
  <si>
    <t xml:space="preserve">Sub-encarregado eletricista c/enc. sociais e complementares </t>
  </si>
  <si>
    <t xml:space="preserve">Encarregado eletricista A c/enc. sociais e complementares </t>
  </si>
  <si>
    <t xml:space="preserve">Encarregado eletricista B c/enc. sociais e complementares </t>
  </si>
  <si>
    <t>Encarregado geral da obra c/enc. sociais e complementares</t>
  </si>
  <si>
    <t>Encarregado geral eletricista c/enc. sociais e complementares</t>
  </si>
  <si>
    <t>Contra mestre c/enc. sociais e complementares</t>
  </si>
  <si>
    <t>Mestre de obras c/enc. sociais e complementares</t>
  </si>
  <si>
    <t>Arquiteto pleno c/enc. sociais e complementares</t>
  </si>
  <si>
    <t>Engenheiro civil junior c/enc. sociais e complementares</t>
  </si>
  <si>
    <t>Engenheiro civil pleno c/enc. sociais e complementares</t>
  </si>
  <si>
    <t>Engenheiro civil senior c/enc. sociais e complementares</t>
  </si>
  <si>
    <t>Engenheiro eletricista c/enc. sociais e complementares</t>
  </si>
  <si>
    <t>Técnico ambiental c/ encargos sociais e complem.</t>
  </si>
  <si>
    <t>Técnico de laboratório c/ encargos sociais e complem.</t>
  </si>
  <si>
    <t>Técnico de sondagem c/ encargos sociais e complem.</t>
  </si>
  <si>
    <t>Técnico em segurança do trabalho c/ encargos sociais e complem.</t>
  </si>
  <si>
    <t>Montador de estrutura metálica com encargos complementares</t>
  </si>
  <si>
    <t xml:space="preserve">                                                      PREFEITURA MUNICIPAL DE CURITIBA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</si>
  <si>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SECRETARIA MUNICIPAL DE OBRAS PÚBLICAS - SMOP                              </t>
  </si>
  <si>
    <t xml:space="preserve">SEM DESONERAÇÃO </t>
  </si>
  <si>
    <t>Valores em Reais</t>
  </si>
  <si>
    <t>DISCRIMINAÇÃO</t>
  </si>
  <si>
    <t>UN</t>
  </si>
  <si>
    <t>B.D.I=0,00%</t>
  </si>
  <si>
    <t>ALO-001</t>
  </si>
  <si>
    <t>VEÍCULO PARA FISCALIZAÇÃO DE OBRAS, INCLUINDO COMBUSTÍVEL, MANUTENÇÃO E SEGURO TOTAL</t>
  </si>
  <si>
    <t>ALO-002</t>
  </si>
  <si>
    <t>VEÍCULO UTILITÁRIO PEQUENO, INCLUINDO COMBUSTÍVEL, MANUTENÇÃO E SEGURO TOTAL</t>
  </si>
  <si>
    <t>ALO-004</t>
  </si>
  <si>
    <t>LOCAÇÃO DE EQUIPAMENTO DE TOPOGRAFIA</t>
  </si>
  <si>
    <t>LOCAÇÃO DE CONTAINER PARA ESCRITÓRIO MEDINDO 2,30 X 6,00 M E ALTURA DE  2,50 M, COM 1 SANITÁRIO COMPLETO</t>
  </si>
  <si>
    <t>ALO-007</t>
  </si>
  <si>
    <t>LOCAÇÃO DE CONTAINER PARA SANITÁRIO E VESTIÁRIO MEDINDO 2,30 X 4,30 M E ALTURA DE  2,50 M, COM 3 BACIAS, 4 CHUVEIROS, 1 MICTÓRIO E  1 LAVATÓRIO</t>
  </si>
  <si>
    <t>ALO-008</t>
  </si>
  <si>
    <t>LOCAÇÃO DE CONTAINER PARA DEPÓSITO MEDINDO 2,30 X 6,00 M E ALTURA DE  2,50 M</t>
  </si>
  <si>
    <t>ALO-011</t>
  </si>
  <si>
    <t>DESPESAS CORRENTES DO ESCRITÓRIO PARA 1 CONTAINER DE ESCRITÓRIO MEDINDO 2,30 X 6,00 M E ALTURA DE  2,50 M, COM 1 SANITÁRIO COMPLETO</t>
  </si>
  <si>
    <t>LOCAÇÃO DE ANDAIME METÁLICO TIPO FACHADEIRO, LARGURA DE 1,20 M, ALTURA POR PEÇA DE 2,0 M, INCLUINDO SAPATAS E ITENS NECESSARIOS A INSTALACAO</t>
  </si>
  <si>
    <t>M2XMÊS</t>
  </si>
  <si>
    <t>LOCAÇÃO DE ANDAIME METALICO TUBULAR DE ENCAIXE, TIPO DE TORRE, COM LARGURA DE 1 ATE 1,5 M E ALTURA DE 1,00 M (INCLUSO SAPATAS FIXAS OU RODIZIOS)</t>
  </si>
  <si>
    <t>MXMES</t>
  </si>
  <si>
    <t>INSTALAÇÃO DO CANTEIRO DA OBRA</t>
  </si>
  <si>
    <t>PLACA DE OBRA EM CHAPA GALVANIZADA, INCLUSIVE ESTRUTURA DE MADEIRA</t>
  </si>
  <si>
    <t>M²</t>
  </si>
  <si>
    <t>PLACA DE SINALIZAÇÃO EM CHAPA DE MADEIRA COMPENSADA 12 MM, DIMENSÕES DE 1,00 X 1,00 M</t>
  </si>
  <si>
    <t>ICO-003</t>
  </si>
  <si>
    <t>PLACA DE SINALIZAÇÃO EM CHAPA DE MADEIRA COMPENSADA 12 MM, DIMENSÕES DE 2,00 X 1,00 M</t>
  </si>
  <si>
    <t>ICO-004</t>
  </si>
  <si>
    <t>CAVALETE DE SINALIZAÇÃO 1,00 X 1,00 M PINTADO COM COR BRANCO E LARANJA</t>
  </si>
  <si>
    <t>ICO-005</t>
  </si>
  <si>
    <t>CAVALETE DE SINALIZAÇÃO 2,00 X 1,00 M PINTADO COM COR BRANCO E LARANJA</t>
  </si>
  <si>
    <t>COLOCAÇÃO DE CONE DE SINALIZAÇÃO EM PVC COM FAIXA REFLETIVA H=75 CM COM REUTILIZAÇÃO DE 100 VEZES</t>
  </si>
  <si>
    <t>EXECUÇÃO DE BARRACÃO EM CANTEIRO DE OBRA EM CHAPA DE MADEIRA COMPENSADA, COBERTURA COM TELHAS DE FIBROCIMENTO, ESQUADRIAS DE FERRO, PISO EM CONCRETO MAGRO, INCLUSIVE PINTURA E INSTALAÇÃO ELÉTICA</t>
  </si>
  <si>
    <t>TAPUME COM COMPENSADO DE MADEIRA</t>
  </si>
  <si>
    <t>TAPUME COM TELHA METÁLICA</t>
  </si>
  <si>
    <t>LOCAÇÃO DA OBRA UTILIZANDO GABARITO DE TÁBUAS CORRIDAS PONTALETADAS A CADA 2,00M -  2 UTILIZAÇÕES</t>
  </si>
  <si>
    <t>ICO-007</t>
  </si>
  <si>
    <t>SONDAGEM PERCUSSIVA COM ENSAIO DE PENETRAÇÃO</t>
  </si>
  <si>
    <t>ICO-008</t>
  </si>
  <si>
    <t>DEMOLIÇÃO MECÂNICA DE EDIFICAÇÃO SEM REAPROVEITAMENTO</t>
  </si>
  <si>
    <t>ICO-009</t>
  </si>
  <si>
    <t>M³</t>
  </si>
  <si>
    <t>ICO-010</t>
  </si>
  <si>
    <t>ROÇADA COM ROÇADEIRA COSTAL PARA LIMPEZA DE TERRENO, INCLUSIVE REMOÇÃO DE ENTULHOS</t>
  </si>
  <si>
    <t>ICO-011</t>
  </si>
  <si>
    <t>ENTRADA PROVISÓRIA DE ÁGUA E ESGOTO</t>
  </si>
  <si>
    <t>ICO-012</t>
  </si>
  <si>
    <t>ENTRADA PROVISÓRIA DE ENERGIA ELÉTRICA</t>
  </si>
  <si>
    <t>MONTAGEM E DESMONTAGEM DE ANDAIME MODULAR FACHADEIRO</t>
  </si>
  <si>
    <t>MONTAGEM E DESMONTAGEM DE ANDAIME TUBULAR TIPO TORRE</t>
  </si>
  <si>
    <t>MOBILIZAÇÃO, DESMOBILIZAÇÃO E TRANSPORTE</t>
  </si>
  <si>
    <t>MOBILIZAÇÃO INDIVIDUAL DE ESCAVADEIRA HIDRÁULICA / MOTONIVELADORA / TRATOR DE ESTEIRA / FRESADORA (22,00 T a 30,00 T)</t>
  </si>
  <si>
    <t>VIAGEM</t>
  </si>
  <si>
    <t>DESMOBILIZAÇÃO INDIVIDUAL DE ESCAVADEIRA HIDRÁULICA / MOTONIVELADORA / TRATOR DE ESTEIRA / FRESADORA (22,00 T a 30,00 T)</t>
  </si>
  <si>
    <t>MOBILIZAÇÃO INDIVIDUAL DE PÁ CARREGADEIRA / ROLO COMPACTADOR DE PNEUS / ROLO COMPACTADOR LISO VIBRATÓRIO / ROLO COMPACTADOR PÉ DE CARNEIRO (ATÉ 22,00 T)</t>
  </si>
  <si>
    <t>DESMOBILIZAÇÃO INDIVIDUAL DE PÁ CARREGADEIRA / ROLO COMPACTADOR DE PNEUS / ROLO COMPACTADOR LISO VIBRATÓRIO / ROLO COMPACTADOR PÉ DE CARNEIRO (ATÉ 22,00 T)</t>
  </si>
  <si>
    <t>MOBILIZAÇÃO INDIVIDUAL DE RETROESCAVADEIRA / PAVIMENTADORA DE ASFALTO / ROLO COMPACTADOR TANDEN (ATÉ 15,00 T)</t>
  </si>
  <si>
    <t>DESMOBILIZAÇÃO INDIVIDUAL DE RETROESCAVADEIRA / PAVIMENTADORA DE ASFALTO / ROLO COMPACTADOR TANDEN (ATÉ 15,00 T)</t>
  </si>
  <si>
    <t>MOB-007</t>
  </si>
  <si>
    <t xml:space="preserve">TRANSPORTE E ENTREGA DE CONTAINER METÁLICO  </t>
  </si>
  <si>
    <t>MOB-008</t>
  </si>
  <si>
    <t xml:space="preserve">TRANSPORTE E RETIRADA DE CONTAINER METÁLICO  </t>
  </si>
  <si>
    <t>MOB-009</t>
  </si>
  <si>
    <t xml:space="preserve">TRANSPORTE EM CAMINHÃO CARROCERIA COM CAPACIDADE DE CARGA DE 15 T E DISTÃNCIA ATÉ 30 KM  </t>
  </si>
  <si>
    <t>MOB-010</t>
  </si>
  <si>
    <t>TRANSPORTE DE VIGAS PRÉ MOLDADAS EM CAVALO MECÂNICO COM SEMI REBOQUE COM CAPACIDADE ATÉ 30 T E DISTÂNCIA ATÉ 30 KM</t>
  </si>
  <si>
    <t>MOB-011</t>
  </si>
  <si>
    <t>TRANSPORTE EM CAMINHÃO CARROCERIA COM CAPACIDADE DE CARGA DE 5 T</t>
  </si>
  <si>
    <t>TxKM</t>
  </si>
  <si>
    <t xml:space="preserve">TRANSPORTE EM CAMINHÃO CARROCERIA COM CAPACIDADE DE CARGA DE 9 T  </t>
  </si>
  <si>
    <t>MOB-012</t>
  </si>
  <si>
    <t>TRANSPORTE EM CAMINHÃO CARROCERIA COM CAPACIDADE DE CARGA DE 15 T</t>
  </si>
  <si>
    <t xml:space="preserve">TRANSPORTE EM CAMINHÃO BASCULANTE COM CAPACIDADE DE CARGA DE 6 M³  </t>
  </si>
  <si>
    <t xml:space="preserve">TRANSPORTE EM CAMINHÃO BASCULANTE COM CAPACIDADE DE CARGA DE 10 M³  </t>
  </si>
  <si>
    <t xml:space="preserve">TRANSPORTE EM CAMINHÃO BASCULANTE COM CAPACIDADE DE CARGA DE 14 M³  </t>
  </si>
  <si>
    <t>M³xKM</t>
  </si>
  <si>
    <t xml:space="preserve">TRANSPORTE DE MATERIAL ASFÁLTICO EM CARRETA COM CAPACIDADE DE CARGA DE 20.000 L, ADICIONAL PARA O EXCEDENTE  A 30 KM </t>
  </si>
  <si>
    <t xml:space="preserve">TRANSPORTE DE MATERIAL ASFÁLTICO EM CARRETA COM CAPACIDADE DE CARGA DE 20.000 L PARA DISTÂNCIAS ATÉ 30 KM  </t>
  </si>
  <si>
    <t>MOB-013</t>
  </si>
  <si>
    <t xml:space="preserve">TRANSPORTE DE MATERIAL BETUMINOSO COM CAMINHÃO DISTRIBUIDOR  </t>
  </si>
  <si>
    <t>MOB-014</t>
  </si>
  <si>
    <t xml:space="preserve">TRANSPORTE EM CAMINHÃO BASCULANTE COM CAPACIDADE DE CARGA DE 10 M³ - DMT ATÉ 500 M </t>
  </si>
  <si>
    <t>MOB-015</t>
  </si>
  <si>
    <t xml:space="preserve">TRANSPORTE EM CAMINHÃO BASCULANTE COM CAPACIDADE DE CARGA DE 10 M³ - DMT DE 501 M ATÉ 1000 M </t>
  </si>
  <si>
    <t>MOB-016</t>
  </si>
  <si>
    <t xml:space="preserve">TRANSPORTE EM CAMINHÃO BASCULANTE COM CAPACIDADE DE CARGA DE 10 M³ - DMT DE 1001 M ATÉ 5000 M </t>
  </si>
  <si>
    <t>MOB-017</t>
  </si>
  <si>
    <t xml:space="preserve">TRANSPORTE EM CAMINHÃO BASCULANTE COM CAPACIDADE DE CARGA DE 10 M³ - DMT DE 5001 M ATÉ 10000 M </t>
  </si>
  <si>
    <t>MOB-018</t>
  </si>
  <si>
    <t xml:space="preserve">TRANSPORTE EM CAMINHÃO BASCULANTE COM CAPACIDADE DE CARGA DE 10 M³ - DMT DE 10001 M ATÉ 15000 M </t>
  </si>
  <si>
    <t xml:space="preserve">TRANSPORTE EM CAMINHÃO BASCULANTE COM CAPACIDADE DE CARGA DE 10 M³ - DMT DE 15001 M ATÉ 20000 M </t>
  </si>
  <si>
    <t>MOB-020</t>
  </si>
  <si>
    <t xml:space="preserve">TRANSPORTE EM CAMINHÃO CARROCERIA COM CAPACIDADE DE CARGA DE 17 T E GUINDAUTO DE 20 T.M   </t>
  </si>
  <si>
    <t>MOB-021</t>
  </si>
  <si>
    <t xml:space="preserve">TRANSPORTE EM CAMINHÃO CARROCERIA COM CAPACIDADE DE CARGA DE 24 T E GUINDAUTO DE 45 T.M </t>
  </si>
  <si>
    <t>MOB-022</t>
  </si>
  <si>
    <t>MOBILIZAÇÃO INDIVIDUAL DE PERFURATRIZ PARA ESTACA HÉLICE CONTÍNUA OU BATE-ESTACA POR GRAVIDADE DISTÂNCIA ATÉ 50 KM</t>
  </si>
  <si>
    <t>MOB-023</t>
  </si>
  <si>
    <t>DESMOBILIZAÇÃO INDIVIDUAL DE PERFURATRIZ PARA ESTACA HÉLICE CONTÍNUA OU BATE-ESTACA POR GRAVIDADE DISTÂNCIA ATÉ 50 KM</t>
  </si>
  <si>
    <t>MOB-024</t>
  </si>
  <si>
    <t>MOBILIZAÇÃO INDIVIDUAL DE PERFURATRIZ HIDRÁULICA SOBRE ESTEIRAS COM CABEÇOTE DUPLO E CAMISA METÁLICA PARA ESTACAS SECANTES DISTÂNCIA ATÉ 50 KM</t>
  </si>
  <si>
    <t>MOB-025</t>
  </si>
  <si>
    <t>DESMOBILIZAÇÃO INDIVIDUAL DE PERFURATRIZ HIDRÁULICA SOBRE ESTEIRAS COM CABEÇOTE DUPLO E CAMISA METÁLICA PARA ESTACAS SECANTES DISTÂNCIA ATÉ 50 KM</t>
  </si>
  <si>
    <t>MOB-026</t>
  </si>
  <si>
    <t>MOBILIZAÇÃO INDIVIDUAL DE PERFURATRIZ HIDRÁULICA SOBRE ESTEIRAS COM CLAMSHELL PARA PAREDE DIAFRAGMA DISTÂNCIA ATÉ 50 KM</t>
  </si>
  <si>
    <t>MOB-027</t>
  </si>
  <si>
    <t>DESMOBILIZAÇÃO INDIVIDUAL DE PERFURATRIZ HIDRÁULICA SOBRE ESTEIRAS COM CLAMSHELL PARA PAREDE DIAFRAGMA DISTÂNCIA ATÉ 50 KM</t>
  </si>
  <si>
    <t>MOB-028</t>
  </si>
  <si>
    <t>MOBILIZAÇÃO INDIVIDUAL DE GUINDASTE SOBRE ESTEIRAS PARA PAREDE DIAFRAGMA DISTÂNCIA ATÉ 50 KM</t>
  </si>
  <si>
    <t>MOB-029</t>
  </si>
  <si>
    <t>DESMOBILIZAÇÃO INDIVIDUAL DE GUINDASTE SOBRE ESTEIRAS PARA PAREDE DIAFRAGMA DISTÂNCIA ATÉ 50 KM</t>
  </si>
  <si>
    <t>MOB-030</t>
  </si>
  <si>
    <t>MOBILIZAÇÃO DE MISTURADOR DE LAMA BETONÍTICA - 4 kW, GRUPO GERADOR 13/14 kVA E BOMBA CENTRÍFUGA 15 HP PARA PAREDE DIAFRAGMA DISTÂNCIA ATÉ 50 KM</t>
  </si>
  <si>
    <t>MOB-031</t>
  </si>
  <si>
    <t>DESMOBILIZAÇÃO DE MISTURADOR DE LAMA BETONÍTICA - 4 kW, GRUPO GERADOR 13/14 kVA E BOMBA CENTRÍFUGA 15 HP PARA PAREDE DIAFRAGMA DISTÂNCIA ATÉ 50 KM</t>
  </si>
  <si>
    <t>MOB-032</t>
  </si>
  <si>
    <t>MOBILIZAÇÃO DE EQUIPAMENTO DE SONDAGEM A PERCUSSÃO DISTÂNCIA ATÉ 50 KM</t>
  </si>
  <si>
    <t>MOB-033</t>
  </si>
  <si>
    <t>DESMOBILIZAÇÃO DE EQUIPAMENTO DE SONDAGEM A PERCUSSÃO DISTÂNCIA ATÉ 50 KM</t>
  </si>
  <si>
    <t>MOB-034</t>
  </si>
  <si>
    <t>DESLOCAMENTO ENTRE FUROS EM TERRENO PLANO DE EQUIPAMENTO DE SONDAGEM A PERCUSSÃO DISTÂNCIA ATÉ 100 M</t>
  </si>
  <si>
    <t>MOB-035</t>
  </si>
  <si>
    <t>DESLOCAMENTO ENTRE FUROS EM TERRENO PLANO DE EQUIPAMENTO DE SONDAGEM A PERCUSSÃO DISTÂNCIA MAIOR QUE 100 ATÉ 200 M</t>
  </si>
  <si>
    <t>MOB-036</t>
  </si>
  <si>
    <t>DESLOCAMENTO ENTRE FUROS EM TERRENO PLANO DE EQUIPAMENTO DE SONDAGEM A PERCUSSÃO DISTÂNCIA SUPERIOR A 200 M</t>
  </si>
  <si>
    <t>MOB-037</t>
  </si>
  <si>
    <t>DESLOCAMENTO ENTRE FUROS EM TERRENO ACIDENTADO DE EQUIPAMENTO DE SONDAGEM A PERCUSSÃO DISTÂNCIA ATÉ A 50 M</t>
  </si>
  <si>
    <t>MOB-038</t>
  </si>
  <si>
    <t>DESLOCAMENTO ENTRE FUROS EM TERRENO ACIDENTADO DE EQUIPAMENTO DE SONDAGEM A PERCUSSÃO DISTÂNCIA MAIOR QUE 50 M</t>
  </si>
  <si>
    <t>GALERIA DE ÁGUAS PLUVIAIS</t>
  </si>
  <si>
    <t>ESCAVAÇÃO MANUAL DE VALAS COM PROFUNDIDADE MENOR OU IGUAL A 1,30 M</t>
  </si>
  <si>
    <t>ESCAVAÇÃO MECANIZADA DE VALA COM PROF. ATÉ 1,5 M, LARGURA MENOR QUE 0,8 M, COM RETROESCAVADEIRA, EM SOLO DE 1A CATEGORIA, EM LOCAIS COM ALTO NÍVEL DE INTERFERÊNCIA</t>
  </si>
  <si>
    <t>ESCAVAÇÃO MECANIZADA DE VALA COM PROF. ATÉ 1,5 M, LARGURA DE 0,8 M A 1,5 M, COM RETROESCAVADEIRA, EM SOLO DE 1A CATEGORIA, EM LOCAIS COM ALTO NÍVEL DE INTERFERÊNCIA</t>
  </si>
  <si>
    <t>ESCAVAÇÃO MECANIZADA DE VALA COM PROF. MAIOR QUE 1,5 M ATÉ 3,0 M, LARGURA MENOR QUE 0,8 M, COM RETROESCAVADEIRA, EM SOLO DE 1A CATEGORIA, EM LOCAIS COM ALTO NÍVEL DE INTERFERÊNCIA</t>
  </si>
  <si>
    <t>ESCAVAÇÃO MECANIZADA DE VALA COM PROF. MAIOR QUE 1,5 M ATÉ 3,0 M,  LARGURA DE 0,8 M A 1,5 M, COM RETROESCAVADEIRA, EM SOLO DE 1A CATEGORIA, EM LOCAIS COM ALTO NÍVEL DE INTERFERÊNCIA</t>
  </si>
  <si>
    <t>ESCAVAÇÃO MECANIZADA DE VALA COM PROF. MAIOR QUE 3,0 M ATÉ 4,5 M, LARGURA MENOR QUE 1,5 M, COM ESCAVADEIRA HIDRÁULICA, EM SOLO DE 1A CATEGORIA, EM LOCAIS COM ALTO NÍVEL DE INTERFERÊNCIA</t>
  </si>
  <si>
    <t>ESCAVAÇÃO MECANIZADA DE VALA COM PROF. MAIOR QUE 3,0 M ATÉ 4,5 M, LARGURA DE 1,5 M A 2,5 M, COM ESCAVADEIRA HIDRÁULICA, EM SOLO DE 1A CATEGORIA, EM LOCAIS COM ALTO NÍVEL DE INTERFERÊNCIA</t>
  </si>
  <si>
    <t>ESCAVAÇÃO MECANIZADA DE VALA COM PROF. MAIOR QUE 4,5 M ATÉ 6,0 M, LARGURA MENOR QUE 1,5 M, COM ESCAVADEIRA HIDRÁULICA, EM SOLO DE 1A CATEGORIA, EM LOCAIS COM ALTO NÍVEL DE INTERFERÊNCIA</t>
  </si>
  <si>
    <t>ESCAVAÇÃO MECANIZADA DE VALA COM PROF. MAIOR QUE 4,5 M ATÉ 6,0 M, LARGURA DE 1,5 M A 2,5 M, COM ESCAVADEIRA HIDRÁULICA, EM SOLO DE 1A CATEGORIA, EM LOCAIS COM ALTO NÍVEL DE INTERFERÊNCIA</t>
  </si>
  <si>
    <t>ESCAVAÇÃO MECANIZADA DE VALA COM PROF. ATÉ 1,5 M, LARGURA MENOR QUE 0,8 M, COM RETROESCAVADEIRA, EM SOLO DE 1A CATEGORIA, EM LOCAIS COM BAIXO NÍVEL DE INTERFERÊNCIA</t>
  </si>
  <si>
    <t>ESCAVAÇÃO MECANIZADA DE VALA COM PROF. ATÉ 1,5 M, LARGURA DE 0,8 M A 1,5 M, COM RETROESCAVADEIRA, EM SOLO DE 1A CATEGORIA, EM LOCAIS COM BAIXO NÍVEL DE INTERFERÊNCIA</t>
  </si>
  <si>
    <t>ESCAVAÇÃO MECANIZADA DE VALA COM PROF. MAIOR QUE 1,5 M ATÉ 3,0 M, LARGURA MENOR QUE 0,8 M, COM RETROESCAVADEIRA, EM SOLO DE 1A CATEGORIA, EM LOCAIS COM BAIXO NÍVEL DE INTERFERÊNCIA</t>
  </si>
  <si>
    <t>ESCAVAÇÃO MECANIZADA DE VALA COM PROF. ATÉ 1,5 M ATÉ 3,0 M, LARGURA DE 0,8 M A 1,5 M, COM RETROESCAVADEIRA, EM SOLO DE 1A CATEGORIA, EM LOCAIS COM BAIXO NÍVEL DE INTERFERÊNCIA</t>
  </si>
  <si>
    <t>ESCAVAÇÃO MECANIZADA DE VALA COM PROF. MAIOR QUE 3,0 M ATÉ 4,5 M, LARGURA MENOR QUE 1,5 M, COM ESCAVADEIRA HIDRÁULICA, EM SOLO DE 1A CATEGORIA, EM LOCAIS COM BAIXO NÍVEL DE INTERFERÊNCIA</t>
  </si>
  <si>
    <t>ESCAVAÇÃO MECANIZADA DE VALA COM PROF. MAIOR QUE 3,0 M ATÉ 4,5 M, LARGURA DE 1,5 M A 2,5 M, COM ESCAVADEIRA HIDRÁULICA, EM SOLO DE 1A CATEGORIA, EM LOCAIS COM BAIXO NÍVEL DE INTERFERÊNCIA</t>
  </si>
  <si>
    <t>ESCAVAÇÃO MECANIZADA DE VALA COM PROF. MAIOR QUE 4,5 M ATÉ 6,0 M, LARGURA MENOR QUE 1,5 M, COM ESCAVADEIRA HIDRÁULICA, EM SOLO DE 1A CATEGORIA, EM LOCAIS COM BAIXO NÍVEL DE INTERFERÊNCIA</t>
  </si>
  <si>
    <t>ESCAVAÇÃO MECANIZADA DE VALA COM PROF. MAIOR QUE 4,5 M ATÉ 6,0 M, LARGURA DE 1,5 M A 2,5 M, COM ESCAVADEIRA HIDRÁULICA, EM SOLO DE 1A CATEGORIA, EM LOCAIS COM BAIXO NÍVEL DE INTERFERÊNCIA</t>
  </si>
  <si>
    <t>PREPARO DE FUNDO DE VALA COM LARGURA MENOR QUE 1,5 M (ACERTO DO SOLO NATURAL)</t>
  </si>
  <si>
    <t>PREPARO DE FUNDO DE VALA COM LARGURA MAIOR OU IGUAL A 1,5 M E MENOR QUE 2,5 M (ACERTO DO SOLO NATURAL)</t>
  </si>
  <si>
    <t>PREPARO DE FUNDO DE VALA COM LARGURA MENOR QUE 1,5 M, COM CAMADA DE AREIA, LANÇAMENTO MANUAL, SEM TRANSPORTE DO MATERIAL</t>
  </si>
  <si>
    <t>PREPARO DE FUNDO DE VALA COM LARGURA MENOR QUE 1,5 M, COM CAMADA DE BRITA, LANÇAMENTO MANUAL, SEM TRANSPORTE DO MATERIAL</t>
  </si>
  <si>
    <t>PREPARO DE FUNDO DE VALA COM LARGURA MAIOR OU IGUAL A 1,5 M E MENOR QUE 2,5 M, COM CAMADA DE AREIA, LANÇAMENTO MANUAL, SEM TRANSPORTE DO MATERIAL</t>
  </si>
  <si>
    <t>PREPARO DE FUNDO DE VALA COM LARGURA MAIOR OU IGUAL A 1,5 M E MENOR QUE 2,5 M, COM CAMADA DE BRITA, LANÇAMENTO MANUAL, SEM TRANSPORTE DO MATERIAL</t>
  </si>
  <si>
    <t>PREPARO DE FUNDO DE VALA COM LARGURA MENOR QUE 1,5 M, COM CAMADA DE AREIA, LANÇAMENTO MECANIZADO, SEM TRANSPORTE DO MATERIAL</t>
  </si>
  <si>
    <t>PREPARO DE FUNDO DE VALA COM LARGURA MENOR QUE 1,5 M, COM CAMADA DE BRITA, LANÇAMENTO MECANIZADO, SEM TRANSPORTE DO MATERIAL</t>
  </si>
  <si>
    <t>PREPARO DE FUNDO DE VALA COM LARGURA MAIOR OU IGUAL A 1,5 M E MENOR QUE 2,5 M, COM CAMADA DE BRITA, LANÇAMENTO MECANIZADO, SEM TRANSPORTE DO MATERIAL</t>
  </si>
  <si>
    <t>PREPARO DE FUNDO DE VALA COM LARGURA MAIOR OU IGUAL A 1,5 M E MENOR QUE 2,5 M, COM CAMADA DE AREIA, LANÇAMENTO MECANIZADO, SEM TRANSPORTE DO MATERIAL</t>
  </si>
  <si>
    <t>REATERRO VALAS COM APILOAMENTO E SOQUETE MANUAL</t>
  </si>
  <si>
    <t>REATERRO MANUAL VALAS COM COMPACTAÇÃO MECANIZADA (SOQUETE A PERCUSSÃO)</t>
  </si>
  <si>
    <t>REATERRO MECANIZADO DE VALA COM PROF. ATÉ 1,5 M, LARGURA MENOR QUE 0,8 M, COM RETROESCAVADEIRA, EM SOLO DE 1A CATEGORIA, EM LOCAIS COM ALTO NÍVEL DE INTERFERÊNCIA</t>
  </si>
  <si>
    <t>REATERRO MECANIZADO DE VALA COM PROF. ATÉ 1,5 M, LARGURA DE 0,8 M A 1,5 M, COM RETROESCAVADEIRA, EM SOLO DE 1A CATEGORIA, EM LOCAIS COM ALTO NÍVEL DE INTERFERÊNCIA</t>
  </si>
  <si>
    <t>REATERRO MECANIZADO DE VALA COM PROF. MAIOR QUE 1,5 M ATÉ 3,0 M, LARGURA MENOR QUE 0,8 M, COM RETROESCAVADEIRA, EM SOLO DE 1A CATEGORIA, EM LOCAIS COM ALTO NÍVEL DE INTERFERÊNCIA</t>
  </si>
  <si>
    <t>REATERRO MECANIZADO DE VALA COM PROF. MAIOR QUE 1,5 M ATÉ 3,0 M,  LARGURA DE 0,8 M A 1,5 M, COM RETROESCAVADEIRA, EM SOLO DE 1A CATEGORIA, EM LOCAIS COM ALTO NÍVEL DE INTERFERÊNCIA</t>
  </si>
  <si>
    <t>REATERRO MECANIZADO DE VALA COM PROF. MAIOR QUE 3,0 M ATÉ 4,5 M, LARGURA MENOR QUE 1,5 M, COM ESCAVADEIRA HIDRÁULICA, EM SOLO DE 1A CATEGORIA, EM LOCAIS COM ALTO NÍVEL DE INTERFERÊNCIA</t>
  </si>
  <si>
    <t>REATERRO MECANIZADO DE VALA COM PROF. MAIOR QUE 3,0 M ATÉ 4,5 M, LARGURA DE 1,5 M A 2,5 M, COM ESCAVADEIRA HIDRÁULICA, EM SOLO DE 1A CATEGORIA, EM LOCAIS COM ALTO NÍVEL DE INTERFERÊNCIA</t>
  </si>
  <si>
    <t>REATERRO MECANIZADO DE VALA COM PROF. MAIOR QUE 4,5 M ATÉ 6,0 M, LARGURA MENOR QUE 1,5 M, COM ESCAVADEIRA HIDRÁULICA, EM SOLO DE 1A CATEGORIA, EM LOCAIS COM ALTO NÍVEL DE INTERFERÊNCIA</t>
  </si>
  <si>
    <t>REATERRO MECANIZADO DE VALA COM PROF. MAIOR QUE 4,5 M ATÉ 6,0 M, LARGURA DE 1,5 M A 2,5 M, COM ESCAVADEIRA HIDRÁULICA, EM SOLO DE 1A CATEGORIA, EM LOCAIS COM ALTO NÍVEL DE INTERFERÊNCIA</t>
  </si>
  <si>
    <t>REATERRO MECANIZADO DE VALA COM PROF. ATÉ 1,5 M, LARGURA MENOR QUE 0,8 M, COM RETROESCAVADEIRA, EM SOLO DE 1A CATEGORIA, EM LOCAIS COM BAIXO NÍVEL DE INTERFERÊNCIA</t>
  </si>
  <si>
    <t>REATERRO MECANIZADO DE VALA COM PROF. ATÉ 1,5 M, LARGURA DE 0,8 M A 1,5 M, COM RETROESCAVADEIRA, EM SOLO DE 1A CATEGORIA, EM LOCAIS COM BAIXO NÍVEL DE INTERFERÊNCIA</t>
  </si>
  <si>
    <t>REATERRO MECANIZADO DE VALA COM PROF. MAIOR QUE 1,5 M ATÉ 3,0 M, LARGURA MENOR QUE 0,8 M, COM RETROESCAVADEIRA, EM SOLO DE 1A CATEGORIA, EM LOCAIS COM BAIXO NÍVEL DE INTERFERÊNCIA</t>
  </si>
  <si>
    <t>REATERRO MECANIZADO DE VALA COM PROF. ATÉ 1,5 M ATÉ 3,0 M, LARGURA DE 0,8 M A 1,5 M, COM RETROESCAVADEIRA, EM SOLO DE 1A CATEGORIA, EM LOCAIS COM BAIXO NÍVEL DE INTERFERÊNCIA</t>
  </si>
  <si>
    <t>REATERRO MECANIZADO DE VALA COM PROF. MAIOR QUE 3,0 M ATÉ 4,5 M, LARGURA MENOR QUE 1,5 M, COM ESCAVADEIRA HIDRÁULICA, EM SOLO DE 1A CATEGORIA, EM LOCAIS COM BAIXO NÍVEL DE INTERFERÊNCIA</t>
  </si>
  <si>
    <t>REATERRO MECANIZADO DE VALA COM PROF. MAIOR QUE 3,0 M ATÉ 4,5 M, LARGURA DE 1,5 M A 2,5 M, COM ESCAVADEIRA HIDRÁULICA, EM SOLO DE 1A CATEGORIA, EM LOCAIS COM BAIXO NÍVEL DE INTERFERÊNCIA</t>
  </si>
  <si>
    <t>REATERRO MECANIZADO DE VALA COM PROF. MAIOR QUE 4,5 M ATÉ 6,0 M, LARGURA MENOR QUE 1,5 M, COM ESCAVADEIRA HIDRÁULICA, EM SOLO DE 1A CATEGORIA, EM LOCAIS COM BAIXO NÍVEL DE INTERFERÊNCIA</t>
  </si>
  <si>
    <t>REATERRO MECANIZADO DE VALA COM PROF. MAIOR QUE 4,5 M ATÉ 6,0 M, LARGURA DE 1,5 M A 2,5 M, COM ESCAVADEIRA HIDRÁULICA, EM SOLO DE 1A CATEGORIA, EM LOCAIS COM BAIXO NÍVEL DE INTERFERÊNCIA</t>
  </si>
  <si>
    <t>ATERRO MANUAL DE VALAS COM SOLO E COMPACTAÇÃO MECANIZADA (SOQUETE A PERCUSSÃO), SEM TRANSPORTE DO MATERIAL</t>
  </si>
  <si>
    <t>ATERRO MANUAL DE VALAS COM AREIA PARA ATERRO E COMPACTAÇÃO MECANIZADA (SOQUETE A PERCUSSÃO), SEM TRANSPORTE DO MATERIAL</t>
  </si>
  <si>
    <t>ATERRO MECANIZADO DE VALA COM ESCAVADEIRA HIDRÁULICA, LARGURA DE 1,5 A 2,5 M, PROFUNDIDADE ATÉ 1,5 M, COM SOLO, SEM TRANSPORTE DO MATERIAL</t>
  </si>
  <si>
    <t>ATERRO MECANIZADO DE VALA COM ESCAVADEIRA HIDRÁULICA, LARGURA ATÉ 1,5 M, PROFUNDIDADE DE 1,5 A 3,0 M, COM SOLO, SEM TRANSPORTE DO MATERIAL</t>
  </si>
  <si>
    <t>ATERRO MECANIZADO DE VALA COM ESCAVADEIRA HIDRÁULICA, LARGURA DE 1,5 A 2,5 M, PROFUNDIDADE DE 1,5 A 3,0 M, COM SOLO, SEM TRANSPORTE DO MATERIAL</t>
  </si>
  <si>
    <t>ATERRO MECANIZADO DE VALA COM ESCAVADEIRA HIDRÁULICA, LARGURA ATÉ 1,5 M, PROFUNDIDADE DE 3,0 A 4,5 M, COM SOLO, SEM TRANSPORTE DO MATERIAL</t>
  </si>
  <si>
    <t>ATERRO MECANIZADO DE VALA COM ESCAVADEIRA HIDRÁULICA, LARGURA DE 1,5 A 2,5 M, PROFUNDIDADE DE 3,0 A 4,5 M, COM SOLO, SEM TRANSPORTE DO MATERIAL</t>
  </si>
  <si>
    <t>ATERRO MECANIZADO DE VALA COM ESCAVADEIRA HIDRÁULICA, LARGURA ATÉ 1,5 M, PROFUNDIDADE DE 4,5 A 6,0 M, COM SOLO, SEM TRANSPORTE DO MATERIAL</t>
  </si>
  <si>
    <t>ATERRO MECANIZADO DE VALA COM ESCAVADEIRA HIDRÁULICA, LARGURA DE 1,5 A 2,5 M, PROFUNDIDADE DE 4,5 A 6,0 M, COM SOLO, SEM TRANSPORTE DO MATERIAL</t>
  </si>
  <si>
    <t>ATERRO MECANIZADO DE VALA COM RETROESCAVADEIRA, LARGURA ATÉ 0,8 M, PROFUNDIDADE ATÉ 1,5 M, COM SOLO, SEM TRANSPORTE DO MATERIAL</t>
  </si>
  <si>
    <t>ATERRO MECANIZADO DE VALA COM RETROESCAVADEIRA, LARGURA DE 0,8 A 1,5 M, PROFUNDIDADE ATÉ 1,5 M, COM SOLO, SEM TRANSPORTE DO MATERIAL</t>
  </si>
  <si>
    <t>ATERRO MECANIZADO DE VALA COM RETROESCAVADEIRA, LARGURA ATÉ 0,8 M, PROFUNDIDADE DE 1,5 A 3,0 M, COM SOLO, SEM TRANSPORTE DO MATERIAL</t>
  </si>
  <si>
    <t>ATERRO MECANIZADO DE VALA COM RETROESCAVADEIRA, LARGURA DE 0,8 A 1,5 M, PROFUNDIDADE DE 1,5 A 3,0 M, COM SOLO, SEM TRANSPORTE DO MATERIAL</t>
  </si>
  <si>
    <t>ATERRO MECANIZADO DE VALA COM ESCAVADEIRA HIDRÁULICA, LARGURA DE 1,5 A 2,5 M, PROFUNDIDADE ATÉ 1,5 M, COM AREIA, SEM TRANSPORTE DO MATERIAL</t>
  </si>
  <si>
    <t>ATERRO MECANIZADO DE VALA COM ESCAVADEIRA HIDRÁULICA, LARGURA ATÉ 1,5 M, PROFUNDIDADE DE 1,5 A 3,0 M, COM AREIA, SEM TRANSPORTE DO MATERIAL</t>
  </si>
  <si>
    <t>ATERRO MECANIZADO DE VALA COM ESCAVADEIRA HIDRÁULICA, LARGURA DE 1,5 A 2,5 M, PROFUNDIDADE DE 1,5 A 3,0 M, COM AREIA, SEM TRANSPORTE DO MATERIAL</t>
  </si>
  <si>
    <t>ATERRO MECANIZADO DE VALA COM ESCAVADEIRA HIDRÁULICA, LARGURA ATÉ 1,5 M, PROFUNDIDADE DE 3,0 A 4,5 M, COM AREIA, SEM TRANSPORTE DO MATERIAL</t>
  </si>
  <si>
    <t>ATERRO MECANIZADO DE VALA COM ESCAVADEIRA HIDRÁULICA, LARGURA DE 1,5 A 2,5 M, PROFUNDIDADE DE 3,0 A 4,5 M, COM AREIA, SEM TRANSPORTE DO MATERIAL</t>
  </si>
  <si>
    <t>ATERRO MECANIZADO DE VALA COM ESCAVADEIRA HIDRÁULICA, LARGURA ATÉ 1,5 M, PROFUNDIDADE DE 4,5 A 6,0 M, COM AREIA, SEM TRANSPORTE DO MATERIAL</t>
  </si>
  <si>
    <t>ATERRO MECANIZADO DE VALA COM ESCAVADEIRA HIDRÁULICA, LARGURA DE 1,5 A 2,5 M, PROFUNDIDADE DE 4,5 A 6,0 M, COM AREIA, SEM TRANSPORTE DO MATERIAL</t>
  </si>
  <si>
    <t>ATERRO MECANIZADO DE VALA COM RETROESCAVADEIRA, LARGURA ATÉ 0,8 M, PROFUNDIDADE ATÉ 1,5 M, COM AREIA, SEM TRANSPORTE DO MATERIAL</t>
  </si>
  <si>
    <t>ATERRO MECANIZADO DE VALA COM RETROESCAVADEIRA, LARGURA DE 0,8 A 1,5 M, PROFUNDIDADE ATÉ 1,5 M, COM AREIA, SEM TRANSPORTE DO MATERIAL</t>
  </si>
  <si>
    <t>ATERRO MECANIZADO DE VALA COM RETROESCAVADEIRA, LARGURA ATÉ 0,8 M, PROFUNDIDADE DE 1,5 A 3,0 M, COM AREIA, SEM TRANSPORTE DO MATERIAL</t>
  </si>
  <si>
    <t>ATERRO MECANIZADO DE VALA COM RETROESCAVADEIRA, LARGURA DE 0,8 A 1,5 M, PROFUNDIDADE DE 1,5 A 3,0 M, COM AREIA, SEM TRANSPORTE DO MATERIAL</t>
  </si>
  <si>
    <t>GAP-001</t>
  </si>
  <si>
    <t>EXECUÇÃO E COMPACTAÇÃO DE ATERRO COM SOLO ARGILOSO (EMPOLAMENTO 25%)</t>
  </si>
  <si>
    <t>GAP-002</t>
  </si>
  <si>
    <t>GAP-003</t>
  </si>
  <si>
    <t>COMPACTAÇÃO DE ATERRO COM SOQUETE VIBRATÓRIO</t>
  </si>
  <si>
    <t>GAP-004</t>
  </si>
  <si>
    <t>COMPACTAÇÃO DE ATERRO COM PLACA VIBRATÓRIA</t>
  </si>
  <si>
    <t>CARGA EM CAMINHÃO BASCULANTE 6 M³ - CARGA COM PÁ CARREGADEIRA</t>
  </si>
  <si>
    <t>CARGA EM CAMINHÃO BASCULANTE 10 M³ - CARGA COM PÁ CARREGADEIRA</t>
  </si>
  <si>
    <t>CARGA EM CAMINHÃO BASCULANTE 14 M³ - CARGA COM PÁ CARREGADEIRA</t>
  </si>
  <si>
    <t>CARGA DE ENTULHO EM CAMINHÃO BASCULANTE  6 M³ - CARGA COM ESCAVADEIRA HIDRÁULICA</t>
  </si>
  <si>
    <t>CARGA DE ENTULHO EM CAMINHÃO BASCULANTE 10 M³ - CARGA COM ESCAVADEIRA HIDRÁULICA</t>
  </si>
  <si>
    <t>CARGA DE ENTULHO EM CAMINHÃO BASCULANTE 14 M³ - CARGA COM ESCAVADEIRA HIDRÁULICA</t>
  </si>
  <si>
    <t>GAP-005</t>
  </si>
  <si>
    <t>CARGA MANUAL EM CAMINHÃO CARROCERIA 5 T</t>
  </si>
  <si>
    <t>T</t>
  </si>
  <si>
    <t>GAP-006</t>
  </si>
  <si>
    <t>CARGA MANUAL EM CAMINHÃO CARROCERIA 9 T</t>
  </si>
  <si>
    <t>GAP-007</t>
  </si>
  <si>
    <t>CARGA MANUAL EM CAMINHÃO CARROCERIA 15 T</t>
  </si>
  <si>
    <t>GAP-008</t>
  </si>
  <si>
    <t>CARGA MANUAL DE ENTULHO EM CAMINHÃO BASCULANTE 6 M³</t>
  </si>
  <si>
    <t>GAP-009</t>
  </si>
  <si>
    <t>FORNECIMENTO E  ASSENTAMENTO DE  CANALETA DE CONCRETO Ø 200 MM - INCLUSIVE TRANSPORTE</t>
  </si>
  <si>
    <t>GAP-010</t>
  </si>
  <si>
    <t>FORNECIMENTO E  ASSENTAMENTO DE  CANALETA DE CONCRETO Ø 300 MM - INCLUSIVE TRANSPORTE</t>
  </si>
  <si>
    <t>GAP-011</t>
  </si>
  <si>
    <t>FORNECIMENTO E  ASSENTAMENTO DE  CANALETA DE CONCRETO Ø 400 MM - INCLUSIVE TRANSPORTE</t>
  </si>
  <si>
    <t>GAP-012</t>
  </si>
  <si>
    <t>RETIRADA DE TUBO DE CONCRETO D=0,20M</t>
  </si>
  <si>
    <t>GAP-013</t>
  </si>
  <si>
    <t>RETIRADA DE TUBO DE CONCRETO D=0,30M</t>
  </si>
  <si>
    <t>GAP-014</t>
  </si>
  <si>
    <t>RETIRADA DE TUBO DE CONCRETO D=0,40M</t>
  </si>
  <si>
    <t>GAP-015</t>
  </si>
  <si>
    <t>RETIRADA DE TUBO DE CONCRETO D=0,50M</t>
  </si>
  <si>
    <t>GAP-016</t>
  </si>
  <si>
    <t>RETIRADA DE TUBO DE CONCRETO D=0,60M</t>
  </si>
  <si>
    <t>GAP-017</t>
  </si>
  <si>
    <t>RETIRADA DE TUBO DE CONCRETO D=0,80M</t>
  </si>
  <si>
    <t>GAP-018</t>
  </si>
  <si>
    <t>RETIRADA DE TUBO DE CONCRETO D=1,00M</t>
  </si>
  <si>
    <t>GAP-019</t>
  </si>
  <si>
    <t>RETIRADA DE TUBO DE CONCRETO D=1,20M</t>
  </si>
  <si>
    <t>GAP-020</t>
  </si>
  <si>
    <t>RETIRADA DE TUBO DE CONCRETO D=1,50M</t>
  </si>
  <si>
    <t>GAP-021</t>
  </si>
  <si>
    <t>RETIRADA DE TUBO DE CONCRETO D=1,80M</t>
  </si>
  <si>
    <t>GAP-022</t>
  </si>
  <si>
    <t>RETIRADA DE TUBO DE CONCRETO D=2,00M</t>
  </si>
  <si>
    <t>GAP-023</t>
  </si>
  <si>
    <t>RETIRADA DE TUBO DE CONCRETO D=2,20M</t>
  </si>
  <si>
    <t>GAP-024</t>
  </si>
  <si>
    <t>REASSENTAMENTO DE TUBO DE CONCRETO Ø 200 MM</t>
  </si>
  <si>
    <t>GAP-025</t>
  </si>
  <si>
    <t>REASSENTAMENTO DE TUBO DE CONCRETO Ø 300 MM</t>
  </si>
  <si>
    <t>GAP-026</t>
  </si>
  <si>
    <t xml:space="preserve">REASSENTAMENTO DE TUBO DE CONCRETO Ø 400 MM </t>
  </si>
  <si>
    <t>GAP-027</t>
  </si>
  <si>
    <t xml:space="preserve">REASSENTAMENTO DE TUBO DE CONCRETO Ø 500 MM </t>
  </si>
  <si>
    <t>GAP-028</t>
  </si>
  <si>
    <t xml:space="preserve">REASSENTAMENTO DE TUBO DE CONCRETO Ø 600 MM </t>
  </si>
  <si>
    <t>GAP-029</t>
  </si>
  <si>
    <t>REASSENTAMENTO DE TUBO DE CONCRETO Ø 800 MM</t>
  </si>
  <si>
    <t>GAP-030</t>
  </si>
  <si>
    <t>REASSENTAMENTO DE TUBO DE CONCRETO Ø 1000 MM</t>
  </si>
  <si>
    <t>GAP-031</t>
  </si>
  <si>
    <t>REASSENTAMENTO DE TUBO DE CONCRETO Ø 1200 MM</t>
  </si>
  <si>
    <t>GAP-032</t>
  </si>
  <si>
    <t xml:space="preserve">REASSENTAMENTO DE TUBO DE CONCRETO Ø 1500 MM </t>
  </si>
  <si>
    <t>GAP-033</t>
  </si>
  <si>
    <t>REASSENTAMENTO DE TUBO DE CONCRETO Ø 1800 MM</t>
  </si>
  <si>
    <t>GAP-034</t>
  </si>
  <si>
    <t>REASSENTAMENTO DE TUBO DE CONCRETO Ø 2000 MM</t>
  </si>
  <si>
    <t>GAP-035</t>
  </si>
  <si>
    <t xml:space="preserve">REASSENTAMENTO DE TUBO DE CONCRETO Ø 2200 MM </t>
  </si>
  <si>
    <t>GAP-036</t>
  </si>
  <si>
    <t>FORNECIMENTO E ASSENTAMENTO DE TUBO DE CONCRETO SIMPLES - PS1, DIÂMETRO DE 200 MM, PONTA E BOLSA, EM LOCAL COM BAIXO NÍVEL DE INTERFERÊNCIAS (PESO = 0,0615 T)</t>
  </si>
  <si>
    <t>FORNECIMENTO E ASSENTAMENTO DE TUBO DE CONCRETO SIMPLES - PS1, DIÂMETRO DE 300 MM, PONTA E BOLSA, EM LOCAL COM BAIXO NÍVEL DE INTERFERÊNCIAS (PESO = 0,0870 T)</t>
  </si>
  <si>
    <t>FORNECIMENTO E ASSENTAMENTO DE TUBO DE CONCRETO SIMPLES - PS1, DIÂMETRO DE 400 MM, PONTA E BOLSA, EM LOCAL COM BAIXO NÍVEL DE INTERFERÊNCIAS (PESO = 0,1450 T)</t>
  </si>
  <si>
    <t>FORNECIMENTO E ASSENTAMENTO DE TUBO DE CONCRETO SIMPLES - PS1, DIÂMETRO DE 500 MM, PONTA E BOLSA, EM LOCAL COM BAIXO NÍVEL DE INTERFERÊNCIAS (PESO = 0,2280 T)</t>
  </si>
  <si>
    <t>GAP-037</t>
  </si>
  <si>
    <t>FORNECIMENTO E ASSENTAMENTO DE TUBO DE CONCRETO SIMPLES - PS1, DIÂMETRO DE 200 MM, PONTA E BOLSA, EM LOCAL COM ALTO NÍVEL DE INTERFERÊNCIAS (PESO = 0,0615 T)</t>
  </si>
  <si>
    <t>FORNECIMENTO E ASSENTAMENTO DE TUBO DE CONCRETO SIMPLES - PS1, DIÂMETRO DE 300 MM, PONTA E BOLSA, EM LOCAL COM ALTO NÍVEL DE INTERFERÊNCIAS (PESO = 0,0870 T)</t>
  </si>
  <si>
    <t>FORNECIMENTO E ASSENTAMENTO DE TUBO DE CONCRETO SIMPLES - PS1, DIÂMETRO DE 400 MM, PONTA E BOLSA, EM LOCAL COM ALTO NÍVEL DE INTERFERÊNCIAS (PESO = 0,1450 T)</t>
  </si>
  <si>
    <t>FORNECIMENTO E ASSENTAMENTO DE TUBO DE CONCRETO SIMPLES - PS1, DIÂMETRO DE 500 MM, PONTA E BOLSA, EM LOCAL COM ALTO NÍVEL DE INTERFERÊNCIAS (PESO = 0,2280 T)</t>
  </si>
  <si>
    <t>FORNECIMENTO E ASSENTAMENTO DE TUBO DE CONCRETO ARMADO - PA1, DIÂMETRO DE 300 MM, PONTA E BOLSA, EM LOCAL COM BAIXO NÍVEL DE INTERFERÊNCIAS (PESO = 0,0870 T)</t>
  </si>
  <si>
    <t>FORNECIMENTO E ASSENTAMENTO DE TUBO DE CONCRETO ARMADO - PA1, DIÂMETRO DE 400 MM, PONTA E BOLSA, EM LOCAL COM BAIXO NÍVEL DE INTERFERÊNCIAS (PESO = 0,1450 T)</t>
  </si>
  <si>
    <t>FORNECIMENTO E ASSENTAMENTO DE TUBO DE CONCRETO ARMADO - PA1, DIÂMETRO DE 500 MM, PONTA E BOLSA, EM LOCAL COM BAIXO NÍVEL DE INTERFERÊNCIAS (PESO = 0,2280 T)</t>
  </si>
  <si>
    <t>FORNECIMENTO E ASSENTAMENTO DE TUBO DE CONCRETO ARMADO - PA1, DIÂMETRO DE 600 MM, PONTA E BOLSA, EM LOCAL COM BAIXO NÍVEL DE INTERFERÊNCIAS (PESO = 0,3150 T)</t>
  </si>
  <si>
    <t>FORNECIMENTO E ASSENTAMENTO DE TUBO DE CONCRETO ARMADO - PA1, DIÂMETRO DE 800 MM, PONTA E BOLSA, EM LOCAL COM BAIXO NÍVEL DE INTERFERÊNCIAS (PESO = 0,6120 T)</t>
  </si>
  <si>
    <t>FORNECIMENTO E ASSENTAMENTO DE TUBO DE CONCRETO ARMADO - PA1, DIÂMETRO DE 1000 MM, PONTA E BOLSA, EM LOCAL COM BAIXO NÍVEL DE INTERFERÊNCIAS (PESO = 0,8020 T)</t>
  </si>
  <si>
    <t>FORNECIMENTO E ASSENTAMENTO DE TUBO DE CONCRETO ARMADO - PA1, DIÂMETRO DE 1200 MM, PONTA E BOLSA, EM LOCAL COM BAIXO NÍVEL DE INTERFERÊNCIAS (PESO = 1,1280 T)</t>
  </si>
  <si>
    <t>FORNECIMENTO E ASSENTAMENTO DE TUBO DE CONCRETO ARMADO - PA1, DIÂMETRO DE 1500 MM, PONTA E BOLSA, EM LOCAL COM BAIXO NÍVEL DE INTERFERÊNCIAS (PESO = 1,8870 T)</t>
  </si>
  <si>
    <t>FORNECIMENTO E ASSENTAMENTO DE TUBO DE CONCRETO ARMADO - PA1, DIÂMETRO DE 300 MM, PONTA E BOLSA, EM LOCAL COM ALTO NÍVEL DE INTERFERÊNCIAS (PESO = 0,0870 T)</t>
  </si>
  <si>
    <t>FORNECIMENTO E ASSENTAMENTO DE TUBO DE CONCRETO ARMADO - PA1, DIÂMETRO DE 400 MM, PONTA E BOLSA, EM LOCAL COM ALTO NÍVEL DE INTERFERÊNCIAS (PESO = 0,1450 T)</t>
  </si>
  <si>
    <t>FORNECIMENTO E ASSENTAMENTO DE TUBO DE CONCRETO ARMADO - PA1, DIÂMETRO DE 500 MM, PONTA E BOLSA, EM LOCAL COM ALTO NÍVEL DE INTERFERÊNCIAS (PESO = 0,2280 T)</t>
  </si>
  <si>
    <t>FORNECIMENTO E ASSENTAMENTO DE TUBO DE CONCRETO ARMADO - PA1, DIÂMETRO DE 600 MM, PONTA E BOLSA, EM LOCAL COM ALTO NÍVEL DE INTERFERÊNCIAS (PESO = 0,3150 T)</t>
  </si>
  <si>
    <t>FORNECIMENTO E ASSENTAMENTO DE TUBO DE CONCRETO ARMADO - PA1, DIÂMETRO DE 800 MM, PONTA E BOLSA, EM LOCAL COM ALTO NÍVEL DE INTERFERÊNCIAS (PESO = 0,6120 T)</t>
  </si>
  <si>
    <t>FORNECIMENTO E ASSENTAMENTO DE TUBO DE CONCRETO ARMADO - PA1, DIÂMETRO DE 1000 MM, PONTA E BOLSA, EM LOCAL COM ALTO NÍVEL DE INTERFERÊNCIAS (PESO = 0,8020 T)</t>
  </si>
  <si>
    <t>FORNECIMENTO E ASSENTAMENTO DE TUBO DE CONCRETO ARMADO - PA1, DIÂMETRO DE 1200 MM, PONTA E BOLSA, EM LOCAL COM ALTO NÍVEL DE INTERFERÊNCIAS (PESO = 1,128 T)</t>
  </si>
  <si>
    <t>FORNECIMENTO E ASSENTAMENTO DE TUBO DE CONCRETO ARMADO - PA1, DIÂMETRO DE 1500 MM, PONTA E BOLSA, EM LOCAL COM ALTO NÍVEL DE INTERFERÊNCIAS (PESO = 1,8870 T)</t>
  </si>
  <si>
    <t>GAP-038</t>
  </si>
  <si>
    <t>FORNECIMENTO E ASSENTAMENTO DE TUBO DE CONCRETO ARMADO - PA2, DIÂMETRO DE 800 MM, PONTA E BOLSA, EM LOCAL COM BAIXO NÍVEL DE INTERFERÊNCIAS (PESO = 0,6120 T)</t>
  </si>
  <si>
    <t>GAP-039</t>
  </si>
  <si>
    <t>FORNECIMENTO E ASSENTAMENTO DE TUBO DE CONCRETO ARMADO - PA2, DIÂMETRO DE 1000 MM, PONTA E BOLSA, EM LOCAL COM BAIXO NÍVEL DE INTERFERÊNCIAS (PESO = 0,8020 T)</t>
  </si>
  <si>
    <t>GAP-040</t>
  </si>
  <si>
    <t>FORNECIMENTO E ASSENTAMENTO DE TUBO DE CONCRETO ARMADO - PA2, DIÂMETRO DE 1200 MM, PONTA E BOLSA, EM LOCAL COM BAIXO NÍVEL DE INTERFERÊNCIAS (PESO = 1,128 T)</t>
  </si>
  <si>
    <t>GAP-041</t>
  </si>
  <si>
    <t>FORNECIMENTO E ASSENTAMENTO DE TUBO DE CONCRETO ARMADO - PA2, DIÂMETRO DE 1500 MM, PONTA E BOLSA, EM LOCAL COM BAIXO NÍVEL DE INTERFERÊNCIAS (PESO = 1,8870 T)</t>
  </si>
  <si>
    <t>GAP-042</t>
  </si>
  <si>
    <t>GAP-043</t>
  </si>
  <si>
    <t>FORNECIMENTO E ASSENTAMENTO DE TUBO DE CONCRETO ARMADO - PA2, DIÂMETRO DE 2000 MM, PONTA E BOLSA, EM LOCAL COM BAIXO NÍVEL DE INTERFERÊNCIAS (PESO = 2,9805 T)</t>
  </si>
  <si>
    <t>GAP-044</t>
  </si>
  <si>
    <t>GAP-045</t>
  </si>
  <si>
    <t>FORNECIMENTO E ASSENTAMENTO DE TUBO DE CONCRETO ARMADO - PA2, DIÂMETRO DE 800 MM, PONTA E BOLSA, EM LOCAL COM ALTO NÍVEL DE INTERFERÊNCIAS (PESO = 0,6120 T)</t>
  </si>
  <si>
    <t>GAP-046</t>
  </si>
  <si>
    <t>FORNECIMENTO E ASSENTAMENTO DE TUBO DE CONCRETO ARMADO - PA2, DIÂMETRO DE 1000 MM, PONTA E BOLSA, EM LOCAL COM ALTO NÍVEL DE INTERFERÊNCIAS (PESO = 0,8020 T)</t>
  </si>
  <si>
    <t>GAP-047</t>
  </si>
  <si>
    <t>FORNECIMENTO E ASSENTAMENTO DE TUBO DE CONCRETO ARMADO - PA2, DIÂMETRO DE 1200 MM, PONTA E BOLSA, EM LOCAL COM ALTO NÍVEL DE INTERFERÊNCIAS (PESO = 1,128 T)</t>
  </si>
  <si>
    <t>GAP-048</t>
  </si>
  <si>
    <t>FORNECIMENTO E ASSENTAMENTO DE TUBO DE CONCRETO ARMADO - PA2, DIÂMETRO DE 1500 MM, PONTA E BOLSA, EM LOCAL COM ALTO NÍVEL DE INTERFERÊNCIAS (PESO = 1,8870 T)</t>
  </si>
  <si>
    <t>GAP-049</t>
  </si>
  <si>
    <t>GAP-050</t>
  </si>
  <si>
    <t>FORNECIMENTO E ASSENTAMENTO DE TUBO DE CONCRETO ARMADO - PA2, DIÂMETRO DE 2000 MM, PONTA E BOLSA, EM LOCAL COM ALTO NÍVEL DE INTERFERÊNCIAS (PESO = 2,9805 T)</t>
  </si>
  <si>
    <t>GAP-051</t>
  </si>
  <si>
    <t>GAP-052</t>
  </si>
  <si>
    <t>CAIXA DE CAPTAÇÃO SEM GRELHA TIPO BOCA DE LOBO</t>
  </si>
  <si>
    <t>CAIXA BOCA DE LOBO COMBINADA COM GRELHA DE CONCRETO, EM ALVENARIA COM BLOCOS DE CONCRETO</t>
  </si>
  <si>
    <t>CAIXA BOCA DE LOBO DUPLA COMBINADA COM GRELHA DE CONCRETO, EM ALVENARIA COM BLOCOS DE CONCRETO</t>
  </si>
  <si>
    <t>CAIXA BOCA DE LOBO COMBINADA COM GRELHA DE FoFo, EM ALVENARIA COM BLOCOS DE CONCRETO</t>
  </si>
  <si>
    <t>GAP-053</t>
  </si>
  <si>
    <t>CAIXA BOCA DE LOBO COMBINADA DUPLA COM GRELHA DE FoFo, EM ALVENARIA COM BLOCOS DE CONCRETO</t>
  </si>
  <si>
    <t>GAP-054</t>
  </si>
  <si>
    <t>FORNECIMENTO E ASSENTAMENTO GRELHA CONCRETO ARMADO</t>
  </si>
  <si>
    <t>GAP-055</t>
  </si>
  <si>
    <t>FORNECIMENTO E ASSENTAMENTO GRELHA DE FERRO FUNDIDO</t>
  </si>
  <si>
    <t>GAP-056</t>
  </si>
  <si>
    <t>FORNECIMENTO E COLOCACAO DE TAMPÃO FoFo D = 600 MM</t>
  </si>
  <si>
    <t>GAP-057</t>
  </si>
  <si>
    <t>FORNECIMENTO E ASSENTAMENTO DE MEIO FIO BOCA DE LOBO</t>
  </si>
  <si>
    <t>GAP-058</t>
  </si>
  <si>
    <t>CAIXA DE LIGAÇÃO PARA TUBOS DE Ø 0,40 M NAS DIMENSÕES (INT.): 150 X 60 X 80 CM - ESPESSURA = 20 CM</t>
  </si>
  <si>
    <t>GAP-059</t>
  </si>
  <si>
    <t>CAIXA DE LIGAÇÃO PARA TUBOS DE Ø 0,50 M NAS DIMENSÕES (INT.): 150 X 60 X 80 CM - ESPESSURA = 20 CM</t>
  </si>
  <si>
    <t>GAP-060</t>
  </si>
  <si>
    <t>CAIXA DE LIGAÇÃO PARA TUBOS DE Ø 0,60 M NAS DIMENSÕES (INT.): 150 X 60 X 80 CM - ESPESSURA = 20 CM</t>
  </si>
  <si>
    <t>GAP-061</t>
  </si>
  <si>
    <t>CAIXA DE LIGAÇÃO PARA TUBOS DE Ø 0,80 M NAS DIMENSÕES (INT.): 150 X 90 X 100 CM - ESPESSURA = 20 CM</t>
  </si>
  <si>
    <t>GAP-062</t>
  </si>
  <si>
    <t>CAIXA DE LIGAÇÃO PARA TUBOS DE Ø 1,00 M NAS DIMENSÕES (INT.): 150 X 110 X 130 CM - ESPESSURA = 20 CM</t>
  </si>
  <si>
    <t>GAP-063</t>
  </si>
  <si>
    <t>CAIXA DE LIGAÇÃO PARA TUBOS DE Ø 1,20 M NAS DIMENSÕES (INT.): 150 X 130 X 150 CM - ESPESSURA = 20 CM</t>
  </si>
  <si>
    <t>GAP-064</t>
  </si>
  <si>
    <t>CAIXA DE LIGAÇÃO PARA TUBOS DE Ø 1,50 M NAS DIMENSÕES (INT.): 150 X 160 X 180 CM - ESPESSURA = 20 CM</t>
  </si>
  <si>
    <t>GAP-065</t>
  </si>
  <si>
    <t>CAIXA DE LIGAÇÃO COM QUEDA DE 50 CM PARA TUBOS DE Ø 0,40 M NAS DIMENSÕES (INT.): 150 X 60 X 130 CM - ESPESSURA = 20 CM</t>
  </si>
  <si>
    <t>GAP-066</t>
  </si>
  <si>
    <t>CAIXA DE LIGAÇÃO COM QUEDA DE 50 CM PARA TUBOS DE Ø 0,50 M NAS DIMENSÕES (EXT.): 150 X 60 X 130 CM - ESPESSURA = 20 CM</t>
  </si>
  <si>
    <t>GAP-067</t>
  </si>
  <si>
    <t>CAIXA DE LIGAÇÃO COM QUEDA DE 50 CM PARA TUBOS DE Ø 0,60 M NAS DIMENSÕES (INT.): 150 X 60 X 130 CM - ESPESSURA = 20 CM</t>
  </si>
  <si>
    <t>GAP-068</t>
  </si>
  <si>
    <t>CAIXA DE LIGAÇÃO COM QUEDA DE 50 CM PARA TUBOS DE Ø 0,80 M NAS DIMENSÕES (INT.): 150 X 90 X 150 CM - ESPESSURA = 20 CM</t>
  </si>
  <si>
    <t>GAP-069</t>
  </si>
  <si>
    <t>CAIXA DE LIGAÇÃO COM QUEDA DE 50 CM PARA TUBOS DE Ø 1,00 M NAS DIMENSÕES (INT.): 150 X 110 X 180 CM - ESPESSURA = 20 CM</t>
  </si>
  <si>
    <t>GAP-070</t>
  </si>
  <si>
    <t>CAIXA DE LIGAÇÃO COM QUEDA DE 50 CM PARA TUBOS DE Ø 1,20 M NAS DIMENSÕES (INT.): 150 X 130 X 200 CM - ESPESSURA = 20 CM</t>
  </si>
  <si>
    <t>GAP-071</t>
  </si>
  <si>
    <t>CAIXA DE LIGAÇÃO COM QUEDA DE 50 CM PARA TUBOS DE Ø 1,50 M NAS DIMENSÕES (INT.): 150 X 160 X 230 CM - ESPESSURA = 20 CM</t>
  </si>
  <si>
    <t>GAP-072</t>
  </si>
  <si>
    <t>CAIXA DE LIGAÇÃO COM QUEDA DE 100 CM PARA TUBOS DE Ø 0,40 M NAS DIMENSÕES (INT.): 150 X 60 X 180 CM - ESPESSURA = 20 CM</t>
  </si>
  <si>
    <t>GAP-073</t>
  </si>
  <si>
    <t>CAIXA DE LIGAÇÃO COM QUEDA DE 100 CM PARA TUBOS DE Ø 0,50 M NAS DIMENSÕES (INT.): 150 X 60 X 180 CM - ESPESSURA = 20 CM</t>
  </si>
  <si>
    <t>GAP-074</t>
  </si>
  <si>
    <t>CAIXA DE LIGAÇÃO COM QUEDA DE 100 CM PARA TUBOS DE Ø 0,60 M NAS DIMENSÕES (INT.): 150 X 60 X 180 CM - ESPESSURA = 20 CM</t>
  </si>
  <si>
    <t>GAP-075</t>
  </si>
  <si>
    <t>CAIXA DE LIGAÇÃO COM QUEDA DE 100 CM PARA TUBOS DE Ø 0,80 M NAS DIMENSÕES (INT.): 150 X 90 X 200 CM - ESPESSURA = 20 CM</t>
  </si>
  <si>
    <t>GAP-076</t>
  </si>
  <si>
    <t>CAIXA DE LIGAÇÃO COM QUEDA DE 100 CM PARA TUBOS DE Ø 1,00 M NAS DIMENSÕES (INT.): 150 X 110 X 230 CM - ESPESSURA = 20 CM</t>
  </si>
  <si>
    <t>GAP-077</t>
  </si>
  <si>
    <t>CAIXA DE LIGAÇÃO COM QUEDA DE 100 CM PARA TUBOS DE Ø 1,20 M NAS DIMENSÕES (INT.): 150 X 130 X 250 CM - ESPESSURA = 20 CM</t>
  </si>
  <si>
    <t>GAP-078</t>
  </si>
  <si>
    <t>CAIXA DE LIGAÇÃO COM QUEDA DE 100 CM PARA TUBOS DE Ø 1,50 M NAS DIMENSÕES (INT.): 150 X 160 X 280 CM - ESPESSURA = 20 CM</t>
  </si>
  <si>
    <t>GAP-079</t>
  </si>
  <si>
    <t>POÇO DE VISITA PARA TUBOS DE Ø 0,40 M NAS DIMENSÕES (INT.): 150 X 90 X 80 CM - ESPESSURA = 20 CM</t>
  </si>
  <si>
    <t>GAP-080</t>
  </si>
  <si>
    <t>POÇO DE VISITA PARA TUBOS DE Ø 0,50 M NAS DIMENSÕES (INT.): 150 X 90 X 80 CM - ESPESSURA = 20 CM</t>
  </si>
  <si>
    <t>POÇO DE VISITA PARA TUBOS DE Ø 0,60 M NAS DIMENSÕES (INT.): 150 X 90 X 80 CM - ESPESSURA = 20 CM</t>
  </si>
  <si>
    <t>GAP-082</t>
  </si>
  <si>
    <t>POÇO DE VISITA PARA TUBOS DE Ø 0,80 M NAS DIMENSÕES (INT.): 150 X 100 X 100 CM - ESPESSURA = 20 CM</t>
  </si>
  <si>
    <t>GAP-083</t>
  </si>
  <si>
    <t>POÇO DE VISITA PARA TUBOS DE Ø 1,00 M NAS DIMENSÕES (INT.): 150 X 110 X 130 CM - ESPESSURA = 20 CM</t>
  </si>
  <si>
    <t>GAP-084</t>
  </si>
  <si>
    <t>POÇO DE VISITA PARA TUBOS DE Ø 1,20 M NAS DIMENSÕES (INT.): 150 X 130 X 150 CM - ESPESSURA = 20 CM</t>
  </si>
  <si>
    <t>GAP-085</t>
  </si>
  <si>
    <t>POÇO DE VISITA PARA TUBOS DE Ø 1,50 M NAS DIMENSÕES (INT.): 150 X 160 X 180 CM - ESPESSURA = 20 CM</t>
  </si>
  <si>
    <t>GAP-086</t>
  </si>
  <si>
    <t>POÇO DE VISITA COM QUEDA DE 0,50 M PARA TUBOS DE Ø 0,40 M NAS DIMENSÕES (INT.): 150 X 90 X 130 CM - ESPESSURA = 20 CM</t>
  </si>
  <si>
    <t>GAP-087</t>
  </si>
  <si>
    <t>POÇO DE VISITA COM QUEDA DE 0,50 M PARA TUBOS DE Ø 0,50 M NAS DIMENSÕES (INT.): 150 X 90 X 130 CM - ESPESSURA = 20 CM</t>
  </si>
  <si>
    <t>GAP-088</t>
  </si>
  <si>
    <t>POÇO DE VISITA COM QUEDA DE 0,50 M PARA TUBOS DE Ø 0,60 M NAS DIMENSÕES (INT.): 150 X 90 X 130 CM - ESPESSURA = 20 CM</t>
  </si>
  <si>
    <t>GAP-089</t>
  </si>
  <si>
    <t>POÇO DE VISITA COM QUEDA DE 0,50 M PARA TUBOS DE Ø 0,80 M NAS DIMENSÕES (INT.): 150 X 100 X 150 CM - ESPESSURA = 20 CM</t>
  </si>
  <si>
    <t>GAP-090</t>
  </si>
  <si>
    <t>POÇO DE VISITA COM QUEDA DE 0,50 M PARA TUBOS DE Ø 1,00 M NAS DIMENSÕES (INT.): 150 X 110 X 180 CM - ESPESSURA = 20 CM</t>
  </si>
  <si>
    <t>GAP-091</t>
  </si>
  <si>
    <t>POÇO DE VISITA COM QUEDA DE 0,50 M PARA TUBOS DE Ø 1,20 M NAS DIMENSÕES (INT.): 150 X 130 X 200 CM - ESPESSURA = 20 CM</t>
  </si>
  <si>
    <t>GAP-092</t>
  </si>
  <si>
    <t>POÇO DE VISITA COM QUEDA DE 0,50 M PARA TUBOS DE Ø 1,50 M NAS DIMENSÕES (INT.): 150 X 160 X 230 CM - ESPESSURA = 20 CM</t>
  </si>
  <si>
    <t>GAP-093</t>
  </si>
  <si>
    <t>POÇO DE VISITA COM QUEDA DE 1,00 M PARA TUBOS DE Ø 0,40 M NAS DIMENSÕES (INT.): 150 X 90 X 180 CM - ESPESSURA = 20 CM</t>
  </si>
  <si>
    <t>GAP-094</t>
  </si>
  <si>
    <t>POÇO DE VISITA COM QUEDA DE 1,00 M PARA TUBOS DE Ø 0,50 M NAS DIMENSÕES (INT.): 150 X 90 X 180 CM - ESPESSURA = 20 CM</t>
  </si>
  <si>
    <t>GAP-095</t>
  </si>
  <si>
    <t>POÇO DE VISITA COM QUEDA DE 1,00 M PARA TUBOS DE Ø 0,60 M NAS DIMENSÕES (INT.): 150 X 90 X 180 CM - ESPESSURA = 20 CM</t>
  </si>
  <si>
    <t>GAP-096</t>
  </si>
  <si>
    <t>POÇO DE VISITA COM QUEDA DE 1,00 M PARA TUBOS DE Ø 0,80 M NAS DIMENSÕES (INT.): 150 X 100 X 200 CM - ESPESSURA = 20 CM</t>
  </si>
  <si>
    <t>GAP-097</t>
  </si>
  <si>
    <t>POÇO DE VISITA COM QUEDA DE 1,00 M PARA TUBOS DE Ø 1,00 M NAS DIMENSÕES (INT.): 150 X 110 X 230 CM - ESPESSURA = 20 CM</t>
  </si>
  <si>
    <t>GAP-098</t>
  </si>
  <si>
    <t>POÇO DE VISITA COM QUEDA DE 1,00 M PARA TUBOS DE Ø 1,20 M NAS DIMENSÕES (INT.): 150 X 130 X 300 CM - ESPESSURA = 20 CM</t>
  </si>
  <si>
    <t>GAP-099</t>
  </si>
  <si>
    <t>POÇO DE VISITA COM QUEDA DE 1,00 M PARA TUBOS DE Ø 1,50 M NAS DIMENSÕES (INT.): 150 X 160 X 280 CM - ESPESSURA = 20 CM</t>
  </si>
  <si>
    <t>ACRÉSCIMO (CHAMINÉ)PARA POÇO DE VISITA RETANGULAR PARA DRENAGEM, EM ALVENARIA COM BLOCOS DE CONCRETO, DIMENSÕES INTERNAS = 1X1 M</t>
  </si>
  <si>
    <t>BOCA DE BUEIRO SIMPLES COM ABAS EM CONCRETO CICLÓPICO PARA TUBOS Ø 400 MM</t>
  </si>
  <si>
    <t>BOCA DE BUEIRO SIMPLES COM ABAS EM CONCRETO CICLÓPICO PARA TUBOS Ø 600 MM</t>
  </si>
  <si>
    <t>BOCA DE BUEIRO SIMPLES COM ABAS EM CONCRETO CICLÓPICO PARA TUBOS Ø 800 MM</t>
  </si>
  <si>
    <t>BOCA DE BUEIRO SIMPLES COM ABAS EM CONCRETO CICLÓPICO PARA TUBOS Ø 1000 MM</t>
  </si>
  <si>
    <t>BOCA DE BUEIRO SIMPLES COM ABAS EM CONCRETO CICLÓPICO PARA TUBOS Ø 1200 MM</t>
  </si>
  <si>
    <t>BOCA DE BUEIRO SIMPLES COM ABAS EM CONCRETO CICLÓPICO PARA TUBOS Ø 1500 MM</t>
  </si>
  <si>
    <t>GAP-100</t>
  </si>
  <si>
    <t>LACRE DE CAIXA DE CAPTAÇÃO EM CONCRETO ARMADO NA PISTA OU PASSEIO</t>
  </si>
  <si>
    <t>GAP-101</t>
  </si>
  <si>
    <t>GAP-102</t>
  </si>
  <si>
    <t>LASTRO DE BRITA TIPO BICA CORRIDA, BRITA 4A OU MOLEDO PARA BASE DE ASSENTAMENTO DE TUBOS</t>
  </si>
  <si>
    <t>LASTRO DE PEDRA DE MÃO, RACHÃO OU PEDRA MARROADA</t>
  </si>
  <si>
    <t>GAP-105</t>
  </si>
  <si>
    <t>LASTRO DE BRITA 1</t>
  </si>
  <si>
    <t>LASTRO DE BRITA 2</t>
  </si>
  <si>
    <t>GAP-107</t>
  </si>
  <si>
    <t>LASTRO DE BRITA 3</t>
  </si>
  <si>
    <t>GAP-108</t>
  </si>
  <si>
    <t>LASTRO DE SAIBRO</t>
  </si>
  <si>
    <t>GAP-109</t>
  </si>
  <si>
    <t>COLCHÃO DE AREIA GROSSA</t>
  </si>
  <si>
    <t>ESCORAMENTO DE VALA, TIPO PONTALETEAMENTO, COM PROFUNDIDADE DE 0 A 1,5 M, LARGURA MENOR QUE 1,5 M</t>
  </si>
  <si>
    <t>ESCORAMENTO DE VALA, TIPO PONTALETEAMENTO, COM PROFUNDIDADE DE 0 A 1,5 M, LARGURA MAIOR OU IGUAL A 1,5 M E MENOR QUE 2,5 M</t>
  </si>
  <si>
    <t>ESCORAMENTO DE VALA, TIPO PONTALETEAMENTO, COM PROFUNDIDADE DE 1,5 A 3,0 M, LARGURA MENOR QUE 1,5 M</t>
  </si>
  <si>
    <t>ESCORAMENTO DE VALA, TIPO PONTALETEAMENTO, COM PROFUNDIDADE DE 1,5 A 3,0 M, LARGURA MAIOR OU IGUAL A 1,5 M E MENOR QUE 2,5 M</t>
  </si>
  <si>
    <t>ESCORAMENTO DE VALA, TIPO PONTALETEAMENTO, COM PROFUNDIDADE DE 3,0 A 4,5 M, LARGURA MENOR QUE 1,5 M</t>
  </si>
  <si>
    <t>ESCORAMENTO DE VALA, TIPO PONTALETEAMENTO, COM PROFUNDIDADE DE 3,0 A 4,5 M, LARGURA MAIOR OU IGUAL A 1,5 M E MENOR QUE 2,5 M</t>
  </si>
  <si>
    <t>ESCORAMENTO DE VALA, TIPO DESCONTÍNUO, COM PROFUNDIDADE DE 0 A 1,5 M, LARGURA MENOR QUE 1,5 M</t>
  </si>
  <si>
    <t>ESCORAMENTO DE VALA, TIPO DESCONTÍNUO, COM PROFUNDIDADE DE 0 A 1,5 M, LARGURA MAIOR OU IGUAL A 1,5 M E MENOR QUE 2,5 M</t>
  </si>
  <si>
    <t>ESCORAMENTO DE VALA, TIPO DESCONTÍNUO, COM PROFUNDIDADE DE 1,5 M A 3,0 M, LARGURA MENOR QUE 1,5 M</t>
  </si>
  <si>
    <t>ESCORAMENTO DE VALA, TIPO DESCONTÍNUO, COM PROFUNDIDADE DE 1,5 A 3,0 M, LARGURA MAIOR OU IGUAL A 1,5 M E MENOR QUE 2,5 M</t>
  </si>
  <si>
    <t>ESCORAMENTO DE VALA, TIPO DESCONTÍNUO, COM PROFUNDIDADE DE 3,0 A 4,5 M, LARGURA MENOR QUE 1,5 M</t>
  </si>
  <si>
    <t>ESCORAMENTO DE VALA, TIPO DESCONTÍNUO, COM PROFUNDIDADE DE 3,0 A 4,5 M, LARGURA MAIOR OU IGUAL A 1,5 E MENOR QUE 2,5 M</t>
  </si>
  <si>
    <t>ESCORAMENTO DE VALA, TIPO CONTÍNUO, COM PROFUNDIDADE DE 0 A 1,5 M, LARGURA MENOR QUE 1,5 M</t>
  </si>
  <si>
    <t>ESCORAMENTO DE VALA, TIPO CONTÍNUO, COM PROFUNDIDADE DE 0 A 1,5 M, LARGURA MAIOR OU IGUAL A 1,5 M E MENOR QUE 2,5 M</t>
  </si>
  <si>
    <t>ESCORAMENTO DE VALA, TIPO CONTÍNUO, COM PROFUNDIDADE DE 1,5 M A 3,0 M, LARGURA MENOR QUE 1,5 M</t>
  </si>
  <si>
    <t>ESCORAMENTO DE VALA, TIPO CONTÍNUO, COM PROFUNDIDADE DE 1,5 A 3,0 M, LARGURA MAIOR OU IGUAL A 1,5 M E MENOR QUE 2,5 M</t>
  </si>
  <si>
    <t>ESCORAMENTO DE VALA, TIPO CONTÍNUO, COM PROFUNDIDADE DE 3,0 A 4,5 M, LARGURA MENOR QUE 1,5 M</t>
  </si>
  <si>
    <t>ESCORAMENTO DE VALA, TIPO CONTÍNUO, COM PROFUNDIDADE DE 3,0 A 4,5 M, LARGURA MAIOR OU IGUAL A 1,5 E MENOR QUE 2,5 M</t>
  </si>
  <si>
    <t>ESCORAMENTO DE VALA, TIPO CONTÍNUO COM PERFIL METÁLICO "U", COM PROFUNDIDADE DE 0 A 1,5 M, LARGURA MENOR QUE 1,5 M</t>
  </si>
  <si>
    <t>ESCORAMENTO DE VALA,TIPO CONTÍNUO COM PERFIL METÁLICO "U", COM PROFUNDIDADE DE 0 A 1,5 M, LARGURA MAIOR OU IGUAL A 1,5 E MENOR QUE 2,5 M</t>
  </si>
  <si>
    <t>ESCORAMENTO DE VALA, TIPO CONTÍNUO COM PERFIL METÁLICO "U", COM PROFUNDIDADE DE 1,5 A 3,0 M, LARGURA MENOR QUE 1,5 M</t>
  </si>
  <si>
    <t>ESCORAMENTO DE VALA, TIPO CONTÍNUO COM PERFIL METÁLICO "U", COM PROFUNDIDADE DE 1,5 A 3,0 M, LARGURA MAIOR OU IGUAL 1,5 M E MENOR QUE 2,5 M</t>
  </si>
  <si>
    <t>ESCORAMENTO DE VALA, TIPO CONTÍNUO COM PERFIL METÁLICO "U", COM PROFUNDIDADE DE 3,0 A 4,5 M, LARGURA MENOR QUE 1,5 M</t>
  </si>
  <si>
    <t>ESCORAMENTO DE VALA, TIPO CONTÍNUO COM PERFIL METÁLICO "U", COM PROFUNDIDADE DE 3,0 A 4,5 M, LARGURA MAIOR OU IGUAL A 1,5 M E MENOR QUE 2,5 M</t>
  </si>
  <si>
    <t>GAP-110</t>
  </si>
  <si>
    <t>FORNECIMENTO, INSTALAÇÃO E RETIRADA DE ESCORAMENTO METÁLICO TUBULAR PARA FORMAS COM CAPACIDADE DE 1.600 A 3.200 KG/UD, REGULÁVEL DE 1,80 A 3,0 M - UTILIZAÇÃO DE 20 VEZES</t>
  </si>
  <si>
    <t>GAP-111</t>
  </si>
  <si>
    <t>ESCAVAÇÃO MANUAL EM MATERIAL DURO COM PROFUNDIDADE MENOR OU IGUAL A 1,30 M</t>
  </si>
  <si>
    <t>GAP-112</t>
  </si>
  <si>
    <t>ESCAVAÇÃO MECÂNICA EM MATERIAL DURO COM PROFUNDIDADE MENOR OU IGUAL A 4,50 M COM RETROESCAVADEIRA</t>
  </si>
  <si>
    <t>LASTRO DE CONCRETO MAGRO, INCLUSIVE LANÇAMENTO - PREPARO COM BETONEIRA</t>
  </si>
  <si>
    <t>CONCRETO MAGRO, SEM LANÇAMENTO - PREPARO COM BETONEIRA</t>
  </si>
  <si>
    <t>CONCRETO CICLOPICO, INCLUSIVE LANÇAMENTO</t>
  </si>
  <si>
    <t>CONCRETO FCK=15,0 MPa TRAÇO 1:3,4:3,5 (CIMENTO/AREIA/BRITA) - PREPARO COM BETONEIRA</t>
  </si>
  <si>
    <t>CONCRETO FCK=20,0 MPa TRAÇO 1:2,7:3 (CIMENTO/AREIA/BRITA) - PREPARO COM BETONEIRA</t>
  </si>
  <si>
    <t>LANÇAMENTO COM USO DE BALDES, ADENSAMENTO E ACABAMENTO DE CONCRETO</t>
  </si>
  <si>
    <t>LANÇAMENTO COM USO DE BOMBA, ADENSAMENTO E ACABAMENTO DE CONCRETO</t>
  </si>
  <si>
    <t>CONCRETO USINADO FCK=10,0 MPA SEM LANÇAMENTO E SEM SERVIÇO DE BOMBEAMENTO</t>
  </si>
  <si>
    <t>CONCRETO USINADO FCK=15,0 MPA SEM LANÇAMENTO E SEM SERVIÇO DE BOMBEAMENTO</t>
  </si>
  <si>
    <t>CONCRETO USINADO FCK=20,0 MPA SEM LANÇAMENTO E SEM SERVIÇO DE BOMBEAMENTO</t>
  </si>
  <si>
    <t>CONCRETO USINADO FCK=20,0 MPA SEM LANÇAMENTO E COM SERVIÇO DE BOMBEAMENTO</t>
  </si>
  <si>
    <t>CONCRETO USINADO FCK=25,0 MPA SEM LANÇAMENTO E SEM SERVIÇO DE BOMBEAMENTO</t>
  </si>
  <si>
    <t>CONCRETO USINADO FCK=25,0 MPA SEM LANÇAMENTO E COM SERVIÇO DE BOMBEAMENTO</t>
  </si>
  <si>
    <t>CONCRETO USINADO FCK=30,0 MPA SEM LANÇAMENTO E SEM SERVIÇO DE BOMBEAMENTO</t>
  </si>
  <si>
    <t>CONCRETO USINADO FCK=30,0 MPA SEM LANÇAMENTO E COM SERVIÇO DE BOMBEAMENTO</t>
  </si>
  <si>
    <t>CONCRETO USINADO FCK=35,0 MPA SEM LANÇAMENTO E SEM SERVIÇO DE BOMBEAMENTO</t>
  </si>
  <si>
    <t>CONCRETO USINADO FCK=35,0 MPA SEM LANÇAMENTO E COM SERVIÇO DE BOMBEAMENTO</t>
  </si>
  <si>
    <t>GAP-113</t>
  </si>
  <si>
    <t>FORMA DE TÁBUA SERRADA DE PINUS SEM REAPROVEITAMENTO</t>
  </si>
  <si>
    <t>GAP-114</t>
  </si>
  <si>
    <t>FORMA DE MADEIRA SERRADA DE PINUS 1" COM REAPROVEITAMENTO DE 4 VEZES</t>
  </si>
  <si>
    <t>GAP-115</t>
  </si>
  <si>
    <t>FORMA DE CHAPA DE MADEIRA COMPENSADA RESINADA 14 MM COM REAPROVEITAMENTO DE 4 VEZES</t>
  </si>
  <si>
    <t>KG</t>
  </si>
  <si>
    <t>ARMAÇÃO DE ESTRUTURAS DE CONCRETO ARMADO UTILIZANDO AÇO CA-60 DE 5,0 MM</t>
  </si>
  <si>
    <t>ARMAÇÃO DE ESTRUTURAS DE CONCRETO ARMADO UTILIZANDO AÇO CA-50 DE 6,3 MM</t>
  </si>
  <si>
    <t xml:space="preserve">ARMAÇÃO DE ESTRUTURAS DE CONCRETO ARMADO UTILIZANDO AÇO CA-50 DE 8,0 MM </t>
  </si>
  <si>
    <t>ARMAÇÃO DE ESTRUTURAS DE CONCRETO ARMADO UTILIZANDO AÇO CA-50 DE 10,0 MM</t>
  </si>
  <si>
    <t>ARMAÇÃO DE ESTRUTURAS DE CONCRETO ARMADO UTILIZANDO AÇO CA-50 DE 12,5 MM</t>
  </si>
  <si>
    <t>ARMAÇÃO DE ESTRUTURAS DE CONCRETO ARMADO UTILIZANDO AÇO CA-50 DE 16,0 MM</t>
  </si>
  <si>
    <t xml:space="preserve">ARMAÇÃO DE ESTRUTURAS DE CONCRETO ARMADO UTILIZANDO AÇO CA-50 DE 20,0 MM </t>
  </si>
  <si>
    <t xml:space="preserve">ARMAÇÃO DE ESTRUTURAS DE CONCRETO ARMADO UTILIZANDO AÇO CA-50 DE 25,0 MM </t>
  </si>
  <si>
    <t>ARGAMASSA TRAÇO 1:3 (CIMENTO E AREIA), PREPARO MECÂNICO COM BETONEIRA 400 L</t>
  </si>
  <si>
    <t>ESGOTAMENTO CONTÍNUO D'ÁGUA</t>
  </si>
  <si>
    <t>H</t>
  </si>
  <si>
    <t>GAP-117</t>
  </si>
  <si>
    <t>DRENAGEM COM TUBO DE CONCRETO POROSO D = 20 CM, PROFUNDIDADE ATÉ 1,50 M</t>
  </si>
  <si>
    <t>GAP-118</t>
  </si>
  <si>
    <t>DRENAGEM COM TUBO DE CONCRETO POROSO D = 30 CM, PROFUNDIDADE ATÉ 1,50 M</t>
  </si>
  <si>
    <t>GAP-119</t>
  </si>
  <si>
    <t>DRENAGEM COM TUBO PEAD CORRUGADO PERFURADO D = 65 MM, PROFUNDIDADE ATÉ 1,50 M</t>
  </si>
  <si>
    <t>GAP-120</t>
  </si>
  <si>
    <t>DRENAGEM COM TUBO PEAD CORRUGADO PERFURADO D = 100 MM, PROFUNDIDADE ATÉ 1,50 M</t>
  </si>
  <si>
    <t>GAP-121</t>
  </si>
  <si>
    <t>DRENAGEM COM TUBO PEAD CORRUGADO PERFURADO D = 200 MM, PROFUNDIDADE ATÉ 1,50 M</t>
  </si>
  <si>
    <t>GAP-122</t>
  </si>
  <si>
    <t>MANTA GEOTÊXTIL COM RESISTÊNCIA À TRAÇÃO DE 9 KN</t>
  </si>
  <si>
    <t>MANTA GEOTÊXTIL COM RESISTÊNCIA À TRAÇÃO DE 10 KN</t>
  </si>
  <si>
    <t>GAP-124</t>
  </si>
  <si>
    <t>MANTA GEOTÊXTIL COM RESISTÊNCIA À TRAÇÃO DE 14 KN</t>
  </si>
  <si>
    <t>GAP-125</t>
  </si>
  <si>
    <t>DEMOLIÇÃO MANUAL DE CONCRETO SIMPLES SEM REAPROVEITAMENTO</t>
  </si>
  <si>
    <t>GAP-126</t>
  </si>
  <si>
    <t>DEMOLIÇÃO DE CONCRETO SIMPLES SEM REAPROVEITAMENTO COM MARTELETE</t>
  </si>
  <si>
    <t>DEMOLIÇÃO MANUAL DE ALVENARIA DE TIJOLOS SEM REAPROVEITAMENTO</t>
  </si>
  <si>
    <t>GAP-127</t>
  </si>
  <si>
    <t>ARGAMASSA TRAÇO 1:1,65 (CIMENTO E AREIA MÉDIA), FCK 20 MPA, PREPARO MECÂNICO COM MISTURADOR DUPLO HORIZONTAL DE ALTA TURBULÊNCIA</t>
  </si>
  <si>
    <t>CONTENÇÕES</t>
  </si>
  <si>
    <t>MURO DE GABIÃO COM PEDRA TIPO RACHÃO, COM GAIOLAS DE COMPRIMENTO IGUAL A 2 M, PARA MUROS COM ALTURA MENOR OU IGUAL A 4 M</t>
  </si>
  <si>
    <t>MURO DE GABIÃO COM PEDRA TIPO RACHÃO, COM GAIOLAS DE COMPRIMENTO IGUAL A 5 M, PARA MUROS COM ALTURA MENOR OU IGUAL A 4 M</t>
  </si>
  <si>
    <t>MURO DE GABIÃO COM PEDRA TIPO RACHÃO, COM GAIOLAS DE COMPRIMENTO IGUAL A 2 M, PARA MUROS COM ALTURA MAIOR QUE 4 M E MENOR OU IGUAL A 6 M</t>
  </si>
  <si>
    <t xml:space="preserve">MURO DE GABIÃO COM PEDRA TIPO RACHÃO, COM GAIOLAS DE COMPRIMENTO IGUAL A 5 M, PARA MUROS COM ALTURA MAIOR QUE 4 M E MENOR OU IGUAL A 6 M </t>
  </si>
  <si>
    <t xml:space="preserve">MURO DE GABIÃO COM PEDRA TIPO RACHÃO, COM GAIOLAS DE COMPRIMENTO IGUAL A 2 M, PARA MUROS COM ALTURA MAIOR QUE 6 M E MENOR OU IGUAL A 10 M </t>
  </si>
  <si>
    <t>MURO DE GABIÃO COM PEDRA TIPO RACHÃO, COM GAIOLAS DE COMPRIMENTO IGUAL A 5 M, PARA MUROS COM ALTURA MAIOR QUE 6 M E MENOR OU IGUAL A 10 M</t>
  </si>
  <si>
    <t>MURO DE GABIÃO, COM RESÍDUO DE CONSTRUÇÃO E DEMOLIÇÃO, COM GAIOLA TRAPEZOIDAL DE COMPRIMENTO IGUAL A 2 M, PARA MUROS COM ALTURA MENOR OU IGUAL A 2 M</t>
  </si>
  <si>
    <t>MURO DE GABIÃO, COM RESÍDUO DE CONSTRUÇÃO E DEMOLIÇÃO, COM GAIOLA TRAPEZOIDAL DE COMPRIMENTO IGUAL A 2 M, PARA MUROS COM ALTURA MAIOR QUE 2 M E MENOR OU IGUAL A 4 M</t>
  </si>
  <si>
    <t>GABIÃO TIPO COLCHÃO, ALTURA DE 17 CENTÍMETROS, ENCHIMENTO COM PEDRA TIPO RACHÃO</t>
  </si>
  <si>
    <t>GABIÃO TIPO COLCHÃO, ALTURA DE 23 CENTÍMETROS, ENCHIMENTO COM PEDRA TIPO RACHÃO</t>
  </si>
  <si>
    <t>GABIÃO TIPO COLCHÃO, ALTURA DE 30 CENTÍMETROS, ENCHIMENTO COM PEDRA TIPO RACHÃO</t>
  </si>
  <si>
    <t>GABIÃO TIPO SACO, DIÂMETRO DE 65 CENTÍMETROS, ENCHIMENTO MANUAL COM PEDRA TIPO RACHÃO</t>
  </si>
  <si>
    <t>CON-001</t>
  </si>
  <si>
    <t>PERFURAÇÃO EM SOLO PARA TIRANTE MONOBARRA, COMPRIMENTO MAIOR OU IGUAL A 6 M E MENOR QUE 14 M, COM DIÂMETRO DE FURO DE 100 MM EXECUTADO COM HASTE E SEM TUBO DE REVESTIMENTO UTILIZANDO, PERFURATRIZ SOBRE ESTEIRA</t>
  </si>
  <si>
    <t>CON-002</t>
  </si>
  <si>
    <t>PERFURAÇÃO EM SOLO PARA TIRANTE MONOBARRA, COMPRIMENTO MAIOR OU IGUAL A 14 M E MENOR QUE 22 M, COM DIÂMETRO DE FURO DE 100 MM EXECUTADO COM HASTE E SEM TUBO DE REVESTIMENTO UTILIZANDO, PERFURATRIZ SOBRE ESTEIRA</t>
  </si>
  <si>
    <t>CON-003</t>
  </si>
  <si>
    <t>PERFURAÇÃO EM SOLO PARA TIRANTE MONOBARRA, COMPRIMENTO MAIOR OU IGUAL A 22 M E MENOR QUE 30 M, COM DIÂMETRO DE FURO DE 100 MM EXECUTADO COM HASTE E SEM TUBO DE REVESTIMENTO, UTILIZANDO PERFURATRIZ SOBRE ESTEIRA</t>
  </si>
  <si>
    <t>CON-004</t>
  </si>
  <si>
    <t>PERFURAÇÃO EM SOLO PARA TIRANTE MONOBARRA, COMPRIMENTO MAIOR OU IGUAL A 6 M E MENOR QUE 14 M, COM DIÂMETRO DE FURO DE 150 MM EXECUTADO COM HASTE E SEM TUBO DE REVESTIMENTO, UTILIZANDO PERFURATRIZ SOBRE ESTEIRA</t>
  </si>
  <si>
    <t>CON-005</t>
  </si>
  <si>
    <t>PERFURAÇÃO EM SOLO PARA TIRANTE MONOBARRA, COMPRIMENTO MAIOR OU IGUAL A 14 M E MENOR QUE 22 M, COM DIÂMETRO DE FURO DE 150 MM EXECUTADO COM HASTE E SEM TUBO DE REVESTIMENTO, UTILIZANDO PERFURATRIZ SOBRE ESTEIRA</t>
  </si>
  <si>
    <t>CON-006</t>
  </si>
  <si>
    <t>PERFURAÇÃO EM SOLO PARA TIRANTE MONOBARRA, COMPRIMENTO MAIOR OU IGUAL A 22 M E MENOR QUE 30 M, COM DIÂMETRO DE FURO DE 150 MM EXECUTADO COM HASTE E SEM TUBO DE REVESTIMENTO, UTILIZANDO PERFURATRIZ SOBRE ESTEIRA</t>
  </si>
  <si>
    <t>CON-007</t>
  </si>
  <si>
    <t>PERFURAÇÃO EM SOLO PARA TIRANTE MONOBARRA, COMPRIMENTO MAIOR OU IGUAL A 6 M E MENOR QUE 14 M, COM DIÂMETRO DE FURO DE 100 MM EXECUTADO COM HASTE E COM TUBO DE REVESTIMENTO, UTILIZANDO PERFURATRIZ SOBRE ESTEIRA</t>
  </si>
  <si>
    <t>CON-008</t>
  </si>
  <si>
    <t>PERFURAÇÃO EM SOLO PARA TIRANTE MONOBARRA, COMPRIMENTO MAIOR OU IGUAL A 14 M E MENOR QUE 22 M, COM DIÂMETRO DE FURO DE 100 MM EXECUTADO COM HASTE E COM TUBO DE REVESTIMENTO, UTILIZANDO PERFURATRIZ SOBRE ESTEIRA</t>
  </si>
  <si>
    <t>CON-009</t>
  </si>
  <si>
    <t>PERFURAÇÃO EM SOLO PARA TIRANTE MONOBARRA, COMPRIMENTO MAIOR OU IGUAL A 22 M E MENOR QUE 30 M, COM DIÂMETRO DE FURO DE 100 MM EXECUTADO COM HASTE E COM TUBO DE REVESTIMENTO, UTILIZANDO PERFURATRIZ SOBRE ESTEIRA</t>
  </si>
  <si>
    <t>CON-010</t>
  </si>
  <si>
    <t>PERFURAÇÃO EM SOLO PARA TIRANTE MONOBARRA, COMPRIMENTO MAIOR OU IGUAL A 6 M E MENOR QUE 14 M, COM DIÂMETRO DE FURO DE 150 MM EXECUTADO COM HASTE E COM TUBO DE REVESTIMENTO, UTILIZANDO PERFURATRIZ SOBRE ESTEIRA</t>
  </si>
  <si>
    <t>CON-011</t>
  </si>
  <si>
    <t>PERFURAÇÃO EM SOLO PARA TIRANTE MONOBARRA, COMPRIMENTO MAIOR OU IGUAL A 14 M E MENOR QUE 22 M, COM DIÂMETRO DE FURO DE 150 MM EXECUTADO COM HASTE E COM TUBO DE REVESTIMENTO, UTILIZANDO PERFURATRIZ SOBRE ESTEIRA</t>
  </si>
  <si>
    <t>CON-012</t>
  </si>
  <si>
    <t>PERFURAÇÃO EM SOLO PARA TIRANTE MONOBARRA, COMPRIMENTO MAIOR OU IGUAL A 22 M E MENOR QUE 30 M, COM DIÂMETRO DE FURO DE 150 MM EXECUTADO COM HASTE E COM TUBO DE REVESTIMENTO, UTILIZANDO PERFURATRIZ SOBRE ESTEIRA</t>
  </si>
  <si>
    <t>EXECUÇÃO DE PROTEÇÃO DA CABEÇA DO TIRANTE COM USO DE FÔRMAS EM CHAPA COMPENSADA PLASTIFICADA E CONCRETO FCK =15 MPA</t>
  </si>
  <si>
    <t>CON-013</t>
  </si>
  <si>
    <t>INJEÇÃO DE CALDA DE CIMENTO PARA TIRANTE  COM DIÂMETRO DE FURO DE 100 MM</t>
  </si>
  <si>
    <t>CON-014</t>
  </si>
  <si>
    <t>PROTENSÃO DE TIRANTE MONOBARRA</t>
  </si>
  <si>
    <t>ESTACA HÉLICE CONTÍNUA, DIÂMETRO DE 30 CM, INCLUSO CONCRETO FCK=30MPA E ARMADURA MÍNIMA (EXCLUSIVE MOBILIZAÇÃO, DESMOBILIZAÇÃO E BOMBEAMENTO)</t>
  </si>
  <si>
    <t>ESTACA HÉLICE CONTÍNUA , DIÂMETRO DE 50 CM, INCLUSO CONCRETO FCK=30MPA E ARMADURA MÍNIMA (EXCLUSIVE MOBILIZAÇÃO, DESMOBILIZAÇÃO E BOMBEAMENTO)</t>
  </si>
  <si>
    <t>ESTACA HÉLICE CONTÍNUA, DIÂMETRO DE 70 CM, INCLUSO CONCRETO FCK=30MPA E ARMADURA MÍNIMA (EXCLUSIVE MOBILIZAÇÃO, DESMOBILIZAÇÃO E BOMBEAMENTO)</t>
  </si>
  <si>
    <t>ESTACA HÉLICE CONTÍNUA, DIÂMETRO DE 80 CM, INCLUSO CONCRETO FCK=30MPA E ARMADURA MÍNIMA (EXCLUSIVE MOBILIZAÇÃO, DESMOBILIZAÇÃO E BOMBEAMENTO)</t>
  </si>
  <si>
    <t>ESTACA HÉLICE CONTÍNUA, DIÂMETRO DE 90 CM, INCLUSO CONCRETO FCK=30MPA E ARMADURA MÍNIMA (EXCLUSIVE MOBILIZAÇÃO, DESMOBILIZAÇÃO E BOMBEAMENTO)</t>
  </si>
  <si>
    <t>SERVIÇO DE BOMBEAMENTO DE CONCRETO</t>
  </si>
  <si>
    <t>MURETA GUIA PARA CONTENÇÃO/ FUNDAÇÃO COM 30 CM DE ESPESSURA</t>
  </si>
  <si>
    <t>MURETA GUIA PARA CONTENÇÃO/ FUNDAÇÃO COM 40 CM DE ESPESSURA</t>
  </si>
  <si>
    <t>MURETA GUIA PARA CONTENÇÃO/ FUNDAÇÃO COM 50 CM DE ESPESSURA</t>
  </si>
  <si>
    <t>MURETA GUIA PARA CONTENÇÃO/ FUNDAÇÃO COM 60 CM DE ESPESSURA</t>
  </si>
  <si>
    <t>MURETA GUIA PARA CONTENÇÃO/ FUNDAÇÃO COM 80 CM DE ESPESSURA</t>
  </si>
  <si>
    <t>CON-015</t>
  </si>
  <si>
    <t>CONTENÇÃO EM PAREDE DIAFRAGMA COM 30 CM DE ESPESSURA E PROFUNDIDADE ATÉ 10 M</t>
  </si>
  <si>
    <t>CON-016</t>
  </si>
  <si>
    <t>CONTENÇÃO EM PAREDE DIAFRAGMA COM 30 CM DE ESPESSURA E PROFUNDIDADE MAIOR QUE 10 M ATÉ 15 M</t>
  </si>
  <si>
    <t>CON-017</t>
  </si>
  <si>
    <t>CONTENÇÃO EM PAREDE DIAFRAGMA COM 30 CM DE ESPESSURA E PROFUNDIDADE MAIOR QUE 15 M ATÉ 20 M</t>
  </si>
  <si>
    <t>CON-018</t>
  </si>
  <si>
    <t>CONTENÇÃO EM PAREDE DIAFRAGMA COM 40 CM DE ESPESSURA E PROFUNDIDADE ATÉ 10 M</t>
  </si>
  <si>
    <t>CON-019</t>
  </si>
  <si>
    <t>CONTENÇÃO EM PAREDE DIAFRAGMA COM 40 CM DE ESPESSURA E PROFUNDIDADE MAIOR QUE 10 M ATÉ 15 M</t>
  </si>
  <si>
    <t>CON-020</t>
  </si>
  <si>
    <t>CONTENÇÃO EM PAREDE DIAFRAGMA COM 40 CM DE ESPESSURA E PROFUNDIDADE MAIOR QUE 15 M ATÉ 20 M</t>
  </si>
  <si>
    <t>CON-021</t>
  </si>
  <si>
    <t>CONTENÇÃO EM PAREDE DIAFRAGMA COM 50 CM DE ESPESSURA E PROFUNDIDADE ATÉ 10 M</t>
  </si>
  <si>
    <t>CON-022</t>
  </si>
  <si>
    <t>CONTENÇÃO EM PAREDE DIAFRAGMA COM 50 CM DE ESPESSURA E PROFUNDIDADE MAIOR QUE 10 M ATÉ 15 M</t>
  </si>
  <si>
    <t>CON-023</t>
  </si>
  <si>
    <t>CONTENÇÃO EM PAREDE DIAFRAGMA COM 50 CM DE ESPESSURA E PROFUNDIDADE MAIOR QUE 15 M ATÉ 20 M</t>
  </si>
  <si>
    <t>CON-024</t>
  </si>
  <si>
    <t>CONTENÇÃO EM PAREDE DIAFRAGMA COM 60 CM DE ESPESSURA E PROFUNDIDADE ATÉ 10 M</t>
  </si>
  <si>
    <t>CON-025</t>
  </si>
  <si>
    <t>CONTENÇÃO EM PAREDE DIAFRAGMA COM 60 CM DE ESPESSURA E PROFUNDIDADE MAIOR QUE 10 M ATÉ 15 M</t>
  </si>
  <si>
    <t>CON-026</t>
  </si>
  <si>
    <t>CONTENÇÃO EM PAREDE DIAFRAGMA COM 60 CM DE ESPESSURA E PROFUNDIDADE MAIOR QUE 15 M ATÉ 20 M</t>
  </si>
  <si>
    <t>CON-027</t>
  </si>
  <si>
    <t>FORMA METÁLICA PARA ADUELAS E BUEIROS CELULARES DE CONCRETO PRÉ-MOLDADOS - UTILIZAÇÃO 100 VEZES</t>
  </si>
  <si>
    <t>CON-028</t>
  </si>
  <si>
    <t>FORNECIMENTO E LANÇAMENTO DE GALERIA CELULAR SIMPLES EM CONCRETO ARMADO COM MEDIDA INTERNA DE 1,50 X 1,50 M E ALTURA DE ATERRO ATÉ 1,00 M (TIPO I) - CLASSE 45 - SEM TRANSPORTE</t>
  </si>
  <si>
    <t>CON-029</t>
  </si>
  <si>
    <t>FORNECIMENTO E LANÇAMENTO DE GALERIA CELULAR SIMPLES EM CONCRETO ARMADO COM MEDIDA INTERNA DE 1,50 X 1,50 M E ALTURA DE ATERRO MAIOR QUE 1,00 M ATÉ 2,50 M (TIPO II) - CLASSE 45 - SEM TRANSPORTE</t>
  </si>
  <si>
    <t>CON-030</t>
  </si>
  <si>
    <t>FORNECIMENTO E LANÇAMENTO DE GALERIA CELULAR SIMPLES EM CONCRETO ARMADO COM MEDIDA INTERNA DE 1,50 X 1,50 M E ALTURA DE ATERRO MAIOR QUE 2,50 M ATÉ 5,00 M (TIPO III) - CLASSE 45 - SEM TRANSPORTE</t>
  </si>
  <si>
    <t>CON-031</t>
  </si>
  <si>
    <t>FORNECIMENTO E LANÇAMENTO DE GALERIA CELULAR SIMPLES EM CONCRETO ARMADO COM MEDIDA INTERNA DE 1,50 X 1,50 M E ALTURA DE ATERRO MAIOR QUE 5,00 M ATÉ 7,50 M (TIPO IV) - CLASSE 45 - SEM TRANSPORTE</t>
  </si>
  <si>
    <t>CON-032</t>
  </si>
  <si>
    <t>FORNECIMENTO E LANÇAMENTO DE GALERIA CELULAR SIMPLES EM CONCRETO ARMADO COM MEDIDA INTERNA DE 2,00 X 2,00 M E ALTURA DE ATERRO ATÉ 1,00 M (TIPO I) - CLASSE 45 - SEM TRANSPORTE</t>
  </si>
  <si>
    <t>CON-033</t>
  </si>
  <si>
    <t>FORNECIMENTO E LANÇAMENTO DE GALERIA CELULAR SIMPLES EM CONCRETO ARMADO COM MEDIDA INTERNA DE 2,00 X 2,00 M E ALTURA DE ATERRO MAIOR QUE 1,00 M ATÉ 2,50 M (TIPO II) - CLASSE 45 - SEM TRANSPORTE</t>
  </si>
  <si>
    <t>CON-034</t>
  </si>
  <si>
    <t>FORNECIMENTO E LANÇAMENTO DE GALERIA CELULAR SIMPLES EM CONCRETO ARMADO COM MEDIDA INTERNA DE 2,00 X 2,00 M E ALTURA DE ATERRO MAIOR QUE 2,50 M ATÉ 5,00 M (TIPO III) - CLASSE 45 - SEM TRANSPORTE</t>
  </si>
  <si>
    <t>CON-035</t>
  </si>
  <si>
    <t>FORNECIMENTO E LANÇAMENTO DE GALERIA CELULAR SIMPLES EM CONCRETO ARMADO COM MEDIDA INTERNA DE 2,00 X 2,00 M E ALTURA DE ATERRO MAIOR QUE 5,00 M ATÉ 7,50 M (TIPO IV) - CLASSE 45 - SEM TRANSPORTE</t>
  </si>
  <si>
    <t>CON-036</t>
  </si>
  <si>
    <t>FORNECIMENTO E LANÇAMENTO DE GALERIA CELULAR SIMPLES EM CONCRETO ARMADO COM MEDIDA INTERNA DE 2,50 X 2,50 M E ALTURA DE ATERRO ATÉ 1,00 M (TIPO I) - CLASSE 45 - SEM TRANSPORTE</t>
  </si>
  <si>
    <t>CON-037</t>
  </si>
  <si>
    <t>FORNECIMENTO E LANÇAMENTO DE GALERIA CELULAR SIMPLES EM CONCRETO ARMADO COM MEDIDA INTERNA DE 2,50 X 2,50 M E ALTURA DE ATERRO MAIOR QUE 1,00 M ATÉ 2,50 M (TIPO II) - CLASSE 45 - SEM TRANSPORTE</t>
  </si>
  <si>
    <t>CON-038</t>
  </si>
  <si>
    <t>FORNECIMENTO E LANÇAMENTO DE GALERIA CELULAR SIMPLES EM CONCRETO ARMADO COM MEDIDA INTERNA DE 2,50 X 2,50 M E ALTURA DE ATERRO MAIOR QUE 2,50 M ATÉ 5,00 M (TIPO III) - CLASSE 45 - SEM TRANSPORTE</t>
  </si>
  <si>
    <t>CON-039</t>
  </si>
  <si>
    <t>FORNECIMENTO E LANÇAMENTO DE GALERIA CELULAR SIMPLES EM CONCRETO ARMADO COM MEDIDA INTERNA DE 2,50 X 2,50 M E ALTURA DE ATERRO MAIOR QUE 5,00 M ATÉ 7,50 M (TIPO IV) - CLASSE 45 - SEM TRANSPORTE</t>
  </si>
  <si>
    <t>CON-040</t>
  </si>
  <si>
    <t>FORNECIMENTO E LANÇAMENTO DE GALERIA CELULAR SIMPLES EM CONCRETO ARMADO COM MEDIDA INTERNA DE 3,00 X 3,00 M E ALTURA DE ATERRO ATÉ 1,00 M (TIPO I) - CLASSE 45 - SEM TRANSPORTE</t>
  </si>
  <si>
    <t>CON-041</t>
  </si>
  <si>
    <t>FORNECIMENTO E LANÇAMENTO DE GALERIA CELULAR SIMPLES EM CONCRETO ARMADO COM MEDIDA INTERNA DE 3,00 X 3,00 M E ALTURA DE ATERRO MAIOR QUE 1,00 M ATÉ 2,50 M (TIPO II) - CLASSE 45 - SEM TRANSPORTE</t>
  </si>
  <si>
    <t>CON-042</t>
  </si>
  <si>
    <t>FORNECIMENTO E LANÇAMENTO DE GALERIA CELULAR SIMPLES EM CONCRETO ARMADO COM MEDIDA INTERNA DE 3,00 X 3,00 M E ALTURA DE ATERRO MAIOR QUE 2,50 M ATÉ 5,00 M (TIPO III) - CLASSE 45 - SEM TRANSPORTE</t>
  </si>
  <si>
    <t>CON-043</t>
  </si>
  <si>
    <t>FORNECIMENTO E LANÇAMENTO DE GALERIA CELULAR SIMPLES EM CONCRETO ARMADO COM MEDIDA INTERNA DE 3,00 X 3,00 M E ALTURA DE ATERRO MAIOR QUE 5,00 M ATÉ 7,50 M (TIPO IV) - CLASSE 45 - SEM TRANSPORTE</t>
  </si>
  <si>
    <t>CON-044</t>
  </si>
  <si>
    <t>EXECUÇÃO DE MURO DE ARRIMO EM CONCRETO ARMADO COM ALTURA ATÉ 1,00 M</t>
  </si>
  <si>
    <t>CON-045</t>
  </si>
  <si>
    <t>EXECUÇÃO DE MURO DE ARRIMO EM CONCRETO ARMADO COM ALTURA MAIOR QUE 1,00 M ATÉ 2,00 M</t>
  </si>
  <si>
    <t>CON-046</t>
  </si>
  <si>
    <t>EXECUÇÃO DE MURO DE ARRIMO EM CONCRETO ARMADO COM ALTURA MAIOR QUE 2,00 M ATÉ 3,00 M</t>
  </si>
  <si>
    <t>TERRAPLENAGEM</t>
  </si>
  <si>
    <t>ESCAVAÇÃO HORIZONTAL E CARGA DE MATERIAL DE 1ª CATEGORIA</t>
  </si>
  <si>
    <t>ESCAVAÇÃO VERTICAL E CARGA DE MATERIAL INSERVÍVEL - ESCAVADEIRA HIDRÁULICA</t>
  </si>
  <si>
    <t>ESCAVAÇÃO E CARGA DE MATERIAL DE EMPRÉSTIMO PARA ATERRO - TRATOR DE ESTEIRA E CARREGADEIRA</t>
  </si>
  <si>
    <t>ESPALHAMENTO DO MATERIAL DE ATERRO - TRATOR DE ESTEIRA</t>
  </si>
  <si>
    <t>REGULARIZAÇÃO DE SUPERFÍCIES - MOTONIVELADORA</t>
  </si>
  <si>
    <t>TER-003</t>
  </si>
  <si>
    <t>COMPACTAÇÃO DE ATERRO A 100% DO PROCTOR NORMAL</t>
  </si>
  <si>
    <t>REGULARIZAÇÃO E COMPACTAÇÃO DE SUBLEITO DE SOLO  PREDOMINANTEMENTE ARGILOSO</t>
  </si>
  <si>
    <t>REGULARIZAÇÃO E COMPACTAÇÃO DE SUBLEITO DE SOLO PREDOMINANTEMENTE ARENOSO</t>
  </si>
  <si>
    <t>PAVIMENTAÇÃO</t>
  </si>
  <si>
    <t>PAV-001</t>
  </si>
  <si>
    <t xml:space="preserve">EXECUÇÃO E COMPACTAÇÃO DE ATERRO COM AREIA DE ATERRO EM SUBSTITUIÇÃO A MATERIAL INSERVÍVEL </t>
  </si>
  <si>
    <t>PAV-002</t>
  </si>
  <si>
    <t>EXECUÇÃO E COMPACTAÇÃO DE ATERRO COM AREIA RECICLADA EM SUBSTITUIÇÃO A MATERIAL INSERVÍVEL</t>
  </si>
  <si>
    <t xml:space="preserve">EXECUÇÃO E COMPACTAÇÃO DE SUB-BASE DE SAIBRO </t>
  </si>
  <si>
    <t xml:space="preserve">EXECUÇÃO E COMPACTAÇÃO DE SUB-BASE DE BICA CORRIDA RECICLADA </t>
  </si>
  <si>
    <t>PAV-006</t>
  </si>
  <si>
    <t xml:space="preserve">EXECUÇÃO E COMPACTAÇÃO DE SUB-BASE DE RACHÃO (MOLEDO) </t>
  </si>
  <si>
    <t>PAV-007</t>
  </si>
  <si>
    <t xml:space="preserve">EXECUÇÃO E COMPACTAÇÃO DE SUB-BASE DE RACHÃO RECICLADO (MOLEDO) </t>
  </si>
  <si>
    <t>PAV-008</t>
  </si>
  <si>
    <t xml:space="preserve">EXECUÇÃO E COMPACTAÇÃO DE BASE DE BRITA 4A </t>
  </si>
  <si>
    <t>PAV-009</t>
  </si>
  <si>
    <t>EXECUÇÃO E COMPACTAÇÃO DE BASE DE BRITA 4A RECICLADA</t>
  </si>
  <si>
    <t>EXECUÇÃO E COMPACTAÇÃO DE BASE DE BRITA GRADUADA - SEM TRANSPORTE</t>
  </si>
  <si>
    <t>PAV-010</t>
  </si>
  <si>
    <t>USINAGEM DE BRITA GRADUADA TRATADA COM CIMENTO (4%)</t>
  </si>
  <si>
    <t>PAV-011</t>
  </si>
  <si>
    <t>USINAGEM DE BRITA GRADUADA TRATADA COM CIMENTO (3%)</t>
  </si>
  <si>
    <t>PAV-012</t>
  </si>
  <si>
    <t>EXECUÇÃO E COMPACTAÇÃO DE BASE DE BRITA GRADUADA TRATADA COM CIMENTO (4%)</t>
  </si>
  <si>
    <t>PAV-013</t>
  </si>
  <si>
    <t>EXECUÇÃO E COMPACTAÇÃO DE BASE DE BRITA GRADUADA TRATADA COM CIMENTO (3%)</t>
  </si>
  <si>
    <t>EXECUÇÃO E COMPACTAÇÃO DE BASE DE MACADAME SECO - SEM TRANSPORTE</t>
  </si>
  <si>
    <t>PAV-014</t>
  </si>
  <si>
    <t xml:space="preserve">EXECUÇÃO E COMPACTAÇÃO DE BASE DE MACADAME HIDRÁULICO </t>
  </si>
  <si>
    <t>FRESAGEM DE PAVIMENTO ASFÁLTICO (PROFUNDIDADE ATÉ 5,0 CM) - SEM TRANSPORTE</t>
  </si>
  <si>
    <t>PAV-015</t>
  </si>
  <si>
    <t>RECICLAGEM DO PAVIMENTO COM ADIÇÃO DE BRITA E 3% DE CIMENTO</t>
  </si>
  <si>
    <t>PAV-016</t>
  </si>
  <si>
    <t>RECICLAGEM DO PAVIMENTO COM ADIÇÃO DE BRITA E 4% DE CIMENTO</t>
  </si>
  <si>
    <t>PINTURA DE LIGAÇÃO COM EMULSÃO ASFÁLTICA RM-1C</t>
  </si>
  <si>
    <t>PAV-018</t>
  </si>
  <si>
    <t>PINTURA DE LIGAÇÃO COM EMULSÃO ASFÁLTICA RR-1C</t>
  </si>
  <si>
    <t>PAV-019</t>
  </si>
  <si>
    <t>PINTURA DE LIGAÇÃO COM EMULSÃO ASFÁLTICA RR-2C</t>
  </si>
  <si>
    <t>PAV-020</t>
  </si>
  <si>
    <t>IMPRIMAÇÃO COM EMULSÃO ASFÁLTICA RM-1C</t>
  </si>
  <si>
    <t>PAV-021</t>
  </si>
  <si>
    <t>IMPRIMAÇÃO COM EMULSÃO ASFÁLTICA CM-IMPRIMAÇÃO (EAI)</t>
  </si>
  <si>
    <t>PAV-022</t>
  </si>
  <si>
    <t>PAVIMENTO COM TRATAMENTO SUPERFICIAL SIMPLES (TSB SIMPLES), COM EMULSÃO ASFÁLTICA RR-2C</t>
  </si>
  <si>
    <t>PAV-023</t>
  </si>
  <si>
    <t>PAVIMENTO COM TRATAMENTO SUPERFICIAL SIMPLES (TSB SIMPLES), COM EMULSÃO ASFÁLTICA RR-2C, COM BANHO DILUÍDO</t>
  </si>
  <si>
    <t>PAVIMENTO COM TRATAMENTO SUPERFICIAL DUPLO (TSB DUPLO), COM EMULSÃO ASFÁLTICA RR-2C</t>
  </si>
  <si>
    <t>PAV-025</t>
  </si>
  <si>
    <t>PAVIMENTO COM TRATAMENTO SUPERFICIAL DUPLO (TSB DUPLO), COM EMULSÃO ASFÁLTICA RR-2C, COM BANHO DILUÍDO</t>
  </si>
  <si>
    <t>PAV-026</t>
  </si>
  <si>
    <t>PAVIMENTO COM TRATAMENTO SUPERFICIAL DUPLO (TSB DUPLO), COM EMULSÃO ASFÁLTICA RR-2C, COM CAPA SELANTE</t>
  </si>
  <si>
    <t>PAV-027</t>
  </si>
  <si>
    <t>PAVIMENTO COM TRATAMENTO SUPERFICIAL TRIPLO (TSB TRIPLO), COM EMULSÃO ASFÁLTICA RR-2C</t>
  </si>
  <si>
    <t>PAV-028</t>
  </si>
  <si>
    <t>PAVIMENTO COM TRATAMENTO SUPERFICIAL TRIPLO (TSB TRIPLO), COM EMULSÃO ASFÁLTICA RR-2C, COM BANHO DILUÍDO</t>
  </si>
  <si>
    <t>PAV-029</t>
  </si>
  <si>
    <t>PAVIMENTO COM TRATAMENTO SUPERFICIAL TRIPLO (TSB TRIPLO), COM EMULSÃO ASFÁLTICA RR-2C, COM CAPA SELANTE</t>
  </si>
  <si>
    <t>PAV-030</t>
  </si>
  <si>
    <t>USINAGEM DE PRÉ MISTURADO A FRIO, PARA CAMADA DE BINDER, FAIXA B</t>
  </si>
  <si>
    <t>PAV-031</t>
  </si>
  <si>
    <t>EXECUÇÃO DE PAVIMENTO COM PRÉ-MISTURADO A FRIO, CAMADA DE BINDER, FAIXA B - SEM TRANSPORTE</t>
  </si>
  <si>
    <t>PAV-032</t>
  </si>
  <si>
    <t>USINAGEM DE PRÉ MISTURADO A FRIO, PARA CAMADA DE ROLAMENTO, FAIXA C</t>
  </si>
  <si>
    <t>PAV-033</t>
  </si>
  <si>
    <t>EXECUÇÃO DE PAVIMENTO COM PRÉ-MISTURADO A FRIO, CAMADA DE ROLAMENTO, FAIXA C - SEM TRANSPORTE</t>
  </si>
  <si>
    <t>PAV-034</t>
  </si>
  <si>
    <t>USINAGEM DE PRÉ MISTURADO A QUENTE, CAMADA DE BINDER, FAIXA A</t>
  </si>
  <si>
    <t>PAV-035</t>
  </si>
  <si>
    <t>EXECUÇÃO DE PAVIMENTO COM PRÉ-MISTURADO A QUENTE, CAMADA DE BINDER, FAIXA A - SEM TRANSPORTE</t>
  </si>
  <si>
    <t>PAV-036</t>
  </si>
  <si>
    <t>USINAGEM DE PRÉ MISTURADO A QUENTE, CAMADA DE BINDER, FAIXA B</t>
  </si>
  <si>
    <t>PAV-037</t>
  </si>
  <si>
    <t>EXECUÇÃO DE PAVIMENTO COM PRÉ-MISTURADO A QUENTE, CAMADA DE BINDER, FAIXA B - SEM TRANSPORTE</t>
  </si>
  <si>
    <t>PAV-038</t>
  </si>
  <si>
    <t>USINAGEM DE PRÉ MISTURADO A QUENTE, CAMADA DE ROLAMENTO, FAIXA C</t>
  </si>
  <si>
    <t>PAV-039</t>
  </si>
  <si>
    <t>EXECUÇÃO DE PAVIMENTO COM PRÉ-MISTURADO A QUENTE, CAMADA DE ROLAMENTO, FAIXA C - SEM TRANSPORTE</t>
  </si>
  <si>
    <t>PAV-040</t>
  </si>
  <si>
    <t>USINAGEM DE PRÉ MISTURADO A QUENTE, FAIXA F (ESPECIAL FINA)</t>
  </si>
  <si>
    <t>PAV-041</t>
  </si>
  <si>
    <t>EXECUÇÃO DE PAVIMENTO COM PRÉ-MISTURADO A QUENTE, FAIXA ESPECIAL (FINA) - SEM TRANSPORTE</t>
  </si>
  <si>
    <t>PAV-042</t>
  </si>
  <si>
    <t>USINAGEM DE PRÉ MISTURADO A QUENTE, CAMADA DE ROLAMENTO, FAIXA C, COM BORRACHA</t>
  </si>
  <si>
    <t>PAV-043</t>
  </si>
  <si>
    <t>EXECUÇÃO DE PAVIMENTO COM PRÉ-MISTURADO A QUENTE, FAIXA "C" COM BORRACHA - SEM TRANSPORTE</t>
  </si>
  <si>
    <t>PAV-044</t>
  </si>
  <si>
    <t>EXECUÇÃO DE RECAPE COM LAMA ASFÁLTICA ESPESSURA= 1,0 A 1,5 CM</t>
  </si>
  <si>
    <t>PAV-045</t>
  </si>
  <si>
    <t>EXECUÇÃO DE MICRO REVESTIMENTO À FRIO COM POLÍMERO E=15 MM</t>
  </si>
  <si>
    <t>PAV-046</t>
  </si>
  <si>
    <t>EXECUÇÃO DE PAVIMENTO EM CONCRETO COMPACTADO A ROLO FCTMK= 1,5 MPA</t>
  </si>
  <si>
    <t>PAV-047</t>
  </si>
  <si>
    <t>EXECUÇÃO DE PLACA DE CONCRETO DE CIMENTO PORTLAND FCTMK=4,5 MPA COM RÉGUA VIBRATÓRIA SIMPLES, INCLUSIVE FORMA METÁLICA.</t>
  </si>
  <si>
    <t>PAV-048</t>
  </si>
  <si>
    <t>EXECUÇÃO DE PLACA DE PLACA DE CONCRETO DE CIMENTO PORTLAND FCTMK=5,5 MPA COM RÉGUA VIBRATÓRIA SIMPLES, INCLUSIVE FORMA METÁLICA.</t>
  </si>
  <si>
    <t>PAV-049</t>
  </si>
  <si>
    <t>EXECUÇÃO DE PLACA DE PLACA DE CONCRETO DE CIMENTO PORTLAND FCTMK=4,5 MPA COM RÉGUA VIBRATÓRIA SIMPLES E ADIÇÃO DE FIBRA DE NYLON, INCLUSIVE FORMA METÁLICA.</t>
  </si>
  <si>
    <t>PAV-050</t>
  </si>
  <si>
    <t>EXECUÇÃO DE PLACA DE PLACA DE CONCRETO DE CIMENTO PORTLAND FCTMK=5,5 MPA COM RÉGUA VIBRATÓRIA SIMPLES E ADIÇÃO DE FIBRA DE POLIPROPILENO, INCLUSIVE FORMA METÁLICA.</t>
  </si>
  <si>
    <t>PAV-051</t>
  </si>
  <si>
    <t>EXECUÇÃO DE PLACA DE CONCRETO Fctmk=4,5 MPA COM PAVIMENTADORA</t>
  </si>
  <si>
    <t>PAV-052</t>
  </si>
  <si>
    <t>EXECUÇÃO DE PLACA DE CONCRETO Fctmk=5,5 MPA COM PAVIMENTADORA</t>
  </si>
  <si>
    <t>PAV-053</t>
  </si>
  <si>
    <t>EXECUÇÃO DE PLACA DE CONCRETO FCK=30,0 MPA COM RÉGUA VIBRATÓRIA SIMPLES INCLUSIVE FORMA METÁLICA</t>
  </si>
  <si>
    <t>FORNECIMENTO E APLICAÇÃO DE LONA PLÁSTICA PARA PAVIMENTOS DE CONCRETO</t>
  </si>
  <si>
    <t>PAV-054</t>
  </si>
  <si>
    <t>APLICAÇÃO DE CURA ÚMIDA DE PLACA DE CONCRETO</t>
  </si>
  <si>
    <t>PAV-055</t>
  </si>
  <si>
    <t>APLICAÇÃO DE CURA QUÍMICA DE PLACA DE CONCRETO</t>
  </si>
  <si>
    <t>PAV-056</t>
  </si>
  <si>
    <t>APLICAÇÃO DE TELA SOLDADA MALHA 10 X 10 CM FIO Ø 4,2mm</t>
  </si>
  <si>
    <t>PAV-057</t>
  </si>
  <si>
    <t>APLICAÇÃO DE TELA SOLDADA INFERIOR MALHA 10X10 CM FIO Ø 5,6 MM  (3,91 KG/M²)</t>
  </si>
  <si>
    <t>PAV-058</t>
  </si>
  <si>
    <t>EXECUÇÃO DE JUNTA TRANSVERSAL, INCLUSIVE  AÇO CA-25 Ø 25MM, CORDÃO DE POLIPROPILENO E SELANTE</t>
  </si>
  <si>
    <t>PAV-059</t>
  </si>
  <si>
    <t>EXECUÇÃO DE JUNTA TRANSVERSAL, INCLUSIVE AÇO CA-25 Ø 32MM, CORDÃO DE POLIPROPILENO E SELANTE</t>
  </si>
  <si>
    <t>PAV-060</t>
  </si>
  <si>
    <t>EXECUÇÃO DE JUNTA LONGITUDINAL, INCLUSIVE AÇO CA-50 Ø 10MM, CORDÃO DE POLIPROPILENO E SELANTE</t>
  </si>
  <si>
    <t>PAV-061</t>
  </si>
  <si>
    <t>EXECUÇÃO DE JUNTA DE PRÉ-FISSURAÇÃO PARA BGTC, INCLUSIVE MANTA GEOTÊXTIL E PINTURA DE LIGAÇÃO</t>
  </si>
  <si>
    <t>EXECUÇÃO DE PAVIMENTO EM PARALELEPÍPEDOS, REJUNTAMENTO COM PÓ DE PEDRA - SEM TRANSPORTE</t>
  </si>
  <si>
    <t>M2</t>
  </si>
  <si>
    <t>EXECUÇÃO DE PAVIMENTO EM PARALELEPÍPEDOS, REJUNTAMENTO COM ARGAMASSA TRAÇO 1:3 (CIMENTO E AREIA) - SEM TRANSPORTE</t>
  </si>
  <si>
    <t>PAV-062</t>
  </si>
  <si>
    <t>EXECUÇÃO DE MEIO-FIO DE CONCRETO PRÉ-MOLDADO GUIA ALTA COM SARJETA - TRECHO RETO</t>
  </si>
  <si>
    <t>PAV-063</t>
  </si>
  <si>
    <t>EXECUÇÃO DE MEIO-FIO DE CONCRETO PRÉ-MOLDADO GUIA ALTA COM SARJETA - TRECHO CURVO</t>
  </si>
  <si>
    <t>PAV-064</t>
  </si>
  <si>
    <t>EXECUÇÃO DE MEIO-FIO EXTRUSADO DE CONCRETO GUIA ALTA COM SARJETA PADRÃO PMC - TRECHO RETO</t>
  </si>
  <si>
    <t>PAV-065</t>
  </si>
  <si>
    <t>EXECUÇÃO DE MEIO-FIO EXTRUSADO DE CONCRETO GUIA ALTA COM SARJETA PADRÃO PMC - TRECHO CURVO</t>
  </si>
  <si>
    <t>PAV-066</t>
  </si>
  <si>
    <t>EXECUÇÃO DE MEIO-FIO DE CONCRETO PRÉ-MOLDADO GUIA BAIXA COM SARJETA - TRECHO RETO</t>
  </si>
  <si>
    <t>PAV-067</t>
  </si>
  <si>
    <t>EXECUÇÃO DE MEIO-FIO EXTRUSADO DE CONCRETO GUIA BAIXA COM SARJETA PADRÃO PMC - TRECHO RETO</t>
  </si>
  <si>
    <t>PAV-068</t>
  </si>
  <si>
    <t>EXECUÇÃO DE MEIO-FIO EXTRUSADO DE CONCRETO GUIA ALTA SEM SARJETA PADRÃO PMC - TRECHO RETO</t>
  </si>
  <si>
    <t>PAV-069</t>
  </si>
  <si>
    <t>EXECUÇÃO DE MEIO-FIO EXTRUSADO DE CONCRETO GUIA BAIXA SEM SARJETA PADRÃO PMC - TRECHO CURVO</t>
  </si>
  <si>
    <t>PAV-070</t>
  </si>
  <si>
    <t>EXECUÇÃO DE MEIO-FIO EXTRUSADO DE CONCRETO GUIA BAIXA SEM SARJETA PADRÃO PMC - TRECHO RETO</t>
  </si>
  <si>
    <t>PAV-071</t>
  </si>
  <si>
    <t>EXECUÇÃO DE SARJETA COM 01 PARALELEPÍPEDO REJUNTADO</t>
  </si>
  <si>
    <t>PAV-072</t>
  </si>
  <si>
    <t>EXECUÇÃO DE SARJETA COM 02 PARALELEPÍPEDOS REJUNTADOS</t>
  </si>
  <si>
    <t>PAV-073</t>
  </si>
  <si>
    <t>ARRANCAMENTO MANUAL DE PARALELEPIPEDOS REJUNTADOS COM AREIA</t>
  </si>
  <si>
    <t>PAV-074</t>
  </si>
  <si>
    <t>ARRANCAMENTO MANUAL DE PARALELEPIPEDOS REJUNTADOS COM ARGAMASSA</t>
  </si>
  <si>
    <t>PAV-075</t>
  </si>
  <si>
    <t>ARRANCAMENTO MANUAL DE MEIO-FIO DE CONCRETO</t>
  </si>
  <si>
    <t>PAV-076</t>
  </si>
  <si>
    <t>ARRANCAMENTO MANUAL DE MEIO-FIO DE GRANITO</t>
  </si>
  <si>
    <t>PAV-077</t>
  </si>
  <si>
    <t>ARRANCAMENTO MANUAL DE SARJETA COM 01 PARALELEPÍPEDO REJUNTADO</t>
  </si>
  <si>
    <t>PAV-078</t>
  </si>
  <si>
    <t>ARRANCAMENTO MANUAL DE SARJETA COM 02 PARALELEPÍPEDOS REJUNTADOS</t>
  </si>
  <si>
    <t>PAV-079</t>
  </si>
  <si>
    <t>ARRANCAMENTO  E REASSENTAMENTO DE PARALELEPÍPEDOS REJUNTADOS COM AREIA</t>
  </si>
  <si>
    <t>PAV-080</t>
  </si>
  <si>
    <t>ARRANCAMENTO  E REASSENTAMENTO DE PARALELEPÍPEDOS REJUNTADOS COM ARGAMASSA</t>
  </si>
  <si>
    <t>PAV-081</t>
  </si>
  <si>
    <t>ARRANCAMENTO  E REASSENTAMENTO MEIO-FIO DE CONCRETO PRÉ-MOLDADO COM SARJETA</t>
  </si>
  <si>
    <t>PAV-082</t>
  </si>
  <si>
    <t xml:space="preserve">ARRANCAMENTO E  REASSENTAMENTO DE MEIO-FIO DE GRANITO </t>
  </si>
  <si>
    <t>PAV-083</t>
  </si>
  <si>
    <t>ARRANCAMENTO  E REASSENTAMENTO DE SARJETA COM 01 PARALELEPÍPEDO REJUNTADO</t>
  </si>
  <si>
    <t>PAV-084</t>
  </si>
  <si>
    <t>ARRANCAMENTO  E REASSENTAMENTO DE SARJETA COM 02 PARALELEPÍPEDOS REJUNTADOS</t>
  </si>
  <si>
    <t>PAV-085</t>
  </si>
  <si>
    <t>EXECUÇÃO DE DRENAGEM SUPERFICIAL COM BRITA 0,30 X 0,40M SOB MEIO-FIO</t>
  </si>
  <si>
    <t>PAV-086</t>
  </si>
  <si>
    <t>CORTE DE PAVIMENTO ASFÁLTICO COM COMPRESSOR E MARTELETE</t>
  </si>
  <si>
    <t>PAV-087</t>
  </si>
  <si>
    <t>ARRANCAMENTO E CARGA DE CAPA ASFÁLTICA COM ESCAVADEIRA</t>
  </si>
  <si>
    <t>PAV-088</t>
  </si>
  <si>
    <t>ARRANCAMENTO E CARGA MECÂNICA DE PARALELEPÍPEDOS</t>
  </si>
  <si>
    <t>PAV-089</t>
  </si>
  <si>
    <t>VARREÇÃO E LAVAGEM DA PISTA</t>
  </si>
  <si>
    <t>PAV-090</t>
  </si>
  <si>
    <t>CORTE PAVIMENTO ASFALTO/CONCRETO COM SERRA DIAMANTADA E= 6MM E PROFUNDIDADE ATÉ 5 CM</t>
  </si>
  <si>
    <t>PAV-091</t>
  </si>
  <si>
    <t>CORTE PAVIMENTO ASFALTO/CONCRETO COM SERRA DIAMANTADA E= 6MM E PROFUNDIDADE ATÉ 10 CM</t>
  </si>
  <si>
    <t>PAV-092</t>
  </si>
  <si>
    <t xml:space="preserve">EXECUÇÃO DE ATERRO COMPACTADO COM MATERIAL DE EMPRÉSTIMO PARA CONFINAMENTO DE MEIO-FIO </t>
  </si>
  <si>
    <t>PAV-093</t>
  </si>
  <si>
    <t xml:space="preserve">EXECUÇÃO DE JUNTA DE EXPANSÃO PARA ENCONTRO DE MEIO-FIO </t>
  </si>
  <si>
    <t>PAV-094</t>
  </si>
  <si>
    <t>FORNECIMENTO E ESPALHAMENTO MANUAL DE PEDRISCO</t>
  </si>
  <si>
    <t>PAV-095</t>
  </si>
  <si>
    <t>FORNECIMENTO E ESPALHAMENTO MANUAL DE PEDRISCO RECICLADO</t>
  </si>
  <si>
    <t>SINALIZAÇÃO VERTICAL E HORIZONTAL</t>
  </si>
  <si>
    <t>SIN-001</t>
  </si>
  <si>
    <t>PINTURA ELETROSTÁTICA A PÓ COM TINTA POLIESTER EM CHAPA DE AÇO/ALUMÍNIO</t>
  </si>
  <si>
    <t>SIN-002</t>
  </si>
  <si>
    <t>PINTURA DE FUNDO PRETO FOSCO EM PLACAS DE AÇO/ALUMÍNIO UMA DEMÃO DE FUNDO PARA GALVANIZADOS E DUAS DEMÃOS PARA ESMALTE SINTÉTICO PRETO FOSCO</t>
  </si>
  <si>
    <t>SIN-003</t>
  </si>
  <si>
    <t>CONFECÇÃO DE PLACA EM AÇO Nº 18 GALVANIZADO COM PELÍCULA TIPO I + IV</t>
  </si>
  <si>
    <t>SIN-004</t>
  </si>
  <si>
    <t>CONFECÇÃO DE PLACA EM ALUMÍNIO COM ESP. = 1,5 MM E PELÍCULA TIPO III</t>
  </si>
  <si>
    <t>SIN-005</t>
  </si>
  <si>
    <t>FORNECIMENTO E IMPLANTAÇÃO DE PLACA DE AÇO GALVANIZADO OITAVADA L = 30 CM - PELÍCULA RETRORREFLETIVA TIPO I E IV, COM SUPORTE  METÁLICO</t>
  </si>
  <si>
    <t>SIN-006</t>
  </si>
  <si>
    <t>FORNECIMENTO E IMPLANTAÇÃO DE PLACA DE AÇO GALVANIZADO OITAVADA L = 25 CM - PELÍCULA RETRORREFLETIVA TIPO I E IV, COM SUPORTE  METÁLICO</t>
  </si>
  <si>
    <t>SIN-007</t>
  </si>
  <si>
    <t>FORNECIMENTO E IMPLANTAÇÃO DE PLACA DE AÇO GALVANIZADO DISCO D = 30 CM - PELÍCULA RETRORREFLETIVA TIPO I E IV, COM SUPORTE  METÁLICO</t>
  </si>
  <si>
    <t>SIN-008</t>
  </si>
  <si>
    <t>FORNECIMENTO E IMPLANTAÇÃO DE PLACA DE AÇO GALVANIZADO DISCO D = 50 CM - PELÍCULA RETRORREFLETIVA TIPO I E IV, COM SUPORTE  METÁLICO</t>
  </si>
  <si>
    <t>SIN-009</t>
  </si>
  <si>
    <t>FORNECIMENTO E IMPLANTAÇÃO DE PLACA DE AÇO GALVANIZADO DISCO D = 60 CM - PELÍCULA RETRORREFLETIVA TIPO I E IV, COM SUPORTE  METÁLICO</t>
  </si>
  <si>
    <t>SIN-010</t>
  </si>
  <si>
    <t>FORNECIMENTO E IMPLANTAÇÃO DE PLACA DE AÇO GALVANIZADO DISCO D = 70 CM - PELÍCULA RETRORREFLETIVA TIPO I E IV, COM SUPORTE  METÁLICO</t>
  </si>
  <si>
    <t>SIN-011</t>
  </si>
  <si>
    <t>FORNECIMENTO E IMPLANTAÇÃO DE PLACA DE AÇO GALVANIZADO DISCO D = 75 CM - PELÍCULA RETRORREFLETIVA TIPO I E IV, COM SUPORTE  METÁLICO</t>
  </si>
  <si>
    <t>SIN-012</t>
  </si>
  <si>
    <t>FORNECIMENTO E IMPLANTAÇÃO DE PLACA DE AÇO GALVANIZADO DISCO D = 100 CM - PELÍCULA RETRORREFLETIVA TIPO I E IV, COM SUPORTE  METÁLICO</t>
  </si>
  <si>
    <t>SIN-013</t>
  </si>
  <si>
    <t>FORNECIMENTO E IMPLANTAÇÃO DE PLACA DE AÇO GALVANIZADO QUADRADA L = 40 CM - PELÍCULA RETRORREFLETIVA TIPO I E IV, COM SUPORTE  METÁLICO</t>
  </si>
  <si>
    <t>SIN-014</t>
  </si>
  <si>
    <t>FORNECIMENTO E IMPLANTAÇÃO DE PLACA DE AÇO GALVANIZADO QUADRADA L = 50 CM - PELÍCULA RETRORREFLETIVA TIPO I E IV, COM SUPORTE  METÁLICO</t>
  </si>
  <si>
    <t>SIN-015</t>
  </si>
  <si>
    <t>FORNECIMENTO E IMPLANTAÇÃO DE PLACA DE AÇO GALVANIZADO QUADRADA L = 60 CM - PELÍCULA RETRORREFLETIVA TIPO I E IV, COM SUPORTE  METÁLICO</t>
  </si>
  <si>
    <t>SIN-016</t>
  </si>
  <si>
    <t>FORNECIMENTO E IMPLANTAÇÃO DE PLACA DE AÇO GALVANIZADO QUADRADA L = 75 CM - PELÍCULA RETRORREFLETIVA TIPO I E IV, COM SUPORTE  METÁLICO</t>
  </si>
  <si>
    <t>SIN-017</t>
  </si>
  <si>
    <t>FORNECIMENTO E IMPLANTAÇÃO DE PLACA DE AÇO GALVANIZADO QUADRADA L = 100 CM - PELÍCULA RETRORREFLETIVA TIPO I E IV, COM SUPORTE  METÁLICO</t>
  </si>
  <si>
    <t>SIN-018</t>
  </si>
  <si>
    <t>FORNECIMENTO E IMPLANTAÇÃO DE PLACA DE AÇO GALVANIZADO RETANGULAR L = 80 X 40 CM - PELÍCULA RETRORREFLETIVA TIPO I E IV, COM SUPORTE  METÁLICO</t>
  </si>
  <si>
    <t>SIN-019</t>
  </si>
  <si>
    <t>FORNECIMENTO E IMPLANTAÇÃO DE PLACA DE AÇO GALVANIZADO RETANGULAR L = 120 X 30 CM - PELÍCULA RETRORREFLETIVA TIPO I E IV, COM SUPORTE  METÁLICO</t>
  </si>
  <si>
    <t>SIN-020</t>
  </si>
  <si>
    <t>FORNECIMENTO E IMPLANTAÇÃO DE PLACA DE AÇO GALVANIZADO RETANGULAR L = 100 X 50 CM - PELÍCULA RETRORREFLETIVA TIPO I E IV, COM SUPORTE  METÁLICO</t>
  </si>
  <si>
    <t>SIN-021</t>
  </si>
  <si>
    <t>FORNECIMENTO E IMPLANTAÇÃO DE PLACA DE AÇO GALVANIZADO RETANGULAR L = 100 X 70 CM - PELÍCULA RETRORREFLETIVA TIPO I E IV, COM SUPORTE  METÁLICO</t>
  </si>
  <si>
    <t>SIN-022</t>
  </si>
  <si>
    <t>FORNECIMENTO E IMPLANTAÇÃO DE PLACA DE AÇO GALVANIZADO RETANGULAR L = 200 X 50 CM - PELÍCULA RETRORREFLETIVA TIPO I E IV, COM SUPORTE  METÁLICO</t>
  </si>
  <si>
    <t>SIN-023</t>
  </si>
  <si>
    <t>FORNECIMENTO E IMPLANTAÇÃO DE PLACA DE AÇO GALVANIZADO LOSANGULAR L = 50 CM - PELÍCULA RETRORREFLETIVA TIPO I E IV, COM SUPORTE  METÁLICO</t>
  </si>
  <si>
    <t>SIN-024</t>
  </si>
  <si>
    <t>FORNECIMENTO E IMPLANTAÇÃO DE PLACA DE AÇO GALVANIZADO LOSANGULAR L = 75 CM - PELÍCULA RETRORREFLETIVA TIPO I E IV, COM SUPORTE  METÁLICO</t>
  </si>
  <si>
    <t>SIN-025</t>
  </si>
  <si>
    <t>FORNECIMENTO E IMPLANTAÇÃO DE PLACA DE AÇO GALVANIZADO TRIANGULAR L = 75 CM - PELÍCULA RETRORREFLETIVA TIPO I E IV, COM SUPORTE  METÁLICO</t>
  </si>
  <si>
    <t>SIN-026</t>
  </si>
  <si>
    <t>FORNECIMENTO E IMPLANTAÇÃO DE PLACA DE AÇO GALVANIZADO CAPSULAR L = 100 X 50 CM - PELÍCULA RETRORREFLETIVA TIPO I E IV, COM SUPORTE  METÁLICO</t>
  </si>
  <si>
    <t>SIN-027</t>
  </si>
  <si>
    <t>FORNECIMENTO E IMPLANTAÇÃO DE PLACA DE AÇO GALVANIZADO OITAVADA L = 25 CM - PELÍCULA RETRORREFLETIVA TIPO I E IV, SEM SUPORTE  METÁLICO</t>
  </si>
  <si>
    <t>SIN-028</t>
  </si>
  <si>
    <t>FORNECIMENTO E IMPLANTAÇÃO DE PLACA DE AÇO GALVANIZADO DISCO D = 50 CM - PELÍCULA RETRORREFLETIVA TIPO I E IV, SEM SUPORTE  METÁLICO</t>
  </si>
  <si>
    <t>SIN-029</t>
  </si>
  <si>
    <t>FORNECIMENTO E IMPLANTAÇÃO DE PLACA DE AÇO GALVANIZADO DISCO D = 60 CM - PELÍCULA RETRORREFLETIVA TIPO I E IV, SEM SUPORTE  METÁLICO</t>
  </si>
  <si>
    <t>SIN-030</t>
  </si>
  <si>
    <t>FORNECIMENTO E IMPLANTAÇÃO DE PLACA DE AÇO GALVANIZADO DISCO D = 75 CM - PELÍCULA RETRORREFLETIVA TIPO I E IV, SEM SUPORTE  METÁLICO</t>
  </si>
  <si>
    <t>SIN-031</t>
  </si>
  <si>
    <t>FORNECIMENTO E IMPLANTAÇÃO DE PLACA DE AÇO GALVANIZADO CAPSULAR L = 100 X 50 CM - PELÍCULA RETRORREFLETIVA TIPO I E IV, SEM SUPORTE  METÁLICO</t>
  </si>
  <si>
    <t>SIN-032</t>
  </si>
  <si>
    <t>FORNECIMENTO E IMPLANTAÇÃO DE PLACA DE AÇO GALVANIZADO QUADRADA L = 100 CM - PELÍCULA RETRORREFLETIVA TIPO I E IV, SEM SUPORTE  METÁLICO</t>
  </si>
  <si>
    <t>SIN-033</t>
  </si>
  <si>
    <t>FORNECIMENTO E IMPLANTAÇÃO DE PLACA DE ALUMÍNIO COM ESP. = 1,5 MM RETANGULAR L = 3,00 X 1,50 M - PELÍCULA RETRORREFLETIVA TIPO III, COM SUPORTE  METÁLICO</t>
  </si>
  <si>
    <t>SIN-034</t>
  </si>
  <si>
    <t>FORNECIMENTO E IMPLANTAÇÃO DE PLACA DE ALUMÍNIO COM ESP. = 1,5 MM RETANGULAR L = 3,00 X 1,50 M - PELÍCULA RETRORREFLETIVA TIPO III, SEM SUPORTE  METÁLICO</t>
  </si>
  <si>
    <t>SIN-035</t>
  </si>
  <si>
    <t>FORNECIMENTO E IMPLANTAÇÃO DE PLACA DE ALUMÍNIO COM ESP. = 1,5 MM RETANGULAR L = 3,00 X 1,50 M - PELÍCULA RETRORREFLETIVA TIPO III, COM SEMIPÓRTICO PARA VÃOS DE 6,00 M</t>
  </si>
  <si>
    <t>SIN-036</t>
  </si>
  <si>
    <t>REMOÇÃO DE PLACAS PLACAS DIVERSAS A NÍVEL DE CALÇADA</t>
  </si>
  <si>
    <t>SIN-037</t>
  </si>
  <si>
    <t>SUBSTITUIÇÃO OU RECOLOCAÇÃO DE PLACAS PLACAS DIVERSAS A NÍVEL DE CALÇADA</t>
  </si>
  <si>
    <t>SIN-038</t>
  </si>
  <si>
    <t xml:space="preserve">FORNECIMENTO E COLOCAÇÃO DE TACHA REFLETIVA MONODIRECIONAL 11,00 X  9,00 X 2,00 CM COM 1 PINO- TIPO I </t>
  </si>
  <si>
    <t>SIN-039</t>
  </si>
  <si>
    <t xml:space="preserve">FORNECIMENTO E COLOCAÇÃO DE TACHA REFLETIVA BIDIRECIONAL 11,00 X  9,00 X 2,00 CM COM 1 PINO- TIPO I </t>
  </si>
  <si>
    <t>SIN-040</t>
  </si>
  <si>
    <t>FORNECIMENTO E COLOCAÇÃO DE TACHÃO REFLETIVO MONODIRECIONAL 26,00 X  18,00 X 5,00 CM</t>
  </si>
  <si>
    <t>SIN-041</t>
  </si>
  <si>
    <t>FORNECIMENTO E COLOCAÇÃO DE TACHÃO REFLETIVO BIDIRECIONAL 26,00 X  18,00 X 5,00 CM</t>
  </si>
  <si>
    <t>SIN-042</t>
  </si>
  <si>
    <t>EXECUÇÃO DE DEMARCAÇÃO VIÁRIA COM TINTA ACRÍLICA NAS CORES BRANCA, AMARELA OU PRETA - ESP. = 0,3 MM</t>
  </si>
  <si>
    <t>SIN-043</t>
  </si>
  <si>
    <t>EXECUÇÃO DE PINTURA DE FAIXA COM TERMOPLÁSTICO APLICADO POR ASPERSÃO NAS CORES BRANCA E AMARELA - ESP. = 1,5 MM</t>
  </si>
  <si>
    <t>SIN-044</t>
  </si>
  <si>
    <t>EXECUÇÃO DE PINTURA DE SETAS E ZEBRADOS COM TERMOPLÁSTICO APLICADO POR ASPERSÃO NAS CORES BRANCA E AMARELA - ESP. = 1,5 MM</t>
  </si>
  <si>
    <t>SIN-045</t>
  </si>
  <si>
    <t>EXECUÇÃO DE PINTURA DE SETAS E ZEBRADOS COM TERMOPLÁSTICO APLICADO POR EXTRUSÃO NA COR BRANCA - ESP. = 3,0 MM</t>
  </si>
  <si>
    <t>SIN-046</t>
  </si>
  <si>
    <t>APLICAÇÃO DE PELÍCULA COM TERMOPLÁSTICO PRÉ-FORMADO PARA SINALIZAÇÃO HORIZONTAL  - ESP. = 2,0 MM</t>
  </si>
  <si>
    <t>SIN-047</t>
  </si>
  <si>
    <t>EXECUÇÃO DE PINTURA DE FAIXA COM PLÁSTICO A FRIO BICOMPONENTE À BASE DE RESINAS METACRÍLICAS COM ESPESSURA DE 1,5 MM</t>
  </si>
  <si>
    <t>SIN-049</t>
  </si>
  <si>
    <t>ARRANCAMENTO DE ONDULAÇÃO TRANSVERSAL (LOMBADA) COM TRANSPORTE</t>
  </si>
  <si>
    <t>SIN-050</t>
  </si>
  <si>
    <t>EXECUÇÃO DE ONDULAÇÃO TRANSVERSAL (LOMBADA) TIPO A PARA LIMITAR A VELOCIDADE  MÁXIMA PARA 30 KM/H COM ALTURA DE 8 a 10 CM E COMPRIMENTO DE 370 CM, SEM PINTURA</t>
  </si>
  <si>
    <t>SIN-051</t>
  </si>
  <si>
    <t>EXECUÇÃO DE ONDULAÇÃO TRANSVERSAL (LOMBADA) TIPO B PARA LIMITAR A VELOCIDADE  MÁXIMA PARA 20 KM/H COM ALTURA DE 6 a 8 CM E COMPRIMENTO DE 150 CM, SEM PINTURA</t>
  </si>
  <si>
    <t>SIN-052</t>
  </si>
  <si>
    <t>EXECUÇÃO DE ONDULAÇÃO TRANSVERSAL (LOMBADA) TIPO A PARA LIMITAR A VELOCIDADE  MÁXIMA PARA 30 KM/H COM ALTURA DE 8 a 10 CM E COMPRIMENTO DE 370 CM, COM PINTURA</t>
  </si>
  <si>
    <t>SIN-053</t>
  </si>
  <si>
    <t>EXECUÇÃO DE ONDULAÇÃO TRANSVERSAL (LOMBADA) TIPO B PARA LIMITAR A VELOCIDADE  MÁXIMA PARA 20 KM/H COM ALTURA DE 6 a 8 CM E COMPRIMENTO DE 150 CM, COM PINTURA</t>
  </si>
  <si>
    <t>SIN-054</t>
  </si>
  <si>
    <t>EXECUÇÃO DE TRAVESSIA ELEVADA PARA PEDESTRES COM ALTURA DE 15 CM E COMPRIMENTO DE 500 A 700 CM, COM PINTURA</t>
  </si>
  <si>
    <t>SIN-055</t>
  </si>
  <si>
    <t>EXECUÇÃO NO LOCAL DE BARREIRA TIPO NEW JERSEY SIMPLES EM CONCRETO ARMADO COM ALTURA DE 810 MM</t>
  </si>
  <si>
    <t>SIN-056</t>
  </si>
  <si>
    <t>EXECUÇÃO NO LOCAL DE BARREIRA TIPO NEW JERSEY DUPLA EM CONCRETO ARMADO COM ALTURA DE 810 MM</t>
  </si>
  <si>
    <t>SIN-057</t>
  </si>
  <si>
    <t>DISPOSITIVO DE DIRECIONAMENTO OU BLOQUEIO DE TRÁFEGO (CERQUITE) COM TELA PLÁSTICA E SUPORTE MÓVEL COM BASE EM CONCRETO - UTILIZAÇÃO 3 VEZES</t>
  </si>
  <si>
    <t>SIN-058</t>
  </si>
  <si>
    <t>CILINDRO CANALIZADOR DE TRÁFEGO COM BASE QUADRADA - UTILIZAÇÃO 10 VEZES</t>
  </si>
  <si>
    <t>SIN-059</t>
  </si>
  <si>
    <t>MARCADOR DE ALINHAMENTO PARA OBRAS EM PLACA METÁLICA DE 0,50 x 0,60 M COM SINALIZADOR REFLETIVO E BASE DE CONCRETO - UTILIZAÇÃO 10 VEZES</t>
  </si>
  <si>
    <t>SIN-060</t>
  </si>
  <si>
    <t xml:space="preserve">FORNECIMENTO E COLOCAÇÃO DE FITA SUBTERRÂNEA DE ADVERTÊNCIA DE TUBULAÇÃO (ELÉTRICA, HIDROSANITÁRIA, GÁS, FIBRA ÓTICA) </t>
  </si>
  <si>
    <t>SIN-061</t>
  </si>
  <si>
    <t>FORNECIMENTO E COLOCAÇÃO DE FITA ZEBRADA PARA DISPOSITIVOS DE CANALIZAÇÃO DE TRÂNSITO OU DEMARCAÇÃO DE ÁREAS - LARGURA = 7 CM</t>
  </si>
  <si>
    <t>PAISAGISMO</t>
  </si>
  <si>
    <t>PAI-001</t>
  </si>
  <si>
    <t>REGULARIZAÇÃO  MANUAL DE PASSEIOS</t>
  </si>
  <si>
    <t>PAI-002</t>
  </si>
  <si>
    <t>REGULARIZAÇÃO E COMPACTAÇÃO MANUAL DE PASSEIOS</t>
  </si>
  <si>
    <t>PAI-003</t>
  </si>
  <si>
    <t>FORNECIMENTO E ASSENTAMENTO DE LAJOTA DE CONCRETO 45 X 45 X 5CM COM LASTRO DE AREIA</t>
  </si>
  <si>
    <t>FORNECIMENTO E ASSENTAMENTO DE BLOCO SEXTAVADO DE CONCRETO E= 6,0 CM</t>
  </si>
  <si>
    <t>FORNECIMENTO E ASSENTAMENTO DE BLOCO SEXTAVADO DE CONCRETO E= 8,0 CM</t>
  </si>
  <si>
    <t>FORNECIMENTO E ASSENTAMENTO DE BLOCO SEXTAVADO DE CONCRETO E= 10,0 CM</t>
  </si>
  <si>
    <t>PAI-004</t>
  </si>
  <si>
    <t>PAI-005</t>
  </si>
  <si>
    <t xml:space="preserve">EXECUÇÃO DE PASSEIO EM PISO INTERTRAVADO, COM BLOCO RETANGULAR COR NATURAL DE 20 X 10 CM, ESPESSURA 6 CM </t>
  </si>
  <si>
    <t>EXECUÇÃO DE PÁTIO/ESTACIONAMENTO EM PISO INTERTRAVADO, COM BLOCO RETANGULAR COR NATURAL DE 20 X 10 CM, ESPESSURA 6 CM</t>
  </si>
  <si>
    <t>EXECUÇÃO DE PÁTIO/ESTACIONAMENTO EM PISO INTERTRAVADO, COM BLOCO RETANGULAR COR NATURAL DE 20 X 10 CM, ESPESSURA 8 CM</t>
  </si>
  <si>
    <t>EXECUÇÃO DE PÁTIO/ESTACIONAMENTO EM PISO INTERTRAVADO, COM BLOCO RETANGULAR DE 20 X 10 CM, ESPESSURA 10 CM</t>
  </si>
  <si>
    <t>EXECUÇÃO DE PASSEIO EM PISO INTERTRAVADO, COM BLOCO RETANGULAR COLORIDO DE 20 X 10 CM, ESPESSURA 6 CM</t>
  </si>
  <si>
    <t>EXECUÇÃO DE PÁTIO/ESTACIONAMENTO EM PISO INTERTRAVADO, COM BLOCO RETANGULAR COLORIDO DE 20 X 10 CM, ESPESSURA 6 CM</t>
  </si>
  <si>
    <t>EXECUÇÃO DE PÁTIO/ESTACIONAMENTO EM PISO INTERTRAVADO, COM BLOCO RETANGULAR COLORIDO DE 20 X 10 CM, ESPESSURA 8 CM</t>
  </si>
  <si>
    <t>PAI-006</t>
  </si>
  <si>
    <t>FORNECIMENTO E ASSENTAMENTO DE LAJOTA TÁTIL DE ALERTA OU DIRECIONAL, MEDINDO 40 X 40 X 3,0 CM</t>
  </si>
  <si>
    <t>PAI-007</t>
  </si>
  <si>
    <t xml:space="preserve">FORNECIMENTO E ASSENTAMENTO DE PISO DE GRANITO RECONSTITUÍDO EM CONCRETO, MEDINDO 40 X 40 X 3,0 CM NA COR CINZA </t>
  </si>
  <si>
    <t>PAI-008</t>
  </si>
  <si>
    <t xml:space="preserve">FORNECIMENTO E ASSENTAMENTO DE PISO DE GRANITO RECONSTITUÍDO EM CONCRETO, MEDINDO 40 X 40 X 3,0 CM NA COR PRETO </t>
  </si>
  <si>
    <t>PAI-009</t>
  </si>
  <si>
    <t>FORNECIMENTO E ASSENTAMENTO DE PISO DE GRANITO RECONSTITUÍDO EM CONCRETO, MEDINDO 40 X 40 X 3,0 CM NA COR BEGE</t>
  </si>
  <si>
    <t>PAI-010</t>
  </si>
  <si>
    <t>FORNECIMENTO E ASSENTAMENTO DE GUIA EM CONCRETO PARA PAVER 9 X 19 X 39 CM</t>
  </si>
  <si>
    <t>PAI-011</t>
  </si>
  <si>
    <t>VIGUETA EM CONCRETO MOLDADA "IN-LOCO" 8,0 X 6,0 CM PARA EXECUÇÃO DE CALÇADA PAVER</t>
  </si>
  <si>
    <t>PAI-012</t>
  </si>
  <si>
    <t>VIGUETA EM CONCRETO MOLDADA "IN-LOCO" 8,0 X 8,0 CM PARA EXECUÇÃO DE CALÇADA PAVER</t>
  </si>
  <si>
    <t>PAI-013</t>
  </si>
  <si>
    <t xml:space="preserve">FORNECIMENTO E APLICAÇÃO DE GRAMA EM LEIVAS C/ TERRA PRETA. </t>
  </si>
  <si>
    <t>PAI-014</t>
  </si>
  <si>
    <t>FORNECIMENTO E ESPALHAMENTO DE TERRA PRETA</t>
  </si>
  <si>
    <t>PAI-015</t>
  </si>
  <si>
    <t>ARRANCAMENTO DE LAJOTAS DE CONCRETO 45 X 45 X 5 CM</t>
  </si>
  <si>
    <t>PAI-016</t>
  </si>
  <si>
    <t>ARRANCAMENTO DE BLOCO SEXTAVADO DE CONCRETO</t>
  </si>
  <si>
    <t>PAI-017</t>
  </si>
  <si>
    <t>ARRANCAMENTO DE LOUZINHA DE GRANITO</t>
  </si>
  <si>
    <t>PAI-018</t>
  </si>
  <si>
    <t>ARRANCAMENTO DE PETIT-PAVET</t>
  </si>
  <si>
    <t>PAI-019</t>
  </si>
  <si>
    <t>ARRANCAMENTO DE BLOCO DE CONCRETO TIPO PAVER</t>
  </si>
  <si>
    <t>PAI-020</t>
  </si>
  <si>
    <t>ARRANCAMENTO DE LAJOTA TÁTIL DE ALERTA 40X40X3,5CM</t>
  </si>
  <si>
    <t>PAI-021</t>
  </si>
  <si>
    <t>ARRANCAMENTO DE LAJOTAS DE GRANITO RECONSTITUÍDO EM CONCRETO, MEDINDO 40 X 40X 3,5 CM</t>
  </si>
  <si>
    <t>PAI-022</t>
  </si>
  <si>
    <t>ARRANCAMENTO DE FINCADINHAS DE GRANITO</t>
  </si>
  <si>
    <t>PAI-023</t>
  </si>
  <si>
    <t>ARRANCAMENTO DE GRAMA EM LEIVAS</t>
  </si>
  <si>
    <t>PAI-024</t>
  </si>
  <si>
    <t>REASSENTAMENTO LAJOTAS  DE  CONCRETO 45 X 45 X 5 CM</t>
  </si>
  <si>
    <t>REASSENTAMENTO DE BLOCOS SEXTAVADO PARA PISO INTERTRAVADO, ESPESSURA DE 6 CM, EM CALÇADA</t>
  </si>
  <si>
    <t>REASSENTAMENTO DE BLOCOS SEXTAVADO PARA PISO INTERTRAVADO, ESPESSURA DE 6 CM, EM VIA/ESTACIONAMENTO</t>
  </si>
  <si>
    <t>REASSENTAMENTO DE BLOCOS SEXTAVADO PARA PISO INTERTRAVADO, ESPESSURA DE 8 CM, EM VIA/ESTACIONAMENTO</t>
  </si>
  <si>
    <t>REASSENTAMENTO DE BLOCOS SEXTAVADO PARA PISO INTERTRAVADO, ESPESSURA DE 10 CM, EM VIA/ESTACIONAMENTO</t>
  </si>
  <si>
    <t>REASSENTAMENTO DE BLOCOS RETANGULAR PARA PISO INTERTRAVADO, ESPESSURA DE 6 CM, EM CALÇADA, COM REAPROVEITAMENTO DOS BLOCOS RETANGULAR. AF_12/2020</t>
  </si>
  <si>
    <t>REASSENTAMENTO DE BLOCOS RETANGULAR PARA PISO INTERTRAVADO, ESPESSURA DE 6 CM, EM VIA/ESTACIONAMENTO</t>
  </si>
  <si>
    <t>REASSENTAMENTO DE BLOCOS RETANGULAR PARA PISO INTERTRAVADO, ESPESSURA DE 8 CM, EM VIA/ESTACIONAMENTO</t>
  </si>
  <si>
    <t>REASSENTAMENTO DE BLOCOS RETANGULAR PARA PISO INTERTRAVADO, ESPESSURA DE 10 CM, EM VIA/ESTACIONAMENTO</t>
  </si>
  <si>
    <t>PAI-025</t>
  </si>
  <si>
    <t>REASSENTAMENTO LOUSAS DE GRANITO</t>
  </si>
  <si>
    <t>PAI-026</t>
  </si>
  <si>
    <t>REASSENTAMENTO PETIT-PAVET</t>
  </si>
  <si>
    <t>PAI-027</t>
  </si>
  <si>
    <t>REASSENTAMENTO DE LAJOTA TÁTIL DE ALERTA 40X40X3,5CM</t>
  </si>
  <si>
    <t>PAI-028</t>
  </si>
  <si>
    <t>REASSENTAMENTO DE GRAMA EM LEIVAS COM TERRA PRETA</t>
  </si>
  <si>
    <t>PAI-029</t>
  </si>
  <si>
    <t>LIMPEZA DE LAJOTA DE CONCRETO 45 X 45 X 5CM</t>
  </si>
  <si>
    <t>PAI-030</t>
  </si>
  <si>
    <t>LIMPEZA DE BLOCO SEXTAVADO REJUNTADO COM AREIA</t>
  </si>
  <si>
    <t>PAI-031</t>
  </si>
  <si>
    <t>LIMPEZA DE BLOCO SEXTAVADO REJUNTADO COM ARGAMASSA</t>
  </si>
  <si>
    <t>PAI-032</t>
  </si>
  <si>
    <t>LIMPEZA DE LOUZINHA DE GRANITO</t>
  </si>
  <si>
    <t>PAI-033</t>
  </si>
  <si>
    <t>LIMPEZA DE PETIT-PAVET</t>
  </si>
  <si>
    <t>PAI-034</t>
  </si>
  <si>
    <t>LIMPEZA DE BLOCOS DE CONCRETO TIPO PAVER</t>
  </si>
  <si>
    <t>PAI-035</t>
  </si>
  <si>
    <t>LIMPEZA DE LAJOTA TÁTIL 40 X 40 X 3,5 CM</t>
  </si>
  <si>
    <t>PAI-036</t>
  </si>
  <si>
    <t>LIMPEZA DE PARALELEPÍPEDO REJUNTADO COM AREIA</t>
  </si>
  <si>
    <t>PAI-037</t>
  </si>
  <si>
    <t>LIMPEZA DE PARALELEPÍPEDO REJUNTADO COM ARGAMASSA</t>
  </si>
  <si>
    <t>PAI-038</t>
  </si>
  <si>
    <t>LIMPEZA DE MEIO-FIO DE CONCRETO PRÉ-MOLDADO</t>
  </si>
  <si>
    <t>PAI-039</t>
  </si>
  <si>
    <t>LIMPEZA DE MEIO-FIO DE GRANITO</t>
  </si>
  <si>
    <t>PAI-040</t>
  </si>
  <si>
    <t>IMPLANTAÇÃO DE RAMPA PARA DEFICIENTE COM LAJOTA TÁTIL DE ALERTA NAS LATERAIS, INCLUSIVE PINTURA, MEDINDO 2,20 X 1,20 X 1,80 M</t>
  </si>
  <si>
    <t>PAI-041</t>
  </si>
  <si>
    <t>IMPLANTAÇÃO DE RAMPA PARA DEFICIENTE COM 03 LAJOTAS TÁTIL DE ALERTA, SEM  PINTURA, MEDINDO 2,20 X 1,20 X 1,80 M</t>
  </si>
  <si>
    <t>PAI-042</t>
  </si>
  <si>
    <t>IMPLANTAÇÃO DE RAMPA PARA DEFICIENTE COM 03 LAJOTAS TÁTIL DE ALERTA, SEM PINTURA, MEDINDO 2,20 X 1,20 X 1,20 M</t>
  </si>
  <si>
    <t>PAI-043</t>
  </si>
  <si>
    <t>EXECUÇÃO DE RAMPA DE ACESSO EM CANTEIROS DIVISORES DE PISTA, COM LARGURA IGUAL OU INFERIOR A 2,60M, INCLUSIVE MALHA DE FERRO</t>
  </si>
  <si>
    <t>PAI-044</t>
  </si>
  <si>
    <t>ROÇADA COM ROÇADEIRA COSTAL EM ÁREAS PÚBLICAS, INCLUSIVE REMOÇÃO DE ENTULHOS</t>
  </si>
  <si>
    <t>HA</t>
  </si>
  <si>
    <t>CORTE RASO E RECORTE DE ÁRVORE COM DIÂMETRO DE TRONCO MAIOR OU IGUAL A 0,20 M E MENOR QUE 0,40 M</t>
  </si>
  <si>
    <t>CORTE RASO E RECORTE DE ÁRVORE COM DIÂMETRO DE TRONCO MAIOR OU IGUAL A 0,40 M E MENOR QUE 0,60 M</t>
  </si>
  <si>
    <t>CORTE RASO E RECORTE DE ÁRVORE COM DIÂMETRO DE TRONCO MAIOR OU IGUAL A 0,60 M</t>
  </si>
  <si>
    <t>REMOÇÃO DE RAÍZES REMANESCENTES DE TRONCO DE ÁRVORE COM DIÂMETRO MAIOR OU IGUAL A 0,20 M E MENOR QUE 0,40 M</t>
  </si>
  <si>
    <t>REMOÇÃO DE RAÍZES REMANESCENTES DE TRONCO DE ÁRVORE COM DIÂMETRO MAIOR OU IGUAL A 0,40 M E MENOR QUE 0,60 M</t>
  </si>
  <si>
    <t>REMOÇÃO DE RAÍZES REMANESCENTES DE TRONCO DE ÁRVORE COM DIÂMETRO MAIOR OU IGUAL A 0,60 M</t>
  </si>
  <si>
    <t>PAI-045</t>
  </si>
  <si>
    <t>REBAIXAMENTO DE POÇO DE VISITA NA PISTA</t>
  </si>
  <si>
    <t>PAI-046</t>
  </si>
  <si>
    <t>REBAIXAMENTO DE POÇO DE VISITA NO PASSEIO</t>
  </si>
  <si>
    <t>PAI-047</t>
  </si>
  <si>
    <t>LEVANTAMENTO DE POÇO DE VISITA NA PISTA</t>
  </si>
  <si>
    <t>PAI-048</t>
  </si>
  <si>
    <t>LEVANTAMENTO DE POÇO DE VISITA NO PASSEIO</t>
  </si>
  <si>
    <t>PAI-049</t>
  </si>
  <si>
    <t>REBAIXAMENTO DE CAIXA DE PASSAGEM/INSPEÇÃO COM TAMPA DE FºFº/ CONCRETO NO PASSEIO</t>
  </si>
  <si>
    <t>PAI-050</t>
  </si>
  <si>
    <t>LEVANTAMENTO DE CAIXA DE PASSAGEM/INSPEÇÃO COM TAMPA DE FºFº/ CONCRETO NO PASSEIO</t>
  </si>
  <si>
    <t>PAI-051</t>
  </si>
  <si>
    <t>LEVANTAMENTO DE CAIXA DE CAPTAÇÃO</t>
  </si>
  <si>
    <t>PAI-052</t>
  </si>
  <si>
    <t>REQUADRO DA CAIXA DE PASSAGEM/INSPEÇÃO EM CONCRETO, PARA ACERTO COM LAJOTA DE CONCRETO VIBROPRENSADO 40 X 40CM</t>
  </si>
  <si>
    <t>PAI-053</t>
  </si>
  <si>
    <t>PINTURA DE CICLOVIA COM TINTA METACRILATO MONOCOMPONENTE NA CÔR VERMELHA COM ESPESSURA MÍNIMA DE 0,6 MM</t>
  </si>
  <si>
    <t>PAI-054</t>
  </si>
  <si>
    <t>DEMOLIÇÃO DE PISO CIMENTADO</t>
  </si>
  <si>
    <t>EXECUÇÃO DE PASSEIO (CALÇADA) OU PISO DE CONCRETO COM CONCRETO MOLDADO IN LOCO, FEITO EM OBRA, ACABAMENTO CONVENCIONAL, NÃO ARMADO</t>
  </si>
  <si>
    <t>EXECUÇÃO DE PASSEIO (CALÇADA) OU PISO DE CONCRETO COM CONCRETO MOLDADO IN LOCO, USINADO, ACABAMENTO CONVENCIONAL, NÃO ARMADO</t>
  </si>
  <si>
    <t>EXECUÇÃO DE PASSEIO (CALÇADA) OU PISO DE CONCRETO COM CONCRETO MOLDADO IN LOCO, FEITO EM OBRA, ACABAMENTO CONVENCIONAL, ESPESSURA 6 CM, ARMADO</t>
  </si>
  <si>
    <t>EXECUÇÃO DE PASSEIO (CALÇADA) OU PISO DE CONCRETO COM CONCRETO MOLDADO IN LOCO, USINADO, ACABAMENTO CONVENCIONAL, ESPESSURA 6 CM, ARMADO</t>
  </si>
  <si>
    <t>EXECUÇÃO DE PASSEIO (CALÇADA) OU PISO DE CONCRETO COM CONCRETO MOLDADO IN LOCO, FEITO EM OBRA, ACABAMENTO CONVENCIONAL, ESPESSURA 8 CM, ARMADO</t>
  </si>
  <si>
    <t>EXECUÇÃO DE PASSEIO (CALÇADA) OU PISO DE CONCRETO COM CONCRETO MOLDADO IN LOCO, USINADO, ACABAMENTO CONVENCIONAL, ESPESSURA 8 CM, ARMADO</t>
  </si>
  <si>
    <t>PISO EM CONCRETO 20 MPA PREPARO MECÂNICO, ESPESSURA 7CM</t>
  </si>
  <si>
    <t>FORNECIMENTO E PLANTIO DE ARBUSTO OU  CERCA VIVA</t>
  </si>
  <si>
    <t>FORNECIMENTO E PLANTIO DE ÁRVORE ORNAMENTAL COM ALTURA DE MUDA MENOR OU IGUAL A 2,00 M</t>
  </si>
  <si>
    <t>FORNECIMENTO E PLANTIO DE ÁRVORE ORNAMENTAL COM ALTURA DE MUDA MAIOR QUE 2,00 M E MENOR OU IGUAL A 4,00 M</t>
  </si>
  <si>
    <t>FORNECIMENTO E PLANTIO DE PALMEIRA COM ALTURA DE MUDA MENOR OU IGUAL A 2,00 M</t>
  </si>
  <si>
    <t>PLANTIO DE FORRAÇÃO</t>
  </si>
  <si>
    <t>REDE DE DISTRIBUIÇÃO URBANA ( RDU ) E ILUMINAÇÃO PÚBLICA - UNIDADES DE SERVIÇO</t>
  </si>
  <si>
    <t>US-001</t>
  </si>
  <si>
    <t>UNIDADE DE SERVIÇO SMOP (US-SMOP), COMPREENDENDO MÃO-DE-OBRA, EQUIPAMENTOS OPERACIONAIS E DE APOIO, PARA EXECUÇÃO DE SERVIÇOS DE REDE DE DISTRIBUIÇÃO URBANA - RDU</t>
  </si>
  <si>
    <t>US</t>
  </si>
  <si>
    <t>US-002</t>
  </si>
  <si>
    <t>UNIDADE DE SERVIÇO SMOP (US-SMOP), COMPREENDENDO MÃO-DE-OBRA, EQUIPAMENTOS OPERACIONAIS E DE APOIO, PARA EXECUÇÃO DE SERVIÇOS DE REDE DE DISTRIBUIÇÃO URBANA EM LINHA VIVA</t>
  </si>
  <si>
    <t>US-003</t>
  </si>
  <si>
    <t>UNIDADE DE SERVIÇO SMOP (US-SMOP), COMPREENDENDO MÃO-DE-OBRA, EQUIPAMENTOS OPERACIONAIS E DE APOIO, PARA EXECUÇÃO DE SERVIÇOS DE ILUMINAÇÃO PÚBLICA - REDE AÉREA</t>
  </si>
  <si>
    <t>US-004</t>
  </si>
  <si>
    <t>UNIDADE DE SERVIÇO SMOP (US-SMOP), COMPREENDENDO MÃO-DE-OBRA, EQUIPAMENTOS OPERACIONAIS E DE APOIO, PARA EXECUÇÃO DE SERVIÇOS DE ILUMINAÇÃO PÚBLICA - SOLO</t>
  </si>
  <si>
    <t>DATA BASE TABELA SINAPI:</t>
  </si>
  <si>
    <t xml:space="preserve">DATA DO ORÇAMENTO: </t>
  </si>
  <si>
    <t xml:space="preserve">NÚMERO DO ORÇAMENTO:        </t>
  </si>
  <si>
    <t>QUADRÍCULA:</t>
  </si>
  <si>
    <t>PROJETO:</t>
  </si>
  <si>
    <t>CÓDIGO PROJETO:</t>
  </si>
  <si>
    <t>BAIRRO :</t>
  </si>
  <si>
    <t>LOCAL :</t>
  </si>
  <si>
    <t xml:space="preserve">BDI : </t>
  </si>
  <si>
    <t>NÚMERO DO ORÇAMENTO  :</t>
  </si>
  <si>
    <t>TABELAS DE REFERÊNCIA</t>
  </si>
  <si>
    <t>PORCENTAGENS</t>
  </si>
  <si>
    <t>ESPECIFICAÇÃO DA OBRA:</t>
  </si>
  <si>
    <t>DEVEM SER PREENCHIDAS SOMENTE AS CÉLULAS COM ESTA COR DE FUNDO</t>
  </si>
  <si>
    <t>210 DIAS</t>
  </si>
  <si>
    <t>240 DIAS</t>
  </si>
  <si>
    <t xml:space="preserve">NÚMERO DO ORÇAMENTO </t>
  </si>
  <si>
    <t>270 DIAS</t>
  </si>
  <si>
    <t>300 DIAS</t>
  </si>
  <si>
    <t>330 DIAS</t>
  </si>
  <si>
    <t>360 DIAS</t>
  </si>
  <si>
    <t>VALOR TOTAL DAS MEDIÇÕES SEM ADM LOCAL</t>
  </si>
  <si>
    <t>PORCENTAGEM MENSAL PARA ADM LOCAL</t>
  </si>
  <si>
    <t>-D / PR</t>
  </si>
  <si>
    <t>CREA:</t>
  </si>
  <si>
    <t>ART:</t>
  </si>
  <si>
    <t>LIVRE PARA CÁLCULOS CONFORME ESPECIFICIDADES DA OBRA EM QUESTÃO</t>
  </si>
  <si>
    <t>DESCRIÇÃO</t>
  </si>
  <si>
    <t>MEMORIAL DE CÁLCULOS DE QUANTIDADES</t>
  </si>
  <si>
    <t>DADOS GERAIS DA OBRA</t>
  </si>
  <si>
    <t>CRONOGRAMA FÍSICO FINANCEIRO - SEM DESONERAÇÃO</t>
  </si>
  <si>
    <t>ORÇAMENTO - SEM DESONERAÇÃO</t>
  </si>
  <si>
    <t>ENGENHEIRO RESPONSÁVEL PROJETOS / ORÇAMENTO / CRONOGRAMA:</t>
  </si>
  <si>
    <t>PREFEITURA MUNICIPAL DE CURITIBA</t>
  </si>
  <si>
    <r>
      <t xml:space="preserve">   A</t>
    </r>
    <r>
      <rPr>
        <u/>
        <sz val="10"/>
        <rFont val="Arial"/>
        <family val="2"/>
      </rPr>
      <t xml:space="preserve"> - </t>
    </r>
    <r>
      <rPr>
        <b/>
        <u/>
        <sz val="10"/>
        <rFont val="Arial"/>
        <family val="2"/>
      </rPr>
      <t>ENCARGOS SOCIAIS BÁSICOS</t>
    </r>
  </si>
  <si>
    <t>Horista</t>
  </si>
  <si>
    <t>Mensalista</t>
  </si>
  <si>
    <t>&gt; A1 Previdência Social - INSS</t>
  </si>
  <si>
    <t>&gt; A2 Serviço Social da Indústria ( SESI )</t>
  </si>
  <si>
    <t>&gt; A3 Serviço Nacional de Aprendizagem Industrial (SENAI )</t>
  </si>
  <si>
    <t>&gt; A4 Instituto Nacional de Colonização e Reforma Agrária (INCRA )</t>
  </si>
  <si>
    <t>&gt; A5 Serviço de Apoio à Pequena e Média Empresa (SEBRAE )</t>
  </si>
  <si>
    <t>&gt; A6 Salário Educação</t>
  </si>
  <si>
    <t>&gt; A7 Fundo de Garantia por Tempo de Serviço ( F.G.T.S)</t>
  </si>
  <si>
    <t>&gt; A8 Seguro contra Acidente de trabalho (INSS)</t>
  </si>
  <si>
    <t>&gt; A9 Seconci</t>
  </si>
  <si>
    <t xml:space="preserve">   </t>
  </si>
  <si>
    <t>&gt; TOTAL ( A )</t>
  </si>
  <si>
    <r>
      <t xml:space="preserve">&gt; </t>
    </r>
    <r>
      <rPr>
        <b/>
        <u/>
        <sz val="10"/>
        <rFont val="Arial"/>
        <family val="2"/>
      </rPr>
      <t>B - ENCARGOS SOCIAIS QUE RECEBEM AS INCIDÊNCIAS DE "A"</t>
    </r>
  </si>
  <si>
    <t>&gt; B1 Repouso Semanal e Feriados</t>
  </si>
  <si>
    <t>&gt; B2 Feriados</t>
  </si>
  <si>
    <t>&gt; B3 Auxílio Enfermidade</t>
  </si>
  <si>
    <t>&gt; B4 13º Salário</t>
  </si>
  <si>
    <t>&gt; B5 Licença Paternidade</t>
  </si>
  <si>
    <t>&gt; B6 Faltas Justificadas</t>
  </si>
  <si>
    <t>&gt; B7 Dias de Chuva</t>
  </si>
  <si>
    <t>&gt; B8 Auxilio Acidente de Trabalho</t>
  </si>
  <si>
    <t>&gt; B9 Férias Gozadas</t>
  </si>
  <si>
    <t>&gt; B10 Salário Materinidade</t>
  </si>
  <si>
    <t>&gt; TOTAL ( B )</t>
  </si>
  <si>
    <r>
      <t xml:space="preserve">&gt; </t>
    </r>
    <r>
      <rPr>
        <b/>
        <u/>
        <sz val="10"/>
        <rFont val="Arial"/>
        <family val="2"/>
      </rPr>
      <t>C</t>
    </r>
    <r>
      <rPr>
        <u/>
        <sz val="10"/>
        <rFont val="Arial"/>
        <family val="2"/>
      </rPr>
      <t xml:space="preserve"> - </t>
    </r>
    <r>
      <rPr>
        <b/>
        <u/>
        <sz val="10"/>
        <rFont val="Arial"/>
        <family val="2"/>
      </rPr>
      <t>ENCARGOS SOCIAIS QUE NÃO RECEBEM AS INCIDÊNCIAS GLOBAIS DE "A"</t>
    </r>
  </si>
  <si>
    <t>&gt; C1 Aviso Prévio Indenizado</t>
  </si>
  <si>
    <t>&gt; C2 Aviso Prévio Trabalhado</t>
  </si>
  <si>
    <t>&gt; C3 Férias Indenizadas</t>
  </si>
  <si>
    <t>&gt; C4 Depósito Recisão Sem Justa Causa</t>
  </si>
  <si>
    <t>&gt; C5 Indenização Adicional</t>
  </si>
  <si>
    <t>&gt; TOTAL ( C )</t>
  </si>
  <si>
    <r>
      <t>&gt;</t>
    </r>
    <r>
      <rPr>
        <b/>
        <u/>
        <sz val="10"/>
        <rFont val="Arial"/>
        <family val="2"/>
      </rPr>
      <t xml:space="preserve"> D</t>
    </r>
    <r>
      <rPr>
        <u/>
        <sz val="10"/>
        <rFont val="Arial"/>
        <family val="2"/>
      </rPr>
      <t xml:space="preserve"> - </t>
    </r>
    <r>
      <rPr>
        <b/>
        <u/>
        <sz val="10"/>
        <rFont val="Arial"/>
        <family val="2"/>
      </rPr>
      <t>TAXAS DE REINCIDÊNCIAS</t>
    </r>
  </si>
  <si>
    <t>&gt; D1 Reincidência de "A" sobre "B"</t>
  </si>
  <si>
    <t>&gt; D2 Reincidência de "A" sobre "C2" e Reincidência de "A7" sobre"C1".</t>
  </si>
  <si>
    <t>&gt; TOTAL ( D )..........................................................................................</t>
  </si>
  <si>
    <t xml:space="preserve"> TOTAL GERAL........................................................................................</t>
  </si>
  <si>
    <t xml:space="preserve">BDI S.D.: </t>
  </si>
  <si>
    <t xml:space="preserve">BDI C.D.: </t>
  </si>
  <si>
    <t>PRAZO DE EXECUÇÃO DA OBRA:</t>
  </si>
  <si>
    <t>MESES</t>
  </si>
  <si>
    <t xml:space="preserve">MOBILIZAÇÃO E DESMOBILIZAÇÃO </t>
  </si>
  <si>
    <t>COMPOSIÇÃO DA ADMINSTRAÇÃO LOCAL DA OBRA CONFORME PLANILHA ESPECÍFICA</t>
  </si>
  <si>
    <t>CONFERÊNCIA</t>
  </si>
  <si>
    <t>EQUIPAMENTOS</t>
  </si>
  <si>
    <t>EQUIPAMENTO</t>
  </si>
  <si>
    <t>CHP</t>
  </si>
  <si>
    <t>CHI</t>
  </si>
  <si>
    <t>89225/89226</t>
  </si>
  <si>
    <t>Betoneira 600 l elétrica</t>
  </si>
  <si>
    <t>87445/87446</t>
  </si>
  <si>
    <t>Betoneira 400 l motor a diesel</t>
  </si>
  <si>
    <t>88830/88831</t>
  </si>
  <si>
    <t>Betoneira 400 l elétrica</t>
  </si>
  <si>
    <t>E9519</t>
  </si>
  <si>
    <t>Betoneira 600 l motor a gasolina</t>
  </si>
  <si>
    <t>E9522</t>
  </si>
  <si>
    <t>Caldeira a vapor para asfalto rebocável 1.500 l</t>
  </si>
  <si>
    <t>89876/89877</t>
  </si>
  <si>
    <t>Caminhão basculante 14 m³  - com motorista</t>
  </si>
  <si>
    <t>E9579</t>
  </si>
  <si>
    <t>Caminhão basculante 10 m³ - com motorista</t>
  </si>
  <si>
    <t>E9506</t>
  </si>
  <si>
    <t>Caminhão basculante 6 m³ - com motorista</t>
  </si>
  <si>
    <t>E9592</t>
  </si>
  <si>
    <t>Caminhão carroceria com capacidade de 15 T - com motorista</t>
  </si>
  <si>
    <t>E9687</t>
  </si>
  <si>
    <t>Caminhão carroceria com capacidade de 5 T  - com motorista</t>
  </si>
  <si>
    <t>E9508</t>
  </si>
  <si>
    <t>Caminhão carroceria com capacidade de 9 T  - com motorista</t>
  </si>
  <si>
    <t>E9670</t>
  </si>
  <si>
    <t>Usina móvel com microrevestimento com cavalo mecânico 12 m³</t>
  </si>
  <si>
    <t>E9605</t>
  </si>
  <si>
    <t>Caminhão tanque 6000 l</t>
  </si>
  <si>
    <t>E9686</t>
  </si>
  <si>
    <t>Caminhão carroceria com capacidade de 17 t  e guindauto de 20 t.m - com motorista</t>
  </si>
  <si>
    <t>E9571</t>
  </si>
  <si>
    <t>Caminhão tanque 10.000 l</t>
  </si>
  <si>
    <t>E9584</t>
  </si>
  <si>
    <t>Pá carregadeira de pneus 1,72 m³</t>
  </si>
  <si>
    <t>E9507</t>
  </si>
  <si>
    <t>Computador, plotter de recorte e software</t>
  </si>
  <si>
    <t>E9107</t>
  </si>
  <si>
    <t>Compactador de solos com soquete vibratório</t>
  </si>
  <si>
    <t>E9513</t>
  </si>
  <si>
    <t>Compressor de ar portátil</t>
  </si>
  <si>
    <t>E9527</t>
  </si>
  <si>
    <t>Martelete perfurador/rompedor a ar comprimido de 25 kg</t>
  </si>
  <si>
    <t>E9583</t>
  </si>
  <si>
    <t>Distribuidor de agregados rebocável</t>
  </si>
  <si>
    <t>E9076</t>
  </si>
  <si>
    <t>Equipamento de pintura com cabine de 7,00 kW e estufa de 80.000</t>
  </si>
  <si>
    <t>E9515</t>
  </si>
  <si>
    <t>Escavadeira hidráulica sobre esteiras</t>
  </si>
  <si>
    <t>E9509</t>
  </si>
  <si>
    <t>Caminhão com tanque distribuidor de asfalto 6.000 l (espargidor) - com motorista</t>
  </si>
  <si>
    <t>E9553</t>
  </si>
  <si>
    <t>Estação total eletrônica</t>
  </si>
  <si>
    <t>E9700</t>
  </si>
  <si>
    <t>Fresadora a frio</t>
  </si>
  <si>
    <t>E9568</t>
  </si>
  <si>
    <t>Furadeira de impacto de 12,5 mm - 0,8 kW</t>
  </si>
  <si>
    <t>E9518</t>
  </si>
  <si>
    <t xml:space="preserve">Grade discos </t>
  </si>
  <si>
    <t>E9622</t>
  </si>
  <si>
    <t>Máquina de bancada corte de chapa - 1,5 kW</t>
  </si>
  <si>
    <t>E9623</t>
  </si>
  <si>
    <t>Máquina de bancada guilhotina - 4 kW</t>
  </si>
  <si>
    <t>E9706</t>
  </si>
  <si>
    <t>Martelete perfurador/rompedor a ar comprimido de 28 kg</t>
  </si>
  <si>
    <t>73536/5806</t>
  </si>
  <si>
    <t>Moto bomba à gasolina 3,5 CV</t>
  </si>
  <si>
    <t>E9585</t>
  </si>
  <si>
    <t>Motossera à gasolina</t>
  </si>
  <si>
    <t>E9552</t>
  </si>
  <si>
    <t xml:space="preserve">Nível ótico </t>
  </si>
  <si>
    <t>E9511</t>
  </si>
  <si>
    <t>Pá carregadeira de pneus 3,40m³</t>
  </si>
  <si>
    <t>E9588</t>
  </si>
  <si>
    <t>Vibroacabadora de concreto com formas deslizantes</t>
  </si>
  <si>
    <t>E9020</t>
  </si>
  <si>
    <t>Recicladora pavimento a frio</t>
  </si>
  <si>
    <t>E9586</t>
  </si>
  <si>
    <t>Régua vibratória treliçada</t>
  </si>
  <si>
    <t>E9526</t>
  </si>
  <si>
    <t xml:space="preserve">Retroescavadeira de pneus </t>
  </si>
  <si>
    <t>E9089</t>
  </si>
  <si>
    <t>Roçadeira costal</t>
  </si>
  <si>
    <t>E9685</t>
  </si>
  <si>
    <t>Rolo compressor pé de carneiro vibratório autopropelido (CA-25)</t>
  </si>
  <si>
    <t>E9682</t>
  </si>
  <si>
    <t>Rolo compactador Tandem 1,6T</t>
  </si>
  <si>
    <t>E9762</t>
  </si>
  <si>
    <t>Rolo compactador de pneus autopropelido (AP-26)</t>
  </si>
  <si>
    <t>95631/95632</t>
  </si>
  <si>
    <t xml:space="preserve">Rolo compactador Tandem 10 T </t>
  </si>
  <si>
    <t>E9530</t>
  </si>
  <si>
    <t xml:space="preserve">Rolo compactador liso vibratório autopropelido </t>
  </si>
  <si>
    <t>E9591</t>
  </si>
  <si>
    <t>Serra para corte de concreto e asfalto</t>
  </si>
  <si>
    <t>E9558</t>
  </si>
  <si>
    <t>Tanque para depósito de asfálto 30.000 l</t>
  </si>
  <si>
    <t>E9042</t>
  </si>
  <si>
    <t>Trator de esteiras com lâmina</t>
  </si>
  <si>
    <t>E9577</t>
  </si>
  <si>
    <t>Trator de pneus (Agrícola)</t>
  </si>
  <si>
    <t>E9689</t>
  </si>
  <si>
    <t>Usina de asfalto a quente</t>
  </si>
  <si>
    <t>E9615</t>
  </si>
  <si>
    <t xml:space="preserve">Usina misturadora de solos </t>
  </si>
  <si>
    <t>E9125</t>
  </si>
  <si>
    <t>Van furgão</t>
  </si>
  <si>
    <t>E9544</t>
  </si>
  <si>
    <t>Vassoura mecânica rebocável</t>
  </si>
  <si>
    <t>E9069</t>
  </si>
  <si>
    <t>Vibrador de imersão para concreto a gasolina</t>
  </si>
  <si>
    <t>90586/90587</t>
  </si>
  <si>
    <t>Vibrador de imersão para concreto elétrico</t>
  </si>
  <si>
    <t>E9758</t>
  </si>
  <si>
    <t>Vibroacabadora de asfalto sobre pneus</t>
  </si>
  <si>
    <t>E9556</t>
  </si>
  <si>
    <t>Compactador manual de placa vibratória</t>
  </si>
  <si>
    <t>E9666</t>
  </si>
  <si>
    <t>Cavalo mecânico com semi-reboque com capacidade de 30 t</t>
  </si>
  <si>
    <t>E9041</t>
  </si>
  <si>
    <t>Caminhão carroceria com capacidade de 24 t  e guindauto de 45 t.m - com motorista</t>
  </si>
  <si>
    <t>90631/90632</t>
  </si>
  <si>
    <t xml:space="preserve">Perfuratriz sobre esteira, torque máximo 600 kgf, potência 20 HP diâmetro máximo 10" </t>
  </si>
  <si>
    <t>90650/90651</t>
  </si>
  <si>
    <t>Bomba centrífuga elétrica, potência 15 HP, HM/Q = 30 MCA / 90 m³/h a 45 MCA / 55 m³/h</t>
  </si>
  <si>
    <t>91645/91646</t>
  </si>
  <si>
    <t>Carreta para transporte de mat. asfáltico - 30.000 l</t>
  </si>
  <si>
    <t>92242/92243</t>
  </si>
  <si>
    <t>Carreta para transporte de mat. asfáltico - 20.000 l</t>
  </si>
  <si>
    <t>E9516</t>
  </si>
  <si>
    <t>Perfuratriz hidráulica sobre esteiras - 300 Kw para estaca hélice</t>
  </si>
  <si>
    <t>E9665</t>
  </si>
  <si>
    <t>Cavalo mecânico com semi-reboque com capacidade de 22 t</t>
  </si>
  <si>
    <t>E9679</t>
  </si>
  <si>
    <t>Cavalo mecânico com reboque de 6 eixos para até 207 t</t>
  </si>
  <si>
    <t>SMOP-002</t>
  </si>
  <si>
    <t>Perfuratriz hidráulica sobre esteiras com cabeçote duplo e camisa metálica para estaca secante</t>
  </si>
  <si>
    <t>90637/90638</t>
  </si>
  <si>
    <t>Misturador duplo de alta turbulência com capacidade para 2 x 500 l</t>
  </si>
  <si>
    <t>E9535</t>
  </si>
  <si>
    <t>Serra circular com bancada - D = 30 cm</t>
  </si>
  <si>
    <t>E9066</t>
  </si>
  <si>
    <t>Grupo gerador - 13 / 14 Kva</t>
  </si>
  <si>
    <t>E9547</t>
  </si>
  <si>
    <t>Máquina para solda elétrica - 9,2 kW</t>
  </si>
  <si>
    <t>E9052</t>
  </si>
  <si>
    <t>Empilhadeira a diesel com capacidade de 10 t - 100 Kw</t>
  </si>
  <si>
    <t>E9763</t>
  </si>
  <si>
    <t>Grupo gerador - 36/40 kVA</t>
  </si>
  <si>
    <t>E9022</t>
  </si>
  <si>
    <t>Pórtico rolante com capacidade de 25 t - 30 kW</t>
  </si>
  <si>
    <t>E9660</t>
  </si>
  <si>
    <t>Guindaste sobre esteiras - 220 kW</t>
  </si>
  <si>
    <t>E9563</t>
  </si>
  <si>
    <t>Perfuratriz hidráulica sobre esteiras com clamshell - 220 kW</t>
  </si>
  <si>
    <t>E9705</t>
  </si>
  <si>
    <t>Misturador de lama bentonítica - 4 kW</t>
  </si>
  <si>
    <t>E9531</t>
  </si>
  <si>
    <t>Equipamento de sondagem a percussão com motobomba</t>
  </si>
  <si>
    <t>E9524</t>
  </si>
  <si>
    <t>Motoniveladora - 93 kW</t>
  </si>
  <si>
    <t>Usina misturadora de solos com capacidade de 300 t/h</t>
  </si>
  <si>
    <t>Grade de 24 discos rebocável de 24"</t>
  </si>
  <si>
    <t>5684/5685</t>
  </si>
  <si>
    <t xml:space="preserve">Rolo compactador vibratório de 1 cilindro liso autopropelido - 8,1 t </t>
  </si>
  <si>
    <t>Tanque de estocagem de asfalto com capacidade de 30.000 l</t>
  </si>
  <si>
    <t>92960/92961</t>
  </si>
  <si>
    <t>Máquina extrusora para guias e sarjetas a diesel</t>
  </si>
  <si>
    <t>A9361</t>
  </si>
  <si>
    <t>Tanque para estocagem de água 13.000 l</t>
  </si>
  <si>
    <t>E9675</t>
  </si>
  <si>
    <t>Martelete perfurador/rompedor elétrico - 1,5 kW</t>
  </si>
  <si>
    <t>E9644</t>
  </si>
  <si>
    <t>Caminhão para pintura a frio com demarcador de faixas</t>
  </si>
  <si>
    <t>E9645</t>
  </si>
  <si>
    <t>Caminhão aplicador de material termoplástico</t>
  </si>
  <si>
    <t>E9502</t>
  </si>
  <si>
    <t>Bate -estaca de gravidade para 3,5 a 4,0t - 119 kw</t>
  </si>
  <si>
    <t>95276/95277</t>
  </si>
  <si>
    <t>Polidora de piso (politriz), peso de 100kg, diâmetro 450 mm, motor elétrico, potência 4 HP</t>
  </si>
  <si>
    <t>90680/90681</t>
  </si>
  <si>
    <t>Perfuratriz hidráulica sobre caminhão com trado acoplado</t>
  </si>
  <si>
    <t>Vibrador de imersão, diâmetro de ponteira 45mm, motor elétrico trifásico potência de 2 CV</t>
  </si>
  <si>
    <t>83765/83766</t>
  </si>
  <si>
    <t xml:space="preserve">Grupo de soldagem com gerador a diesel 60 CV para solda elétrica </t>
  </si>
  <si>
    <t>SMOP-003</t>
  </si>
  <si>
    <t>Calandra elétrica para tubos até 3"</t>
  </si>
  <si>
    <t>Caminhão com carroceria metálica e cesto aéreo simples isolado</t>
  </si>
  <si>
    <t>E9646</t>
  </si>
  <si>
    <t>E9103</t>
  </si>
  <si>
    <t>Máquina extrusora para meio fio</t>
  </si>
  <si>
    <t>90643/90644</t>
  </si>
  <si>
    <t>Bomba triplex para injeção de nata de cimento</t>
  </si>
  <si>
    <t>E9721</t>
  </si>
  <si>
    <t>Conjunto de cilindro e bomba hidráulica para protenção de monobarras - 1150 Kn</t>
  </si>
  <si>
    <t>E9027</t>
  </si>
  <si>
    <t>Caminhão distribuidor de cimento</t>
  </si>
  <si>
    <t>E9514</t>
  </si>
  <si>
    <t>Distribuidor de agregados autopropelido</t>
  </si>
  <si>
    <t>E9589</t>
  </si>
  <si>
    <t>Texturizadora/cura</t>
  </si>
  <si>
    <t>E9693</t>
  </si>
  <si>
    <t>Caminhão demarcador de faixas com sistema de pintura Spray</t>
  </si>
  <si>
    <t>93281/93282</t>
  </si>
  <si>
    <t>Guincho Elétrico de coluna, capacidade 400 kg, com moto freio, motor trifásico de 1,25 cv</t>
  </si>
  <si>
    <t>91692/91693</t>
  </si>
  <si>
    <t>Serra circular de bancada com motor elétrico potência de 5hp, com coifa para disco 10"</t>
  </si>
  <si>
    <t>E9617</t>
  </si>
  <si>
    <t>Usina misturadora de pré misturado a frio com capacidade de 60 t/h</t>
  </si>
  <si>
    <t>89272/89273</t>
  </si>
  <si>
    <t>Guindaste hidráulico autopropelido, com lança telescópica 28,80 m, capacidade máxima 30 t, potência 97 kw, tração 4 x 4</t>
  </si>
  <si>
    <t>Total</t>
  </si>
  <si>
    <t>%</t>
  </si>
  <si>
    <t xml:space="preserve">COM DESONERAÇÃO </t>
  </si>
  <si>
    <t>&gt; A8 Seguro contra Acidente de trabalho.( INSS )</t>
  </si>
  <si>
    <t xml:space="preserve">                                          TABELA DE CUSTOS UNITÁRIOS - ABRIL/2023              </t>
  </si>
  <si>
    <t xml:space="preserve">                                          TABELA DE CUSTOS UNITÁRIOS - ABRIL/2023             </t>
  </si>
  <si>
    <t>FORNECIMENTO E ASSENTAMENTO DE TUBO DE CONCRETO ARMADO - PA2, DIÂMETRO DE 1800 MM, MACHO E FEMEA, EM LOCAL COM BAIXO NÍVEL DE INTERFERÊNCIAS (PESO = 2,2360 T)</t>
  </si>
  <si>
    <t>FORNECIMENTO E ASSENTAMENTO DE TUBO DE CONCRETO ARMADO - PA2, DIÂMETRO DE 2200 MM, MACHO E FEMEA, EM LOCAL COM BAIXO NÍVEL DE INTERFERÊNCIAS (PESO = 3,6520 T)</t>
  </si>
  <si>
    <t>FORNECIMENTO E ASSENTAMENTO DE TUBO DE CONCRETO ARMADO - PA2, DIÂMETRO DE 1800 MM, MACHO E FEMEA, EM LOCAL COM ALTO NÍVEL DE INTERFERÊNCIAS (PESO = 2,2360 T)</t>
  </si>
  <si>
    <t>FORNECIMENTO E ASSENTAMENTO DE TUBO DE CONCRETO ARMADO - PA2, DIÂMETRO DE 2200 MM, MACHO E FEMEA, EM LOCAL COM ALTO NÍVEL DE INTERFERÊNCIAS (PESO = 3,6520 T)</t>
  </si>
  <si>
    <t>PAV-096</t>
  </si>
  <si>
    <t xml:space="preserve">USINAGEM DE PRÉ MISTURADO A QUENTE, CAMADA DE ROLAMENTO, FAIXA C, COM POLÍMERO 65/90 </t>
  </si>
  <si>
    <t>PAV-097</t>
  </si>
  <si>
    <t>EXECUÇÃO DE PAVIMENTO COM PRÉ-MISTURADO A QUENTE, FAIXA "C" COM POLÍMERO 65/90  - SEM TRANSPORTE</t>
  </si>
  <si>
    <t>EXECUÇÃO DE PINTURA COM METILMETACRILATO MONOCOMPONENTE BRANCA COM ESPESSURA DE 0,6 MM</t>
  </si>
  <si>
    <t>SIN-062</t>
  </si>
  <si>
    <t>EXECUÇÃO DE PINTURA COM METILMETACRILATO MONOCOMPONENTE EM CORES COM ESPESSURA DE 0,6 MM</t>
  </si>
  <si>
    <t>FORNECIMENTO E ASSENTAMENTO DE LOULOUSINHAS DE GRANITO</t>
  </si>
  <si>
    <t>FORNECIMENTO E ASSENTAMENTO PETIT-PAVET BRANCO</t>
  </si>
  <si>
    <t>PAI-059</t>
  </si>
  <si>
    <t>FORNECIMENTO E ASSENTAMENTO PETIT-PAVET PRETO</t>
  </si>
  <si>
    <t>PAI-060</t>
  </si>
  <si>
    <t>FORNECIMENTO E ASSENTAMENTO PETIT-PAVET BRANCO E PRETO</t>
  </si>
  <si>
    <t>EXECUÇÃO DE PISO EM CONCRETO 20 MPA PREPARO MECÂNICO, ESPESSURA 7CM</t>
  </si>
  <si>
    <t>PAI-055</t>
  </si>
  <si>
    <t>TRAVESSIA DE DUTOS 160MM UTILIZANDO ESCAVAÇÃO MND</t>
  </si>
  <si>
    <t>PAI-056</t>
  </si>
  <si>
    <t>TRAVESSIA DE DUTOS 110MM UTILIZANDO ESCAVAÇÃO MND</t>
  </si>
  <si>
    <t>PAI-057</t>
  </si>
  <si>
    <t>TRAVESSIA DE DUTOS 75MM UTILIZANDO ESCAVAÇÃO MND</t>
  </si>
  <si>
    <t>PAI-058</t>
  </si>
  <si>
    <t>TRAVESSIA DE DUTOS 50MM UTILIZANDO ESCAVAÇÃO MND</t>
  </si>
  <si>
    <t>ABRIL 2023 - SEM DESONERAÇÃO</t>
  </si>
  <si>
    <t>TABELA DE CUSTOS - ABRIL / 2023               ( SEM DESONERAÇÃO )</t>
  </si>
  <si>
    <t>ABRIL/2023</t>
  </si>
  <si>
    <t>SINAPI - Fevereiro/2023</t>
  </si>
  <si>
    <t>TABELA DE CUSTOS - Abril / 2023               ( SEM DESONERAÇÃO )</t>
  </si>
  <si>
    <t>Abril / 2023</t>
  </si>
  <si>
    <t>SINAPI - Fev/2023</t>
  </si>
  <si>
    <t>SICRO - Out/2022</t>
  </si>
  <si>
    <t>Perfuratriz hidráulica sobre esteiras com cabeçote duplo e camisa metálica para estaca secante, com operador</t>
  </si>
  <si>
    <t>E9061</t>
  </si>
  <si>
    <t>Esmerilhadeira/Lixadeira angular elétrica com disco de 7"</t>
  </si>
  <si>
    <t>SMOP-001</t>
  </si>
  <si>
    <t>E9690</t>
  </si>
  <si>
    <t>Caminhão com carroceria e cesto aéreo simples isolado</t>
  </si>
  <si>
    <t>Perfuratriz direcional horizontal para MND, com operador</t>
  </si>
  <si>
    <t>96245/96246</t>
  </si>
  <si>
    <t>Miniescavadeira sobre esteiras</t>
  </si>
  <si>
    <t>FORNECIMENTO E ASSENTAMENTO LOUSINHA DE GRANITO</t>
  </si>
  <si>
    <t>ABRIL 2023 - COM DESONERAÇÃO</t>
  </si>
  <si>
    <t>TABELA DE CUSTOS - ABRIL / 2023               ( COM DESONERAÇÃO )</t>
  </si>
  <si>
    <t>SINAPI - MARÇO/2023</t>
  </si>
  <si>
    <t>TABELA DE CUSTOS - Abril / 2023               ( COM DESONERAÇÃO )</t>
  </si>
  <si>
    <t>Abril/2023</t>
  </si>
  <si>
    <t>E9559</t>
  </si>
  <si>
    <t>Aquecedor de fluido térmico - 12 kW</t>
  </si>
  <si>
    <t>FORNECIMENTO E INSTALAÇÃO DE PLACA DE OBRA COM CHAPA GALVANIZADA E ESTRUTURA DE MADEIRA.
AF_03/2022_PS</t>
  </si>
  <si>
    <t>un.dia</t>
  </si>
  <si>
    <t>m</t>
  </si>
  <si>
    <t>ud</t>
  </si>
  <si>
    <t>COMPOSIÇÕES</t>
  </si>
  <si>
    <t>UNID.</t>
  </si>
  <si>
    <t>COEF.</t>
  </si>
  <si>
    <t>CUSTO UNIT. SD</t>
  </si>
  <si>
    <t>CUSTO PARCIAL SD</t>
  </si>
  <si>
    <t>SINAPI</t>
  </si>
  <si>
    <t>CUSTO UNITÁRIO TOTAL</t>
  </si>
  <si>
    <t>MES</t>
  </si>
  <si>
    <t>ENGENHEIRO CIVIL DE OBRA JUNIOR COM ENCARGOS COMPLEMENTARES</t>
  </si>
  <si>
    <t>ENCARREGADO GERAL DE OBRAS COM ENCARGOS COMPLEMENTARES</t>
  </si>
  <si>
    <t>93565</t>
  </si>
  <si>
    <t>93572</t>
  </si>
  <si>
    <t>m²</t>
  </si>
  <si>
    <t>VIGIA</t>
  </si>
  <si>
    <t>CCT</t>
  </si>
  <si>
    <t>VIGIA - SINTRAPAV</t>
  </si>
  <si>
    <t>LEGISLAÇÃO</t>
  </si>
  <si>
    <t>ADICIONAL NOTURNO (20% DA HORA DIURNA)</t>
  </si>
  <si>
    <t>REDUÇÃO DA HORA TRABALHADA (DE 60 MIN PARA 52,5 MIN)</t>
  </si>
  <si>
    <t>INDENIZAÇÃO INTRAJORNADA (50% DE UMA HORA NOTURNA)</t>
  </si>
  <si>
    <t>ALIMENTACAO - HORISTA (COLETADO CAIXA - ENCARGOS COMPLEMENTARES)</t>
  </si>
  <si>
    <t>TRANSPORTE - HORISTA (COLETADO CAIXA - ENCARGOS COMPLEMENTARES)</t>
  </si>
  <si>
    <t>EXAMES - HORISTA (COLETADO CAIXA - ENCARGOS COMPLEMENTARES)</t>
  </si>
  <si>
    <t>SEGURO - HORISTA (COLETADO CAIXA - ENCARGOS COMPLEMENTARES)</t>
  </si>
  <si>
    <t>FERRAMENTAS - FAMILIA SERVENTE - HORISTA (ENCARGOS COMPLEMENTARES - COLETADO CAIXA)</t>
  </si>
  <si>
    <t>EPI - FAMILIA SERVENTE - HORISTA (ENCARGOS COMPLEMENTARES - COLETADO CAIXA)</t>
  </si>
  <si>
    <t>CURSO DE CAPACITAÇÃO PARA VIGIA (ENCARGOS COMPLEMENTARES) - HORISTA</t>
  </si>
  <si>
    <t>COMPOSIÇÃO</t>
  </si>
  <si>
    <t>FONTE</t>
  </si>
  <si>
    <t xml:space="preserve">SICRO </t>
  </si>
  <si>
    <t>DATA BASE TABELA SICRO:</t>
  </si>
  <si>
    <t>PLACA DE ADVERTÊNCIA PARA SINALIZAÇÃO DE OBRAS MONTADA EM SUPORTE METÁLICO MÓVEL, LADO 1,00 M - UTILIZAÇÃO DE 600 CICLOS - FORNECIMENTO, 01 IMPLANTAÇÃO E 01 RETIRADA DIÁRIA</t>
  </si>
  <si>
    <t>CONE PLÁSTICO PARA CANALIZAÇÃO DE TRÂNSITO - UTILIZAÇÃO DE 150 CICLOS - FORNECIMENTO, 01 IMPLANTAÇÃO E 01 RETIRADA DIÁRIA</t>
  </si>
  <si>
    <t>CANTEIRO DE OBRAS E SINALIZAÇÃO</t>
  </si>
  <si>
    <t>Sanepar 1</t>
  </si>
  <si>
    <t>Sanepar 2</t>
  </si>
  <si>
    <t>Sanepar 3</t>
  </si>
  <si>
    <t>Sanepar 4</t>
  </si>
  <si>
    <t>Sanepar 5</t>
  </si>
  <si>
    <t>Sanepar 6</t>
  </si>
  <si>
    <t>Sanepar</t>
  </si>
  <si>
    <t>Kwh</t>
  </si>
  <si>
    <t>Copel</t>
  </si>
  <si>
    <t>Copel B3</t>
  </si>
  <si>
    <t>Observação: Disponível em https://www.sanepar.com.br/tarifas - Comercial / Utilidade Pública / Poder Público (R$/m³)  - Composição baseada na Tabela SMOP - ALO 009</t>
  </si>
  <si>
    <t>HORISTA</t>
  </si>
  <si>
    <t>MENSALISTA</t>
  </si>
  <si>
    <t>HORISTA      MENSALISTA</t>
  </si>
  <si>
    <t>A1</t>
  </si>
  <si>
    <t>INSS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</si>
  <si>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</si>
  <si>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</si>
  <si>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</si>
  <si>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</si>
  <si>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</si>
  <si>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</si>
  <si>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</si>
  <si>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</si>
  <si>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</si>
  <si>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</si>
  <si>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</si>
  <si>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</si>
  <si>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</si>
  <si>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FGTS</t>
  </si>
  <si>
    <t>A9</t>
  </si>
  <si>
    <t>SECONCI</t>
  </si>
  <si>
    <t>A</t>
  </si>
  <si>
    <t>B1</t>
  </si>
  <si>
    <t>Repouso Semanal Remunerado</t>
  </si>
  <si>
    <t>B2</t>
  </si>
  <si>
    <t>Feriados</t>
  </si>
  <si>
    <t>B3</t>
  </si>
  <si>
    <t>Auxílio - Enfermidade</t>
  </si>
  <si>
    <t>B4</t>
  </si>
  <si>
    <t>13º Salário</t>
  </si>
  <si>
    <t>B5</t>
  </si>
  <si>
    <t>Licença Paternidade</t>
  </si>
  <si>
    <t>B6</t>
  </si>
  <si>
    <t>Faltas Justificadas</t>
  </si>
  <si>
    <t>B7</t>
  </si>
  <si>
    <t>Dias de Chuvas</t>
  </si>
  <si>
    <t>B8</t>
  </si>
  <si>
    <t>Auxílio Acidente de Trabalho</t>
  </si>
  <si>
    <t>B9</t>
  </si>
  <si>
    <t>Férias Gozadas</t>
  </si>
  <si>
    <t>B10</t>
  </si>
  <si>
    <t>Salário Maternidade</t>
  </si>
  <si>
    <t>B</t>
  </si>
  <si>
    <t>C1</t>
  </si>
  <si>
    <t>Aviso Prévio Indenizado</t>
  </si>
  <si>
    <t>C2</t>
  </si>
  <si>
    <t>Aviso Prévio Trabalhado</t>
  </si>
  <si>
    <t>C3</t>
  </si>
  <si>
    <t>Férias lndenizadas</t>
  </si>
  <si>
    <t>C4</t>
  </si>
  <si>
    <t>Depósito Rescisão Sem Justa Causa</t>
  </si>
  <si>
    <t>C5</t>
  </si>
  <si>
    <t>Indenização Adicional</t>
  </si>
  <si>
    <t>c</t>
  </si>
  <si>
    <t>D1</t>
  </si>
  <si>
    <r>
      <rPr>
        <sz val="10"/>
        <rFont val="Arial"/>
        <family val="2"/>
      </rPr>
      <t>Reincidência de Grupo A sobre Grupo B (sem considerar INNS sobre 13º, conforme Lei n°
14.973/2024)</t>
    </r>
  </si>
  <si>
    <t>D2</t>
  </si>
  <si>
    <r>
      <rPr>
        <sz val="10"/>
        <rFont val="Arial"/>
        <family val="2"/>
      </rPr>
      <t>Reincidência de Grupo A sobre Aviso Prévio
Trabalhado  e Reincidência do FGTS sobre Aviso Prévio Indenizado</t>
    </r>
  </si>
  <si>
    <t>D</t>
  </si>
  <si>
    <t>kg</t>
  </si>
  <si>
    <t>un</t>
  </si>
  <si>
    <t>CONCRETAGEM DE EDIFICAÇÕES (PAREDES E LAJES) FEITAS COM SISTEMA DE FÔRMAS MANUSEÁVEIS, COM CONCRETO USINADO BOMBEÁVEL FCK 25 MPA - LANÇAMENTO, ADENSAMENTO E ACABAMENTO. AF_09/2024</t>
  </si>
  <si>
    <t>SICRO</t>
  </si>
  <si>
    <t>h</t>
  </si>
  <si>
    <t>6.0</t>
  </si>
  <si>
    <t>7.0</t>
  </si>
  <si>
    <t>8.0</t>
  </si>
  <si>
    <t>CMP-18</t>
  </si>
  <si>
    <t>UD - SD</t>
  </si>
  <si>
    <t>UD - CD</t>
  </si>
  <si>
    <t>CMP-17</t>
  </si>
  <si>
    <t>Lançamento de rede aérea com cabo autosustentável, incluindo conexões.</t>
  </si>
  <si>
    <t>Arruela quadrada</t>
  </si>
  <si>
    <t>Cabo de alumínio autosustentável triplex 16mm²</t>
  </si>
  <si>
    <t>Cabo de cobre flexível tipo PP, isolamento 0,6/1kV com bitola de 3x1,5mm².</t>
  </si>
  <si>
    <t>Conector de torção para conexão de cabos com soma na faixa de 1,5mm² a 6mm² (alaranjado)</t>
  </si>
  <si>
    <t>Conector derivação cunha assimétrico tipo “C”</t>
  </si>
  <si>
    <t>Conector perfurante 70x10 (principal até 70mm², derivação até 10mm²).</t>
  </si>
  <si>
    <t>Isolador de roldana com armação vertical</t>
  </si>
  <si>
    <t>Poste de concreto Duplo-T D/200daN 9m</t>
  </si>
  <si>
    <t>CMP-19</t>
  </si>
  <si>
    <t>Instalação de luminária até 8m de altura em poste de concreto, incluindo fixação do braço metálico, ligações elétricas e instalação de plaqueta de identificação.</t>
  </si>
  <si>
    <r>
      <t>Luminária LED padrão viária com potência máxima de 30W, eficiência mínima de 150 lm/W, e demais especificações conforme memorial descritivo</t>
    </r>
    <r>
      <rPr>
        <sz val="11"/>
        <color rgb="FF000000"/>
        <rFont val="Arial"/>
        <family val="2"/>
      </rPr>
      <t>.</t>
    </r>
  </si>
  <si>
    <t>Parafuso rosca dupla 350mm</t>
  </si>
  <si>
    <t>Plaqueta de identificação de luminárias, conforme especificações do memorial descritivo.</t>
  </si>
  <si>
    <t>Relé foto controlador eletrônico, Liga de Noite (LN), Falha Desligado (FD / fail off), grau de proteção IP 65, conforme ABNT NBR 5123.</t>
  </si>
  <si>
    <t>Eletricista</t>
  </si>
  <si>
    <t>Ajudante de Eletricista</t>
  </si>
  <si>
    <t>Implantação de poste de concreto Duplo-T D/200daN 9m - Fornecimento e instalação</t>
  </si>
  <si>
    <t>ASSENTAMENTO DE POSTE DE CONCRETO COM COMPRIMENTO NOMINAL DE 9 M, CARGA NOMINAL DE 300 DAN, ENGASTAMENTO BASE CONCRETADA COM 1 M DE CONCRETO E 0,5 M DE SOLO (NÃO INCLUI FORNECIMENTO). AF_04/2025</t>
  </si>
  <si>
    <t>ORSE</t>
  </si>
  <si>
    <t>SIURB</t>
  </si>
  <si>
    <t>FABRICAÇÃO, MONTAGEM E DESMONTAGEM DE FÔRMA PARA BLOCO DE COROAMENTO, EM MADEIRA SERRADA, E=25 MM, 2 UTILIZAÇÕES. AF_01/2024</t>
  </si>
  <si>
    <t>LOCACAO DE CONTAINER 2,30 X 6,00 M, ALT. 2,50 M, COM 1 SANITARIO, PARA ESCRITORIO, COMPLETO, SEM DIVISORIAS INTERNAS (NAO INCLUI MOBILIZACAO/DESMOBILIZACAO)</t>
  </si>
  <si>
    <t>CONSUMO DE ENERGIA ( TARIFA B3 - COMERCIAL )</t>
  </si>
  <si>
    <t>ARMAÇÃO EM AÇO CA-50 - FORNECIMENTO, PREPARO E COLOCAÇÃO  - BLOCO</t>
  </si>
  <si>
    <t>LASTRO DE BRITA COMERCIAL COMPACTADO COM SOQUETE VIBRATÓRIO - ESPALHAMENTO MANUAL</t>
  </si>
  <si>
    <t>COM-001</t>
  </si>
  <si>
    <t>COM-002</t>
  </si>
  <si>
    <t>COM-003</t>
  </si>
  <si>
    <t>COM-004</t>
  </si>
  <si>
    <t>COM-005</t>
  </si>
  <si>
    <t>COM-012</t>
  </si>
  <si>
    <t>COM-013</t>
  </si>
  <si>
    <t>ATERRO MANUAL DE VALAS COM SOLO ARGILO-ARENOSO. AF_08/2023</t>
  </si>
  <si>
    <t>DATA BASE TABELA SIURB:</t>
  </si>
  <si>
    <t>Estaca pré-moldada de concreto protendido 23 x 23 cm - produzida - sem emenda - cravação</t>
  </si>
  <si>
    <t>ESCAVAÇÃO MANUAL PARA BLOCO DE COROAMENTO OU SAPATA (INCLUINDO ESCAVAÇÃO PARA COLOCAÇÃO DE FÔRMAS). AF_01/2024</t>
  </si>
  <si>
    <t>M0647</t>
  </si>
  <si>
    <t>Estaca pré-moldada de concreto protendido com compressão admissível de 25 t</t>
  </si>
  <si>
    <t>Arrasamento de estacas de concreto com seção de até 900 cm²</t>
  </si>
  <si>
    <t>FORMA PARA CONCRETO PRÉ-MOLDADO, INCLUSIVE DESFORMA</t>
  </si>
  <si>
    <t>ud.</t>
  </si>
  <si>
    <t>FUNDAÇÃO PARA INSTALAÇÃO DE OBRAS DE ARTE PARA PASSAGEM DE PEDESTRES</t>
  </si>
  <si>
    <t xml:space="preserve">ARMAÇÃO EM AÇO CA-50 - FORNECIMENTO, PREPARO E COLOCAÇÃO </t>
  </si>
  <si>
    <t>Barra redonda de aço mecanica laminada 5/8" (1,56 kg/m)</t>
  </si>
  <si>
    <t>BLOCO DE CONCRETO ESTRUTURAL 19 X 19 X 39 CM, FBK 4,5 MPA (NBR 6136)</t>
  </si>
  <si>
    <t>CONCRETO USINADO BOMBEAVEL, CLASSE DE RESISTENCIA C30, BRITA 0 E 1, SLUMP = 100 +/- 20 MM, COM BOMBEAMENTO (DISPONIBILIZACAO DE BOMBA), SEM O LANCAMENTO (NBR 8953)</t>
  </si>
  <si>
    <t>LANÇAMENTO COM USO DE BOMBA, ADENSAMENTO E ACABAMENTO DE CONCRETO EM ESTRUTURAS. AF_02/2022</t>
  </si>
  <si>
    <t>CONCRETO USINADO BOMBEAVEL, CLASSE DE RESISTENCIA C25, BRITA 0 E 1, SLUMP = 100 +/- 20 MM, COM BOMBEAMENTO (DISPONIBILIZACAO DE BOMBA), SEM O LANCAMENTO (NBR 8953)</t>
  </si>
  <si>
    <t>SUDECAP</t>
  </si>
  <si>
    <t>ESTACA ESCAVADA COM TRADO MANUAL, D=25CM, INCLUSIVE CONCRETO EXCLUSIVE ARMAÇÃO</t>
  </si>
  <si>
    <t>ARMAÇÃO EM AÇO CA-50 - FORNECIMENTO, PREPARO E COLOCAÇÃO - ESTACAS</t>
  </si>
  <si>
    <t>ARMAÇÃO EM AÇO CA-50 - FORNECIMENTO, PREPARO E COLOCAÇÃO - RAMPA</t>
  </si>
  <si>
    <t>ALVENARIA DE BLOCOS DE CONCRETO ESTRUTURAL 19X19X29 CM (ESPESSURA 19 CM), FBK = 4,5 MPA, UTILIZANDO PALHETA</t>
  </si>
  <si>
    <t>ARGAMASSA TRAÇO 1:2:9 (EM VOLUME DE CIMENTO, CAL E AREIA MÉDIA ÚMIDA) PARA EMBOÇO/MASSA ÚNICA/ASSENTAMENTO DE ALVENARIA DE VEDAÇÃO, PREPARO MECÂNICO COM BETONEIRA 400 L. AF_08/2019</t>
  </si>
  <si>
    <t>SERVENTE COM ENCARGOS COMPLEMENTARES</t>
  </si>
  <si>
    <t>PEDREIRO COM ENCARGOS COMPLEMENTARES</t>
  </si>
  <si>
    <t>Baseado na composição SINAPI 89462</t>
  </si>
  <si>
    <t>ESCAVAÇÃO MECANIZADA DE VALA COM PROF. ATÉ 1,5 M (MÉDIA MONTANTE E JUSANTE/UMA COMPOSIÇÃO POR TRECHO), ESCAVADEIRA (0,8 M3), LARG. DE 1,5 M A 2,5 M, EM SOLO DE 1A CATEGORIA, EM LOCAIS COM ALTO NÍVEL DE INTERFERÊNCIA. AF_09/2024</t>
  </si>
  <si>
    <t xml:space="preserve">ARMAÇÃO DO SISTEMA DE PAREDES DE CONCRETO, EXECUTADA COMO ARMADURA POSITIVA DE LAJES, TELA Q-138. AF_12/2024 </t>
  </si>
  <si>
    <t>URBANIZAÇÃO</t>
  </si>
  <si>
    <t>FDE</t>
  </si>
  <si>
    <t>DEMOLIÇÃO PARCIAL DE PAVIMENTO ASFÁLTICO, DE FORMA MECANIZADA, SEM REAPROVEITAMENTO. AF_09/2023</t>
  </si>
  <si>
    <t>PASSARELAS VILA GUAÍRA</t>
  </si>
  <si>
    <t>Fôrmas de compensado resinado 14 mm - uso geral - utilização de 2 vezes - confecção, instalação e retirada</t>
  </si>
  <si>
    <t>AJUDANTE DE CARPINTEIRO COM ENCARGOS COMPLEMENTARES</t>
  </si>
  <si>
    <t>CARPINTEIRO DE FORMAS COM ENCARGOS COMPLEMENTARES</t>
  </si>
  <si>
    <t>MONTAGEM DE PILARES PRÉ-FABRICADOS, INCLUSO IÇAMENTO COM GUINDASTE</t>
  </si>
  <si>
    <t>GRAUTEAMENTO DE CINTA INTERMEDIÁRIA OU DE CONTRAVERGA EM ALVENARIA ESTRUTURAL. AF_09/2021</t>
  </si>
  <si>
    <t>GUINDASTE HIDRÁULICO AUTOPROPELIDO, COM LANÇA TELESCÓPICA 28,80 M, CAPACIDADE MÁXIMA 30 T, POTÊNCIA 97 KW, TRAÇÃO 4 X 4 - CHI DIURNO. AF_11/2014</t>
  </si>
  <si>
    <t>GUINDASTE HIDRÁULICO AUTOPROPELIDO, COM LANÇA TELESCÓPICA 28,80 M, CAPACIDADE MÁXIMA 30 T, POTÊNCIA 97 KW, TRAÇÃO 4 X 4 - CHP DIURNO. AF_11/2014</t>
  </si>
  <si>
    <t>Baseado na composição SINAPI 97719</t>
  </si>
  <si>
    <t>CAMINHÃO CARGA SECA CAPACIDADE 8TON COM GUINDASTE</t>
  </si>
  <si>
    <t>LAJE EM PAINEL PROTENDIDO ALVEOLAR - ESPESSURA: 26.5 CM - 340KG/M2</t>
  </si>
  <si>
    <t>COTAÇÃO</t>
  </si>
  <si>
    <t>GUARDA CORPO PULTRUDADO PADRÃO NR14.718 C/BARRAS INTERMED. VERTICAIS - RETO FIX. SAPATA - H=1100MM</t>
  </si>
  <si>
    <t>GUARDA CORPO PULTRUDADO PADRÃO NR14.718 C/BARRAS INTERMED. VERTICAIS - INCLINADO FIX. SAPATA - H=1100MM</t>
  </si>
  <si>
    <t>Chumbador de expansão controlada por torque para concreto D = 8 mm - fornecimento e instalação</t>
  </si>
  <si>
    <t>MEIO BLOCO DE CONCRETO ESTRUTURAL 4,5 MPA DE 19 X 19 X 19 CM COM FRETE</t>
  </si>
  <si>
    <t>79.10.12</t>
  </si>
  <si>
    <t>LIMPEZA E APICOAMENTO DA SUPERFICIE DE CONCRETO NO APOIO</t>
  </si>
  <si>
    <t>PILARES PRÉ-MOLDADO PARA PASSARELA DE PEDESTRES</t>
  </si>
  <si>
    <t>SUPERESTRUTURA PASSARELAS DE PEDESTRES</t>
  </si>
  <si>
    <t>Os quantitativos deverão ser conferidos durante a execução da obra.</t>
  </si>
  <si>
    <t>9.0</t>
  </si>
  <si>
    <t>ARMAÇÃO DO SISTEMA DE PAREDES DE CONCRETO, EXECUTADA COMO ARMADURA POSITIVA DE LAJES, TELA Q-138. AF_12/2024</t>
  </si>
  <si>
    <t xml:space="preserve">CONCRETO USINADO BOMBEAVEL, CLASSE DE RESISTENCIA C40, BRITA 0 E 1, SLUMP = 100 +/- 20 MM, COM BOMBEAMENTO (DISPONIBILIZACAO DE BOMBA), SEM O LANCAMENTO (NBR 8953) </t>
  </si>
  <si>
    <t xml:space="preserve">LANÇAMENTO COM USO DE BOMBA, ADENSAMENTO E ACABAMENTO DE CONCRETO EM ESTRUTURAS. AF_02/2022 </t>
  </si>
  <si>
    <t>FORNECIMENTO E MONTAGEM DE LAJES ALVEOLARES PRÉ-FABRICADAS, INCLUSO IÇAMENTO COM GUINDASTE. AF_03/2024</t>
  </si>
  <si>
    <t xml:space="preserve">un </t>
  </si>
  <si>
    <t>BROCA COM PONTA DE VIDIA (D=3/8"X330MM)</t>
  </si>
  <si>
    <t>9.10.43</t>
  </si>
  <si>
    <t>GERADOR DE ENERGIA À GASOLINA 8,5 KVA PARTIDA ELÉTRICA COM RODAS</t>
  </si>
  <si>
    <t>MARTELETE ROTATIVO 0,8 KW</t>
  </si>
  <si>
    <t>PROFUNDIDADE</t>
  </si>
  <si>
    <t>Baseado na composição SIURB 10102001</t>
  </si>
  <si>
    <t>40 furos por broca</t>
  </si>
  <si>
    <t>FURAÇÃO PARA 10,0MM EM CONCRETO ARMADO, INCLUSIVE COLAGEM DE ARMADURA (PARA 8MM) - PROFUNDADE 13 CM</t>
  </si>
  <si>
    <t>P/ chumbar a armadura</t>
  </si>
  <si>
    <t>50 furos por broca</t>
  </si>
  <si>
    <t>COM-006</t>
  </si>
  <si>
    <t>COM-010</t>
  </si>
  <si>
    <t>ARMAÇÃO EM AÇO CA-50 - FORNECIMENTO, PREPARO E COLOCAÇÃO - PRÉ-LAJE</t>
  </si>
  <si>
    <t>CONCRETO USINADO BOMBEAVEL, CLASSE DE RESISTENCIA C25, BRITA 0 E 1, SLUMP = 100 +/- 20 MM, COM BOMBEAMENTO (DISPONIBILIZACAO DE BOMBA), SEM O LANCAMENTO (NBR 8953) - PRÉ-LAJE</t>
  </si>
  <si>
    <t>LANÇAMENTO COM USO DE BOMBA, ADENSAMENTO E ACABAMENTO DE CONCRETO EM ESTRUTURAS. AF_02/2022 - PRÉ-LAJE</t>
  </si>
  <si>
    <t>FORMA PARA CONCRETO PRÉ-MOLDADO, INCLUSIVE DESFORMA - PRÉ-LAJE</t>
  </si>
  <si>
    <t>Baseado na composição SEINFRA C4302</t>
  </si>
  <si>
    <t>PINTURA ACRÍLICA CONCRETO 2 DEMÃOS - FACHADA DAS RAMPAS</t>
  </si>
  <si>
    <t>REBOCO ARGAMASSA PREFABRICADA EM PAREDES - FACHADA DAS RAMPAS</t>
  </si>
  <si>
    <t>TEM FURO</t>
  </si>
  <si>
    <t>PINTURA ACRÍLICA CONCRETO 2 DEMÃOS - BARRETE</t>
  </si>
  <si>
    <t>HIDROJATEAMENTO DE ALTA PRESSÃO PARA LIMPEZA DE SUPERFÍCIES - BARRETE</t>
  </si>
  <si>
    <t>inclinado</t>
  </si>
  <si>
    <t>reto</t>
  </si>
  <si>
    <t>guarda corpo</t>
  </si>
  <si>
    <t>Frete 2x6760</t>
  </si>
  <si>
    <t>COM-011</t>
  </si>
  <si>
    <t>FURAÇÃO PARA 10,0MM EM CONCRETO ARMADO, INCLUSIVE COLAGEM DE ARMADURA (PARA 8MM) - PROFUNDADE 18 CM</t>
  </si>
  <si>
    <t>60 furos por broca</t>
  </si>
  <si>
    <t>FURAÇÃO PARA 10,0MM EM CONCRETO ARMADO, INCLUSIVE COLAGEM DE ARMADURA (PARA 8MM) - PROFUNDADE 15 CM</t>
  </si>
  <si>
    <t>volume [m³]</t>
  </si>
  <si>
    <t>PAROLIN</t>
  </si>
  <si>
    <t>COT-001</t>
  </si>
  <si>
    <t>COT-002</t>
  </si>
  <si>
    <t>GUARDA CORPO PULTRUDADO PADRÃO NR14.718 C/BARRAS INTERMED. VERTICAIS - RETO FIX. SAPATA - H=1100MM - PASSARELA 01</t>
  </si>
  <si>
    <t>10.0</t>
  </si>
  <si>
    <t>DATA DO QUANTITATIVO:</t>
  </si>
  <si>
    <t xml:space="preserve">DATA BASE DO ORÇAMENTO: </t>
  </si>
  <si>
    <t>Composição</t>
  </si>
  <si>
    <t>Equipamento</t>
  </si>
  <si>
    <t>Descrição</t>
  </si>
  <si>
    <t>Cód</t>
  </si>
  <si>
    <t>Ref</t>
  </si>
  <si>
    <t>DM (km)</t>
  </si>
  <si>
    <t>K</t>
  </si>
  <si>
    <t>FU</t>
  </si>
  <si>
    <t>V (km/h)</t>
  </si>
  <si>
    <t>CHP SD</t>
  </si>
  <si>
    <t>CMob SD</t>
  </si>
  <si>
    <t>Equipamento a ser transportado</t>
  </si>
  <si>
    <t>Cavalo mecânico com semirreboque</t>
  </si>
  <si>
    <t>Cavalo mecânico com semirreboque com capacidade de 20 t - 276 kW</t>
  </si>
  <si>
    <t>MOBILIZAÇÃO / DESMOBILIZAÇÃO</t>
  </si>
  <si>
    <t>MOBILIZAÇÃO/DESMOBILIZAÇÃO DE EQUIPAMENTO - RETRO-ESCAVADEIRA</t>
  </si>
  <si>
    <t>MOBILIZACAO/DESMOBILIZAÇÃO DE EQUIPAMENTO - ESTACAS PRE-MOLDADAS - BATE-ESTACAS</t>
  </si>
  <si>
    <t>GUARDA-CORPO PARA PASSARELA DE PEDESTRES - FORNECIMENTO E INSTALAÇÃO</t>
  </si>
  <si>
    <t>ESTACA BARRETE - ADEQUAÇÃO DE ALTURA</t>
  </si>
  <si>
    <t>RAMPAS DE ACESSO ÀS PASSARELAS</t>
  </si>
  <si>
    <t>1.1</t>
  </si>
  <si>
    <t>2.1</t>
  </si>
  <si>
    <t>2.2</t>
  </si>
  <si>
    <t>2.3</t>
  </si>
  <si>
    <t>2.4</t>
  </si>
  <si>
    <t>2.5</t>
  </si>
  <si>
    <t>2.6</t>
  </si>
  <si>
    <t>3.1</t>
  </si>
  <si>
    <t>3.2</t>
  </si>
  <si>
    <t>3.3</t>
  </si>
  <si>
    <t>3.4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</si>
  <si>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</si>
  <si>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</si>
  <si>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</si>
  <si>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</si>
  <si>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</si>
  <si>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</si>
  <si>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</si>
  <si>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</si>
  <si>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</si>
  <si>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</si>
  <si>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5.1</t>
  </si>
  <si>
    <t>5.2</t>
  </si>
  <si>
    <t>5.3</t>
  </si>
  <si>
    <t>5.4</t>
  </si>
  <si>
    <t>5.5</t>
  </si>
  <si>
    <t>5.6</t>
  </si>
  <si>
    <t>6.1</t>
  </si>
  <si>
    <t>6.2</t>
  </si>
  <si>
    <t>6.3</t>
  </si>
  <si>
    <t>6.4</t>
  </si>
  <si>
    <t>6.5</t>
  </si>
  <si>
    <t>6.6</t>
  </si>
  <si>
    <t>7.1</t>
  </si>
  <si>
    <t>7.2</t>
  </si>
  <si>
    <t>7.3</t>
  </si>
  <si>
    <t>7.4</t>
  </si>
  <si>
    <t>7.5</t>
  </si>
  <si>
    <t>7.6</t>
  </si>
  <si>
    <t>7.7</t>
  </si>
  <si>
    <t>7.8</t>
  </si>
  <si>
    <t>7.9</t>
  </si>
  <si>
    <t>7.10</t>
  </si>
  <si>
    <t>7.11</t>
  </si>
  <si>
    <t>7.12</t>
  </si>
  <si>
    <t>7.13</t>
  </si>
  <si>
    <t>7.14</t>
  </si>
  <si>
    <t>7.15</t>
  </si>
  <si>
    <t>7.16</t>
  </si>
  <si>
    <t>7.17</t>
  </si>
  <si>
    <t>8.1</t>
  </si>
  <si>
    <t>8.2</t>
  </si>
  <si>
    <t>8.3</t>
  </si>
  <si>
    <t>9.1</t>
  </si>
  <si>
    <t>9.2</t>
  </si>
  <si>
    <t>9.3</t>
  </si>
  <si>
    <t>9.4</t>
  </si>
  <si>
    <t>9.5</t>
  </si>
  <si>
    <t>9.6</t>
  </si>
  <si>
    <t>9.7</t>
  </si>
  <si>
    <t>9.8</t>
  </si>
  <si>
    <t>10.1</t>
  </si>
  <si>
    <t>10.2</t>
  </si>
  <si>
    <t>Bate-Estacas</t>
  </si>
  <si>
    <t>Serviço</t>
  </si>
  <si>
    <t>CHP CD</t>
  </si>
  <si>
    <t>Cmob CD</t>
  </si>
  <si>
    <t>Retroescavadeira</t>
  </si>
  <si>
    <t>Guindaste hidráulico autopropelido</t>
  </si>
  <si>
    <t>Cavalo mecânico com semirreboque com capacidade de 32 t - 302 kW</t>
  </si>
  <si>
    <t>MOBILIZAÇÃO/DESMOBILIZAÇÃO DE EQUIPAMENTO - GUINDASTE HIDRÁULICO AUTOPROPELIDO</t>
  </si>
  <si>
    <t>P.UNIT S.D.</t>
  </si>
  <si>
    <t>ORÇAMENTO - COM DESONERAÇÃO</t>
  </si>
  <si>
    <t>P.UNIT C.D.</t>
  </si>
  <si>
    <t>P. COM BDI C.D.</t>
  </si>
  <si>
    <t>P.TOTAL C.D.</t>
  </si>
  <si>
    <t>P. COM BDI S.D.</t>
  </si>
  <si>
    <t>P.TOTAL S.D.</t>
  </si>
  <si>
    <t>CUSTO UNIT. CD</t>
  </si>
  <si>
    <t>CUSTO PARCIAL CD</t>
  </si>
  <si>
    <t>TABELA DE REFERÊNCIA SICRO - ABRIL/2026</t>
  </si>
  <si>
    <t>-</t>
  </si>
  <si>
    <t>CURITIBA - ÁGUA E ESGOTO COMERCIAL (ATÉ 5M³)</t>
  </si>
  <si>
    <t>CURITIBA - ÁGUA E ESGOTO COMERCIAL (DE 6 ATÉ 10M³)</t>
  </si>
  <si>
    <t>CURITIBA - ÁGUA E ESGOTO COMERCIAL (DE 11 ATÉ 15M³)</t>
  </si>
  <si>
    <t>CURITIBA - ÁGUA E ESGOTO COMERCIAL (DE 16 ATÉ 20M³)</t>
  </si>
  <si>
    <t>CURITIBA - ÁGUA E ESGOTO COMERCIAL (DE 21 ATÉ 30M³)</t>
  </si>
  <si>
    <t>CURITIBA - ÁGUA E ESGOTO COMERCIAL ( &gt; 30M³)</t>
  </si>
  <si>
    <t>Observação: Disponível em https://www.copel.com/site/copel-distribuicao/tarifas-de-energia-eletrica/ - B3 - Comercial - Demais classes - Composição baseada na Tabela SMOP - ALO 010</t>
  </si>
  <si>
    <t>Fonte: DNIT, 2023. MANUAL DE CUSTOS DE INFRAESTRUTURA DE TRANSPORTES. 
Link para acesso: https://www.gov.br/dnit/pt-br/assuntos/planejamento-e-pesquisa/custos-referenciais/sistemas-de-custos/sicro/relatorios/relatorio-de-ocorrencias-do-sicro-1/anexo-revisional_02-2023_mob-desmob.pdf</t>
  </si>
  <si>
    <t>Container metálico</t>
  </si>
  <si>
    <t>Caminhão guindauto com capacidade de elevação de 6,2 t e carroceria de 7 t - 136 kW</t>
  </si>
  <si>
    <t>Caminhão guindauto</t>
  </si>
  <si>
    <t>MOBILIZAÇÃO/DESMOBILIZAÇÃO DE EQUIPAMENTO - CONTAINER METÁLICO</t>
  </si>
  <si>
    <t>UNID</t>
  </si>
  <si>
    <t>VALOR UNIT SD</t>
  </si>
  <si>
    <t>VALOR UNIT CD</t>
  </si>
  <si>
    <t>CÓD</t>
  </si>
  <si>
    <t>REF</t>
  </si>
  <si>
    <t>Referência: SICRO ABRIL/2026</t>
  </si>
  <si>
    <t>VALOR UNIT. SD</t>
  </si>
  <si>
    <t>VALOR UNIT. CD</t>
  </si>
  <si>
    <t>COM-008</t>
  </si>
  <si>
    <t>COM-009</t>
  </si>
  <si>
    <t>COM-007</t>
  </si>
  <si>
    <t>Unidade</t>
  </si>
  <si>
    <t>Referência: SIURB JANEIRO/2026</t>
  </si>
  <si>
    <t>HIDROJATEAMENTO DE ALTA PRESSÃO PARA LIMPEZA DE SUPERFÍCIES</t>
  </si>
  <si>
    <t>Barra redonda de aço mecanico laminado 5/8" (1,56 kg/m)</t>
  </si>
  <si>
    <t>Baseado na composição 04.03.26 SUDECAP</t>
  </si>
  <si>
    <t>CONCRETO FCK = 25MPA, TRAÇO 1:2,3:2,7 (EM MASSA SECA DE CIMENTO/ AREIA MÉDIA/ BRITA 1) - PREPARO MECÂNICO COM BETONEIRA 400 L. AF_05/2021</t>
  </si>
  <si>
    <t>Baseado na composição 121441 SBC</t>
  </si>
  <si>
    <t>ARGAMASSA INDUSTRIALIZADA MULTIUSO, PARA REVESTIMENTO INTERNO E EXTERNO E ASSENTAMENTO DE BLOCOS DIVERSOS</t>
  </si>
  <si>
    <t>PINTURA ACRÍLICA CONCRETO 2 DEMÃOS</t>
  </si>
  <si>
    <t>Baseado na composição 180603 SBC</t>
  </si>
  <si>
    <t>PINTOR COM ENCARGOS COMPLEMENTARES</t>
  </si>
  <si>
    <t>TINTA ACRILICA PREMIUM PARA PISO</t>
  </si>
  <si>
    <t>L</t>
  </si>
  <si>
    <t>Baseado na composição 21252 SBC</t>
  </si>
  <si>
    <t>ENCARREGADO GERAL COM ENCARGOS COMPLEMENTARES</t>
  </si>
  <si>
    <t>LAVADORA DE ALTA PRESSAO (LAVA-JATO) PARA AGUA FRIA, PRESSAO DE OPERACAO ENTRE 1400 E 1900 LIB/POL2, VAZAO MAXIMA ENTRE 400 E 700 L/H - CHP DIURNO. AF_05/2023</t>
  </si>
  <si>
    <t>Baseado na composição 10017000 SIURB</t>
  </si>
  <si>
    <t>CARGA, MANOBRA E DESCARGA DE ÁGUA EM CAMINHÃO PIPA 6 M³. AF_02/2026</t>
  </si>
  <si>
    <t>AUX COMPOSIÇÕES</t>
  </si>
  <si>
    <t>SIURB INFRA</t>
  </si>
  <si>
    <t>Pórtico metálico rolante com capacidade de 25 t - 30 Kw</t>
  </si>
  <si>
    <t>Compressor de ar portátil de 9,44 l/s (20 PCM) a gasolina - 5,22 kW</t>
  </si>
  <si>
    <t>E9767</t>
  </si>
  <si>
    <t>DATA BASE TABELA ORSE:</t>
  </si>
  <si>
    <t>CÁLCULO ADMINISTRAÇÃO LOCAL</t>
  </si>
  <si>
    <t>Rua Vila Guaíra / altura das ruas Chanceler Lauro Müller e Antônio Parolin Júnior</t>
  </si>
  <si>
    <t>LAJE EM PAINEL PROTENDIDO ALVEOLAR - 340KG/M2</t>
  </si>
  <si>
    <t>ATUALIZADO CCT 2026/2027</t>
  </si>
  <si>
    <t>VIGÊNCIA A PARTIR DE 01/2026</t>
  </si>
  <si>
    <t>Incluso IPI no preço</t>
  </si>
  <si>
    <t>COM-014</t>
  </si>
  <si>
    <t>IMPLANTAÇÃO DE POSTE DE CONCRETO DUPLO-T D/300DAN 9M - FORNECIMENTO E INSTALAÇÃO</t>
  </si>
  <si>
    <t>SINAPI-SP</t>
  </si>
  <si>
    <t>POSTE DE CONCRETO ARMADO DE SECAO DUPLO T, EXTENSAO DE 9,00 M,
RESISTENCIA DE 300 A 400 DAN, TIPO B OU D</t>
  </si>
  <si>
    <t>IMPLANTAÇÃO DE POSTE DE CONCRETO CONICIDADE REDUZIDA D/150DAN 15M - FORNECIMENTO E INSTALAÇÃO</t>
  </si>
  <si>
    <t>COM-015</t>
  </si>
  <si>
    <t>Poste de concreto, conicidade reduzida, comprimento de 17m</t>
  </si>
  <si>
    <t>MAT111300</t>
  </si>
  <si>
    <t>SCO</t>
  </si>
  <si>
    <t>ASSENTAMENTO DE POSTE DE CONCRETO COM COMPRIMENTO NOMINAL DE 15 M, CARGA NOMINAL MENOR OU IGUAL A 1000 DAN, ENGASTAMENTO SIMPLES COM 2,1 M DE SOLO (NÃO INCLUI FORNECIMENTO). AF_04/2025</t>
  </si>
  <si>
    <t>COM-016</t>
  </si>
  <si>
    <t>AUXILIAR DE ELETRICISTA COM ENCARGOS COMPLEMENTARES</t>
  </si>
  <si>
    <t>CABO DE COBRE FLEXÍVEL ISOLADO, 1,5 MM², ANTI-CHAMA 0,6/1,0 KV, PARA CIRCUITOS TERMINAIS - FORNECIMENTO E INSTALAÇÃO. AF_03/2023</t>
  </si>
  <si>
    <t>11.0</t>
  </si>
  <si>
    <t>ILUMINAÇÃO PÚBLICA</t>
  </si>
  <si>
    <t>PARAFUSO M16 EM ACO GALVANIZADO, COMPRIMENTO = 400 MM, DIAMETRO = 16 MM, ROSCA DUPLA</t>
  </si>
  <si>
    <t>RELE FOTOELETRICO INTERNO E EXTERNO BIVOLT 1000 W, DE CONECTOR, SEM BASE</t>
  </si>
  <si>
    <t>PLAQUETA INDICATIVA DE PVC 8X12CM</t>
  </si>
  <si>
    <t>LUMINÁRIA DE LED PARA ILUMINAÇÃO PÚBLICA, DE 33 W ATÉ 50 W - FORNECIMENTO E INSTALAÇÃO. AF_02/2025_PS</t>
  </si>
  <si>
    <t>SUPORTE PARA 2 PÉTALAS PARA LUMINÁRIA DE ILUMINAÇÃO PÚBLICA</t>
  </si>
  <si>
    <t>AGETOP CIVIL</t>
  </si>
  <si>
    <t>LANÇAMENTO DE REDE AÉREA COM CABO AUTOSUSTENTÁVEL, INCLUINDO CONEXÕES</t>
  </si>
  <si>
    <t>ELETRICISTA COM ENCARGOS COMPLEMENTARES</t>
  </si>
  <si>
    <t>Baseado na composição 101561 SINAPI</t>
  </si>
  <si>
    <t>CHAVE DE COMANDO BF60 COM DISJUNTOR</t>
  </si>
  <si>
    <t>11.1</t>
  </si>
  <si>
    <t>COT-003</t>
  </si>
  <si>
    <t>Loja Elétrica Ltda</t>
  </si>
  <si>
    <t>CUSTO UNITÁRIO</t>
  </si>
  <si>
    <t>COT-004</t>
  </si>
  <si>
    <t>MAT020560</t>
  </si>
  <si>
    <t>Cabo de aluminio multiplexado auto sustentado, com tres condutores fase de aluminio compactado (CA), com isolamento composto de polietileno reticulado (XLPE), 90oC, isolamento para 1Kv, secao 16mm2 e condutor neutro de aluminio compactado, nao isolado, com alma de aco (CAA), secao 16mm2 (3 x 1 x 16 + 16), conforme NBR 8182 - Fornecimento</t>
  </si>
  <si>
    <t>COM-017</t>
  </si>
  <si>
    <t>COT-005</t>
  </si>
  <si>
    <t>CONECTOR PERFURANTE 70X10 (PRINCIPAL ATÉ 70MM², DERIVAÇÃO ATÉ 10MM²)</t>
  </si>
  <si>
    <t>CONECTOR PERFURANTE 10-70 mm² PRINCIPAL / 1,5-10 mm² DERIVAÇÃO</t>
  </si>
  <si>
    <t>CONECTOR PERFURANTE P/ DERIVAÇAO 10-70MM 1.5-10MM² (CPP000) - MCI</t>
  </si>
  <si>
    <t>Sul Cell Importadora e distribuidora</t>
  </si>
  <si>
    <t>COT-006</t>
  </si>
  <si>
    <t>COM-018</t>
  </si>
  <si>
    <t>Baseado na composição 101638 SINAPI</t>
  </si>
  <si>
    <t>chi</t>
  </si>
  <si>
    <t>chp</t>
  </si>
  <si>
    <t>ILUMINAÇÃO PÚBLICA DAS PASSARELAS - FORNECIMENTO E INSTALAÇÃO</t>
  </si>
  <si>
    <t>Baseado na planilha Passarelas Vila Guaíra - Lista de materiais e serviços, fornecida pela OPIP</t>
  </si>
  <si>
    <t>Referência: SINAPI JUNHO/2026  //  SICRO ABRIL/2026 // SANEPAR JULHO/2026 // COPEL JULHO/2026 // SIURB INFRA JANEIRO/2026 // SIURB JANEIRO/2026 // SUDECAP ABRIL/2026 // FDE ABRIL/2026 // SCO JUNHO/2026 // AGETOP CIVIL 04/2026 // OUTROS JUNHO/2026</t>
  </si>
  <si>
    <t>Chave Comando de Grupo – 2 x 60 com Disjuntor</t>
  </si>
  <si>
    <t>Chave Iluminacao 2 X 60a Exatron S/rele</t>
  </si>
  <si>
    <t>C7 Compósitos</t>
  </si>
  <si>
    <t>Situação:</t>
  </si>
  <si>
    <t xml:space="preserve">Observação: </t>
  </si>
  <si>
    <t>Os itens apresentados na proposta comercial não atenderam às especificações de projeto.</t>
  </si>
  <si>
    <t>Não atende</t>
  </si>
  <si>
    <t>Resposta emitida em:</t>
  </si>
  <si>
    <t>Apresentou proposta:</t>
  </si>
  <si>
    <t>Sim</t>
  </si>
  <si>
    <t>Não</t>
  </si>
  <si>
    <t>Empresa informou que, após análise do projeto, não é recomendado o padrão de guarda-corpo produzido.</t>
  </si>
  <si>
    <t>PetrOfisa do Brasil Ltda (CNPJ: 02.240.839/0001-22)</t>
  </si>
  <si>
    <t>Tech Composites Indústria e Comércio Ltda</t>
  </si>
  <si>
    <t>Tech Composites</t>
  </si>
  <si>
    <t>Analisado</t>
  </si>
  <si>
    <t>DATA</t>
  </si>
  <si>
    <t>ACESSO</t>
  </si>
  <si>
    <t>Guarda-Corpo em PRFV, composto por montantes principais em tubo quadrado 2", distanciamento maximo entre montantes de 1200mm, altura: 1100mm, composto por travessao superior em tubo quadrado de 2" sobre este travessao superior ira conter um perfil U abaulado (passa mao), para o travessao inferior sera utilizado tubo quadrado 2", para as barras intermediarias sera utilizado tubo redondo 1.1/4" com espacamento de 110mm entre tubos, 2 sapatas pultrudadas, parafusos auto atarraxantes 3,5 x 25mm e chumbadores em INOX 304</t>
  </si>
  <si>
    <t>Guarda-Corpo em PRFV, composto por montantes principais em tubo quadrado 2", distanciamento maximo entre montantes de 1200mm, altura: 1100mm, composto por travessao superior em tubo quadrado de 2" sobre este travessao superior ira conter um perfil U abaulado (passa mao), para o travessao inferior será utilizado tubo quadrado 2", para as barras intermediarias sera utilizado tubo redondo 1.1/4" com espacamento de 110mm entre tubos, 2 sapatas pultrudadas, parafusos auto atarraxantes 3,5 x 25mm e chumbadores em INOX 304</t>
  </si>
  <si>
    <t>Jamar Pultrudados</t>
  </si>
  <si>
    <t>Fornecedor:</t>
  </si>
  <si>
    <t>Para a obtenção dos preços unitários dos guarda-corpos, foram realizados contatos para cotação com as seguintes fornecedoras:</t>
  </si>
  <si>
    <t>IPI: 3,25%</t>
  </si>
  <si>
    <t xml:space="preserve">Valores unitários apresentados sem incidência de IPI. </t>
  </si>
  <si>
    <t>Valores totais apresentados com incidência de IPI. Frete FOB.</t>
  </si>
  <si>
    <t>Valores unitários apresentados sem incidência de IPI.</t>
  </si>
  <si>
    <t>Valores totais apresentados com incidência de IPI. Frete CIF.</t>
  </si>
  <si>
    <t xml:space="preserve">2 vigias </t>
  </si>
  <si>
    <t>TATIANI ZANONI</t>
  </si>
  <si>
    <t>Organizado Por: TATIANI ZANONI - CREA-PR: 230.151/D</t>
  </si>
  <si>
    <t>Braço Galvanizado à Fogo 2 Metros 48mm Curva B5 Olivo</t>
  </si>
  <si>
    <t>Braço Galvanizado a Fogo Curvo 2"X2000 mm</t>
  </si>
  <si>
    <t>Braço Para Luminária Diâmetro 38mm x 2 Metros Com Luva 48mm</t>
  </si>
  <si>
    <t>BRAÇO PARA ILUMINAÇÃO PÚBLICA, MODELO BRIP-2, PARA FIXAÇÃO EM POSTE DE CONCRETO - FORNECIMENTO E INSTALAÇÃO</t>
  </si>
  <si>
    <t>1720264370655</t>
  </si>
  <si>
    <t>CRONOGRAMA FÍSICO FINANCEIRO - COM DESONERAÇÃO</t>
  </si>
  <si>
    <t>GUINDAUTO HIDRÁULICO, CAPACIDADE MÁXIMA DE CARGA 6500 KG, MOMENTO MÁXIMO DE CARGA 5,8 TM, ALCANCE MÁXIMO HORIZONTAL 7,60 M, INCLUSIVE CAMINHÃO TOCO PBT 9.700 KG, POTÊNCIA DE 160 CV - CHI DIURNO. AF_08/2015</t>
  </si>
  <si>
    <t>GUINDAUTO HIDRÁULICO, CAPACIDADE MÁXIMA DE CARGA 6500 KG, MOMENTO MÁXIMO DE CARGA 5,8 TM, ALCANCE MÁXIMO HORIZONTAL 7,60 M, INCLUSIVE CAMINHÃO TOCO PBT 9.700 KG, POTÊNCIA DE 160 CV  - CHP DIURNO. AF_08/2015</t>
  </si>
  <si>
    <t>ENCARGO SOCIAL (SD Mensal SINAPI = 71,23 % / CD Mensal SINAPI = 58,46 %)</t>
  </si>
  <si>
    <t>Chave de comando BF60 com disjuntor</t>
  </si>
  <si>
    <t>CNPJ</t>
  </si>
  <si>
    <t>TELEFONE</t>
  </si>
  <si>
    <t>CÓD. COTAÇÃO</t>
  </si>
  <si>
    <t>CRITÉRIO</t>
  </si>
  <si>
    <t>VALOR UNIT.</t>
  </si>
  <si>
    <t>Site: https://www.alvesemachado.com.br/conectores/conector-perfurante-10-70-mm-principal-1-5-10-mm-derivacao</t>
  </si>
  <si>
    <t>Site: https://www.sulcell.com.br/eletrica/emenda/conector-perfurante-p-derivacao-10-70mm-1-5-10mm-cpp000-mci</t>
  </si>
  <si>
    <t>Site: https://www.exatron.com.br/produtos/chave-comando-de-grupo-2-x-60-com-disjuntor/?srsltid=AfmBOoqvkXEs0e84V7U5AAWACbaMNNGUcqrAhNEOHC8M3Tb-zKbAsSiA</t>
  </si>
  <si>
    <t>Site: https://www.eletrorede.com.br/chave-iluminacao-2-x-60a-exatron-srele</t>
  </si>
  <si>
    <t>Site: https://www.eletrodex.net/acessorios/cabos-e-fios/conectores/conector-de-torcao-linha-beta?srsltid=AfmBOooPdLJlUilReVu8Fkx6YhFr01FIrv28WrCJwO-VLLdykb8FIhKo</t>
  </si>
  <si>
    <t>Site: https://www.lojaeletrica.com.br/braco-galvanizado-a-fogo-2-metros-48mm-curva-b5-olivo.html</t>
  </si>
  <si>
    <t>Site: https://www.plenobras.com.br/646a5ab6d496504d21df8cbf/braco-galvanizado-a-fogo-curvo-2%22x2000-mm?srsltid=AfmBOoqVNtphLqWTTJw1YQ2VG0ehOEeDg3yoewb-JsCYKdFXvJ6GpslnT4Q</t>
  </si>
  <si>
    <t>Site: https://www.sveletrica.com/braco-para-luminaria-diametro-38mm-x-2-metros-com-luva-48mm-00a0001yj5/p?idsku=5301&amp;srsltid=AfmBOoqo2EAo0M0FRrKAujFJkP-FLGMbrHUar7TyRjrVrgZ5dZb4cxRItVk</t>
  </si>
  <si>
    <t xml:space="preserve">VALOR UNIT. </t>
  </si>
  <si>
    <t>MENOR PREÇO</t>
  </si>
  <si>
    <t>MÉDIA</t>
  </si>
  <si>
    <t>CNPJ:</t>
  </si>
  <si>
    <t>02.758.940/0001-70</t>
  </si>
  <si>
    <t>42.200.550/0001-02</t>
  </si>
  <si>
    <t>02.672.790/0001-87</t>
  </si>
  <si>
    <t>02.240.839/0001-22</t>
  </si>
  <si>
    <t>PetrOfisa</t>
  </si>
  <si>
    <t>(41) 3131-1212</t>
  </si>
  <si>
    <t>Jamar Produtos Pultrudados Ltda</t>
  </si>
  <si>
    <t>C7 Indústria e Comércio Compósitos</t>
  </si>
  <si>
    <t>ARRUELA QUADRADA EM ACO CARBONO, GALVANIZADA A FOGO (IMERSAO A QUENTE), DIMENSAO = 38 MM, ESPESSURA = 3 MM, DIAMETRO DO FURO = 18 MM</t>
  </si>
  <si>
    <t>AGESUL</t>
  </si>
  <si>
    <t>Conector Derivação Perfurante Cdp70 Pq Intelli</t>
  </si>
  <si>
    <t>Site: https://www.ferramentaskennedy.com.br/conector-derivacao-perfurante-cdp70-pq-intelli/p?srsltid=AfmBOop_qFy0aaBitYE8g07A7HfpRl7UqtH7i1NSQJuMmJ07b6mospfr</t>
  </si>
  <si>
    <t> Ferramentas Kennedy</t>
  </si>
  <si>
    <t>08.858.579/0015-35</t>
  </si>
  <si>
    <t>(41) 3314-1853</t>
  </si>
  <si>
    <t>(12) 99194-2428</t>
  </si>
  <si>
    <t>AME - Alves &amp; Machado Energia</t>
  </si>
  <si>
    <t>40.272.909/0001-13</t>
  </si>
  <si>
    <t>(51) 3423-1297</t>
  </si>
  <si>
    <t>13.689.621/0001-76</t>
  </si>
  <si>
    <t>(32) 3351-1157</t>
  </si>
  <si>
    <t>10.707.399/0001-07</t>
  </si>
  <si>
    <t>Eletrodex Eletrônica LTDA</t>
  </si>
  <si>
    <t>Conector de Torção Linha Beta Laranja</t>
  </si>
  <si>
    <t>Conector Torção Laranja 1,5mm até 6,0mm - S73NGH</t>
  </si>
  <si>
    <t>Site: https://www.proesi.com.br/conector-torcao-laranja-1-5-a-6-0-mm-s73ngh</t>
  </si>
  <si>
    <t>Proesi Componentes e Automação</t>
  </si>
  <si>
    <t>(47) 3080-5529</t>
  </si>
  <si>
    <t>10.428.528/0001-10</t>
  </si>
  <si>
    <t>Manuks Ferramentas e Conexões Elétricas</t>
  </si>
  <si>
    <t>Site: https://manuksferramentasshop.com.br/produto/conector-torcao-laranja-1-5-a-6mm/</t>
  </si>
  <si>
    <t>Conector de torção laranja emenda de fios e cabos 1,5 até 6mm²</t>
  </si>
  <si>
    <t>(11) 4232-0972</t>
  </si>
  <si>
    <t>36.668.369/0001-14</t>
  </si>
  <si>
    <t>90.191.529/0001-22</t>
  </si>
  <si>
    <t>(51) 3357-5087</t>
  </si>
  <si>
    <t>Exatron Indústria Eletrônica</t>
  </si>
  <si>
    <t>(18) 3355-9200</t>
  </si>
  <si>
    <t>60.855.160/0002-25</t>
  </si>
  <si>
    <t>Eletrorede Materiais Elétricos</t>
  </si>
  <si>
    <t>AMPACTINHO (CONECTOR DERIV CUNHA) PARA CABO DE COBRE 70MM2 - TIPO VII - VERM/BRANCO</t>
  </si>
  <si>
    <t>un.</t>
  </si>
  <si>
    <t>COTAÇÕES</t>
  </si>
  <si>
    <t>ISOLADOR DE PORCELANA, TIPO ROLDANA, DIMENSOES DE *72* X *72* MM, PARA USO EM BAIXA TENSAO</t>
  </si>
  <si>
    <t>LUMINARIA LED REFLETOR RETANGULAR BIVOLT, LUZ BRANCA, 50 W</t>
  </si>
  <si>
    <t>Braço para iluminação pública em aço ABNT 1010 a 1020, padrão OPIP modelo BRIP-2</t>
  </si>
  <si>
    <t>BRACO CURVO COM SAPATA PARA ILUMINACAO (GF) 2,0 X 48 MM X 2000 MM</t>
  </si>
  <si>
    <t>(11) 2937-4650</t>
  </si>
  <si>
    <t>D'light Distribuidora de Materiais Elétricos</t>
  </si>
  <si>
    <t>10.691.425/0001-48</t>
  </si>
  <si>
    <t>(11) 97058-8012</t>
  </si>
  <si>
    <t>LUZ ATUAL ILUMINACAO LTDA</t>
  </si>
  <si>
    <t>20.112.049/0001-43</t>
  </si>
  <si>
    <t>BRAÇO CURVO COM SAPATA2M X 48MM G. FOGO</t>
  </si>
  <si>
    <t>35.088.657/0001-37</t>
  </si>
  <si>
    <t>(85) 3214-7900</t>
  </si>
  <si>
    <t>SV Comércio de Materiais Elétricos LTDA</t>
  </si>
  <si>
    <t>Plenobras Distribuidora Elétrica e Hidráulica LTDA</t>
  </si>
  <si>
    <t>72.313.828/0001-00</t>
  </si>
  <si>
    <t>(51) 2101-6800</t>
  </si>
  <si>
    <t>17.155.342/0011-55</t>
  </si>
  <si>
    <t>(31) 3218-8000</t>
  </si>
  <si>
    <t>Referência: SINAPI JULHO/2026</t>
  </si>
  <si>
    <t>Referência: ORSE JUNHO/2026</t>
  </si>
  <si>
    <t>ADESIVO ESTRUTURAL A BASE DE RESINA EPOXI, BICOMPONENTE, FLUIDO</t>
  </si>
  <si>
    <t>BRAÇO PARA ILUMINAÇÃO PÚBLICA EM AÇO ABNT 1010 A 1020, PADRÃO OPIP MODELO BRIP-2</t>
  </si>
  <si>
    <t>CONECTOR DE TORÇÃO PARA CONEXÃO DE CABOS COM SOMA NA FAIXA DE 1,5MM² A 6MM² (ALARANJADO)</t>
  </si>
  <si>
    <t>ABRAÇADEIRA AJUSTÁVEL (APLICAÇÃO: POSTES|MATERIAL: AÇO GALVANIZADO|COMPRIMENTO: 800MM|DIÂMETRO DO POSTE: 160-240MM|NÚMERO DE FUROS: 22|PARAFUSOS:INCLUSOS)</t>
  </si>
  <si>
    <t>SETOP</t>
  </si>
  <si>
    <t>MATED-13036</t>
  </si>
  <si>
    <t>Referência: SINAPI JULHO/2026  //  SICRO ABRIL/2026 // SANEPAR JULHO/2026 // COPEL JULHO/2026 // SIURB INFRA JANEIRO/2026 // SIURB JANEIRO/2026 // SUDECAP ABRIL/2026 // FDE ABRIL/2026 // SCO JUNHO/2026 // AGETOP CIVIL 04/2026 // AGESUL 06/2026 // SETOP 04/2026</t>
  </si>
  <si>
    <t>RELATÓRIO DE COTAÇÕES - Decreto nº 384/2023</t>
  </si>
  <si>
    <t>GUARDA CORPO PULTRUDADO PADRÃO NR14.718 C/BARRAS INTERMED. VERTICAIS - INCLINADO FIX. SAPATA - H=1100MM - PASSARELA 02</t>
  </si>
  <si>
    <t>Registra-se que foram realizadas pesquisas em lojas virtuais, sites especializados e fornecedores do ramo para obtenção de, no mínimo, três referências de preço para os insumos cotados, nos termos do art. 55, §5º, inciso I do Decreto Municipal nº 1.206/2023.
Para os itens dos quais foram obtidas apenas duas referências tecnicamente compatíveis e aptas à formação do preço, em razão de baixa disponibilidade comercial e/ou das especificações particulares dos itens cotados, adotou-se o menor preço válido obtido, nos termos do art. 55, §5º, inciso II do Decreto Municipal nº 1.206/2023.</t>
  </si>
  <si>
    <t>SINAPI jul/26, SICRO abr/26, SIURB jan/26, ORSE jun/26, composições, cotações</t>
  </si>
  <si>
    <t>COTAÇÕES - Decreto Municipal nº 1.206/2023</t>
  </si>
  <si>
    <t>E-mail:</t>
  </si>
  <si>
    <t>comercial2@techcomposites.com.br</t>
  </si>
  <si>
    <t>sonia.santos@petrofisa.com.br</t>
  </si>
  <si>
    <t>fabiano.silva@c7compositos.com.br</t>
  </si>
  <si>
    <t>+55 51 99225-0521</t>
  </si>
  <si>
    <t xml:space="preserve">Telefone Whatsapp: </t>
  </si>
  <si>
    <t>(51) 3605-3619
(51) 99225-0521</t>
  </si>
  <si>
    <t>Na elaboração deste orçamento foram adotados os preços unitários das Tabelas de Preços SINAPI jul/26, SICRO abr/26, SIURB jan/26, ORSE jun/26, composições, cotações, inclusos os Encargos Sociais e Complementares.</t>
  </si>
  <si>
    <t>Contato com o fornecedor via Whatsapp: 
(51) 99225-0521; resposta emitida em 23/07/2026; responsável: Tábata Cardoso, setor comercial</t>
  </si>
  <si>
    <t>Contato com o fornecedor via site direcionado para e-mail:  luciene@dlight.com.br; resposta emitida em 13/08/2026; responsável: Luciene Magalhães, setor comercial</t>
  </si>
  <si>
    <t>Contato com o fornecedor via site direcionado para e-mail: murilo@luzatual.com.br; resposta emitida em 12/08/2026; responsável: Murillo Dias, setor comercial</t>
  </si>
  <si>
    <t>Contato com o fornecedor via e-mail: comercial2@techcomposites.com.br; resposta emitida em 03/06/2026; responsável: Jaine Portes Ukan, setor técnico/comercial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</si>
</sst>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_(* #,##0.00_);_(* \(#,##0.00\);_(* &quot;-&quot;??_);_(@_)"/>
    <numFmt numFmtId="166" formatCode="\$\ #,##0.00_);[Red]\(&quot;R$&quot;#,##0.00\)"/>
    <numFmt numFmtId="167" formatCode="_ &quot;R$&quot;* #,##0.00_ ;_ &quot;R$&quot;* \-#,##0.00_ ;_ &quot;R$&quot;* &quot;-&quot;??_ ;_ @_ "/>
    <numFmt numFmtId="168" formatCode="&quot;R$ &quot;#,##0.00"/>
    <numFmt numFmtId="169" formatCode="0.0000"/>
    <numFmt numFmtId="170" formatCode="#,##0.0000"/>
    <numFmt numFmtId="171" formatCode="#,##0.000000"/>
    <numFmt numFmtId="172" formatCode="#,##0.0000000"/>
    <numFmt numFmtId="173" formatCode="0.000000"/>
    <numFmt numFmtId="174" formatCode="_-* #,##0.000_-;\-* #,##0.000_-;_-* &quot;-&quot;??_-;_-@_-"/>
    <numFmt numFmtId="175" formatCode="_-* #,##0.0000_-;\-* #,##0.0000_-;_-* &quot;-&quot;??_-;_-@_-"/>
    <numFmt numFmtId="176" formatCode="0.0%"/>
    <numFmt numFmtId="177" formatCode="&quot;R$&quot;\ #,##0.00"/>
    <numFmt numFmtId="178" formatCode="0.00000"/>
  </numFmts>
  <fonts count="5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sz val="11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sz val="8"/>
      <name val="Arial"/>
      <family val="2"/>
    </font>
    <font>
      <sz val="10"/>
      <color theme="3"/>
      <name val="Arial"/>
      <family val="2"/>
    </font>
    <font>
      <sz val="10"/>
      <color rgb="FFFF0000"/>
      <name val="Arial"/>
      <family val="2"/>
    </font>
    <font>
      <b/>
      <sz val="13"/>
      <name val="MS Sans Serif"/>
      <family val="2"/>
    </font>
    <font>
      <b/>
      <sz val="13"/>
      <name val="Arial"/>
      <family val="2"/>
    </font>
    <font>
      <sz val="14"/>
      <name val="Arial"/>
      <family val="2"/>
    </font>
    <font>
      <b/>
      <sz val="12"/>
      <color indexed="16"/>
      <name val="Arial"/>
      <family val="2"/>
    </font>
    <font>
      <b/>
      <sz val="8"/>
      <name val="Arial"/>
      <family val="2"/>
    </font>
    <font>
      <b/>
      <sz val="14"/>
      <name val="Arial Narrow"/>
      <family val="2"/>
    </font>
    <font>
      <b/>
      <sz val="8"/>
      <color rgb="FFFF0000"/>
      <name val="Arial"/>
      <family val="2"/>
    </font>
    <font>
      <b/>
      <sz val="10"/>
      <color rgb="FFFF0000"/>
      <name val="Arial"/>
      <family val="2"/>
    </font>
    <font>
      <b/>
      <sz val="11"/>
      <color theme="1"/>
      <name val="Arial"/>
      <family val="2"/>
    </font>
    <font>
      <b/>
      <u/>
      <sz val="10"/>
      <name val="Arial"/>
      <family val="2"/>
    </font>
    <font>
      <u/>
      <sz val="1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b/>
      <sz val="12"/>
      <color theme="0"/>
      <name val="Arial"/>
      <family val="2"/>
    </font>
    <font>
      <sz val="10"/>
      <color rgb="FF000000"/>
      <name val="Times New Roman"/>
      <family val="1"/>
    </font>
    <font>
      <sz val="11"/>
      <color rgb="FF000000"/>
      <name val="Calibri"/>
      <family val="2"/>
    </font>
    <font>
      <sz val="9"/>
      <color rgb="FFFF0000"/>
      <name val="Arial"/>
      <family val="2"/>
    </font>
    <font>
      <b/>
      <sz val="10"/>
      <color theme="1"/>
      <name val="Arial"/>
      <family val="2"/>
    </font>
    <font>
      <sz val="12"/>
      <color indexed="8"/>
      <name val="Arial"/>
      <family val="2"/>
    </font>
    <font>
      <sz val="10"/>
      <color theme="0"/>
      <name val="Arial"/>
      <family val="2"/>
    </font>
    <font>
      <sz val="11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sz val="10"/>
      <color theme="1"/>
      <name val="Arial Rounded MT Bold"/>
      <family val="2"/>
    </font>
    <font>
      <b/>
      <sz val="10"/>
      <color theme="0"/>
      <name val="Arial"/>
      <family val="2"/>
    </font>
    <font>
      <b/>
      <sz val="10"/>
      <color theme="9"/>
      <name val="Arial"/>
      <family val="2"/>
    </font>
    <font>
      <sz val="10"/>
      <color theme="8"/>
      <name val="Arial"/>
      <family val="2"/>
    </font>
    <font>
      <b/>
      <sz val="10"/>
      <color theme="8"/>
      <name val="Arial"/>
      <family val="2"/>
    </font>
    <font>
      <sz val="10"/>
      <color rgb="FFFFFF00"/>
      <name val="Arial"/>
      <family val="2"/>
    </font>
    <font>
      <sz val="10"/>
      <color rgb="FFFFC000"/>
      <name val="Arial"/>
      <family val="2"/>
    </font>
    <font>
      <u/>
      <sz val="10"/>
      <color theme="10"/>
      <name val="Arial"/>
    </font>
  </fonts>
  <fills count="2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333F4F"/>
        <bgColor rgb="FF434343"/>
      </patternFill>
    </fill>
    <fill>
      <patternFill patternType="solid">
        <fgColor rgb="FF8497B0"/>
        <bgColor rgb="FFA6A6A6"/>
      </patternFill>
    </fill>
    <fill>
      <patternFill patternType="solid">
        <fgColor rgb="FF8497B0"/>
        <bgColor indexed="64"/>
      </patternFill>
    </fill>
    <fill>
      <patternFill patternType="solid">
        <fgColor rgb="FF548CD4"/>
      </patternFill>
    </fill>
    <fill>
      <patternFill patternType="solid">
        <fgColor rgb="FF808080"/>
      </patternFill>
    </fill>
    <fill>
      <patternFill patternType="solid">
        <fgColor rgb="FFB8CCE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3" tint="-0.249977111117893"/>
        <bgColor rgb="FF434343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4" tint="0.79998168889431442"/>
        <bgColor rgb="FF00330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rgb="FF000000"/>
      </patternFill>
    </fill>
    <fill>
      <patternFill patternType="solid">
        <fgColor theme="8" tint="0.79998168889431442"/>
        <bgColor rgb="FF003300"/>
      </patternFill>
    </fill>
    <fill>
      <patternFill patternType="solid">
        <fgColor theme="0"/>
        <bgColor rgb="FF000000"/>
      </patternFill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</fills>
  <borders count="143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medium">
        <color indexed="64"/>
      </right>
      <top/>
      <bottom style="hair">
        <color indexed="8"/>
      </bottom>
      <diagonal/>
    </border>
    <border>
      <left style="thin">
        <color indexed="8"/>
      </left>
      <right style="medium">
        <color indexed="64"/>
      </right>
      <top style="hair">
        <color indexed="8"/>
      </top>
      <bottom style="hair">
        <color indexed="8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64"/>
      </right>
      <top style="hair">
        <color indexed="8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8"/>
      </right>
      <top/>
      <bottom style="hair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8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8"/>
      </left>
      <right/>
      <top/>
      <bottom style="hair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8"/>
      </right>
      <top style="hair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medium">
        <color indexed="64"/>
      </bottom>
      <diagonal/>
    </border>
    <border>
      <left style="thin">
        <color indexed="8"/>
      </left>
      <right/>
      <top style="hair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rgb="FF7BA0CD"/>
      </left>
      <right/>
      <top style="thin">
        <color rgb="FF7BA0CD"/>
      </top>
      <bottom style="thin">
        <color rgb="FF7BA0CD"/>
      </bottom>
      <diagonal/>
    </border>
    <border>
      <left/>
      <right/>
      <top style="thin">
        <color rgb="FF7BA0CD"/>
      </top>
      <bottom style="thin">
        <color rgb="FF7BA0CD"/>
      </bottom>
      <diagonal/>
    </border>
    <border>
      <left/>
      <right style="thin">
        <color rgb="FF7BA0CD"/>
      </right>
      <top style="thin">
        <color rgb="FF7BA0CD"/>
      </top>
      <bottom style="thin">
        <color rgb="FF7BA0CD"/>
      </bottom>
      <diagonal/>
    </border>
    <border>
      <left style="thin">
        <color rgb="FF7BA0CD"/>
      </left>
      <right style="thin">
        <color rgb="FF7BA0CD"/>
      </right>
      <top style="thin">
        <color rgb="FF7BA0CD"/>
      </top>
      <bottom/>
      <diagonal/>
    </border>
    <border>
      <left style="thin">
        <color rgb="FF7BA0CD"/>
      </left>
      <right style="thin">
        <color rgb="FF7BA0CD"/>
      </right>
      <top/>
      <bottom style="thin">
        <color rgb="FF7BA0CD"/>
      </bottom>
      <diagonal/>
    </border>
    <border>
      <left style="thin">
        <color rgb="FF7BA0CD"/>
      </left>
      <right style="thin">
        <color rgb="FF7BA0CD"/>
      </right>
      <top style="thin">
        <color rgb="FF7BA0CD"/>
      </top>
      <bottom style="thin">
        <color rgb="FF7BA0CD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48">
    <xf numFmtId="0" fontId="0" fillId="0" borderId="0"/>
    <xf numFmtId="0" fontId="10" fillId="0" borderId="0"/>
    <xf numFmtId="9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8" fillId="0" borderId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10" fillId="0" borderId="0"/>
    <xf numFmtId="164" fontId="10" fillId="0" borderId="0" applyFont="0" applyFill="0" applyBorder="0" applyAlignment="0" applyProtection="0"/>
    <xf numFmtId="167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7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10" fillId="0" borderId="0"/>
    <xf numFmtId="0" fontId="5" fillId="0" borderId="0"/>
    <xf numFmtId="0" fontId="10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0" fillId="0" borderId="0"/>
    <xf numFmtId="44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4" fontId="31" fillId="0" borderId="0" applyFont="0" applyFill="0" applyBorder="0" applyAlignment="0" applyProtection="0"/>
    <xf numFmtId="0" fontId="32" fillId="0" borderId="0"/>
    <xf numFmtId="0" fontId="34" fillId="0" borderId="0"/>
    <xf numFmtId="44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35" fillId="0" borderId="0"/>
    <xf numFmtId="44" fontId="1" fillId="0" borderId="0" applyFont="0" applyFill="0" applyBorder="0" applyAlignment="0" applyProtection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38" fillId="0" borderId="0"/>
    <xf numFmtId="43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0" fillId="0" borderId="0"/>
    <xf numFmtId="44" fontId="1" fillId="0" borderId="0" applyFont="0" applyFill="0" applyBorder="0" applyAlignment="0" applyProtection="0"/>
    <xf numFmtId="0" fontId="10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50" fillId="0" borderId="0" applyNumberFormat="0" applyFill="0" applyBorder="0" applyAlignment="0" applyProtection="0"/>
  </cellStyleXfs>
  <cellXfs count="995">
    <xf numFmtId="0" fontId="0" fillId="0" borderId="0" xfId="0"/>
    <xf numFmtId="0" fontId="10" fillId="0" borderId="0" xfId="7"/>
    <xf numFmtId="164" fontId="10" fillId="0" borderId="0" xfId="8" applyFont="1"/>
    <xf numFmtId="165" fontId="10" fillId="0" borderId="0" xfId="6"/>
    <xf numFmtId="0" fontId="10" fillId="0" borderId="0" xfId="7" applyAlignment="1">
      <alignment horizontal="centerContinuous" vertical="center"/>
    </xf>
    <xf numFmtId="0" fontId="10" fillId="0" borderId="0" xfId="7" applyAlignment="1">
      <alignment horizontal="left" vertical="center"/>
    </xf>
    <xf numFmtId="0" fontId="11" fillId="5" borderId="14" xfId="7" applyFont="1" applyFill="1" applyBorder="1" applyAlignment="1">
      <alignment horizontal="centerContinuous" vertical="center"/>
    </xf>
    <xf numFmtId="0" fontId="11" fillId="5" borderId="13" xfId="7" applyFont="1" applyFill="1" applyBorder="1" applyAlignment="1">
      <alignment horizontal="centerContinuous" vertical="center"/>
    </xf>
    <xf numFmtId="0" fontId="11" fillId="5" borderId="20" xfId="7" applyFont="1" applyFill="1" applyBorder="1" applyAlignment="1">
      <alignment horizontal="centerContinuous" vertical="center"/>
    </xf>
    <xf numFmtId="0" fontId="9" fillId="0" borderId="4" xfId="7" applyFont="1" applyBorder="1" applyAlignment="1">
      <alignment horizontal="left" vertical="center"/>
    </xf>
    <xf numFmtId="0" fontId="9" fillId="0" borderId="5" xfId="7" applyFont="1" applyBorder="1" applyAlignment="1">
      <alignment horizontal="left" vertical="center"/>
    </xf>
    <xf numFmtId="0" fontId="9" fillId="0" borderId="2" xfId="7" applyFont="1" applyBorder="1" applyAlignment="1">
      <alignment horizontal="left" vertical="center"/>
    </xf>
    <xf numFmtId="0" fontId="9" fillId="0" borderId="3" xfId="7" applyFont="1" applyBorder="1" applyAlignment="1">
      <alignment horizontal="left" vertical="center"/>
    </xf>
    <xf numFmtId="0" fontId="9" fillId="0" borderId="19" xfId="7" applyFont="1" applyBorder="1" applyAlignment="1">
      <alignment horizontal="left" vertical="center"/>
    </xf>
    <xf numFmtId="0" fontId="9" fillId="0" borderId="10" xfId="7" applyFont="1" applyBorder="1" applyAlignment="1">
      <alignment horizontal="left" vertical="center"/>
    </xf>
    <xf numFmtId="0" fontId="9" fillId="0" borderId="9" xfId="7" applyFont="1" applyBorder="1" applyAlignment="1">
      <alignment horizontal="left" vertical="center"/>
    </xf>
    <xf numFmtId="0" fontId="13" fillId="0" borderId="0" xfId="7" applyFont="1"/>
    <xf numFmtId="164" fontId="13" fillId="0" borderId="0" xfId="8" applyFont="1"/>
    <xf numFmtId="165" fontId="13" fillId="0" borderId="0" xfId="6" applyFont="1"/>
    <xf numFmtId="0" fontId="17" fillId="0" borderId="0" xfId="7" applyFont="1"/>
    <xf numFmtId="164" fontId="17" fillId="0" borderId="0" xfId="8" applyFont="1"/>
    <xf numFmtId="165" fontId="17" fillId="0" borderId="0" xfId="6" applyFont="1"/>
    <xf numFmtId="10" fontId="10" fillId="0" borderId="51" xfId="7" applyNumberFormat="1" applyBorder="1" applyAlignment="1">
      <alignment horizontal="center" vertical="center"/>
    </xf>
    <xf numFmtId="4" fontId="10" fillId="0" borderId="6" xfId="7" applyNumberFormat="1" applyBorder="1" applyAlignment="1">
      <alignment vertical="center"/>
    </xf>
    <xf numFmtId="4" fontId="10" fillId="0" borderId="6" xfId="7" applyNumberFormat="1" applyBorder="1" applyAlignment="1">
      <alignment horizontal="center" vertical="center"/>
    </xf>
    <xf numFmtId="167" fontId="0" fillId="0" borderId="44" xfId="9" applyFont="1" applyBorder="1"/>
    <xf numFmtId="164" fontId="10" fillId="0" borderId="0" xfId="7" applyNumberFormat="1"/>
    <xf numFmtId="165" fontId="10" fillId="0" borderId="0" xfId="3" applyFont="1"/>
    <xf numFmtId="167" fontId="18" fillId="0" borderId="6" xfId="9" applyFont="1" applyBorder="1" applyAlignment="1">
      <alignment horizontal="center" vertical="center"/>
    </xf>
    <xf numFmtId="165" fontId="0" fillId="0" borderId="0" xfId="3" applyFont="1" applyBorder="1"/>
    <xf numFmtId="165" fontId="21" fillId="0" borderId="0" xfId="3" applyFont="1" applyFill="1" applyBorder="1"/>
    <xf numFmtId="10" fontId="9" fillId="0" borderId="6" xfId="2" applyNumberFormat="1" applyFont="1" applyBorder="1" applyAlignment="1">
      <alignment horizontal="center" vertical="center" wrapText="1"/>
    </xf>
    <xf numFmtId="0" fontId="10" fillId="0" borderId="6" xfId="1" applyBorder="1" applyAlignment="1">
      <alignment horizontal="left"/>
    </xf>
    <xf numFmtId="10" fontId="9" fillId="0" borderId="6" xfId="2" applyNumberFormat="1" applyFont="1" applyBorder="1"/>
    <xf numFmtId="0" fontId="10" fillId="0" borderId="22" xfId="1" applyBorder="1" applyAlignment="1">
      <alignment horizontal="left"/>
    </xf>
    <xf numFmtId="0" fontId="16" fillId="0" borderId="74" xfId="16" applyFont="1" applyBorder="1" applyAlignment="1">
      <alignment horizontal="center" vertical="center"/>
    </xf>
    <xf numFmtId="0" fontId="16" fillId="0" borderId="92" xfId="16" applyFont="1" applyBorder="1" applyAlignment="1">
      <alignment horizontal="left" vertical="center" wrapText="1"/>
    </xf>
    <xf numFmtId="0" fontId="15" fillId="0" borderId="0" xfId="0" applyFont="1"/>
    <xf numFmtId="0" fontId="15" fillId="0" borderId="7" xfId="1" applyFont="1" applyBorder="1" applyAlignment="1">
      <alignment horizontal="left" vertical="center"/>
    </xf>
    <xf numFmtId="166" fontId="15" fillId="0" borderId="7" xfId="0" applyNumberFormat="1" applyFont="1" applyBorder="1" applyAlignment="1">
      <alignment horizontal="left" vertical="center"/>
    </xf>
    <xf numFmtId="0" fontId="15" fillId="0" borderId="33" xfId="1" applyFont="1" applyBorder="1" applyAlignment="1">
      <alignment horizontal="left" vertical="center"/>
    </xf>
    <xf numFmtId="0" fontId="9" fillId="0" borderId="5" xfId="7" applyFont="1" applyBorder="1" applyAlignment="1">
      <alignment horizontal="right" vertical="center"/>
    </xf>
    <xf numFmtId="165" fontId="10" fillId="0" borderId="0" xfId="6" applyFont="1"/>
    <xf numFmtId="0" fontId="9" fillId="0" borderId="0" xfId="7" applyFont="1" applyAlignment="1">
      <alignment vertical="center"/>
    </xf>
    <xf numFmtId="0" fontId="9" fillId="0" borderId="0" xfId="7" applyFont="1" applyAlignment="1">
      <alignment horizontal="left" vertical="center"/>
    </xf>
    <xf numFmtId="0" fontId="9" fillId="0" borderId="0" xfId="7" applyFont="1"/>
    <xf numFmtId="0" fontId="9" fillId="0" borderId="10" xfId="7" applyFont="1" applyBorder="1" applyAlignment="1">
      <alignment vertical="center"/>
    </xf>
    <xf numFmtId="0" fontId="15" fillId="7" borderId="37" xfId="0" applyFont="1" applyFill="1" applyBorder="1"/>
    <xf numFmtId="0" fontId="15" fillId="7" borderId="54" xfId="0" applyFont="1" applyFill="1" applyBorder="1"/>
    <xf numFmtId="0" fontId="15" fillId="7" borderId="108" xfId="0" applyFont="1" applyFill="1" applyBorder="1"/>
    <xf numFmtId="0" fontId="15" fillId="7" borderId="109" xfId="0" applyFont="1" applyFill="1" applyBorder="1"/>
    <xf numFmtId="0" fontId="15" fillId="7" borderId="21" xfId="1" applyFont="1" applyFill="1" applyBorder="1" applyAlignment="1">
      <alignment horizontal="left" vertical="center"/>
    </xf>
    <xf numFmtId="0" fontId="15" fillId="7" borderId="21" xfId="0" applyFont="1" applyFill="1" applyBorder="1"/>
    <xf numFmtId="0" fontId="15" fillId="7" borderId="28" xfId="0" applyFont="1" applyFill="1" applyBorder="1"/>
    <xf numFmtId="0" fontId="15" fillId="7" borderId="21" xfId="0" applyFont="1" applyFill="1" applyBorder="1" applyAlignment="1">
      <alignment horizontal="left"/>
    </xf>
    <xf numFmtId="10" fontId="15" fillId="7" borderId="21" xfId="2" applyNumberFormat="1" applyFont="1" applyFill="1" applyBorder="1" applyAlignment="1">
      <alignment horizontal="left"/>
    </xf>
    <xf numFmtId="0" fontId="15" fillId="7" borderId="42" xfId="0" applyFont="1" applyFill="1" applyBorder="1"/>
    <xf numFmtId="0" fontId="15" fillId="7" borderId="39" xfId="0" applyFont="1" applyFill="1" applyBorder="1"/>
    <xf numFmtId="0" fontId="10" fillId="0" borderId="0" xfId="0" applyFont="1"/>
    <xf numFmtId="0" fontId="10" fillId="0" borderId="44" xfId="7" applyBorder="1"/>
    <xf numFmtId="4" fontId="10" fillId="0" borderId="6" xfId="7" applyNumberFormat="1" applyBorder="1" applyAlignment="1">
      <alignment horizontal="left" vertical="center"/>
    </xf>
    <xf numFmtId="167" fontId="10" fillId="0" borderId="6" xfId="9" applyFont="1" applyBorder="1" applyAlignment="1">
      <alignment horizontal="center" vertical="center"/>
    </xf>
    <xf numFmtId="10" fontId="10" fillId="0" borderId="6" xfId="7" applyNumberFormat="1" applyBorder="1" applyAlignment="1">
      <alignment horizontal="left" vertical="center"/>
    </xf>
    <xf numFmtId="10" fontId="10" fillId="7" borderId="6" xfId="10" applyNumberFormat="1" applyFont="1" applyFill="1" applyBorder="1" applyAlignment="1">
      <alignment horizontal="center" vertical="center"/>
    </xf>
    <xf numFmtId="10" fontId="10" fillId="0" borderId="27" xfId="7" applyNumberFormat="1" applyBorder="1" applyAlignment="1">
      <alignment horizontal="left" vertical="center"/>
    </xf>
    <xf numFmtId="0" fontId="10" fillId="0" borderId="5" xfId="7" applyBorder="1"/>
    <xf numFmtId="167" fontId="10" fillId="0" borderId="8" xfId="9" applyFont="1" applyBorder="1" applyAlignment="1">
      <alignment horizontal="center" vertical="center"/>
    </xf>
    <xf numFmtId="4" fontId="10" fillId="0" borderId="8" xfId="7" applyNumberFormat="1" applyBorder="1" applyAlignment="1">
      <alignment horizontal="left" vertical="center"/>
    </xf>
    <xf numFmtId="10" fontId="10" fillId="0" borderId="6" xfId="10" applyNumberFormat="1" applyFont="1" applyFill="1" applyBorder="1" applyAlignment="1">
      <alignment horizontal="center" vertical="center"/>
    </xf>
    <xf numFmtId="167" fontId="10" fillId="0" borderId="6" xfId="7" applyNumberFormat="1" applyBorder="1"/>
    <xf numFmtId="10" fontId="10" fillId="0" borderId="6" xfId="2" applyNumberFormat="1" applyBorder="1" applyAlignment="1">
      <alignment horizontal="center"/>
    </xf>
    <xf numFmtId="167" fontId="9" fillId="0" borderId="6" xfId="7" applyNumberFormat="1" applyFont="1" applyBorder="1"/>
    <xf numFmtId="0" fontId="15" fillId="7" borderId="21" xfId="0" quotePrefix="1" applyFont="1" applyFill="1" applyBorder="1"/>
    <xf numFmtId="0" fontId="10" fillId="0" borderId="111" xfId="0" applyFont="1" applyBorder="1"/>
    <xf numFmtId="0" fontId="10" fillId="0" borderId="112" xfId="0" applyFont="1" applyBorder="1"/>
    <xf numFmtId="10" fontId="10" fillId="0" borderId="112" xfId="0" applyNumberFormat="1" applyFont="1" applyBorder="1"/>
    <xf numFmtId="0" fontId="10" fillId="0" borderId="113" xfId="0" applyFont="1" applyBorder="1"/>
    <xf numFmtId="0" fontId="10" fillId="0" borderId="114" xfId="0" applyFont="1" applyBorder="1"/>
    <xf numFmtId="10" fontId="10" fillId="0" borderId="114" xfId="0" applyNumberFormat="1" applyFont="1" applyBorder="1"/>
    <xf numFmtId="0" fontId="9" fillId="0" borderId="113" xfId="0" applyFont="1" applyBorder="1"/>
    <xf numFmtId="0" fontId="9" fillId="0" borderId="114" xfId="0" applyFont="1" applyBorder="1"/>
    <xf numFmtId="0" fontId="9" fillId="0" borderId="0" xfId="0" quotePrefix="1" applyFont="1"/>
    <xf numFmtId="0" fontId="9" fillId="0" borderId="113" xfId="0" applyFont="1" applyBorder="1" applyAlignment="1">
      <alignment horizontal="center"/>
    </xf>
    <xf numFmtId="0" fontId="9" fillId="0" borderId="114" xfId="0" quotePrefix="1" applyFont="1" applyBorder="1" applyAlignment="1">
      <alignment horizontal="center"/>
    </xf>
    <xf numFmtId="0" fontId="28" fillId="0" borderId="113" xfId="0" quotePrefix="1" applyFont="1" applyBorder="1" applyAlignment="1">
      <alignment horizontal="left" vertical="center"/>
    </xf>
    <xf numFmtId="10" fontId="28" fillId="0" borderId="114" xfId="0" applyNumberFormat="1" applyFont="1" applyBorder="1" applyAlignment="1">
      <alignment horizontal="center" vertical="center"/>
    </xf>
    <xf numFmtId="0" fontId="28" fillId="0" borderId="113" xfId="0" applyFont="1" applyBorder="1" applyAlignment="1">
      <alignment vertical="center"/>
    </xf>
    <xf numFmtId="10" fontId="28" fillId="0" borderId="114" xfId="0" applyNumberFormat="1" applyFont="1" applyBorder="1" applyAlignment="1">
      <alignment horizontal="right" vertical="center"/>
    </xf>
    <xf numFmtId="0" fontId="10" fillId="0" borderId="113" xfId="0" quotePrefix="1" applyFont="1" applyBorder="1" applyAlignment="1">
      <alignment horizontal="left" vertical="center"/>
    </xf>
    <xf numFmtId="10" fontId="10" fillId="4" borderId="114" xfId="0" applyNumberFormat="1" applyFont="1" applyFill="1" applyBorder="1" applyAlignment="1">
      <alignment horizontal="right" vertical="center"/>
    </xf>
    <xf numFmtId="0" fontId="10" fillId="0" borderId="113" xfId="0" applyFont="1" applyBorder="1" applyAlignment="1">
      <alignment vertical="center"/>
    </xf>
    <xf numFmtId="10" fontId="10" fillId="0" borderId="114" xfId="0" applyNumberFormat="1" applyFont="1" applyBorder="1" applyAlignment="1">
      <alignment vertical="center"/>
    </xf>
    <xf numFmtId="10" fontId="28" fillId="0" borderId="114" xfId="0" applyNumberFormat="1" applyFont="1" applyBorder="1" applyAlignment="1">
      <alignment vertical="center"/>
    </xf>
    <xf numFmtId="0" fontId="9" fillId="0" borderId="0" xfId="0" applyFont="1"/>
    <xf numFmtId="0" fontId="29" fillId="0" borderId="113" xfId="0" applyFont="1" applyBorder="1" applyAlignment="1">
      <alignment vertical="center"/>
    </xf>
    <xf numFmtId="10" fontId="29" fillId="0" borderId="114" xfId="0" applyNumberFormat="1" applyFont="1" applyBorder="1" applyAlignment="1">
      <alignment vertical="center"/>
    </xf>
    <xf numFmtId="0" fontId="0" fillId="0" borderId="113" xfId="0" applyBorder="1" applyAlignment="1">
      <alignment horizontal="left" vertical="center" wrapText="1"/>
    </xf>
    <xf numFmtId="0" fontId="9" fillId="0" borderId="113" xfId="0" applyFont="1" applyBorder="1" applyAlignment="1">
      <alignment vertical="center"/>
    </xf>
    <xf numFmtId="10" fontId="9" fillId="0" borderId="114" xfId="0" applyNumberFormat="1" applyFont="1" applyBorder="1" applyAlignment="1">
      <alignment vertical="center"/>
    </xf>
    <xf numFmtId="0" fontId="10" fillId="0" borderId="115" xfId="0" applyFont="1" applyBorder="1" applyAlignment="1">
      <alignment vertical="center"/>
    </xf>
    <xf numFmtId="10" fontId="10" fillId="0" borderId="116" xfId="0" applyNumberFormat="1" applyFont="1" applyBorder="1" applyAlignment="1">
      <alignment vertical="center"/>
    </xf>
    <xf numFmtId="0" fontId="10" fillId="0" borderId="0" xfId="0" applyFont="1" applyAlignment="1">
      <alignment vertical="center"/>
    </xf>
    <xf numFmtId="0" fontId="15" fillId="7" borderId="21" xfId="1" applyFont="1" applyFill="1" applyBorder="1" applyAlignment="1">
      <alignment horizontal="right" vertical="center"/>
    </xf>
    <xf numFmtId="4" fontId="0" fillId="0" borderId="0" xfId="3" applyNumberFormat="1" applyFont="1" applyFill="1" applyBorder="1"/>
    <xf numFmtId="3" fontId="15" fillId="7" borderId="21" xfId="1" applyNumberFormat="1" applyFont="1" applyFill="1" applyBorder="1" applyAlignment="1">
      <alignment horizontal="right" vertical="center"/>
    </xf>
    <xf numFmtId="10" fontId="9" fillId="0" borderId="6" xfId="2" applyNumberFormat="1" applyFont="1" applyFill="1" applyBorder="1"/>
    <xf numFmtId="0" fontId="10" fillId="0" borderId="0" xfId="24"/>
    <xf numFmtId="170" fontId="23" fillId="0" borderId="0" xfId="24" applyNumberFormat="1" applyFont="1"/>
    <xf numFmtId="0" fontId="0" fillId="0" borderId="0" xfId="0" applyAlignment="1">
      <alignment horizontal="center"/>
    </xf>
    <xf numFmtId="4" fontId="12" fillId="0" borderId="52" xfId="0" applyNumberFormat="1" applyFont="1" applyBorder="1" applyAlignment="1">
      <alignment horizontal="center" vertical="center" wrapText="1"/>
    </xf>
    <xf numFmtId="4" fontId="23" fillId="6" borderId="54" xfId="0" applyNumberFormat="1" applyFont="1" applyFill="1" applyBorder="1" applyAlignment="1">
      <alignment horizontal="center" vertical="center" wrapText="1"/>
    </xf>
    <xf numFmtId="0" fontId="23" fillId="6" borderId="55" xfId="0" applyFont="1" applyFill="1" applyBorder="1" applyAlignment="1">
      <alignment horizontal="center" vertical="center" wrapText="1"/>
    </xf>
    <xf numFmtId="0" fontId="23" fillId="6" borderId="56" xfId="0" applyFont="1" applyFill="1" applyBorder="1" applyAlignment="1">
      <alignment horizontal="center" vertical="center" wrapText="1"/>
    </xf>
    <xf numFmtId="0" fontId="23" fillId="6" borderId="57" xfId="0" applyFont="1" applyFill="1" applyBorder="1" applyAlignment="1">
      <alignment horizontal="center" vertical="center" wrapText="1"/>
    </xf>
    <xf numFmtId="49" fontId="23" fillId="6" borderId="46" xfId="0" applyNumberFormat="1" applyFont="1" applyFill="1" applyBorder="1" applyAlignment="1">
      <alignment horizontal="center" vertical="center" wrapText="1"/>
    </xf>
    <xf numFmtId="3" fontId="16" fillId="0" borderId="58" xfId="0" applyNumberFormat="1" applyFont="1" applyBorder="1" applyAlignment="1">
      <alignment horizontal="center" vertical="center" wrapText="1"/>
    </xf>
    <xf numFmtId="0" fontId="16" fillId="0" borderId="59" xfId="0" applyFont="1" applyBorder="1" applyAlignment="1">
      <alignment vertical="center" wrapText="1"/>
    </xf>
    <xf numFmtId="4" fontId="16" fillId="0" borderId="60" xfId="0" applyNumberFormat="1" applyFont="1" applyBorder="1" applyAlignment="1">
      <alignment horizontal="center" vertical="center" wrapText="1"/>
    </xf>
    <xf numFmtId="4" fontId="16" fillId="4" borderId="61" xfId="0" applyNumberFormat="1" applyFont="1" applyFill="1" applyBorder="1" applyAlignment="1">
      <alignment horizontal="right" vertical="center" wrapText="1"/>
    </xf>
    <xf numFmtId="4" fontId="16" fillId="4" borderId="62" xfId="0" applyNumberFormat="1" applyFont="1" applyFill="1" applyBorder="1" applyAlignment="1">
      <alignment horizontal="right" vertical="center" wrapText="1"/>
    </xf>
    <xf numFmtId="3" fontId="16" fillId="0" borderId="63" xfId="0" applyNumberFormat="1" applyFont="1" applyBorder="1" applyAlignment="1">
      <alignment horizontal="center" vertical="center" wrapText="1"/>
    </xf>
    <xf numFmtId="0" fontId="16" fillId="0" borderId="64" xfId="0" applyFont="1" applyBorder="1" applyAlignment="1">
      <alignment vertical="center" wrapText="1"/>
    </xf>
    <xf numFmtId="4" fontId="16" fillId="0" borderId="65" xfId="0" applyNumberFormat="1" applyFont="1" applyBorder="1" applyAlignment="1">
      <alignment horizontal="center" vertical="center" wrapText="1"/>
    </xf>
    <xf numFmtId="4" fontId="16" fillId="4" borderId="66" xfId="0" applyNumberFormat="1" applyFont="1" applyFill="1" applyBorder="1" applyAlignment="1">
      <alignment horizontal="right" vertical="center" wrapText="1"/>
    </xf>
    <xf numFmtId="0" fontId="16" fillId="0" borderId="67" xfId="0" applyFont="1" applyBorder="1" applyAlignment="1">
      <alignment horizontal="center" vertical="center" wrapText="1"/>
    </xf>
    <xf numFmtId="0" fontId="16" fillId="0" borderId="68" xfId="0" applyFont="1" applyBorder="1" applyAlignment="1">
      <alignment vertical="center" wrapText="1"/>
    </xf>
    <xf numFmtId="4" fontId="16" fillId="0" borderId="68" xfId="0" applyNumberFormat="1" applyFont="1" applyBorder="1" applyAlignment="1">
      <alignment horizontal="center" vertical="center" wrapText="1"/>
    </xf>
    <xf numFmtId="4" fontId="16" fillId="4" borderId="69" xfId="0" applyNumberFormat="1" applyFont="1" applyFill="1" applyBorder="1" applyAlignment="1">
      <alignment horizontal="right" vertical="center" wrapText="1"/>
    </xf>
    <xf numFmtId="0" fontId="16" fillId="0" borderId="70" xfId="0" applyFont="1" applyBorder="1" applyAlignment="1">
      <alignment horizontal="center" vertical="center" wrapText="1"/>
    </xf>
    <xf numFmtId="0" fontId="16" fillId="0" borderId="71" xfId="0" applyFont="1" applyBorder="1" applyAlignment="1">
      <alignment vertical="center" wrapText="1"/>
    </xf>
    <xf numFmtId="4" fontId="16" fillId="0" borderId="71" xfId="0" applyNumberFormat="1" applyFont="1" applyBorder="1" applyAlignment="1">
      <alignment horizontal="center" vertical="center" wrapText="1"/>
    </xf>
    <xf numFmtId="4" fontId="16" fillId="4" borderId="72" xfId="0" applyNumberFormat="1" applyFont="1" applyFill="1" applyBorder="1" applyAlignment="1">
      <alignment horizontal="right" vertical="center" wrapText="1"/>
    </xf>
    <xf numFmtId="4" fontId="16" fillId="6" borderId="54" xfId="0" applyNumberFormat="1" applyFont="1" applyFill="1" applyBorder="1" applyAlignment="1">
      <alignment vertical="center" wrapText="1"/>
    </xf>
    <xf numFmtId="4" fontId="16" fillId="0" borderId="61" xfId="0" applyNumberFormat="1" applyFont="1" applyBorder="1" applyAlignment="1">
      <alignment vertical="center" wrapText="1"/>
    </xf>
    <xf numFmtId="1" fontId="16" fillId="0" borderId="58" xfId="0" applyNumberFormat="1" applyFont="1" applyBorder="1" applyAlignment="1">
      <alignment horizontal="center" vertical="center" wrapText="1"/>
    </xf>
    <xf numFmtId="0" fontId="16" fillId="0" borderId="59" xfId="0" applyFont="1" applyBorder="1" applyAlignment="1">
      <alignment horizontal="left" vertical="center" wrapText="1"/>
    </xf>
    <xf numFmtId="4" fontId="16" fillId="0" borderId="61" xfId="0" applyNumberFormat="1" applyFont="1" applyBorder="1" applyAlignment="1">
      <alignment horizontal="right" vertical="center" wrapText="1"/>
    </xf>
    <xf numFmtId="4" fontId="16" fillId="0" borderId="73" xfId="0" applyNumberFormat="1" applyFont="1" applyBorder="1" applyAlignment="1">
      <alignment vertical="center" wrapText="1"/>
    </xf>
    <xf numFmtId="3" fontId="16" fillId="0" borderId="50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4" fontId="16" fillId="0" borderId="44" xfId="0" applyNumberFormat="1" applyFont="1" applyBorder="1" applyAlignment="1">
      <alignment horizontal="center" vertical="center" wrapText="1"/>
    </xf>
    <xf numFmtId="4" fontId="16" fillId="0" borderId="2" xfId="0" applyNumberFormat="1" applyFont="1" applyBorder="1" applyAlignment="1">
      <alignment vertical="center" wrapText="1"/>
    </xf>
    <xf numFmtId="0" fontId="16" fillId="0" borderId="74" xfId="0" applyFont="1" applyBorder="1" applyAlignment="1">
      <alignment horizontal="center" vertical="center" wrapText="1"/>
    </xf>
    <xf numFmtId="0" fontId="16" fillId="0" borderId="75" xfId="0" applyFont="1" applyBorder="1" applyAlignment="1">
      <alignment vertical="center" wrapText="1"/>
    </xf>
    <xf numFmtId="4" fontId="16" fillId="0" borderId="76" xfId="0" applyNumberFormat="1" applyFont="1" applyBorder="1" applyAlignment="1">
      <alignment vertical="center" wrapText="1"/>
    </xf>
    <xf numFmtId="4" fontId="16" fillId="0" borderId="77" xfId="0" applyNumberFormat="1" applyFont="1" applyBorder="1" applyAlignment="1">
      <alignment vertical="center" wrapText="1"/>
    </xf>
    <xf numFmtId="3" fontId="16" fillId="0" borderId="78" xfId="0" quotePrefix="1" applyNumberFormat="1" applyFont="1" applyBorder="1" applyAlignment="1">
      <alignment horizontal="center" vertical="center" wrapText="1"/>
    </xf>
    <xf numFmtId="0" fontId="16" fillId="0" borderId="51" xfId="0" applyFont="1" applyBorder="1" applyAlignment="1">
      <alignment horizontal="left" vertical="center" wrapText="1"/>
    </xf>
    <xf numFmtId="0" fontId="16" fillId="0" borderId="51" xfId="0" applyFont="1" applyBorder="1" applyAlignment="1">
      <alignment horizontal="center" vertical="center" wrapText="1"/>
    </xf>
    <xf numFmtId="4" fontId="16" fillId="0" borderId="79" xfId="0" applyNumberFormat="1" applyFont="1" applyBorder="1" applyAlignment="1">
      <alignment horizontal="right" vertical="center" wrapText="1"/>
    </xf>
    <xf numFmtId="1" fontId="16" fillId="0" borderId="78" xfId="0" quotePrefix="1" applyNumberFormat="1" applyFont="1" applyBorder="1" applyAlignment="1">
      <alignment horizontal="center" vertical="center" wrapText="1"/>
    </xf>
    <xf numFmtId="3" fontId="16" fillId="0" borderId="80" xfId="0" quotePrefix="1" applyNumberFormat="1" applyFont="1" applyBorder="1" applyAlignment="1">
      <alignment horizontal="center" vertical="center" wrapText="1"/>
    </xf>
    <xf numFmtId="0" fontId="16" fillId="0" borderId="71" xfId="0" applyFont="1" applyBorder="1" applyAlignment="1">
      <alignment horizontal="left" vertical="center" wrapText="1"/>
    </xf>
    <xf numFmtId="0" fontId="16" fillId="0" borderId="71" xfId="0" applyFont="1" applyBorder="1" applyAlignment="1">
      <alignment horizontal="center" vertical="center" wrapText="1"/>
    </xf>
    <xf numFmtId="4" fontId="16" fillId="0" borderId="77" xfId="0" applyNumberFormat="1" applyFont="1" applyBorder="1" applyAlignment="1">
      <alignment horizontal="right" vertical="center" wrapText="1"/>
    </xf>
    <xf numFmtId="3" fontId="16" fillId="0" borderId="0" xfId="0" applyNumberFormat="1" applyFont="1" applyAlignment="1">
      <alignment horizontal="center" vertical="center" wrapText="1"/>
    </xf>
    <xf numFmtId="4" fontId="16" fillId="0" borderId="0" xfId="0" applyNumberFormat="1" applyFont="1" applyAlignment="1">
      <alignment horizontal="center" vertical="center" wrapText="1"/>
    </xf>
    <xf numFmtId="4" fontId="16" fillId="0" borderId="0" xfId="0" applyNumberFormat="1" applyFont="1" applyAlignment="1">
      <alignment vertical="center" wrapText="1"/>
    </xf>
    <xf numFmtId="4" fontId="23" fillId="6" borderId="32" xfId="0" applyNumberFormat="1" applyFont="1" applyFill="1" applyBorder="1" applyAlignment="1">
      <alignment horizontal="center" vertical="top"/>
    </xf>
    <xf numFmtId="4" fontId="23" fillId="6" borderId="30" xfId="0" applyNumberFormat="1" applyFont="1" applyFill="1" applyBorder="1" applyAlignment="1">
      <alignment horizontal="center" vertical="center"/>
    </xf>
    <xf numFmtId="4" fontId="23" fillId="6" borderId="49" xfId="0" applyNumberFormat="1" applyFont="1" applyFill="1" applyBorder="1" applyAlignment="1">
      <alignment horizontal="center" vertical="center" wrapText="1"/>
    </xf>
    <xf numFmtId="0" fontId="23" fillId="6" borderId="33" xfId="0" applyFont="1" applyFill="1" applyBorder="1" applyAlignment="1">
      <alignment horizontal="center" vertical="top" wrapText="1"/>
    </xf>
    <xf numFmtId="0" fontId="23" fillId="6" borderId="12" xfId="0" applyFont="1" applyFill="1" applyBorder="1" applyAlignment="1">
      <alignment horizontal="center" vertical="center" wrapText="1"/>
    </xf>
    <xf numFmtId="1" fontId="16" fillId="0" borderId="81" xfId="0" applyNumberFormat="1" applyFont="1" applyBorder="1" applyAlignment="1">
      <alignment horizontal="center" vertical="center" wrapText="1"/>
    </xf>
    <xf numFmtId="0" fontId="16" fillId="0" borderId="82" xfId="0" applyFont="1" applyBorder="1" applyAlignment="1">
      <alignment vertical="center" wrapText="1"/>
    </xf>
    <xf numFmtId="49" fontId="16" fillId="0" borderId="82" xfId="0" applyNumberFormat="1" applyFont="1" applyBorder="1" applyAlignment="1">
      <alignment horizontal="center" vertical="center" wrapText="1"/>
    </xf>
    <xf numFmtId="4" fontId="16" fillId="0" borderId="83" xfId="0" applyNumberFormat="1" applyFont="1" applyBorder="1" applyAlignment="1">
      <alignment horizontal="right" vertical="center" wrapText="1"/>
    </xf>
    <xf numFmtId="1" fontId="16" fillId="0" borderId="84" xfId="0" applyNumberFormat="1" applyFont="1" applyBorder="1" applyAlignment="1">
      <alignment horizontal="center" vertical="center" wrapText="1"/>
    </xf>
    <xf numFmtId="0" fontId="16" fillId="0" borderId="85" xfId="0" applyFont="1" applyBorder="1" applyAlignment="1">
      <alignment vertical="center" wrapText="1"/>
    </xf>
    <xf numFmtId="49" fontId="16" fillId="0" borderId="86" xfId="0" applyNumberFormat="1" applyFont="1" applyBorder="1" applyAlignment="1">
      <alignment horizontal="center" vertical="center" wrapText="1"/>
    </xf>
    <xf numFmtId="4" fontId="16" fillId="0" borderId="87" xfId="0" applyNumberFormat="1" applyFont="1" applyBorder="1" applyAlignment="1">
      <alignment horizontal="right" vertical="center" wrapText="1"/>
    </xf>
    <xf numFmtId="49" fontId="16" fillId="0" borderId="88" xfId="0" applyNumberFormat="1" applyFont="1" applyBorder="1" applyAlignment="1">
      <alignment horizontal="center" vertical="center" wrapText="1"/>
    </xf>
    <xf numFmtId="2" fontId="16" fillId="0" borderId="84" xfId="0" applyNumberFormat="1" applyFont="1" applyBorder="1" applyAlignment="1">
      <alignment horizontal="center" vertical="center" wrapText="1"/>
    </xf>
    <xf numFmtId="4" fontId="16" fillId="0" borderId="89" xfId="0" applyNumberFormat="1" applyFont="1" applyBorder="1" applyAlignment="1">
      <alignment horizontal="center" vertical="center" wrapText="1"/>
    </xf>
    <xf numFmtId="0" fontId="16" fillId="0" borderId="84" xfId="0" applyFont="1" applyBorder="1" applyAlignment="1">
      <alignment horizontal="center" vertical="center" wrapText="1"/>
    </xf>
    <xf numFmtId="4" fontId="16" fillId="0" borderId="90" xfId="0" applyNumberFormat="1" applyFont="1" applyBorder="1" applyAlignment="1">
      <alignment horizontal="center" vertical="center" wrapText="1"/>
    </xf>
    <xf numFmtId="4" fontId="16" fillId="0" borderId="91" xfId="0" applyNumberFormat="1" applyFont="1" applyBorder="1" applyAlignment="1">
      <alignment horizontal="right" vertical="center" wrapText="1"/>
    </xf>
    <xf numFmtId="4" fontId="25" fillId="6" borderId="49" xfId="0" applyNumberFormat="1" applyFont="1" applyFill="1" applyBorder="1" applyAlignment="1">
      <alignment horizontal="center" vertical="center" wrapText="1"/>
    </xf>
    <xf numFmtId="4" fontId="16" fillId="0" borderId="87" xfId="0" applyNumberFormat="1" applyFont="1" applyBorder="1" applyAlignment="1">
      <alignment vertical="center" wrapText="1"/>
    </xf>
    <xf numFmtId="0" fontId="23" fillId="6" borderId="93" xfId="0" applyFont="1" applyFill="1" applyBorder="1" applyAlignment="1">
      <alignment horizontal="center" vertical="center" wrapText="1"/>
    </xf>
    <xf numFmtId="0" fontId="23" fillId="6" borderId="94" xfId="0" applyFont="1" applyFill="1" applyBorder="1" applyAlignment="1">
      <alignment horizontal="center" vertical="center" wrapText="1"/>
    </xf>
    <xf numFmtId="17" fontId="23" fillId="6" borderId="35" xfId="0" applyNumberFormat="1" applyFont="1" applyFill="1" applyBorder="1" applyAlignment="1">
      <alignment horizontal="center" vertical="center" wrapText="1"/>
    </xf>
    <xf numFmtId="1" fontId="16" fillId="0" borderId="95" xfId="0" applyNumberFormat="1" applyFont="1" applyBorder="1" applyAlignment="1">
      <alignment horizontal="center" vertical="center" wrapText="1"/>
    </xf>
    <xf numFmtId="0" fontId="16" fillId="0" borderId="96" xfId="0" applyFont="1" applyBorder="1" applyAlignment="1">
      <alignment vertical="center" wrapText="1"/>
    </xf>
    <xf numFmtId="4" fontId="16" fillId="0" borderId="97" xfId="0" applyNumberFormat="1" applyFont="1" applyBorder="1" applyAlignment="1">
      <alignment horizontal="center" vertical="center" wrapText="1"/>
    </xf>
    <xf numFmtId="3" fontId="16" fillId="0" borderId="84" xfId="0" applyNumberFormat="1" applyFont="1" applyBorder="1" applyAlignment="1">
      <alignment horizontal="center" vertical="center" wrapText="1"/>
    </xf>
    <xf numFmtId="3" fontId="16" fillId="0" borderId="74" xfId="0" applyNumberFormat="1" applyFont="1" applyBorder="1" applyAlignment="1">
      <alignment horizontal="center" vertical="center" wrapText="1"/>
    </xf>
    <xf numFmtId="4" fontId="16" fillId="0" borderId="75" xfId="0" applyNumberFormat="1" applyFont="1" applyBorder="1" applyAlignment="1">
      <alignment horizontal="center" vertical="center" wrapText="1"/>
    </xf>
    <xf numFmtId="4" fontId="16" fillId="0" borderId="98" xfId="0" applyNumberFormat="1" applyFont="1" applyBorder="1" applyAlignment="1">
      <alignment vertical="center" wrapText="1"/>
    </xf>
    <xf numFmtId="3" fontId="16" fillId="0" borderId="99" xfId="0" applyNumberFormat="1" applyFont="1" applyBorder="1" applyAlignment="1">
      <alignment horizontal="center" vertical="center" wrapText="1"/>
    </xf>
    <xf numFmtId="4" fontId="16" fillId="0" borderId="51" xfId="0" applyNumberFormat="1" applyFont="1" applyBorder="1" applyAlignment="1">
      <alignment horizontal="center" vertical="center" wrapText="1"/>
    </xf>
    <xf numFmtId="4" fontId="16" fillId="0" borderId="91" xfId="0" applyNumberFormat="1" applyFont="1" applyBorder="1" applyAlignment="1">
      <alignment vertical="center" wrapText="1"/>
    </xf>
    <xf numFmtId="0" fontId="16" fillId="0" borderId="95" xfId="0" applyFont="1" applyBorder="1" applyAlignment="1">
      <alignment horizontal="center" vertical="center" wrapText="1"/>
    </xf>
    <xf numFmtId="0" fontId="16" fillId="0" borderId="63" xfId="0" applyFont="1" applyBorder="1" applyAlignment="1">
      <alignment horizontal="center" vertical="center" wrapText="1"/>
    </xf>
    <xf numFmtId="4" fontId="16" fillId="0" borderId="73" xfId="0" applyNumberFormat="1" applyFont="1" applyBorder="1" applyAlignment="1">
      <alignment horizontal="right" vertical="center" wrapText="1"/>
    </xf>
    <xf numFmtId="3" fontId="16" fillId="0" borderId="118" xfId="0" applyNumberFormat="1" applyFont="1" applyBorder="1" applyAlignment="1">
      <alignment horizontal="center" vertical="center" wrapText="1"/>
    </xf>
    <xf numFmtId="4" fontId="16" fillId="0" borderId="76" xfId="0" applyNumberFormat="1" applyFont="1" applyBorder="1" applyAlignment="1">
      <alignment horizontal="right" vertical="center" wrapText="1"/>
    </xf>
    <xf numFmtId="3" fontId="16" fillId="0" borderId="95" xfId="0" applyNumberFormat="1" applyFont="1" applyBorder="1" applyAlignment="1">
      <alignment horizontal="center" vertical="center" wrapText="1"/>
    </xf>
    <xf numFmtId="4" fontId="16" fillId="4" borderId="101" xfId="0" applyNumberFormat="1" applyFont="1" applyFill="1" applyBorder="1" applyAlignment="1">
      <alignment horizontal="right" vertical="center" wrapText="1"/>
    </xf>
    <xf numFmtId="4" fontId="16" fillId="4" borderId="102" xfId="0" applyNumberFormat="1" applyFont="1" applyFill="1" applyBorder="1" applyAlignment="1">
      <alignment horizontal="right" vertical="center" wrapText="1"/>
    </xf>
    <xf numFmtId="3" fontId="16" fillId="0" borderId="103" xfId="0" applyNumberFormat="1" applyFont="1" applyBorder="1" applyAlignment="1">
      <alignment horizontal="center" vertical="center" wrapText="1"/>
    </xf>
    <xf numFmtId="0" fontId="16" fillId="0" borderId="104" xfId="0" applyFont="1" applyBorder="1" applyAlignment="1">
      <alignment vertical="center" wrapText="1"/>
    </xf>
    <xf numFmtId="4" fontId="16" fillId="0" borderId="105" xfId="0" applyNumberFormat="1" applyFont="1" applyBorder="1" applyAlignment="1">
      <alignment horizontal="center" vertical="center" wrapText="1"/>
    </xf>
    <xf numFmtId="4" fontId="16" fillId="4" borderId="106" xfId="0" applyNumberFormat="1" applyFont="1" applyFill="1" applyBorder="1" applyAlignment="1">
      <alignment horizontal="right" vertical="center" wrapText="1"/>
    </xf>
    <xf numFmtId="0" fontId="19" fillId="0" borderId="0" xfId="0" applyFont="1"/>
    <xf numFmtId="49" fontId="9" fillId="0" borderId="0" xfId="0" applyNumberFormat="1" applyFont="1" applyAlignment="1">
      <alignment horizontal="center" vertical="center"/>
    </xf>
    <xf numFmtId="0" fontId="9" fillId="0" borderId="14" xfId="0" applyFont="1" applyBorder="1" applyAlignment="1">
      <alignment horizontal="right" vertical="center"/>
    </xf>
    <xf numFmtId="49" fontId="9" fillId="0" borderId="20" xfId="0" applyNumberFormat="1" applyFont="1" applyBorder="1" applyAlignment="1">
      <alignment horizontal="left" vertical="center"/>
    </xf>
    <xf numFmtId="0" fontId="21" fillId="0" borderId="0" xfId="0" applyFont="1"/>
    <xf numFmtId="0" fontId="22" fillId="0" borderId="0" xfId="0" applyFont="1" applyAlignment="1">
      <alignment horizontal="left"/>
    </xf>
    <xf numFmtId="0" fontId="9" fillId="0" borderId="22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/>
    </xf>
    <xf numFmtId="0" fontId="10" fillId="0" borderId="6" xfId="0" applyFont="1" applyBorder="1" applyAlignment="1">
      <alignment horizontal="left"/>
    </xf>
    <xf numFmtId="164" fontId="9" fillId="4" borderId="6" xfId="28" applyFont="1" applyFill="1" applyBorder="1" applyAlignment="1">
      <alignment horizontal="center"/>
    </xf>
    <xf numFmtId="164" fontId="9" fillId="0" borderId="6" xfId="28" applyFont="1" applyFill="1" applyBorder="1" applyAlignment="1">
      <alignment horizontal="center"/>
    </xf>
    <xf numFmtId="0" fontId="10" fillId="0" borderId="22" xfId="0" applyFont="1" applyBorder="1" applyAlignment="1">
      <alignment horizontal="left"/>
    </xf>
    <xf numFmtId="0" fontId="10" fillId="0" borderId="6" xfId="0" applyFont="1" applyBorder="1"/>
    <xf numFmtId="164" fontId="9" fillId="0" borderId="6" xfId="28" applyFont="1" applyBorder="1" applyAlignment="1">
      <alignment horizontal="center"/>
    </xf>
    <xf numFmtId="164" fontId="9" fillId="0" borderId="6" xfId="28" applyFont="1" applyBorder="1"/>
    <xf numFmtId="0" fontId="9" fillId="0" borderId="0" xfId="0" applyFont="1" applyAlignment="1">
      <alignment horizontal="center"/>
    </xf>
    <xf numFmtId="0" fontId="0" fillId="0" borderId="3" xfId="0" applyBorder="1" applyAlignment="1">
      <alignment horizontal="center"/>
    </xf>
    <xf numFmtId="0" fontId="9" fillId="0" borderId="5" xfId="0" applyFont="1" applyBorder="1" applyAlignment="1">
      <alignment horizontal="right" vertical="center"/>
    </xf>
    <xf numFmtId="0" fontId="9" fillId="0" borderId="0" xfId="0" applyFont="1" applyAlignment="1">
      <alignment horizontal="right" vertical="center"/>
    </xf>
    <xf numFmtId="0" fontId="21" fillId="0" borderId="10" xfId="0" applyFont="1" applyBorder="1"/>
    <xf numFmtId="0" fontId="9" fillId="0" borderId="53" xfId="0" applyFont="1" applyBorder="1" applyAlignment="1">
      <alignment horizontal="center" vertical="center"/>
    </xf>
    <xf numFmtId="0" fontId="9" fillId="0" borderId="45" xfId="0" applyFont="1" applyBorder="1" applyAlignment="1">
      <alignment vertical="center" wrapText="1"/>
    </xf>
    <xf numFmtId="0" fontId="9" fillId="0" borderId="30" xfId="0" applyFont="1" applyBorder="1" applyAlignment="1">
      <alignment horizontal="center" vertical="center" wrapText="1"/>
    </xf>
    <xf numFmtId="0" fontId="9" fillId="0" borderId="49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21" xfId="0" applyBorder="1" applyAlignment="1">
      <alignment vertical="center" wrapText="1"/>
    </xf>
    <xf numFmtId="169" fontId="0" fillId="0" borderId="6" xfId="0" applyNumberFormat="1" applyBorder="1" applyAlignment="1">
      <alignment horizontal="left" vertical="center"/>
    </xf>
    <xf numFmtId="169" fontId="0" fillId="0" borderId="34" xfId="0" applyNumberFormat="1" applyBorder="1" applyAlignment="1">
      <alignment horizontal="left" vertical="center"/>
    </xf>
    <xf numFmtId="0" fontId="30" fillId="0" borderId="7" xfId="0" applyFont="1" applyBorder="1" applyAlignment="1">
      <alignment horizontal="center" vertical="center"/>
    </xf>
    <xf numFmtId="0" fontId="30" fillId="0" borderId="22" xfId="0" applyFont="1" applyBorder="1" applyAlignment="1">
      <alignment horizontal="left" vertical="center" wrapText="1"/>
    </xf>
    <xf numFmtId="0" fontId="0" fillId="0" borderId="48" xfId="0" applyBorder="1" applyAlignment="1">
      <alignment horizontal="center" vertical="center"/>
    </xf>
    <xf numFmtId="0" fontId="0" fillId="0" borderId="22" xfId="0" applyBorder="1" applyAlignment="1">
      <alignment vertical="center" wrapText="1"/>
    </xf>
    <xf numFmtId="0" fontId="16" fillId="0" borderId="0" xfId="0" applyFont="1"/>
    <xf numFmtId="0" fontId="16" fillId="0" borderId="0" xfId="0" applyFont="1" applyAlignment="1">
      <alignment horizontal="center"/>
    </xf>
    <xf numFmtId="164" fontId="16" fillId="0" borderId="0" xfId="28" applyFont="1"/>
    <xf numFmtId="0" fontId="23" fillId="0" borderId="0" xfId="0" applyFont="1"/>
    <xf numFmtId="0" fontId="0" fillId="4" borderId="0" xfId="0" applyFill="1"/>
    <xf numFmtId="0" fontId="10" fillId="4" borderId="0" xfId="0" applyFont="1" applyFill="1"/>
    <xf numFmtId="49" fontId="0" fillId="0" borderId="11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0" fontId="16" fillId="0" borderId="0" xfId="24" applyFont="1"/>
    <xf numFmtId="0" fontId="0" fillId="0" borderId="6" xfId="0" applyBorder="1" applyAlignment="1">
      <alignment horizontal="left" vertical="center"/>
    </xf>
    <xf numFmtId="0" fontId="10" fillId="0" borderId="48" xfId="0" applyFont="1" applyBorder="1" applyAlignment="1">
      <alignment horizontal="center" vertical="center"/>
    </xf>
    <xf numFmtId="0" fontId="10" fillId="0" borderId="22" xfId="0" applyFont="1" applyBorder="1" applyAlignment="1">
      <alignment vertical="center" wrapText="1"/>
    </xf>
    <xf numFmtId="49" fontId="10" fillId="0" borderId="7" xfId="0" applyNumberFormat="1" applyFont="1" applyBorder="1" applyAlignment="1">
      <alignment horizontal="center" vertical="center"/>
    </xf>
    <xf numFmtId="0" fontId="10" fillId="0" borderId="22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center" vertical="center"/>
    </xf>
    <xf numFmtId="0" fontId="0" fillId="0" borderId="22" xfId="0" applyBorder="1" applyAlignment="1">
      <alignment horizontal="left" vertical="center" wrapText="1"/>
    </xf>
    <xf numFmtId="49" fontId="10" fillId="0" borderId="6" xfId="0" applyNumberFormat="1" applyFont="1" applyBorder="1" applyAlignment="1">
      <alignment horizontal="center" vertical="center"/>
    </xf>
    <xf numFmtId="49" fontId="0" fillId="0" borderId="7" xfId="0" applyNumberFormat="1" applyBorder="1" applyAlignment="1">
      <alignment horizontal="center"/>
    </xf>
    <xf numFmtId="0" fontId="0" fillId="0" borderId="22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34" xfId="0" applyBorder="1" applyAlignment="1">
      <alignment horizontal="left"/>
    </xf>
    <xf numFmtId="2" fontId="0" fillId="0" borderId="6" xfId="0" applyNumberFormat="1" applyBorder="1" applyAlignment="1">
      <alignment horizontal="left"/>
    </xf>
    <xf numFmtId="2" fontId="0" fillId="0" borderId="34" xfId="0" applyNumberFormat="1" applyBorder="1" applyAlignment="1">
      <alignment horizontal="left"/>
    </xf>
    <xf numFmtId="4" fontId="0" fillId="0" borderId="6" xfId="0" applyNumberFormat="1" applyBorder="1" applyAlignment="1">
      <alignment horizontal="left"/>
    </xf>
    <xf numFmtId="4" fontId="0" fillId="0" borderId="34" xfId="0" applyNumberFormat="1" applyBorder="1" applyAlignment="1">
      <alignment horizontal="left"/>
    </xf>
    <xf numFmtId="0" fontId="0" fillId="0" borderId="22" xfId="0" applyBorder="1"/>
    <xf numFmtId="49" fontId="0" fillId="0" borderId="33" xfId="0" applyNumberFormat="1" applyBorder="1" applyAlignment="1">
      <alignment horizontal="center"/>
    </xf>
    <xf numFmtId="0" fontId="0" fillId="0" borderId="43" xfId="0" applyBorder="1"/>
    <xf numFmtId="0" fontId="0" fillId="0" borderId="31" xfId="0" applyBorder="1" applyAlignment="1">
      <alignment horizontal="left"/>
    </xf>
    <xf numFmtId="0" fontId="0" fillId="0" borderId="35" xfId="0" applyBorder="1" applyAlignment="1">
      <alignment horizontal="left"/>
    </xf>
    <xf numFmtId="0" fontId="10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17" fontId="0" fillId="0" borderId="0" xfId="0" applyNumberFormat="1"/>
    <xf numFmtId="4" fontId="16" fillId="0" borderId="66" xfId="0" applyNumberFormat="1" applyFont="1" applyBorder="1" applyAlignment="1">
      <alignment horizontal="right" vertical="center" wrapText="1"/>
    </xf>
    <xf numFmtId="3" fontId="16" fillId="0" borderId="120" xfId="0" applyNumberFormat="1" applyFont="1" applyBorder="1" applyAlignment="1">
      <alignment horizontal="center" vertical="center" wrapText="1"/>
    </xf>
    <xf numFmtId="0" fontId="16" fillId="0" borderId="121" xfId="0" applyFont="1" applyBorder="1" applyAlignment="1">
      <alignment vertical="center" wrapText="1"/>
    </xf>
    <xf numFmtId="4" fontId="16" fillId="0" borderId="121" xfId="0" applyNumberFormat="1" applyFont="1" applyBorder="1" applyAlignment="1">
      <alignment horizontal="center" vertical="center" wrapText="1"/>
    </xf>
    <xf numFmtId="4" fontId="16" fillId="0" borderId="69" xfId="0" applyNumberFormat="1" applyFont="1" applyBorder="1" applyAlignment="1">
      <alignment horizontal="right" vertical="center" wrapText="1"/>
    </xf>
    <xf numFmtId="0" fontId="16" fillId="0" borderId="44" xfId="0" applyFont="1" applyBorder="1" applyAlignment="1">
      <alignment vertical="center" wrapText="1"/>
    </xf>
    <xf numFmtId="4" fontId="16" fillId="0" borderId="110" xfId="0" applyNumberFormat="1" applyFont="1" applyBorder="1" applyAlignment="1">
      <alignment horizontal="right" vertical="center" wrapText="1"/>
    </xf>
    <xf numFmtId="164" fontId="9" fillId="0" borderId="6" xfId="28" applyFont="1" applyFill="1" applyBorder="1"/>
    <xf numFmtId="167" fontId="30" fillId="0" borderId="8" xfId="9" applyFont="1" applyBorder="1" applyAlignment="1">
      <alignment horizontal="center" vertical="center"/>
    </xf>
    <xf numFmtId="167" fontId="30" fillId="0" borderId="6" xfId="9" applyFont="1" applyBorder="1" applyAlignment="1">
      <alignment horizontal="center" vertical="center"/>
    </xf>
    <xf numFmtId="0" fontId="18" fillId="0" borderId="0" xfId="29" applyFont="1" applyAlignment="1">
      <alignment vertical="center"/>
    </xf>
    <xf numFmtId="0" fontId="27" fillId="0" borderId="0" xfId="17" applyFont="1" applyAlignment="1">
      <alignment horizontal="center" vertical="center" wrapText="1"/>
    </xf>
    <xf numFmtId="0" fontId="27" fillId="0" borderId="6" xfId="17" applyFont="1" applyBorder="1" applyAlignment="1">
      <alignment horizontal="center" vertical="center" wrapText="1"/>
    </xf>
    <xf numFmtId="0" fontId="0" fillId="0" borderId="6" xfId="0" applyBorder="1"/>
    <xf numFmtId="0" fontId="34" fillId="0" borderId="0" xfId="30" applyAlignment="1">
      <alignment horizontal="left" vertical="top"/>
    </xf>
    <xf numFmtId="0" fontId="32" fillId="0" borderId="0" xfId="30" applyFont="1" applyAlignment="1">
      <alignment horizontal="left" vertical="top"/>
    </xf>
    <xf numFmtId="0" fontId="10" fillId="0" borderId="127" xfId="30" applyFont="1" applyBorder="1" applyAlignment="1">
      <alignment horizontal="center" vertical="top" wrapText="1"/>
    </xf>
    <xf numFmtId="0" fontId="10" fillId="0" borderId="127" xfId="30" applyFont="1" applyBorder="1" applyAlignment="1">
      <alignment horizontal="left" vertical="top" wrapText="1"/>
    </xf>
    <xf numFmtId="0" fontId="10" fillId="13" borderId="127" xfId="30" applyFont="1" applyFill="1" applyBorder="1" applyAlignment="1">
      <alignment horizontal="center" vertical="top" wrapText="1"/>
    </xf>
    <xf numFmtId="0" fontId="10" fillId="13" borderId="127" xfId="30" applyFont="1" applyFill="1" applyBorder="1" applyAlignment="1">
      <alignment horizontal="left" vertical="top" wrapText="1"/>
    </xf>
    <xf numFmtId="0" fontId="10" fillId="0" borderId="127" xfId="30" applyFont="1" applyBorder="1" applyAlignment="1">
      <alignment horizontal="center" vertical="center" wrapText="1"/>
    </xf>
    <xf numFmtId="0" fontId="32" fillId="0" borderId="127" xfId="30" applyFont="1" applyBorder="1" applyAlignment="1">
      <alignment horizontal="left" vertical="top" wrapText="1"/>
    </xf>
    <xf numFmtId="10" fontId="32" fillId="0" borderId="127" xfId="30" applyNumberFormat="1" applyFont="1" applyBorder="1" applyAlignment="1">
      <alignment horizontal="center" vertical="center" shrinkToFit="1"/>
    </xf>
    <xf numFmtId="0" fontId="10" fillId="13" borderId="127" xfId="30" applyFont="1" applyFill="1" applyBorder="1" applyAlignment="1">
      <alignment horizontal="center" vertical="center" wrapText="1"/>
    </xf>
    <xf numFmtId="0" fontId="32" fillId="13" borderId="127" xfId="30" applyFont="1" applyFill="1" applyBorder="1" applyAlignment="1">
      <alignment horizontal="left" vertical="top" wrapText="1"/>
    </xf>
    <xf numFmtId="10" fontId="32" fillId="13" borderId="127" xfId="30" applyNumberFormat="1" applyFont="1" applyFill="1" applyBorder="1" applyAlignment="1">
      <alignment horizontal="center" vertical="center" shrinkToFit="1"/>
    </xf>
    <xf numFmtId="0" fontId="32" fillId="0" borderId="0" xfId="30" applyFont="1" applyAlignment="1">
      <alignment horizontal="center" vertical="center"/>
    </xf>
    <xf numFmtId="0" fontId="9" fillId="0" borderId="127" xfId="30" applyFont="1" applyBorder="1" applyAlignment="1">
      <alignment horizontal="center" vertical="center" wrapText="1"/>
    </xf>
    <xf numFmtId="10" fontId="10" fillId="0" borderId="127" xfId="30" applyNumberFormat="1" applyFont="1" applyBorder="1" applyAlignment="1">
      <alignment horizontal="center" vertical="center" wrapText="1"/>
    </xf>
    <xf numFmtId="10" fontId="10" fillId="13" borderId="127" xfId="30" applyNumberFormat="1" applyFont="1" applyFill="1" applyBorder="1" applyAlignment="1">
      <alignment horizontal="center" vertical="center" wrapText="1"/>
    </xf>
    <xf numFmtId="10" fontId="32" fillId="11" borderId="127" xfId="30" applyNumberFormat="1" applyFont="1" applyFill="1" applyBorder="1" applyAlignment="1">
      <alignment horizontal="center" vertical="center" wrapText="1"/>
    </xf>
    <xf numFmtId="10" fontId="10" fillId="14" borderId="127" xfId="30" applyNumberFormat="1" applyFont="1" applyFill="1" applyBorder="1" applyAlignment="1">
      <alignment horizontal="center" vertical="center" wrapText="1"/>
    </xf>
    <xf numFmtId="10" fontId="32" fillId="14" borderId="127" xfId="30" applyNumberFormat="1" applyFont="1" applyFill="1" applyBorder="1" applyAlignment="1">
      <alignment horizontal="center" vertical="center" shrinkToFit="1"/>
    </xf>
    <xf numFmtId="10" fontId="10" fillId="0" borderId="27" xfId="7" applyNumberFormat="1" applyBorder="1" applyAlignment="1">
      <alignment horizontal="left" vertical="center" wrapText="1"/>
    </xf>
    <xf numFmtId="0" fontId="39" fillId="0" borderId="0" xfId="7" applyFont="1"/>
    <xf numFmtId="0" fontId="39" fillId="18" borderId="0" xfId="7" applyFont="1" applyFill="1"/>
    <xf numFmtId="10" fontId="39" fillId="7" borderId="6" xfId="10" applyNumberFormat="1" applyFont="1" applyFill="1" applyBorder="1" applyAlignment="1">
      <alignment horizontal="center" vertical="center"/>
    </xf>
    <xf numFmtId="167" fontId="39" fillId="0" borderId="6" xfId="9" applyFont="1" applyBorder="1" applyAlignment="1">
      <alignment horizontal="center" vertical="center"/>
    </xf>
    <xf numFmtId="0" fontId="10" fillId="0" borderId="38" xfId="7" applyBorder="1"/>
    <xf numFmtId="0" fontId="10" fillId="0" borderId="0" xfId="7" applyAlignment="1">
      <alignment wrapText="1"/>
    </xf>
    <xf numFmtId="0" fontId="18" fillId="0" borderId="0" xfId="1" applyFont="1" applyAlignment="1">
      <alignment horizontal="center" wrapText="1"/>
    </xf>
    <xf numFmtId="0" fontId="18" fillId="0" borderId="0" xfId="1" applyFont="1" applyAlignment="1">
      <alignment horizontal="left" wrapText="1"/>
    </xf>
    <xf numFmtId="164" fontId="10" fillId="0" borderId="0" xfId="8" applyFont="1" applyAlignment="1">
      <alignment wrapText="1"/>
    </xf>
    <xf numFmtId="165" fontId="10" fillId="0" borderId="0" xfId="6" applyAlignment="1">
      <alignment wrapText="1"/>
    </xf>
    <xf numFmtId="49" fontId="10" fillId="0" borderId="0" xfId="7" applyNumberFormat="1"/>
    <xf numFmtId="4" fontId="10" fillId="0" borderId="0" xfId="7" applyNumberFormat="1"/>
    <xf numFmtId="0" fontId="10" fillId="0" borderId="0" xfId="1"/>
    <xf numFmtId="0" fontId="10" fillId="0" borderId="0" xfId="7" applyAlignment="1">
      <alignment horizontal="right"/>
    </xf>
    <xf numFmtId="0" fontId="10" fillId="0" borderId="0" xfId="7" applyAlignment="1">
      <alignment horizontal="center"/>
    </xf>
    <xf numFmtId="0" fontId="10" fillId="0" borderId="0" xfId="7" applyAlignment="1">
      <alignment horizontal="left"/>
    </xf>
    <xf numFmtId="0" fontId="10" fillId="0" borderId="107" xfId="7" applyBorder="1"/>
    <xf numFmtId="164" fontId="10" fillId="0" borderId="107" xfId="2" applyNumberFormat="1" applyBorder="1" applyAlignment="1">
      <alignment horizontal="center" vertical="center"/>
    </xf>
    <xf numFmtId="10" fontId="10" fillId="0" borderId="107" xfId="2" applyNumberFormat="1" applyBorder="1" applyAlignment="1">
      <alignment horizontal="center" vertical="center"/>
    </xf>
    <xf numFmtId="10" fontId="10" fillId="0" borderId="0" xfId="7" applyNumberFormat="1"/>
    <xf numFmtId="0" fontId="13" fillId="5" borderId="6" xfId="7" applyFont="1" applyFill="1" applyBorder="1" applyAlignment="1">
      <alignment horizontal="center" vertical="center"/>
    </xf>
    <xf numFmtId="0" fontId="13" fillId="5" borderId="27" xfId="7" applyFont="1" applyFill="1" applyBorder="1" applyAlignment="1">
      <alignment horizontal="centerContinuous" vertical="center"/>
    </xf>
    <xf numFmtId="0" fontId="13" fillId="5" borderId="134" xfId="7" applyFont="1" applyFill="1" applyBorder="1" applyAlignment="1">
      <alignment horizontal="center" vertical="center"/>
    </xf>
    <xf numFmtId="1" fontId="10" fillId="0" borderId="8" xfId="7" applyNumberFormat="1" applyBorder="1" applyAlignment="1">
      <alignment horizontal="center" vertical="center"/>
    </xf>
    <xf numFmtId="4" fontId="10" fillId="0" borderId="8" xfId="7" applyNumberFormat="1" applyBorder="1" applyAlignment="1">
      <alignment horizontal="center" vertical="center"/>
    </xf>
    <xf numFmtId="10" fontId="10" fillId="0" borderId="6" xfId="7" applyNumberFormat="1" applyBorder="1" applyAlignment="1">
      <alignment horizontal="center" vertical="center"/>
    </xf>
    <xf numFmtId="0" fontId="10" fillId="0" borderId="27" xfId="7" applyBorder="1" applyAlignment="1">
      <alignment horizontal="center" vertical="center"/>
    </xf>
    <xf numFmtId="10" fontId="10" fillId="0" borderId="27" xfId="7" applyNumberFormat="1" applyBorder="1" applyAlignment="1">
      <alignment horizontal="center" vertical="center"/>
    </xf>
    <xf numFmtId="10" fontId="10" fillId="0" borderId="6" xfId="7" applyNumberFormat="1" applyBorder="1" applyAlignment="1">
      <alignment vertical="center"/>
    </xf>
    <xf numFmtId="4" fontId="10" fillId="0" borderId="44" xfId="7" applyNumberFormat="1" applyBorder="1"/>
    <xf numFmtId="0" fontId="10" fillId="0" borderId="29" xfId="7" applyBorder="1" applyAlignment="1">
      <alignment vertical="center"/>
    </xf>
    <xf numFmtId="0" fontId="10" fillId="0" borderId="38" xfId="7" applyBorder="1" applyAlignment="1">
      <alignment horizontal="left" vertical="center"/>
    </xf>
    <xf numFmtId="0" fontId="39" fillId="0" borderId="38" xfId="7" applyFont="1" applyBorder="1" applyAlignment="1">
      <alignment horizontal="left" vertical="center"/>
    </xf>
    <xf numFmtId="0" fontId="10" fillId="0" borderId="135" xfId="7" applyBorder="1" applyAlignment="1">
      <alignment horizontal="left" vertical="center"/>
    </xf>
    <xf numFmtId="167" fontId="9" fillId="0" borderId="27" xfId="9" applyFont="1" applyBorder="1" applyAlignment="1">
      <alignment horizontal="center" vertical="center"/>
    </xf>
    <xf numFmtId="10" fontId="9" fillId="0" borderId="27" xfId="7" applyNumberFormat="1" applyFont="1" applyBorder="1" applyAlignment="1">
      <alignment horizontal="center" vertical="center"/>
    </xf>
    <xf numFmtId="10" fontId="10" fillId="0" borderId="38" xfId="7" applyNumberFormat="1" applyBorder="1"/>
    <xf numFmtId="167" fontId="0" fillId="0" borderId="8" xfId="9" applyFont="1" applyBorder="1" applyAlignment="1">
      <alignment horizontal="center" vertical="center"/>
    </xf>
    <xf numFmtId="10" fontId="10" fillId="0" borderId="8" xfId="7" applyNumberFormat="1" applyBorder="1" applyAlignment="1">
      <alignment horizontal="center" vertical="center"/>
    </xf>
    <xf numFmtId="0" fontId="13" fillId="5" borderId="8" xfId="7" applyFont="1" applyFill="1" applyBorder="1" applyAlignment="1">
      <alignment horizontal="center" vertical="center"/>
    </xf>
    <xf numFmtId="0" fontId="13" fillId="5" borderId="8" xfId="7" applyFont="1" applyFill="1" applyBorder="1" applyAlignment="1">
      <alignment horizontal="centerContinuous" vertical="center"/>
    </xf>
    <xf numFmtId="0" fontId="13" fillId="5" borderId="135" xfId="7" applyFont="1" applyFill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6" xfId="7" applyBorder="1" applyAlignment="1">
      <alignment horizontal="center" vertical="center"/>
    </xf>
    <xf numFmtId="0" fontId="32" fillId="0" borderId="0" xfId="1" applyFont="1" applyAlignment="1">
      <alignment horizontal="left" vertical="center"/>
    </xf>
    <xf numFmtId="0" fontId="41" fillId="15" borderId="6" xfId="1" applyFont="1" applyFill="1" applyBorder="1" applyAlignment="1">
      <alignment horizontal="center" vertical="center"/>
    </xf>
    <xf numFmtId="0" fontId="9" fillId="15" borderId="6" xfId="1" applyFont="1" applyFill="1" applyBorder="1" applyAlignment="1">
      <alignment horizontal="center" vertical="center" wrapText="1"/>
    </xf>
    <xf numFmtId="0" fontId="30" fillId="4" borderId="38" xfId="0" applyFont="1" applyFill="1" applyBorder="1" applyAlignment="1">
      <alignment horizontal="left" vertical="center" wrapText="1"/>
    </xf>
    <xf numFmtId="0" fontId="30" fillId="4" borderId="38" xfId="0" applyFont="1" applyFill="1" applyBorder="1" applyAlignment="1">
      <alignment horizontal="center" vertical="center" wrapText="1"/>
    </xf>
    <xf numFmtId="0" fontId="10" fillId="4" borderId="6" xfId="1" applyFill="1" applyBorder="1" applyAlignment="1">
      <alignment horizontal="center" vertical="center" wrapText="1"/>
    </xf>
    <xf numFmtId="0" fontId="30" fillId="4" borderId="6" xfId="1" applyFont="1" applyFill="1" applyBorder="1" applyAlignment="1">
      <alignment horizontal="center" vertical="center" wrapText="1"/>
    </xf>
    <xf numFmtId="0" fontId="30" fillId="4" borderId="6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10" fillId="0" borderId="6" xfId="1" applyBorder="1" applyAlignment="1">
      <alignment horizontal="left" vertical="center" wrapText="1"/>
    </xf>
    <xf numFmtId="177" fontId="10" fillId="4" borderId="6" xfId="28" applyNumberFormat="1" applyFont="1" applyFill="1" applyBorder="1" applyAlignment="1">
      <alignment horizontal="center" vertical="center" wrapText="1"/>
    </xf>
    <xf numFmtId="0" fontId="32" fillId="0" borderId="0" xfId="0" applyFont="1" applyAlignment="1">
      <alignment horizontal="left" vertical="center"/>
    </xf>
    <xf numFmtId="0" fontId="9" fillId="15" borderId="0" xfId="0" applyFont="1" applyFill="1" applyAlignment="1">
      <alignment horizontal="center" vertical="center" wrapText="1"/>
    </xf>
    <xf numFmtId="0" fontId="9" fillId="15" borderId="38" xfId="0" applyFont="1" applyFill="1" applyBorder="1" applyAlignment="1">
      <alignment horizontal="center" vertical="center" wrapText="1"/>
    </xf>
    <xf numFmtId="0" fontId="30" fillId="4" borderId="21" xfId="3" applyNumberFormat="1" applyFont="1" applyFill="1" applyBorder="1" applyAlignment="1">
      <alignment horizontal="center" vertical="center"/>
    </xf>
    <xf numFmtId="49" fontId="30" fillId="4" borderId="21" xfId="0" applyNumberFormat="1" applyFont="1" applyFill="1" applyBorder="1" applyAlignment="1">
      <alignment horizontal="center" vertical="center"/>
    </xf>
    <xf numFmtId="0" fontId="30" fillId="4" borderId="21" xfId="0" applyFont="1" applyFill="1" applyBorder="1" applyAlignment="1">
      <alignment horizontal="left" vertical="center" wrapText="1" shrinkToFit="1"/>
    </xf>
    <xf numFmtId="0" fontId="30" fillId="4" borderId="21" xfId="0" applyFont="1" applyFill="1" applyBorder="1" applyAlignment="1">
      <alignment horizontal="center" vertical="center" wrapText="1" shrinkToFit="1"/>
    </xf>
    <xf numFmtId="0" fontId="42" fillId="4" borderId="21" xfId="1" applyFont="1" applyFill="1" applyBorder="1" applyAlignment="1">
      <alignment horizontal="center" vertical="center" wrapText="1"/>
    </xf>
    <xf numFmtId="0" fontId="30" fillId="4" borderId="21" xfId="0" applyFont="1" applyFill="1" applyBorder="1" applyAlignment="1">
      <alignment horizontal="center" vertical="center"/>
    </xf>
    <xf numFmtId="0" fontId="30" fillId="4" borderId="21" xfId="29" applyFont="1" applyFill="1" applyBorder="1" applyAlignment="1">
      <alignment horizontal="left" vertical="center" wrapText="1"/>
    </xf>
    <xf numFmtId="168" fontId="30" fillId="4" borderId="21" xfId="1" applyNumberFormat="1" applyFont="1" applyFill="1" applyBorder="1" applyAlignment="1">
      <alignment horizontal="center" vertical="center" shrinkToFit="1"/>
    </xf>
    <xf numFmtId="164" fontId="30" fillId="21" borderId="21" xfId="28" applyFont="1" applyFill="1" applyBorder="1" applyAlignment="1">
      <alignment horizontal="center" vertical="center"/>
    </xf>
    <xf numFmtId="0" fontId="10" fillId="4" borderId="21" xfId="29" applyFont="1" applyFill="1" applyBorder="1" applyAlignment="1">
      <alignment horizontal="left" vertical="center" wrapText="1"/>
    </xf>
    <xf numFmtId="0" fontId="30" fillId="4" borderId="21" xfId="29" applyFont="1" applyFill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30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1" applyAlignment="1">
      <alignment wrapText="1"/>
    </xf>
    <xf numFmtId="164" fontId="30" fillId="4" borderId="38" xfId="28" applyFont="1" applyFill="1" applyBorder="1" applyAlignment="1">
      <alignment horizontal="left" vertical="center" wrapText="1"/>
    </xf>
    <xf numFmtId="0" fontId="30" fillId="4" borderId="8" xfId="0" applyFont="1" applyFill="1" applyBorder="1" applyAlignment="1">
      <alignment horizontal="center" vertical="center" wrapText="1"/>
    </xf>
    <xf numFmtId="0" fontId="18" fillId="0" borderId="0" xfId="1" applyFont="1" applyAlignment="1">
      <alignment horizontal="center"/>
    </xf>
    <xf numFmtId="0" fontId="18" fillId="0" borderId="0" xfId="1" applyFont="1" applyAlignment="1">
      <alignment horizontal="left"/>
    </xf>
    <xf numFmtId="2" fontId="18" fillId="0" borderId="0" xfId="28" applyNumberFormat="1" applyFont="1" applyAlignment="1">
      <alignment horizontal="right"/>
    </xf>
    <xf numFmtId="164" fontId="18" fillId="0" borderId="0" xfId="28" applyFont="1" applyAlignment="1">
      <alignment horizontal="right"/>
    </xf>
    <xf numFmtId="4" fontId="18" fillId="0" borderId="0" xfId="1" applyNumberFormat="1" applyFont="1" applyAlignment="1">
      <alignment horizontal="right"/>
    </xf>
    <xf numFmtId="0" fontId="18" fillId="0" borderId="0" xfId="1" applyFont="1"/>
    <xf numFmtId="0" fontId="18" fillId="0" borderId="0" xfId="1" applyFont="1" applyAlignment="1">
      <alignment vertical="center"/>
    </xf>
    <xf numFmtId="14" fontId="30" fillId="0" borderId="49" xfId="1" applyNumberFormat="1" applyFont="1" applyBorder="1" applyAlignment="1">
      <alignment horizontal="left" vertical="center"/>
    </xf>
    <xf numFmtId="0" fontId="37" fillId="0" borderId="24" xfId="1" applyFont="1" applyBorder="1" applyAlignment="1">
      <alignment horizontal="left" vertical="center"/>
    </xf>
    <xf numFmtId="164" fontId="30" fillId="0" borderId="5" xfId="28" applyFont="1" applyBorder="1" applyAlignment="1">
      <alignment horizontal="right"/>
    </xf>
    <xf numFmtId="0" fontId="30" fillId="0" borderId="34" xfId="1" applyFont="1" applyBorder="1" applyAlignment="1">
      <alignment vertical="center"/>
    </xf>
    <xf numFmtId="0" fontId="37" fillId="0" borderId="22" xfId="1" applyFont="1" applyBorder="1" applyAlignment="1">
      <alignment horizontal="left" vertical="center"/>
    </xf>
    <xf numFmtId="164" fontId="30" fillId="0" borderId="21" xfId="28" applyFont="1" applyBorder="1" applyAlignment="1">
      <alignment horizontal="right"/>
    </xf>
    <xf numFmtId="10" fontId="37" fillId="0" borderId="22" xfId="2" applyNumberFormat="1" applyFont="1" applyBorder="1" applyAlignment="1">
      <alignment horizontal="left" vertical="center"/>
    </xf>
    <xf numFmtId="164" fontId="37" fillId="0" borderId="21" xfId="28" applyFont="1" applyBorder="1" applyAlignment="1">
      <alignment horizontal="left" vertical="center"/>
    </xf>
    <xf numFmtId="0" fontId="30" fillId="0" borderId="35" xfId="1" applyFont="1" applyBorder="1" applyAlignment="1">
      <alignment horizontal="left" vertical="center"/>
    </xf>
    <xf numFmtId="0" fontId="10" fillId="0" borderId="0" xfId="1" applyAlignment="1">
      <alignment vertical="center"/>
    </xf>
    <xf numFmtId="0" fontId="9" fillId="0" borderId="0" xfId="1" applyFont="1" applyAlignment="1">
      <alignment horizontal="center" vertical="center"/>
    </xf>
    <xf numFmtId="0" fontId="9" fillId="0" borderId="0" xfId="1" applyFont="1" applyAlignment="1">
      <alignment horizontal="center"/>
    </xf>
    <xf numFmtId="0" fontId="18" fillId="0" borderId="0" xfId="1" applyFont="1" applyAlignment="1">
      <alignment horizontal="center" vertical="center"/>
    </xf>
    <xf numFmtId="164" fontId="9" fillId="0" borderId="0" xfId="28" applyFont="1" applyAlignment="1">
      <alignment horizontal="center" vertical="center"/>
    </xf>
    <xf numFmtId="44" fontId="18" fillId="0" borderId="0" xfId="1" applyNumberFormat="1" applyFont="1" applyAlignment="1">
      <alignment vertical="center"/>
    </xf>
    <xf numFmtId="0" fontId="37" fillId="0" borderId="14" xfId="1" applyFont="1" applyBorder="1" applyAlignment="1">
      <alignment horizontal="left" vertical="center"/>
    </xf>
    <xf numFmtId="0" fontId="37" fillId="0" borderId="13" xfId="1" applyFont="1" applyBorder="1" applyAlignment="1">
      <alignment horizontal="left" vertical="center"/>
    </xf>
    <xf numFmtId="0" fontId="30" fillId="0" borderId="13" xfId="1" applyFont="1" applyBorder="1" applyAlignment="1">
      <alignment horizontal="left" vertical="center"/>
    </xf>
    <xf numFmtId="2" fontId="30" fillId="0" borderId="13" xfId="28" applyNumberFormat="1" applyFont="1" applyBorder="1" applyAlignment="1">
      <alignment horizontal="right" vertical="center"/>
    </xf>
    <xf numFmtId="164" fontId="30" fillId="0" borderId="13" xfId="28" applyFont="1" applyBorder="1" applyAlignment="1">
      <alignment horizontal="left" vertical="center"/>
    </xf>
    <xf numFmtId="164" fontId="37" fillId="0" borderId="20" xfId="28" applyFont="1" applyBorder="1" applyAlignment="1">
      <alignment horizontal="right" vertical="center"/>
    </xf>
    <xf numFmtId="164" fontId="37" fillId="0" borderId="17" xfId="28" applyFont="1" applyBorder="1" applyAlignment="1">
      <alignment vertical="center"/>
    </xf>
    <xf numFmtId="0" fontId="37" fillId="0" borderId="138" xfId="1" applyFont="1" applyBorder="1" applyAlignment="1">
      <alignment horizontal="center"/>
    </xf>
    <xf numFmtId="0" fontId="37" fillId="0" borderId="17" xfId="1" applyFont="1" applyBorder="1" applyAlignment="1">
      <alignment horizontal="center"/>
    </xf>
    <xf numFmtId="0" fontId="37" fillId="0" borderId="139" xfId="1" applyFont="1" applyBorder="1" applyAlignment="1">
      <alignment horizontal="center"/>
    </xf>
    <xf numFmtId="2" fontId="37" fillId="0" borderId="139" xfId="28" applyNumberFormat="1" applyFont="1" applyBorder="1" applyAlignment="1">
      <alignment horizontal="right"/>
    </xf>
    <xf numFmtId="164" fontId="37" fillId="0" borderId="139" xfId="28" applyFont="1" applyBorder="1" applyAlignment="1">
      <alignment horizontal="center"/>
    </xf>
    <xf numFmtId="4" fontId="37" fillId="0" borderId="139" xfId="1" applyNumberFormat="1" applyFont="1" applyBorder="1" applyAlignment="1">
      <alignment horizontal="center"/>
    </xf>
    <xf numFmtId="4" fontId="37" fillId="0" borderId="52" xfId="1" applyNumberFormat="1" applyFont="1" applyBorder="1" applyAlignment="1">
      <alignment horizontal="center"/>
    </xf>
    <xf numFmtId="0" fontId="37" fillId="3" borderId="19" xfId="1" applyFont="1" applyFill="1" applyBorder="1" applyAlignment="1">
      <alignment horizontal="center"/>
    </xf>
    <xf numFmtId="0" fontId="37" fillId="3" borderId="10" xfId="1" applyFont="1" applyFill="1" applyBorder="1" applyAlignment="1">
      <alignment horizontal="center"/>
    </xf>
    <xf numFmtId="0" fontId="37" fillId="3" borderId="9" xfId="1" applyFont="1" applyFill="1" applyBorder="1" applyAlignment="1">
      <alignment vertical="center" shrinkToFit="1"/>
    </xf>
    <xf numFmtId="3" fontId="30" fillId="0" borderId="32" xfId="0" applyNumberFormat="1" applyFont="1" applyBorder="1" applyAlignment="1">
      <alignment horizontal="center" vertical="center"/>
    </xf>
    <xf numFmtId="3" fontId="30" fillId="0" borderId="21" xfId="0" applyNumberFormat="1" applyFont="1" applyBorder="1" applyAlignment="1">
      <alignment horizontal="center" vertical="center"/>
    </xf>
    <xf numFmtId="49" fontId="30" fillId="0" borderId="8" xfId="0" applyNumberFormat="1" applyFont="1" applyBorder="1" applyAlignment="1">
      <alignment horizontal="center" vertical="center"/>
    </xf>
    <xf numFmtId="0" fontId="30" fillId="0" borderId="8" xfId="0" applyFont="1" applyBorder="1" applyAlignment="1">
      <alignment horizontal="left" vertical="center" wrapText="1" shrinkToFit="1"/>
    </xf>
    <xf numFmtId="0" fontId="30" fillId="0" borderId="8" xfId="0" applyFont="1" applyBorder="1" applyAlignment="1">
      <alignment horizontal="center" vertical="center" wrapText="1" shrinkToFit="1"/>
    </xf>
    <xf numFmtId="2" fontId="30" fillId="0" borderId="8" xfId="28" applyNumberFormat="1" applyFont="1" applyFill="1" applyBorder="1" applyAlignment="1">
      <alignment horizontal="right" vertical="center"/>
    </xf>
    <xf numFmtId="164" fontId="30" fillId="16" borderId="8" xfId="28" applyFont="1" applyFill="1" applyBorder="1" applyAlignment="1">
      <alignment horizontal="center" vertical="center"/>
    </xf>
    <xf numFmtId="10" fontId="30" fillId="0" borderId="8" xfId="2" applyNumberFormat="1" applyFont="1" applyBorder="1" applyAlignment="1">
      <alignment vertical="center"/>
    </xf>
    <xf numFmtId="164" fontId="30" fillId="0" borderId="6" xfId="28" applyFont="1" applyFill="1" applyBorder="1" applyAlignment="1">
      <alignment horizontal="right" vertical="center"/>
    </xf>
    <xf numFmtId="164" fontId="30" fillId="0" borderId="36" xfId="28" applyFont="1" applyBorder="1" applyAlignment="1">
      <alignment horizontal="right" vertical="center"/>
    </xf>
    <xf numFmtId="164" fontId="30" fillId="0" borderId="47" xfId="28" applyFont="1" applyBorder="1" applyAlignment="1">
      <alignment vertical="center"/>
    </xf>
    <xf numFmtId="164" fontId="30" fillId="0" borderId="41" xfId="28" applyFont="1" applyBorder="1" applyAlignment="1">
      <alignment vertical="center"/>
    </xf>
    <xf numFmtId="164" fontId="37" fillId="2" borderId="40" xfId="28" applyFont="1" applyFill="1" applyBorder="1" applyAlignment="1">
      <alignment vertical="center"/>
    </xf>
    <xf numFmtId="0" fontId="37" fillId="3" borderId="14" xfId="1" applyFont="1" applyFill="1" applyBorder="1" applyAlignment="1">
      <alignment horizontal="center"/>
    </xf>
    <xf numFmtId="0" fontId="37" fillId="3" borderId="13" xfId="1" applyFont="1" applyFill="1" applyBorder="1" applyAlignment="1">
      <alignment horizontal="center"/>
    </xf>
    <xf numFmtId="164" fontId="37" fillId="3" borderId="20" xfId="28" applyFont="1" applyFill="1" applyBorder="1" applyAlignment="1">
      <alignment vertical="center" shrinkToFit="1"/>
    </xf>
    <xf numFmtId="0" fontId="30" fillId="4" borderId="48" xfId="3" applyNumberFormat="1" applyFont="1" applyFill="1" applyBorder="1" applyAlignment="1">
      <alignment horizontal="center" vertical="center"/>
    </xf>
    <xf numFmtId="49" fontId="30" fillId="4" borderId="6" xfId="29" applyNumberFormat="1" applyFont="1" applyFill="1" applyBorder="1" applyAlignment="1">
      <alignment horizontal="center" vertical="center"/>
    </xf>
    <xf numFmtId="49" fontId="30" fillId="4" borderId="8" xfId="0" applyNumberFormat="1" applyFont="1" applyFill="1" applyBorder="1" applyAlignment="1">
      <alignment horizontal="center" vertical="center"/>
    </xf>
    <xf numFmtId="0" fontId="30" fillId="0" borderId="6" xfId="29" applyFont="1" applyBorder="1" applyAlignment="1">
      <alignment horizontal="left" vertical="center"/>
    </xf>
    <xf numFmtId="2" fontId="30" fillId="0" borderId="6" xfId="28" applyNumberFormat="1" applyFont="1" applyBorder="1" applyAlignment="1">
      <alignment horizontal="right" vertical="center"/>
    </xf>
    <xf numFmtId="10" fontId="30" fillId="0" borderId="8" xfId="2" applyNumberFormat="1" applyFont="1" applyFill="1" applyBorder="1" applyAlignment="1">
      <alignment vertical="center"/>
    </xf>
    <xf numFmtId="164" fontId="30" fillId="0" borderId="131" xfId="28" applyFont="1" applyFill="1" applyBorder="1" applyAlignment="1">
      <alignment horizontal="right" vertical="center"/>
    </xf>
    <xf numFmtId="0" fontId="30" fillId="0" borderId="48" xfId="3" applyNumberFormat="1" applyFont="1" applyFill="1" applyBorder="1" applyAlignment="1">
      <alignment horizontal="center" vertical="center" wrapText="1"/>
    </xf>
    <xf numFmtId="49" fontId="30" fillId="4" borderId="44" xfId="0" applyNumberFormat="1" applyFont="1" applyFill="1" applyBorder="1" applyAlignment="1">
      <alignment horizontal="center" vertical="center"/>
    </xf>
    <xf numFmtId="0" fontId="30" fillId="0" borderId="27" xfId="29" applyFont="1" applyBorder="1" applyAlignment="1">
      <alignment horizontal="left" vertical="center"/>
    </xf>
    <xf numFmtId="0" fontId="30" fillId="0" borderId="44" xfId="0" applyFont="1" applyBorder="1" applyAlignment="1">
      <alignment horizontal="center" vertical="center" wrapText="1" shrinkToFit="1"/>
    </xf>
    <xf numFmtId="2" fontId="30" fillId="0" borderId="27" xfId="28" applyNumberFormat="1" applyFont="1" applyBorder="1" applyAlignment="1">
      <alignment horizontal="right" vertical="center"/>
    </xf>
    <xf numFmtId="10" fontId="30" fillId="0" borderId="44" xfId="2" applyNumberFormat="1" applyFont="1" applyFill="1" applyBorder="1" applyAlignment="1">
      <alignment vertical="center"/>
    </xf>
    <xf numFmtId="164" fontId="30" fillId="0" borderId="27" xfId="28" applyFont="1" applyFill="1" applyBorder="1" applyAlignment="1">
      <alignment horizontal="right" vertical="center"/>
    </xf>
    <xf numFmtId="164" fontId="30" fillId="0" borderId="2" xfId="28" applyFont="1" applyFill="1" applyBorder="1" applyAlignment="1">
      <alignment horizontal="right" vertical="center"/>
    </xf>
    <xf numFmtId="164" fontId="37" fillId="2" borderId="17" xfId="28" applyFont="1" applyFill="1" applyBorder="1" applyAlignment="1">
      <alignment vertical="center"/>
    </xf>
    <xf numFmtId="3" fontId="37" fillId="3" borderId="14" xfId="1" applyNumberFormat="1" applyFont="1" applyFill="1" applyBorder="1" applyAlignment="1">
      <alignment horizontal="center" vertical="center"/>
    </xf>
    <xf numFmtId="3" fontId="37" fillId="3" borderId="13" xfId="1" applyNumberFormat="1" applyFont="1" applyFill="1" applyBorder="1" applyAlignment="1">
      <alignment horizontal="center" vertical="center"/>
    </xf>
    <xf numFmtId="164" fontId="37" fillId="3" borderId="20" xfId="28" applyFont="1" applyFill="1" applyBorder="1" applyAlignment="1">
      <alignment vertical="center"/>
    </xf>
    <xf numFmtId="49" fontId="30" fillId="0" borderId="30" xfId="0" applyNumberFormat="1" applyFont="1" applyBorder="1" applyAlignment="1">
      <alignment horizontal="center" vertical="center"/>
    </xf>
    <xf numFmtId="10" fontId="30" fillId="0" borderId="30" xfId="2" applyNumberFormat="1" applyFont="1" applyFill="1" applyBorder="1" applyAlignment="1">
      <alignment vertical="center"/>
    </xf>
    <xf numFmtId="164" fontId="30" fillId="0" borderId="30" xfId="28" applyFont="1" applyFill="1" applyBorder="1" applyAlignment="1">
      <alignment horizontal="right" vertical="center"/>
    </xf>
    <xf numFmtId="49" fontId="30" fillId="0" borderId="48" xfId="29" applyNumberFormat="1" applyFont="1" applyBorder="1" applyAlignment="1">
      <alignment horizontal="center" vertical="center"/>
    </xf>
    <xf numFmtId="49" fontId="30" fillId="0" borderId="6" xfId="29" applyNumberFormat="1" applyFont="1" applyBorder="1" applyAlignment="1">
      <alignment horizontal="center" vertical="center"/>
    </xf>
    <xf numFmtId="49" fontId="30" fillId="0" borderId="6" xfId="0" applyNumberFormat="1" applyFont="1" applyBorder="1" applyAlignment="1">
      <alignment horizontal="center" vertical="center"/>
    </xf>
    <xf numFmtId="0" fontId="30" fillId="0" borderId="6" xfId="0" applyFont="1" applyBorder="1" applyAlignment="1">
      <alignment horizontal="left" vertical="center" wrapText="1" shrinkToFit="1"/>
    </xf>
    <xf numFmtId="0" fontId="30" fillId="0" borderId="6" xfId="0" applyFont="1" applyBorder="1" applyAlignment="1">
      <alignment horizontal="center" vertical="center" wrapText="1" shrinkToFit="1"/>
    </xf>
    <xf numFmtId="2" fontId="30" fillId="0" borderId="6" xfId="28" applyNumberFormat="1" applyFont="1" applyFill="1" applyBorder="1" applyAlignment="1">
      <alignment horizontal="right" vertical="center"/>
    </xf>
    <xf numFmtId="164" fontId="30" fillId="0" borderId="29" xfId="28" applyFont="1" applyFill="1" applyBorder="1" applyAlignment="1">
      <alignment horizontal="right" vertical="center"/>
    </xf>
    <xf numFmtId="164" fontId="30" fillId="0" borderId="137" xfId="28" applyFont="1" applyBorder="1" applyAlignment="1">
      <alignment vertical="center"/>
    </xf>
    <xf numFmtId="164" fontId="30" fillId="0" borderId="18" xfId="28" applyFont="1" applyBorder="1" applyAlignment="1">
      <alignment vertical="center"/>
    </xf>
    <xf numFmtId="164" fontId="37" fillId="3" borderId="20" xfId="28" applyFont="1" applyFill="1" applyBorder="1" applyAlignment="1">
      <alignment horizontal="center" vertical="center" shrinkToFit="1"/>
    </xf>
    <xf numFmtId="49" fontId="30" fillId="0" borderId="48" xfId="0" applyNumberFormat="1" applyFont="1" applyBorder="1" applyAlignment="1">
      <alignment horizontal="center" vertical="center"/>
    </xf>
    <xf numFmtId="0" fontId="10" fillId="0" borderId="6" xfId="29" applyFont="1" applyBorder="1" applyAlignment="1">
      <alignment horizontal="left" vertical="center" wrapText="1"/>
    </xf>
    <xf numFmtId="168" fontId="30" fillId="0" borderId="6" xfId="1" applyNumberFormat="1" applyFont="1" applyBorder="1" applyAlignment="1">
      <alignment horizontal="center" vertical="center" shrinkToFit="1"/>
    </xf>
    <xf numFmtId="2" fontId="30" fillId="0" borderId="8" xfId="28" applyNumberFormat="1" applyFont="1" applyBorder="1" applyAlignment="1">
      <alignment horizontal="right" vertical="center"/>
    </xf>
    <xf numFmtId="164" fontId="30" fillId="0" borderId="36" xfId="28" applyFont="1" applyFill="1" applyBorder="1" applyAlignment="1">
      <alignment horizontal="right" vertical="center"/>
    </xf>
    <xf numFmtId="0" fontId="30" fillId="0" borderId="136" xfId="0" applyFont="1" applyBorder="1" applyAlignment="1">
      <alignment horizontal="center" vertical="center"/>
    </xf>
    <xf numFmtId="0" fontId="10" fillId="0" borderId="8" xfId="29" applyFont="1" applyBorder="1" applyAlignment="1">
      <alignment horizontal="left" vertical="center" wrapText="1"/>
    </xf>
    <xf numFmtId="0" fontId="42" fillId="0" borderId="140" xfId="1" applyFont="1" applyBorder="1" applyAlignment="1">
      <alignment horizontal="center" vertical="center" wrapText="1"/>
    </xf>
    <xf numFmtId="164" fontId="30" fillId="0" borderId="8" xfId="28" applyFont="1" applyFill="1" applyBorder="1" applyAlignment="1">
      <alignment horizontal="right" vertical="center"/>
    </xf>
    <xf numFmtId="165" fontId="10" fillId="0" borderId="0" xfId="1" applyNumberFormat="1"/>
    <xf numFmtId="3" fontId="37" fillId="3" borderId="4" xfId="1" applyNumberFormat="1" applyFont="1" applyFill="1" applyBorder="1" applyAlignment="1">
      <alignment horizontal="center" vertical="center"/>
    </xf>
    <xf numFmtId="164" fontId="30" fillId="3" borderId="20" xfId="28" applyFont="1" applyFill="1" applyBorder="1" applyAlignment="1">
      <alignment vertical="center" shrinkToFit="1"/>
    </xf>
    <xf numFmtId="0" fontId="30" fillId="0" borderId="48" xfId="0" applyFont="1" applyBorder="1" applyAlignment="1">
      <alignment horizontal="center" vertical="center"/>
    </xf>
    <xf numFmtId="168" fontId="30" fillId="0" borderId="8" xfId="1" applyNumberFormat="1" applyFont="1" applyBorder="1" applyAlignment="1">
      <alignment horizontal="center" vertical="center" shrinkToFit="1"/>
    </xf>
    <xf numFmtId="0" fontId="30" fillId="0" borderId="30" xfId="0" applyFont="1" applyBorder="1" applyAlignment="1">
      <alignment horizontal="center" vertical="center"/>
    </xf>
    <xf numFmtId="49" fontId="10" fillId="0" borderId="6" xfId="29" applyNumberFormat="1" applyFont="1" applyBorder="1" applyAlignment="1">
      <alignment horizontal="center" vertical="center"/>
    </xf>
    <xf numFmtId="0" fontId="30" fillId="0" borderId="6" xfId="29" applyFont="1" applyBorder="1" applyAlignment="1">
      <alignment vertical="center" wrapText="1"/>
    </xf>
    <xf numFmtId="0" fontId="30" fillId="0" borderId="6" xfId="29" applyFont="1" applyBorder="1" applyAlignment="1">
      <alignment horizontal="center" vertical="center"/>
    </xf>
    <xf numFmtId="164" fontId="30" fillId="15" borderId="6" xfId="28" applyFont="1" applyFill="1" applyBorder="1" applyAlignment="1">
      <alignment horizontal="right" vertical="center"/>
    </xf>
    <xf numFmtId="10" fontId="10" fillId="0" borderId="8" xfId="2" applyNumberFormat="1" applyFont="1" applyFill="1" applyBorder="1" applyAlignment="1">
      <alignment vertical="center"/>
    </xf>
    <xf numFmtId="0" fontId="26" fillId="0" borderId="0" xfId="1" applyFont="1"/>
    <xf numFmtId="0" fontId="30" fillId="0" borderId="6" xfId="0" applyFont="1" applyBorder="1" applyAlignment="1">
      <alignment horizontal="center" vertical="center"/>
    </xf>
    <xf numFmtId="43" fontId="18" fillId="0" borderId="0" xfId="1" applyNumberFormat="1" applyFont="1"/>
    <xf numFmtId="10" fontId="18" fillId="0" borderId="0" xfId="2" applyNumberFormat="1" applyFont="1" applyAlignment="1">
      <alignment horizontal="left"/>
    </xf>
    <xf numFmtId="43" fontId="10" fillId="0" borderId="0" xfId="1" applyNumberFormat="1"/>
    <xf numFmtId="0" fontId="10" fillId="0" borderId="0" xfId="1" applyAlignment="1">
      <alignment horizontal="center"/>
    </xf>
    <xf numFmtId="165" fontId="18" fillId="0" borderId="0" xfId="1" applyNumberFormat="1" applyFont="1"/>
    <xf numFmtId="176" fontId="18" fillId="0" borderId="0" xfId="2" applyNumberFormat="1" applyFont="1"/>
    <xf numFmtId="10" fontId="18" fillId="0" borderId="0" xfId="2" applyNumberFormat="1" applyFont="1"/>
    <xf numFmtId="3" fontId="30" fillId="0" borderId="14" xfId="1" applyNumberFormat="1" applyFont="1" applyBorder="1" applyAlignment="1">
      <alignment horizontal="center" vertical="center"/>
    </xf>
    <xf numFmtId="3" fontId="30" fillId="0" borderId="13" xfId="1" applyNumberFormat="1" applyFont="1" applyBorder="1" applyAlignment="1">
      <alignment horizontal="center" vertical="center"/>
    </xf>
    <xf numFmtId="0" fontId="37" fillId="0" borderId="13" xfId="1" applyFont="1" applyBorder="1" applyAlignment="1">
      <alignment horizontal="center" vertical="center" shrinkToFit="1"/>
    </xf>
    <xf numFmtId="0" fontId="30" fillId="0" borderId="13" xfId="1" applyFont="1" applyBorder="1" applyAlignment="1">
      <alignment horizontal="left" vertical="center" shrinkToFit="1"/>
    </xf>
    <xf numFmtId="164" fontId="37" fillId="0" borderId="17" xfId="28" applyFont="1" applyFill="1" applyBorder="1" applyAlignment="1">
      <alignment vertical="center"/>
    </xf>
    <xf numFmtId="0" fontId="30" fillId="0" borderId="1" xfId="1" applyFont="1" applyBorder="1"/>
    <xf numFmtId="175" fontId="18" fillId="0" borderId="0" xfId="1" applyNumberFormat="1" applyFont="1" applyAlignment="1">
      <alignment vertical="center"/>
    </xf>
    <xf numFmtId="0" fontId="30" fillId="0" borderId="2" xfId="1" applyFont="1" applyBorder="1" applyAlignment="1">
      <alignment horizontal="left" vertical="center" wrapText="1"/>
    </xf>
    <xf numFmtId="175" fontId="10" fillId="0" borderId="0" xfId="1" applyNumberFormat="1"/>
    <xf numFmtId="43" fontId="18" fillId="0" borderId="0" xfId="1" applyNumberFormat="1" applyFont="1" applyAlignment="1">
      <alignment vertical="center"/>
    </xf>
    <xf numFmtId="0" fontId="37" fillId="0" borderId="23" xfId="1" applyFont="1" applyBorder="1" applyAlignment="1">
      <alignment horizontal="left" vertical="center"/>
    </xf>
    <xf numFmtId="2" fontId="37" fillId="0" borderId="0" xfId="28" applyNumberFormat="1" applyFont="1" applyAlignment="1">
      <alignment horizontal="right" vertical="center"/>
    </xf>
    <xf numFmtId="164" fontId="37" fillId="0" borderId="16" xfId="28" applyFont="1" applyBorder="1" applyAlignment="1">
      <alignment horizontal="left" vertical="center"/>
    </xf>
    <xf numFmtId="166" fontId="37" fillId="0" borderId="0" xfId="1" applyNumberFormat="1" applyFont="1" applyAlignment="1">
      <alignment horizontal="left" vertical="center"/>
    </xf>
    <xf numFmtId="164" fontId="37" fillId="0" borderId="0" xfId="28" applyFont="1" applyBorder="1" applyAlignment="1">
      <alignment horizontal="left" vertical="center"/>
    </xf>
    <xf numFmtId="0" fontId="30" fillId="0" borderId="2" xfId="1" applyFont="1" applyBorder="1"/>
    <xf numFmtId="0" fontId="30" fillId="0" borderId="25" xfId="1" applyFont="1" applyBorder="1"/>
    <xf numFmtId="2" fontId="30" fillId="0" borderId="10" xfId="28" applyNumberFormat="1" applyFont="1" applyBorder="1" applyAlignment="1">
      <alignment horizontal="right"/>
    </xf>
    <xf numFmtId="164" fontId="30" fillId="0" borderId="26" xfId="28" applyFont="1" applyBorder="1"/>
    <xf numFmtId="0" fontId="30" fillId="0" borderId="10" xfId="1" applyFont="1" applyBorder="1"/>
    <xf numFmtId="164" fontId="30" fillId="0" borderId="10" xfId="28" applyFont="1" applyBorder="1"/>
    <xf numFmtId="0" fontId="30" fillId="0" borderId="9" xfId="1" applyFont="1" applyBorder="1"/>
    <xf numFmtId="16" fontId="10" fillId="0" borderId="0" xfId="1" applyNumberFormat="1"/>
    <xf numFmtId="16" fontId="18" fillId="0" borderId="0" xfId="1" applyNumberFormat="1" applyFont="1"/>
    <xf numFmtId="164" fontId="18" fillId="0" borderId="0" xfId="28" applyFont="1"/>
    <xf numFmtId="2" fontId="18" fillId="0" borderId="0" xfId="28" applyNumberFormat="1" applyFont="1" applyAlignment="1">
      <alignment horizontal="right" wrapText="1"/>
    </xf>
    <xf numFmtId="164" fontId="18" fillId="0" borderId="0" xfId="28" applyFont="1" applyAlignment="1">
      <alignment horizontal="right" wrapText="1"/>
    </xf>
    <xf numFmtId="0" fontId="18" fillId="0" borderId="0" xfId="1" applyFont="1" applyAlignment="1">
      <alignment wrapText="1"/>
    </xf>
    <xf numFmtId="0" fontId="18" fillId="0" borderId="0" xfId="1" applyFont="1" applyAlignment="1">
      <alignment vertical="center" wrapText="1"/>
    </xf>
    <xf numFmtId="4" fontId="18" fillId="0" borderId="0" xfId="1" applyNumberFormat="1" applyFont="1" applyAlignment="1">
      <alignment horizontal="right" wrapText="1"/>
    </xf>
    <xf numFmtId="0" fontId="18" fillId="4" borderId="0" xfId="1" applyFont="1" applyFill="1" applyAlignment="1">
      <alignment horizontal="center"/>
    </xf>
    <xf numFmtId="0" fontId="30" fillId="4" borderId="30" xfId="3" applyNumberFormat="1" applyFont="1" applyFill="1" applyBorder="1" applyAlignment="1">
      <alignment horizontal="center" vertical="center"/>
    </xf>
    <xf numFmtId="0" fontId="30" fillId="4" borderId="8" xfId="0" applyFont="1" applyFill="1" applyBorder="1" applyAlignment="1">
      <alignment horizontal="left" vertical="center" wrapText="1" shrinkToFit="1"/>
    </xf>
    <xf numFmtId="0" fontId="30" fillId="4" borderId="8" xfId="0" applyFont="1" applyFill="1" applyBorder="1" applyAlignment="1">
      <alignment horizontal="center" vertical="center" wrapText="1" shrinkToFit="1"/>
    </xf>
    <xf numFmtId="2" fontId="30" fillId="4" borderId="8" xfId="28" applyNumberFormat="1" applyFont="1" applyFill="1" applyBorder="1" applyAlignment="1">
      <alignment horizontal="right" vertical="center"/>
    </xf>
    <xf numFmtId="10" fontId="30" fillId="4" borderId="8" xfId="2" applyNumberFormat="1" applyFont="1" applyFill="1" applyBorder="1" applyAlignment="1">
      <alignment vertical="center"/>
    </xf>
    <xf numFmtId="164" fontId="30" fillId="4" borderId="131" xfId="28" applyFont="1" applyFill="1" applyBorder="1" applyAlignment="1">
      <alignment horizontal="right" vertical="center"/>
    </xf>
    <xf numFmtId="164" fontId="30" fillId="4" borderId="47" xfId="28" applyFont="1" applyFill="1" applyBorder="1" applyAlignment="1">
      <alignment vertical="center"/>
    </xf>
    <xf numFmtId="0" fontId="10" fillId="4" borderId="0" xfId="1" applyFill="1"/>
    <xf numFmtId="0" fontId="18" fillId="4" borderId="0" xfId="1" applyFont="1" applyFill="1"/>
    <xf numFmtId="0" fontId="30" fillId="0" borderId="6" xfId="3" applyNumberFormat="1" applyFont="1" applyFill="1" applyBorder="1" applyAlignment="1">
      <alignment horizontal="center" vertical="center" wrapText="1"/>
    </xf>
    <xf numFmtId="0" fontId="30" fillId="0" borderId="6" xfId="3" applyNumberFormat="1" applyFont="1" applyFill="1" applyBorder="1" applyAlignment="1">
      <alignment horizontal="center" vertical="center"/>
    </xf>
    <xf numFmtId="0" fontId="30" fillId="0" borderId="6" xfId="29" applyFont="1" applyBorder="1" applyAlignment="1">
      <alignment horizontal="left" vertical="center" wrapText="1"/>
    </xf>
    <xf numFmtId="49" fontId="30" fillId="0" borderId="136" xfId="29" applyNumberFormat="1" applyFont="1" applyBorder="1" applyAlignment="1">
      <alignment horizontal="center" vertical="center"/>
    </xf>
    <xf numFmtId="0" fontId="37" fillId="3" borderId="5" xfId="1" applyFont="1" applyFill="1" applyBorder="1" applyAlignment="1">
      <alignment horizontal="center"/>
    </xf>
    <xf numFmtId="10" fontId="30" fillId="0" borderId="6" xfId="2" applyNumberFormat="1" applyFont="1" applyFill="1" applyBorder="1" applyAlignment="1">
      <alignment vertical="center"/>
    </xf>
    <xf numFmtId="164" fontId="30" fillId="0" borderId="22" xfId="28" applyFont="1" applyFill="1" applyBorder="1" applyAlignment="1">
      <alignment horizontal="right" vertical="center"/>
    </xf>
    <xf numFmtId="0" fontId="30" fillId="0" borderId="129" xfId="1" applyFont="1" applyBorder="1" applyAlignment="1">
      <alignment horizontal="center" vertical="center" wrapText="1"/>
    </xf>
    <xf numFmtId="0" fontId="30" fillId="4" borderId="6" xfId="0" applyFont="1" applyFill="1" applyBorder="1" applyAlignment="1">
      <alignment horizontal="center" vertical="center"/>
    </xf>
    <xf numFmtId="0" fontId="42" fillId="0" borderId="129" xfId="1" applyFont="1" applyBorder="1" applyAlignment="1">
      <alignment horizontal="center" vertical="center" wrapText="1"/>
    </xf>
    <xf numFmtId="164" fontId="30" fillId="16" borderId="6" xfId="28" applyFont="1" applyFill="1" applyBorder="1" applyAlignment="1">
      <alignment horizontal="center" vertical="center"/>
    </xf>
    <xf numFmtId="49" fontId="30" fillId="4" borderId="6" xfId="0" applyNumberFormat="1" applyFont="1" applyFill="1" applyBorder="1" applyAlignment="1">
      <alignment horizontal="center" vertical="center"/>
    </xf>
    <xf numFmtId="2" fontId="30" fillId="4" borderId="6" xfId="28" applyNumberFormat="1" applyFont="1" applyFill="1" applyBorder="1" applyAlignment="1">
      <alignment horizontal="right" vertical="center"/>
    </xf>
    <xf numFmtId="164" fontId="30" fillId="0" borderId="8" xfId="28" applyFont="1" applyFill="1" applyBorder="1" applyAlignment="1">
      <alignment horizontal="right" vertical="center" shrinkToFit="1"/>
    </xf>
    <xf numFmtId="168" fontId="30" fillId="4" borderId="6" xfId="1" applyNumberFormat="1" applyFont="1" applyFill="1" applyBorder="1" applyAlignment="1">
      <alignment horizontal="center" vertical="center" shrinkToFit="1"/>
    </xf>
    <xf numFmtId="0" fontId="30" fillId="0" borderId="23" xfId="1" applyFont="1" applyBorder="1"/>
    <xf numFmtId="2" fontId="30" fillId="0" borderId="0" xfId="28" applyNumberFormat="1" applyFont="1" applyAlignment="1">
      <alignment horizontal="right"/>
    </xf>
    <xf numFmtId="164" fontId="30" fillId="0" borderId="16" xfId="28" applyFont="1" applyBorder="1"/>
    <xf numFmtId="0" fontId="30" fillId="0" borderId="0" xfId="1" applyFont="1"/>
    <xf numFmtId="164" fontId="30" fillId="0" borderId="0" xfId="28" applyFont="1" applyBorder="1"/>
    <xf numFmtId="0" fontId="30" fillId="0" borderId="8" xfId="0" applyFont="1" applyBorder="1" applyAlignment="1">
      <alignment horizontal="center" vertical="center"/>
    </xf>
    <xf numFmtId="0" fontId="30" fillId="4" borderId="6" xfId="29" applyFont="1" applyFill="1" applyBorder="1" applyAlignment="1">
      <alignment horizontal="left" vertical="center" wrapText="1"/>
    </xf>
    <xf numFmtId="0" fontId="42" fillId="0" borderId="6" xfId="1" applyFont="1" applyBorder="1" applyAlignment="1">
      <alignment horizontal="center" vertical="center" wrapText="1"/>
    </xf>
    <xf numFmtId="0" fontId="30" fillId="0" borderId="11" xfId="0" applyFont="1" applyBorder="1" applyAlignment="1">
      <alignment horizontal="center" vertical="center"/>
    </xf>
    <xf numFmtId="0" fontId="30" fillId="0" borderId="53" xfId="0" applyFont="1" applyBorder="1" applyAlignment="1">
      <alignment horizontal="center" vertical="center"/>
    </xf>
    <xf numFmtId="0" fontId="10" fillId="0" borderId="30" xfId="29" applyFont="1" applyBorder="1" applyAlignment="1">
      <alignment horizontal="left" vertical="center" wrapText="1"/>
    </xf>
    <xf numFmtId="168" fontId="30" fillId="0" borderId="30" xfId="1" applyNumberFormat="1" applyFont="1" applyBorder="1" applyAlignment="1">
      <alignment horizontal="center" vertical="center" shrinkToFit="1"/>
    </xf>
    <xf numFmtId="2" fontId="30" fillId="0" borderId="30" xfId="28" applyNumberFormat="1" applyFont="1" applyBorder="1" applyAlignment="1">
      <alignment horizontal="right" vertical="center"/>
    </xf>
    <xf numFmtId="164" fontId="30" fillId="16" borderId="30" xfId="28" applyFont="1" applyFill="1" applyBorder="1" applyAlignment="1">
      <alignment horizontal="center" vertical="center"/>
    </xf>
    <xf numFmtId="164" fontId="30" fillId="0" borderId="54" xfId="28" applyFont="1" applyBorder="1" applyAlignment="1">
      <alignment vertical="center"/>
    </xf>
    <xf numFmtId="164" fontId="30" fillId="0" borderId="131" xfId="28" applyFont="1" applyBorder="1" applyAlignment="1">
      <alignment vertical="center"/>
    </xf>
    <xf numFmtId="164" fontId="30" fillId="0" borderId="28" xfId="28" applyFont="1" applyBorder="1" applyAlignment="1">
      <alignment vertical="center"/>
    </xf>
    <xf numFmtId="164" fontId="30" fillId="0" borderId="9" xfId="28" applyFont="1" applyBorder="1" applyAlignment="1">
      <alignment vertical="center"/>
    </xf>
    <xf numFmtId="164" fontId="30" fillId="0" borderId="49" xfId="28" applyFont="1" applyFill="1" applyBorder="1" applyAlignment="1">
      <alignment horizontal="right" vertical="center"/>
    </xf>
    <xf numFmtId="164" fontId="30" fillId="0" borderId="34" xfId="28" applyFont="1" applyFill="1" applyBorder="1" applyAlignment="1">
      <alignment horizontal="right" vertical="center"/>
    </xf>
    <xf numFmtId="178" fontId="36" fillId="0" borderId="0" xfId="2" applyNumberFormat="1" applyFont="1"/>
    <xf numFmtId="0" fontId="30" fillId="0" borderId="6" xfId="1" applyFont="1" applyBorder="1" applyAlignment="1">
      <alignment horizontal="left" vertical="center" wrapText="1" shrinkToFit="1"/>
    </xf>
    <xf numFmtId="164" fontId="30" fillId="0" borderId="47" xfId="28" applyFont="1" applyFill="1" applyBorder="1" applyAlignment="1">
      <alignment vertical="center"/>
    </xf>
    <xf numFmtId="178" fontId="18" fillId="0" borderId="0" xfId="2" applyNumberFormat="1" applyFont="1" applyFill="1"/>
    <xf numFmtId="0" fontId="30" fillId="0" borderId="128" xfId="1" applyFont="1" applyBorder="1" applyAlignment="1">
      <alignment vertical="center" wrapText="1"/>
    </xf>
    <xf numFmtId="3" fontId="37" fillId="3" borderId="5" xfId="1" applyNumberFormat="1" applyFont="1" applyFill="1" applyBorder="1" applyAlignment="1">
      <alignment horizontal="center" vertical="center"/>
    </xf>
    <xf numFmtId="49" fontId="30" fillId="0" borderId="136" xfId="0" applyNumberFormat="1" applyFont="1" applyBorder="1" applyAlignment="1">
      <alignment horizontal="center" vertical="center"/>
    </xf>
    <xf numFmtId="0" fontId="10" fillId="0" borderId="0" xfId="29" applyFont="1" applyAlignment="1">
      <alignment horizontal="center" vertical="center"/>
    </xf>
    <xf numFmtId="0" fontId="9" fillId="0" borderId="0" xfId="29" applyFont="1" applyAlignment="1">
      <alignment horizontal="center" vertical="center"/>
    </xf>
    <xf numFmtId="164" fontId="9" fillId="0" borderId="0" xfId="28" applyFont="1" applyFill="1" applyAlignment="1">
      <alignment horizontal="center" vertical="center"/>
    </xf>
    <xf numFmtId="49" fontId="44" fillId="8" borderId="6" xfId="29" applyNumberFormat="1" applyFont="1" applyFill="1" applyBorder="1" applyAlignment="1">
      <alignment horizontal="center" vertical="center" wrapText="1"/>
    </xf>
    <xf numFmtId="164" fontId="44" fillId="8" borderId="6" xfId="28" applyFont="1" applyFill="1" applyBorder="1" applyAlignment="1">
      <alignment horizontal="center" vertical="center"/>
    </xf>
    <xf numFmtId="0" fontId="44" fillId="8" borderId="21" xfId="29" applyFont="1" applyFill="1" applyBorder="1" applyAlignment="1">
      <alignment vertical="center" wrapText="1"/>
    </xf>
    <xf numFmtId="0" fontId="44" fillId="8" borderId="107" xfId="29" applyFont="1" applyFill="1" applyBorder="1" applyAlignment="1">
      <alignment vertical="center" wrapText="1"/>
    </xf>
    <xf numFmtId="164" fontId="44" fillId="8" borderId="107" xfId="29" applyNumberFormat="1" applyFont="1" applyFill="1" applyBorder="1" applyAlignment="1">
      <alignment vertical="center" wrapText="1"/>
    </xf>
    <xf numFmtId="0" fontId="39" fillId="0" borderId="0" xfId="29" applyFont="1" applyAlignment="1">
      <alignment vertical="center"/>
    </xf>
    <xf numFmtId="0" fontId="9" fillId="9" borderId="6" xfId="29" applyFont="1" applyFill="1" applyBorder="1" applyAlignment="1">
      <alignment horizontal="center" vertical="center"/>
    </xf>
    <xf numFmtId="0" fontId="9" fillId="9" borderId="6" xfId="29" applyFont="1" applyFill="1" applyBorder="1" applyAlignment="1">
      <alignment vertical="center"/>
    </xf>
    <xf numFmtId="164" fontId="9" fillId="9" borderId="6" xfId="28" applyFont="1" applyFill="1" applyBorder="1" applyAlignment="1">
      <alignment horizontal="center" vertical="center" wrapText="1"/>
    </xf>
    <xf numFmtId="164" fontId="37" fillId="9" borderId="6" xfId="28" applyFont="1" applyFill="1" applyBorder="1" applyAlignment="1">
      <alignment horizontal="center" vertical="center" wrapText="1"/>
    </xf>
    <xf numFmtId="164" fontId="37" fillId="9" borderId="6" xfId="28" applyFont="1" applyFill="1" applyBorder="1" applyAlignment="1">
      <alignment horizontal="center" vertical="center"/>
    </xf>
    <xf numFmtId="0" fontId="10" fillId="0" borderId="6" xfId="29" applyFont="1" applyBorder="1" applyAlignment="1">
      <alignment horizontal="center" vertical="center"/>
    </xf>
    <xf numFmtId="0" fontId="10" fillId="0" borderId="6" xfId="29" applyFont="1" applyBorder="1" applyAlignment="1">
      <alignment vertical="center" wrapText="1"/>
    </xf>
    <xf numFmtId="169" fontId="30" fillId="0" borderId="27" xfId="30" applyNumberFormat="1" applyFont="1" applyBorder="1" applyAlignment="1">
      <alignment horizontal="center" vertical="center"/>
    </xf>
    <xf numFmtId="164" fontId="10" fillId="15" borderId="6" xfId="28" applyFont="1" applyFill="1" applyBorder="1" applyAlignment="1">
      <alignment horizontal="right" vertical="center"/>
    </xf>
    <xf numFmtId="164" fontId="30" fillId="0" borderId="6" xfId="28" applyFont="1" applyBorder="1" applyAlignment="1">
      <alignment horizontal="right" vertical="center"/>
    </xf>
    <xf numFmtId="0" fontId="9" fillId="9" borderId="6" xfId="29" applyFont="1" applyFill="1" applyBorder="1" applyAlignment="1">
      <alignment vertical="center" wrapText="1"/>
    </xf>
    <xf numFmtId="169" fontId="9" fillId="9" borderId="6" xfId="29" applyNumberFormat="1" applyFont="1" applyFill="1" applyBorder="1" applyAlignment="1">
      <alignment horizontal="right" vertical="center"/>
    </xf>
    <xf numFmtId="164" fontId="9" fillId="9" borderId="6" xfId="28" applyFont="1" applyFill="1" applyBorder="1" applyAlignment="1">
      <alignment horizontal="right" vertical="center"/>
    </xf>
    <xf numFmtId="164" fontId="37" fillId="9" borderId="6" xfId="28" applyFont="1" applyFill="1" applyBorder="1" applyAlignment="1">
      <alignment horizontal="right" vertical="center"/>
    </xf>
    <xf numFmtId="49" fontId="10" fillId="0" borderId="0" xfId="29" applyNumberFormat="1" applyFont="1" applyAlignment="1">
      <alignment vertical="center"/>
    </xf>
    <xf numFmtId="0" fontId="10" fillId="0" borderId="0" xfId="29" applyFont="1" applyAlignment="1">
      <alignment vertical="center"/>
    </xf>
    <xf numFmtId="0" fontId="10" fillId="0" borderId="0" xfId="29" applyFont="1" applyAlignment="1">
      <alignment horizontal="right" vertical="center"/>
    </xf>
    <xf numFmtId="164" fontId="10" fillId="0" borderId="0" xfId="28" applyFont="1" applyAlignment="1">
      <alignment horizontal="right" vertical="center"/>
    </xf>
    <xf numFmtId="49" fontId="44" fillId="8" borderId="6" xfId="29" applyNumberFormat="1" applyFont="1" applyFill="1" applyBorder="1" applyAlignment="1">
      <alignment horizontal="center" vertical="center" shrinkToFit="1"/>
    </xf>
    <xf numFmtId="0" fontId="44" fillId="8" borderId="22" xfId="29" applyFont="1" applyFill="1" applyBorder="1" applyAlignment="1">
      <alignment vertical="center" wrapText="1"/>
    </xf>
    <xf numFmtId="0" fontId="37" fillId="9" borderId="6" xfId="29" applyFont="1" applyFill="1" applyBorder="1" applyAlignment="1">
      <alignment horizontal="center" vertical="center"/>
    </xf>
    <xf numFmtId="0" fontId="37" fillId="9" borderId="6" xfId="29" applyFont="1" applyFill="1" applyBorder="1" applyAlignment="1">
      <alignment vertical="center"/>
    </xf>
    <xf numFmtId="0" fontId="30" fillId="0" borderId="6" xfId="33" applyFont="1" applyBorder="1" applyAlignment="1">
      <alignment horizontal="center" vertical="center" wrapText="1"/>
    </xf>
    <xf numFmtId="0" fontId="30" fillId="0" borderId="6" xfId="33" applyFont="1" applyBorder="1" applyAlignment="1">
      <alignment horizontal="left" vertical="center" wrapText="1"/>
    </xf>
    <xf numFmtId="171" fontId="30" fillId="0" borderId="22" xfId="33" applyNumberFormat="1" applyFont="1" applyBorder="1" applyAlignment="1">
      <alignment horizontal="center" vertical="center" wrapText="1"/>
    </xf>
    <xf numFmtId="164" fontId="30" fillId="15" borderId="6" xfId="28" applyFont="1" applyFill="1" applyBorder="1" applyAlignment="1">
      <alignment horizontal="right" vertical="center" wrapText="1"/>
    </xf>
    <xf numFmtId="164" fontId="30" fillId="0" borderId="6" xfId="28" applyFont="1" applyBorder="1" applyAlignment="1">
      <alignment horizontal="right" vertical="center" wrapText="1"/>
    </xf>
    <xf numFmtId="10" fontId="18" fillId="0" borderId="0" xfId="29" applyNumberFormat="1" applyFont="1" applyAlignment="1">
      <alignment vertical="center"/>
    </xf>
    <xf numFmtId="10" fontId="18" fillId="0" borderId="0" xfId="2" applyNumberFormat="1" applyFont="1" applyAlignment="1">
      <alignment vertical="center"/>
    </xf>
    <xf numFmtId="173" fontId="30" fillId="0" borderId="22" xfId="33" applyNumberFormat="1" applyFont="1" applyBorder="1" applyAlignment="1">
      <alignment horizontal="center" vertical="center" wrapText="1"/>
    </xf>
    <xf numFmtId="4" fontId="30" fillId="0" borderId="6" xfId="0" applyNumberFormat="1" applyFont="1" applyBorder="1" applyAlignment="1">
      <alignment horizontal="center" vertical="center"/>
    </xf>
    <xf numFmtId="0" fontId="30" fillId="0" borderId="27" xfId="33" applyFont="1" applyBorder="1" applyAlignment="1">
      <alignment horizontal="center" vertical="center" wrapText="1"/>
    </xf>
    <xf numFmtId="0" fontId="30" fillId="0" borderId="27" xfId="33" applyFont="1" applyBorder="1" applyAlignment="1">
      <alignment horizontal="left" vertical="center" wrapText="1"/>
    </xf>
    <xf numFmtId="4" fontId="30" fillId="0" borderId="27" xfId="0" applyNumberFormat="1" applyFont="1" applyBorder="1" applyAlignment="1">
      <alignment horizontal="center" vertical="center"/>
    </xf>
    <xf numFmtId="0" fontId="37" fillId="9" borderId="6" xfId="29" applyFont="1" applyFill="1" applyBorder="1" applyAlignment="1">
      <alignment vertical="center" wrapText="1"/>
    </xf>
    <xf numFmtId="169" fontId="37" fillId="9" borderId="6" xfId="29" applyNumberFormat="1" applyFont="1" applyFill="1" applyBorder="1" applyAlignment="1">
      <alignment horizontal="right" vertical="center"/>
    </xf>
    <xf numFmtId="164" fontId="30" fillId="0" borderId="0" xfId="28" applyFont="1" applyAlignment="1">
      <alignment horizontal="right" vertical="center"/>
    </xf>
    <xf numFmtId="0" fontId="10" fillId="0" borderId="0" xfId="29" applyFont="1" applyAlignment="1">
      <alignment vertical="center" wrapText="1"/>
    </xf>
    <xf numFmtId="169" fontId="10" fillId="0" borderId="0" xfId="29" applyNumberFormat="1" applyFont="1" applyAlignment="1">
      <alignment horizontal="right" vertical="center"/>
    </xf>
    <xf numFmtId="172" fontId="30" fillId="0" borderId="6" xfId="29" applyNumberFormat="1" applyFont="1" applyBorder="1" applyAlignment="1">
      <alignment horizontal="center" vertical="center"/>
    </xf>
    <xf numFmtId="0" fontId="37" fillId="10" borderId="6" xfId="29" applyFont="1" applyFill="1" applyBorder="1" applyAlignment="1">
      <alignment vertical="center"/>
    </xf>
    <xf numFmtId="0" fontId="37" fillId="10" borderId="6" xfId="29" applyFont="1" applyFill="1" applyBorder="1" applyAlignment="1">
      <alignment vertical="center" wrapText="1"/>
    </xf>
    <xf numFmtId="0" fontId="37" fillId="10" borderId="6" xfId="29" applyFont="1" applyFill="1" applyBorder="1" applyAlignment="1">
      <alignment horizontal="center" vertical="center"/>
    </xf>
    <xf numFmtId="169" fontId="37" fillId="10" borderId="6" xfId="29" applyNumberFormat="1" applyFont="1" applyFill="1" applyBorder="1" applyAlignment="1">
      <alignment horizontal="right" vertical="center"/>
    </xf>
    <xf numFmtId="164" fontId="37" fillId="10" borderId="6" xfId="28" applyFont="1" applyFill="1" applyBorder="1" applyAlignment="1">
      <alignment horizontal="right" vertical="center"/>
    </xf>
    <xf numFmtId="0" fontId="30" fillId="0" borderId="0" xfId="29" applyFont="1" applyAlignment="1">
      <alignment vertical="center"/>
    </xf>
    <xf numFmtId="0" fontId="30" fillId="0" borderId="0" xfId="29" applyFont="1" applyAlignment="1">
      <alignment horizontal="center" vertical="center"/>
    </xf>
    <xf numFmtId="0" fontId="30" fillId="0" borderId="0" xfId="29" applyFont="1" applyAlignment="1">
      <alignment horizontal="right" vertical="center"/>
    </xf>
    <xf numFmtId="0" fontId="30" fillId="0" borderId="22" xfId="29" applyFont="1" applyBorder="1" applyAlignment="1">
      <alignment horizontal="left" vertical="center" wrapText="1"/>
    </xf>
    <xf numFmtId="4" fontId="30" fillId="0" borderId="107" xfId="29" applyNumberFormat="1" applyFont="1" applyBorder="1" applyAlignment="1">
      <alignment horizontal="center" vertical="center"/>
    </xf>
    <xf numFmtId="164" fontId="44" fillId="17" borderId="6" xfId="28" applyFont="1" applyFill="1" applyBorder="1" applyAlignment="1">
      <alignment horizontal="center" vertical="center"/>
    </xf>
    <xf numFmtId="164" fontId="44" fillId="8" borderId="107" xfId="28" applyFont="1" applyFill="1" applyBorder="1" applyAlignment="1">
      <alignment vertical="center" wrapText="1"/>
    </xf>
    <xf numFmtId="0" fontId="10" fillId="0" borderId="0" xfId="29" applyFont="1" applyAlignment="1">
      <alignment horizontal="left" vertical="center"/>
    </xf>
    <xf numFmtId="49" fontId="30" fillId="0" borderId="29" xfId="0" applyNumberFormat="1" applyFont="1" applyBorder="1" applyAlignment="1">
      <alignment horizontal="center" vertical="center"/>
    </xf>
    <xf numFmtId="43" fontId="30" fillId="0" borderId="8" xfId="0" applyNumberFormat="1" applyFont="1" applyBorder="1" applyAlignment="1">
      <alignment vertical="center"/>
    </xf>
    <xf numFmtId="164" fontId="30" fillId="0" borderId="8" xfId="28" applyFont="1" applyBorder="1" applyAlignment="1">
      <alignment horizontal="right" vertical="center" wrapText="1"/>
    </xf>
    <xf numFmtId="174" fontId="30" fillId="0" borderId="8" xfId="0" applyNumberFormat="1" applyFont="1" applyBorder="1" applyAlignment="1">
      <alignment vertical="center"/>
    </xf>
    <xf numFmtId="0" fontId="9" fillId="10" borderId="22" xfId="29" applyFont="1" applyFill="1" applyBorder="1" applyAlignment="1">
      <alignment vertical="center"/>
    </xf>
    <xf numFmtId="0" fontId="9" fillId="10" borderId="6" xfId="29" applyFont="1" applyFill="1" applyBorder="1" applyAlignment="1">
      <alignment vertical="center"/>
    </xf>
    <xf numFmtId="0" fontId="9" fillId="10" borderId="6" xfId="29" applyFont="1" applyFill="1" applyBorder="1" applyAlignment="1">
      <alignment vertical="center" wrapText="1"/>
    </xf>
    <xf numFmtId="0" fontId="9" fillId="10" borderId="6" xfId="29" applyFont="1" applyFill="1" applyBorder="1" applyAlignment="1">
      <alignment horizontal="center" vertical="center"/>
    </xf>
    <xf numFmtId="169" fontId="9" fillId="10" borderId="6" xfId="29" applyNumberFormat="1" applyFont="1" applyFill="1" applyBorder="1" applyAlignment="1">
      <alignment horizontal="right" vertical="center"/>
    </xf>
    <xf numFmtId="164" fontId="9" fillId="10" borderId="6" xfId="28" applyFont="1" applyFill="1" applyBorder="1" applyAlignment="1">
      <alignment horizontal="right" vertical="center"/>
    </xf>
    <xf numFmtId="0" fontId="18" fillId="0" borderId="0" xfId="29" applyFont="1" applyAlignment="1">
      <alignment horizontal="center" vertical="center"/>
    </xf>
    <xf numFmtId="0" fontId="18" fillId="0" borderId="0" xfId="29" applyFont="1" applyAlignment="1">
      <alignment horizontal="right" vertical="center"/>
    </xf>
    <xf numFmtId="164" fontId="18" fillId="0" borderId="0" xfId="28" applyFont="1" applyAlignment="1">
      <alignment horizontal="right" vertical="center"/>
    </xf>
    <xf numFmtId="175" fontId="30" fillId="0" borderId="8" xfId="0" applyNumberFormat="1" applyFont="1" applyBorder="1" applyAlignment="1">
      <alignment vertical="center"/>
    </xf>
    <xf numFmtId="0" fontId="37" fillId="9" borderId="27" xfId="29" applyFont="1" applyFill="1" applyBorder="1" applyAlignment="1">
      <alignment vertical="center"/>
    </xf>
    <xf numFmtId="0" fontId="37" fillId="9" borderId="27" xfId="29" applyFont="1" applyFill="1" applyBorder="1" applyAlignment="1">
      <alignment vertical="center" wrapText="1"/>
    </xf>
    <xf numFmtId="0" fontId="37" fillId="9" borderId="27" xfId="29" applyFont="1" applyFill="1" applyBorder="1" applyAlignment="1">
      <alignment horizontal="center" vertical="center"/>
    </xf>
    <xf numFmtId="169" fontId="37" fillId="9" borderId="27" xfId="29" applyNumberFormat="1" applyFont="1" applyFill="1" applyBorder="1" applyAlignment="1">
      <alignment horizontal="right" vertical="center"/>
    </xf>
    <xf numFmtId="164" fontId="37" fillId="9" borderId="27" xfId="28" applyFont="1" applyFill="1" applyBorder="1" applyAlignment="1">
      <alignment horizontal="right" vertical="center"/>
    </xf>
    <xf numFmtId="164" fontId="30" fillId="0" borderId="108" xfId="28" applyFont="1" applyBorder="1" applyAlignment="1">
      <alignment horizontal="center" vertical="center"/>
    </xf>
    <xf numFmtId="164" fontId="37" fillId="9" borderId="27" xfId="28" applyFont="1" applyFill="1" applyBorder="1" applyAlignment="1">
      <alignment horizontal="center" vertical="center" wrapText="1"/>
    </xf>
    <xf numFmtId="169" fontId="30" fillId="0" borderId="6" xfId="30" applyNumberFormat="1" applyFont="1" applyBorder="1" applyAlignment="1">
      <alignment horizontal="center" vertical="center"/>
    </xf>
    <xf numFmtId="0" fontId="37" fillId="9" borderId="8" xfId="29" applyFont="1" applyFill="1" applyBorder="1" applyAlignment="1">
      <alignment vertical="center"/>
    </xf>
    <xf numFmtId="0" fontId="37" fillId="9" borderId="8" xfId="29" applyFont="1" applyFill="1" applyBorder="1" applyAlignment="1">
      <alignment vertical="center" wrapText="1"/>
    </xf>
    <xf numFmtId="0" fontId="37" fillId="9" borderId="8" xfId="29" applyFont="1" applyFill="1" applyBorder="1" applyAlignment="1">
      <alignment horizontal="center" vertical="center"/>
    </xf>
    <xf numFmtId="169" fontId="37" fillId="9" borderId="8" xfId="29" applyNumberFormat="1" applyFont="1" applyFill="1" applyBorder="1" applyAlignment="1">
      <alignment horizontal="right" vertical="center"/>
    </xf>
    <xf numFmtId="164" fontId="37" fillId="9" borderId="8" xfId="28" applyFont="1" applyFill="1" applyBorder="1" applyAlignment="1">
      <alignment horizontal="right" vertical="center"/>
    </xf>
    <xf numFmtId="0" fontId="44" fillId="8" borderId="21" xfId="29" applyFont="1" applyFill="1" applyBorder="1" applyAlignment="1">
      <alignment vertical="center"/>
    </xf>
    <xf numFmtId="0" fontId="44" fillId="8" borderId="107" xfId="29" applyFont="1" applyFill="1" applyBorder="1" applyAlignment="1">
      <alignment vertical="center"/>
    </xf>
    <xf numFmtId="164" fontId="18" fillId="0" borderId="0" xfId="28" applyFont="1" applyAlignment="1">
      <alignment vertical="center"/>
    </xf>
    <xf numFmtId="0" fontId="30" fillId="0" borderId="130" xfId="1" applyFont="1" applyBorder="1" applyAlignment="1">
      <alignment horizontal="center" vertical="center" wrapText="1"/>
    </xf>
    <xf numFmtId="49" fontId="10" fillId="0" borderId="48" xfId="0" applyNumberFormat="1" applyFont="1" applyBorder="1" applyAlignment="1">
      <alignment horizontal="center" vertical="center"/>
    </xf>
    <xf numFmtId="168" fontId="10" fillId="0" borderId="8" xfId="1" applyNumberFormat="1" applyBorder="1" applyAlignment="1">
      <alignment horizontal="center" vertical="center" shrinkToFit="1"/>
    </xf>
    <xf numFmtId="2" fontId="10" fillId="0" borderId="8" xfId="28" applyNumberFormat="1" applyFont="1" applyBorder="1" applyAlignment="1">
      <alignment horizontal="right" vertical="center"/>
    </xf>
    <xf numFmtId="164" fontId="10" fillId="16" borderId="8" xfId="28" applyFont="1" applyFill="1" applyBorder="1" applyAlignment="1">
      <alignment horizontal="center" vertical="center"/>
    </xf>
    <xf numFmtId="164" fontId="10" fillId="0" borderId="6" xfId="28" applyFont="1" applyFill="1" applyBorder="1" applyAlignment="1">
      <alignment horizontal="right" vertical="center"/>
    </xf>
    <xf numFmtId="164" fontId="10" fillId="0" borderId="29" xfId="28" applyFont="1" applyFill="1" applyBorder="1" applyAlignment="1">
      <alignment horizontal="right" vertical="center"/>
    </xf>
    <xf numFmtId="168" fontId="10" fillId="0" borderId="6" xfId="1" applyNumberFormat="1" applyBorder="1" applyAlignment="1">
      <alignment horizontal="center" vertical="center" shrinkToFit="1"/>
    </xf>
    <xf numFmtId="164" fontId="10" fillId="0" borderId="36" xfId="28" applyFont="1" applyFill="1" applyBorder="1" applyAlignment="1">
      <alignment horizontal="right" vertical="center"/>
    </xf>
    <xf numFmtId="164" fontId="10" fillId="0" borderId="47" xfId="28" applyFont="1" applyBorder="1" applyAlignment="1">
      <alignment vertical="center"/>
    </xf>
    <xf numFmtId="0" fontId="15" fillId="0" borderId="32" xfId="1" applyFont="1" applyBorder="1" applyAlignment="1">
      <alignment horizontal="left" vertical="center"/>
    </xf>
    <xf numFmtId="14" fontId="15" fillId="7" borderId="37" xfId="1" applyNumberFormat="1" applyFont="1" applyFill="1" applyBorder="1" applyAlignment="1">
      <alignment horizontal="left" vertical="center"/>
    </xf>
    <xf numFmtId="17" fontId="15" fillId="7" borderId="21" xfId="0" applyNumberFormat="1" applyFont="1" applyFill="1" applyBorder="1" applyAlignment="1">
      <alignment horizontal="left" vertical="center"/>
    </xf>
    <xf numFmtId="0" fontId="9" fillId="0" borderId="0" xfId="29" applyFont="1" applyAlignment="1">
      <alignment horizontal="center" vertical="center" wrapText="1"/>
    </xf>
    <xf numFmtId="0" fontId="30" fillId="0" borderId="0" xfId="29" applyFont="1" applyAlignment="1">
      <alignment vertical="center" wrapText="1"/>
    </xf>
    <xf numFmtId="0" fontId="37" fillId="9" borderId="6" xfId="29" applyFont="1" applyFill="1" applyBorder="1" applyAlignment="1">
      <alignment horizontal="center" vertical="center" wrapText="1"/>
    </xf>
    <xf numFmtId="0" fontId="18" fillId="0" borderId="0" xfId="29" applyFont="1" applyAlignment="1">
      <alignment vertical="center" wrapText="1"/>
    </xf>
    <xf numFmtId="4" fontId="37" fillId="0" borderId="17" xfId="1" applyNumberFormat="1" applyFont="1" applyBorder="1" applyAlignment="1">
      <alignment horizontal="center" vertical="center"/>
    </xf>
    <xf numFmtId="4" fontId="37" fillId="0" borderId="47" xfId="1" applyNumberFormat="1" applyFont="1" applyBorder="1" applyAlignment="1">
      <alignment vertical="center"/>
    </xf>
    <xf numFmtId="10" fontId="30" fillId="0" borderId="137" xfId="2" applyNumberFormat="1" applyFont="1" applyBorder="1" applyAlignment="1">
      <alignment horizontal="center" vertical="center"/>
    </xf>
    <xf numFmtId="10" fontId="37" fillId="0" borderId="137" xfId="2" applyNumberFormat="1" applyFont="1" applyBorder="1" applyAlignment="1">
      <alignment horizontal="center" vertical="center"/>
    </xf>
    <xf numFmtId="10" fontId="30" fillId="4" borderId="137" xfId="2" applyNumberFormat="1" applyFont="1" applyFill="1" applyBorder="1" applyAlignment="1">
      <alignment horizontal="center" vertical="center"/>
    </xf>
    <xf numFmtId="10" fontId="30" fillId="0" borderId="47" xfId="2" applyNumberFormat="1" applyFont="1" applyBorder="1" applyAlignment="1">
      <alignment horizontal="center" vertical="center"/>
    </xf>
    <xf numFmtId="10" fontId="10" fillId="0" borderId="137" xfId="2" applyNumberFormat="1" applyFont="1" applyBorder="1" applyAlignment="1">
      <alignment horizontal="center" vertical="center"/>
    </xf>
    <xf numFmtId="10" fontId="30" fillId="0" borderId="137" xfId="2" applyNumberFormat="1" applyFont="1" applyFill="1" applyBorder="1" applyAlignment="1">
      <alignment horizontal="center" vertical="center"/>
    </xf>
    <xf numFmtId="10" fontId="37" fillId="0" borderId="141" xfId="2" applyNumberFormat="1" applyFont="1" applyBorder="1" applyAlignment="1">
      <alignment horizontal="center" vertical="center"/>
    </xf>
    <xf numFmtId="49" fontId="30" fillId="0" borderId="7" xfId="0" applyNumberFormat="1" applyFont="1" applyBorder="1" applyAlignment="1">
      <alignment horizontal="center" vertical="center"/>
    </xf>
    <xf numFmtId="165" fontId="37" fillId="0" borderId="20" xfId="1" applyNumberFormat="1" applyFont="1" applyBorder="1" applyAlignment="1">
      <alignment horizontal="center" vertical="center"/>
    </xf>
    <xf numFmtId="49" fontId="30" fillId="0" borderId="6" xfId="29" applyNumberFormat="1" applyFont="1" applyBorder="1" applyAlignment="1">
      <alignment horizontal="center" vertical="center" shrinkToFit="1"/>
    </xf>
    <xf numFmtId="169" fontId="30" fillId="0" borderId="6" xfId="28" applyNumberFormat="1" applyFont="1" applyBorder="1" applyAlignment="1">
      <alignment horizontal="center" vertical="center"/>
    </xf>
    <xf numFmtId="49" fontId="30" fillId="0" borderId="8" xfId="29" applyNumberFormat="1" applyFont="1" applyBorder="1" applyAlignment="1">
      <alignment horizontal="center" vertical="center"/>
    </xf>
    <xf numFmtId="49" fontId="10" fillId="0" borderId="8" xfId="0" applyNumberFormat="1" applyFont="1" applyBorder="1" applyAlignment="1">
      <alignment horizontal="center" vertical="center"/>
    </xf>
    <xf numFmtId="169" fontId="30" fillId="0" borderId="8" xfId="28" applyNumberFormat="1" applyFont="1" applyBorder="1" applyAlignment="1">
      <alignment horizontal="center" vertical="center"/>
    </xf>
    <xf numFmtId="2" fontId="30" fillId="0" borderId="6" xfId="8" applyNumberFormat="1" applyFont="1" applyBorder="1" applyAlignment="1">
      <alignment horizontal="right" vertical="center"/>
    </xf>
    <xf numFmtId="164" fontId="37" fillId="0" borderId="17" xfId="1" applyNumberFormat="1" applyFont="1" applyBorder="1"/>
    <xf numFmtId="0" fontId="9" fillId="0" borderId="0" xfId="29" applyFont="1" applyAlignment="1">
      <alignment vertical="center"/>
    </xf>
    <xf numFmtId="164" fontId="18" fillId="0" borderId="0" xfId="28" applyFont="1" applyBorder="1" applyAlignment="1">
      <alignment horizontal="right" vertical="center"/>
    </xf>
    <xf numFmtId="0" fontId="30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177" fontId="10" fillId="0" borderId="6" xfId="28" applyNumberFormat="1" applyFont="1" applyFill="1" applyBorder="1" applyAlignment="1">
      <alignment horizontal="center" vertical="center" wrapText="1"/>
    </xf>
    <xf numFmtId="0" fontId="10" fillId="4" borderId="0" xfId="0" applyFont="1" applyFill="1" applyAlignment="1">
      <alignment vertical="center"/>
    </xf>
    <xf numFmtId="0" fontId="0" fillId="0" borderId="2" xfId="0" applyBorder="1"/>
    <xf numFmtId="0" fontId="10" fillId="0" borderId="10" xfId="0" applyFont="1" applyBorder="1"/>
    <xf numFmtId="0" fontId="0" fillId="0" borderId="10" xfId="0" applyBorder="1"/>
    <xf numFmtId="0" fontId="0" fillId="0" borderId="9" xfId="0" applyBorder="1"/>
    <xf numFmtId="0" fontId="9" fillId="0" borderId="19" xfId="0" applyFont="1" applyBorder="1" applyAlignment="1">
      <alignment vertical="center"/>
    </xf>
    <xf numFmtId="0" fontId="9" fillId="4" borderId="48" xfId="0" applyFont="1" applyFill="1" applyBorder="1"/>
    <xf numFmtId="0" fontId="10" fillId="4" borderId="21" xfId="0" applyFont="1" applyFill="1" applyBorder="1"/>
    <xf numFmtId="0" fontId="0" fillId="4" borderId="21" xfId="0" applyFill="1" applyBorder="1"/>
    <xf numFmtId="0" fontId="0" fillId="4" borderId="28" xfId="0" applyFill="1" applyBorder="1"/>
    <xf numFmtId="14" fontId="0" fillId="4" borderId="21" xfId="0" applyNumberFormat="1" applyFill="1" applyBorder="1"/>
    <xf numFmtId="14" fontId="45" fillId="4" borderId="21" xfId="0" applyNumberFormat="1" applyFont="1" applyFill="1" applyBorder="1"/>
    <xf numFmtId="0" fontId="45" fillId="4" borderId="21" xfId="0" applyFont="1" applyFill="1" applyBorder="1"/>
    <xf numFmtId="14" fontId="26" fillId="4" borderId="21" xfId="0" applyNumberFormat="1" applyFont="1" applyFill="1" applyBorder="1"/>
    <xf numFmtId="0" fontId="26" fillId="4" borderId="21" xfId="0" applyFont="1" applyFill="1" applyBorder="1"/>
    <xf numFmtId="0" fontId="46" fillId="0" borderId="0" xfId="29" applyFont="1" applyAlignment="1">
      <alignment horizontal="left" vertical="center"/>
    </xf>
    <xf numFmtId="0" fontId="46" fillId="0" borderId="0" xfId="29" applyFont="1" applyAlignment="1">
      <alignment horizontal="center" vertical="center"/>
    </xf>
    <xf numFmtId="0" fontId="47" fillId="0" borderId="0" xfId="29" applyFont="1" applyAlignment="1">
      <alignment horizontal="center" vertical="center"/>
    </xf>
    <xf numFmtId="0" fontId="46" fillId="0" borderId="0" xfId="29" applyFont="1" applyAlignment="1">
      <alignment vertical="center"/>
    </xf>
    <xf numFmtId="0" fontId="37" fillId="0" borderId="0" xfId="29" applyFont="1" applyAlignment="1">
      <alignment horizontal="left" vertical="center"/>
    </xf>
    <xf numFmtId="49" fontId="15" fillId="7" borderId="42" xfId="0" applyNumberFormat="1" applyFont="1" applyFill="1" applyBorder="1" applyAlignment="1">
      <alignment horizontal="left"/>
    </xf>
    <xf numFmtId="0" fontId="9" fillId="0" borderId="0" xfId="0" applyFont="1" applyAlignment="1">
      <alignment vertical="center" wrapText="1"/>
    </xf>
    <xf numFmtId="164" fontId="30" fillId="4" borderId="6" xfId="28" applyFont="1" applyFill="1" applyBorder="1" applyAlignment="1">
      <alignment horizontal="right" vertical="center"/>
    </xf>
    <xf numFmtId="164" fontId="30" fillId="23" borderId="8" xfId="28" applyFont="1" applyFill="1" applyBorder="1" applyAlignment="1">
      <alignment horizontal="center" vertical="center"/>
    </xf>
    <xf numFmtId="164" fontId="10" fillId="4" borderId="6" xfId="28" applyFont="1" applyFill="1" applyBorder="1"/>
    <xf numFmtId="164" fontId="30" fillId="4" borderId="6" xfId="28" applyFont="1" applyFill="1" applyBorder="1" applyAlignment="1">
      <alignment horizontal="right" vertical="center" wrapText="1"/>
    </xf>
    <xf numFmtId="0" fontId="9" fillId="9" borderId="21" xfId="29" applyFont="1" applyFill="1" applyBorder="1" applyAlignment="1">
      <alignment horizontal="right" vertical="center" wrapText="1"/>
    </xf>
    <xf numFmtId="0" fontId="10" fillId="0" borderId="0" xfId="0" applyFont="1" applyAlignment="1">
      <alignment horizontal="center" vertical="center" wrapText="1"/>
    </xf>
    <xf numFmtId="171" fontId="30" fillId="0" borderId="22" xfId="33" quotePrefix="1" applyNumberFormat="1" applyFont="1" applyBorder="1" applyAlignment="1">
      <alignment horizontal="center" vertical="center" wrapText="1"/>
    </xf>
    <xf numFmtId="0" fontId="30" fillId="0" borderId="6" xfId="1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44" fillId="24" borderId="0" xfId="0" applyFont="1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14" fontId="10" fillId="4" borderId="0" xfId="29" applyNumberFormat="1" applyFont="1" applyFill="1" applyAlignment="1">
      <alignment vertical="center"/>
    </xf>
    <xf numFmtId="0" fontId="10" fillId="4" borderId="0" xfId="0" applyFont="1" applyFill="1" applyAlignment="1">
      <alignment horizontal="center" vertical="center"/>
    </xf>
    <xf numFmtId="0" fontId="18" fillId="4" borderId="0" xfId="29" applyFont="1" applyFill="1" applyAlignment="1">
      <alignment vertical="center"/>
    </xf>
    <xf numFmtId="14" fontId="10" fillId="4" borderId="38" xfId="29" applyNumberFormat="1" applyFont="1" applyFill="1" applyBorder="1" applyAlignment="1">
      <alignment vertical="center"/>
    </xf>
    <xf numFmtId="0" fontId="10" fillId="4" borderId="38" xfId="0" applyFont="1" applyFill="1" applyBorder="1" applyAlignment="1">
      <alignment vertical="center"/>
    </xf>
    <xf numFmtId="0" fontId="10" fillId="4" borderId="38" xfId="29" applyFont="1" applyFill="1" applyBorder="1" applyAlignment="1">
      <alignment vertical="center"/>
    </xf>
    <xf numFmtId="0" fontId="18" fillId="4" borderId="38" xfId="29" applyFont="1" applyFill="1" applyBorder="1" applyAlignment="1">
      <alignment vertical="center"/>
    </xf>
    <xf numFmtId="0" fontId="10" fillId="4" borderId="38" xfId="0" applyFont="1" applyFill="1" applyBorder="1" applyAlignment="1">
      <alignment horizontal="center" vertical="center"/>
    </xf>
    <xf numFmtId="164" fontId="44" fillId="8" borderId="21" xfId="28" applyFont="1" applyFill="1" applyBorder="1" applyAlignment="1">
      <alignment horizontal="center" vertical="center"/>
    </xf>
    <xf numFmtId="0" fontId="44" fillId="8" borderId="21" xfId="29" applyFont="1" applyFill="1" applyBorder="1" applyAlignment="1">
      <alignment horizontal="center" vertical="center" wrapText="1"/>
    </xf>
    <xf numFmtId="0" fontId="9" fillId="9" borderId="38" xfId="29" applyFont="1" applyFill="1" applyBorder="1" applyAlignment="1">
      <alignment horizontal="center" vertical="center" wrapText="1"/>
    </xf>
    <xf numFmtId="0" fontId="37" fillId="9" borderId="38" xfId="29" applyFont="1" applyFill="1" applyBorder="1" applyAlignment="1">
      <alignment horizontal="center" vertical="center"/>
    </xf>
    <xf numFmtId="0" fontId="37" fillId="9" borderId="38" xfId="29" applyFont="1" applyFill="1" applyBorder="1" applyAlignment="1">
      <alignment vertical="center"/>
    </xf>
    <xf numFmtId="0" fontId="37" fillId="9" borderId="38" xfId="29" applyFont="1" applyFill="1" applyBorder="1" applyAlignment="1">
      <alignment horizontal="center" vertical="center" wrapText="1"/>
    </xf>
    <xf numFmtId="0" fontId="9" fillId="9" borderId="38" xfId="29" applyFont="1" applyFill="1" applyBorder="1" applyAlignment="1">
      <alignment horizontal="right" vertical="center" wrapText="1"/>
    </xf>
    <xf numFmtId="0" fontId="30" fillId="4" borderId="38" xfId="29" applyFont="1" applyFill="1" applyBorder="1" applyAlignment="1">
      <alignment horizontal="left" vertical="center" wrapText="1"/>
    </xf>
    <xf numFmtId="0" fontId="30" fillId="4" borderId="38" xfId="29" applyFont="1" applyFill="1" applyBorder="1" applyAlignment="1">
      <alignment horizontal="center" vertical="center"/>
    </xf>
    <xf numFmtId="44" fontId="30" fillId="4" borderId="38" xfId="31" applyFont="1" applyFill="1" applyBorder="1" applyAlignment="1">
      <alignment horizontal="right" vertical="center"/>
    </xf>
    <xf numFmtId="49" fontId="30" fillId="4" borderId="0" xfId="29" applyNumberFormat="1" applyFont="1" applyFill="1" applyAlignment="1">
      <alignment horizontal="center" vertical="center" wrapText="1"/>
    </xf>
    <xf numFmtId="0" fontId="30" fillId="4" borderId="0" xfId="29" applyFont="1" applyFill="1" applyAlignment="1">
      <alignment horizontal="left" vertical="center" wrapText="1"/>
    </xf>
    <xf numFmtId="0" fontId="30" fillId="4" borderId="0" xfId="29" applyFont="1" applyFill="1" applyAlignment="1">
      <alignment horizontal="center" vertical="center"/>
    </xf>
    <xf numFmtId="44" fontId="30" fillId="4" borderId="0" xfId="31" applyFont="1" applyFill="1" applyBorder="1" applyAlignment="1">
      <alignment horizontal="right" vertical="center"/>
    </xf>
    <xf numFmtId="0" fontId="9" fillId="9" borderId="21" xfId="29" applyFont="1" applyFill="1" applyBorder="1" applyAlignment="1">
      <alignment vertical="center"/>
    </xf>
    <xf numFmtId="0" fontId="9" fillId="9" borderId="21" xfId="29" applyFont="1" applyFill="1" applyBorder="1" applyAlignment="1">
      <alignment horizontal="center" vertical="center"/>
    </xf>
    <xf numFmtId="164" fontId="9" fillId="9" borderId="21" xfId="28" applyFont="1" applyFill="1" applyBorder="1" applyAlignment="1">
      <alignment horizontal="right" vertical="center"/>
    </xf>
    <xf numFmtId="0" fontId="40" fillId="0" borderId="6" xfId="0" applyFont="1" applyBorder="1" applyAlignment="1">
      <alignment vertical="center" wrapText="1"/>
    </xf>
    <xf numFmtId="0" fontId="48" fillId="25" borderId="0" xfId="29" applyFont="1" applyFill="1" applyAlignment="1">
      <alignment horizontal="left" vertical="center"/>
    </xf>
    <xf numFmtId="43" fontId="49" fillId="0" borderId="0" xfId="1" applyNumberFormat="1" applyFont="1" applyAlignment="1">
      <alignment vertical="center"/>
    </xf>
    <xf numFmtId="0" fontId="48" fillId="25" borderId="0" xfId="29" applyFont="1" applyFill="1" applyAlignment="1">
      <alignment vertical="center"/>
    </xf>
    <xf numFmtId="44" fontId="48" fillId="0" borderId="0" xfId="29" applyNumberFormat="1" applyFont="1" applyAlignment="1">
      <alignment vertical="center"/>
    </xf>
    <xf numFmtId="0" fontId="48" fillId="0" borderId="0" xfId="29" applyFont="1" applyAlignment="1">
      <alignment vertical="center"/>
    </xf>
    <xf numFmtId="0" fontId="10" fillId="0" borderId="38" xfId="29" applyFont="1" applyBorder="1" applyAlignment="1">
      <alignment vertical="center" wrapText="1"/>
    </xf>
    <xf numFmtId="0" fontId="50" fillId="4" borderId="21" xfId="47" applyFill="1" applyBorder="1"/>
    <xf numFmtId="0" fontId="50" fillId="0" borderId="0" xfId="47"/>
    <xf numFmtId="0" fontId="10" fillId="4" borderId="21" xfId="0" quotePrefix="1" applyFont="1" applyFill="1" applyBorder="1"/>
    <xf numFmtId="0" fontId="10" fillId="4" borderId="0" xfId="0" applyFont="1" applyFill="1" applyAlignment="1">
      <alignment horizontal="center" vertical="center" wrapText="1"/>
    </xf>
    <xf numFmtId="0" fontId="10" fillId="4" borderId="38" xfId="29" applyFont="1" applyFill="1" applyBorder="1" applyAlignment="1">
      <alignment vertical="center" wrapText="1"/>
    </xf>
    <xf numFmtId="0" fontId="37" fillId="3" borderId="13" xfId="1" applyFont="1" applyFill="1" applyBorder="1" applyAlignment="1">
      <alignment horizontal="center" vertical="center" shrinkToFit="1"/>
    </xf>
    <xf numFmtId="10" fontId="30" fillId="0" borderId="132" xfId="2" applyNumberFormat="1" applyFont="1" applyFill="1" applyBorder="1" applyAlignment="1">
      <alignment horizontal="center" vertical="center"/>
    </xf>
    <xf numFmtId="10" fontId="30" fillId="0" borderId="42" xfId="2" applyNumberFormat="1" applyFont="1" applyFill="1" applyBorder="1" applyAlignment="1">
      <alignment horizontal="center" vertical="center"/>
    </xf>
    <xf numFmtId="10" fontId="30" fillId="0" borderId="39" xfId="2" applyNumberFormat="1" applyFont="1" applyFill="1" applyBorder="1" applyAlignment="1">
      <alignment horizontal="center" vertical="center"/>
    </xf>
    <xf numFmtId="0" fontId="30" fillId="2" borderId="14" xfId="1" applyFont="1" applyFill="1" applyBorder="1" applyAlignment="1">
      <alignment horizontal="right" vertical="center" shrinkToFit="1"/>
    </xf>
    <xf numFmtId="0" fontId="30" fillId="2" borderId="13" xfId="1" applyFont="1" applyFill="1" applyBorder="1" applyAlignment="1">
      <alignment horizontal="right" vertical="center" shrinkToFit="1"/>
    </xf>
    <xf numFmtId="0" fontId="30" fillId="2" borderId="20" xfId="1" applyFont="1" applyFill="1" applyBorder="1" applyAlignment="1">
      <alignment horizontal="right" vertical="center" shrinkToFit="1"/>
    </xf>
    <xf numFmtId="0" fontId="10" fillId="0" borderId="0" xfId="1" applyAlignment="1">
      <alignment wrapText="1"/>
    </xf>
    <xf numFmtId="4" fontId="10" fillId="0" borderId="0" xfId="1" applyNumberFormat="1" applyAlignment="1">
      <alignment horizontal="left" wrapText="1"/>
    </xf>
    <xf numFmtId="0" fontId="37" fillId="0" borderId="4" xfId="1" applyFont="1" applyBorder="1" applyAlignment="1">
      <alignment horizontal="left" vertical="center"/>
    </xf>
    <xf numFmtId="0" fontId="37" fillId="0" borderId="5" xfId="1" applyFont="1" applyBorder="1" applyAlignment="1">
      <alignment horizontal="left" vertical="center"/>
    </xf>
    <xf numFmtId="0" fontId="37" fillId="0" borderId="15" xfId="1" applyFont="1" applyBorder="1" applyAlignment="1">
      <alignment horizontal="left" vertical="center"/>
    </xf>
    <xf numFmtId="165" fontId="37" fillId="0" borderId="13" xfId="3" applyFont="1" applyBorder="1" applyAlignment="1">
      <alignment horizontal="right" vertical="center"/>
    </xf>
    <xf numFmtId="165" fontId="37" fillId="0" borderId="20" xfId="3" applyFont="1" applyBorder="1" applyAlignment="1">
      <alignment horizontal="right" vertical="center"/>
    </xf>
    <xf numFmtId="0" fontId="30" fillId="0" borderId="3" xfId="1" applyFont="1" applyBorder="1" applyAlignment="1">
      <alignment horizontal="left" vertical="center"/>
    </xf>
    <xf numFmtId="0" fontId="30" fillId="0" borderId="0" xfId="1" applyFont="1" applyAlignment="1">
      <alignment horizontal="left" vertical="center"/>
    </xf>
    <xf numFmtId="0" fontId="37" fillId="0" borderId="14" xfId="1" applyFont="1" applyBorder="1" applyAlignment="1">
      <alignment horizontal="left" vertical="center"/>
    </xf>
    <xf numFmtId="0" fontId="37" fillId="0" borderId="13" xfId="1" applyFont="1" applyBorder="1" applyAlignment="1">
      <alignment horizontal="left" vertical="center"/>
    </xf>
    <xf numFmtId="0" fontId="43" fillId="0" borderId="3" xfId="1" applyFont="1" applyBorder="1" applyAlignment="1">
      <alignment horizontal="center" vertical="center"/>
    </xf>
    <xf numFmtId="0" fontId="43" fillId="0" borderId="0" xfId="1" applyFont="1" applyAlignment="1">
      <alignment horizontal="center" vertical="center"/>
    </xf>
    <xf numFmtId="0" fontId="43" fillId="0" borderId="16" xfId="1" applyFont="1" applyBorder="1" applyAlignment="1">
      <alignment horizontal="center" vertical="center"/>
    </xf>
    <xf numFmtId="0" fontId="43" fillId="0" borderId="19" xfId="1" applyFont="1" applyBorder="1" applyAlignment="1">
      <alignment horizontal="center" vertical="center"/>
    </xf>
    <xf numFmtId="0" fontId="43" fillId="0" borderId="10" xfId="1" applyFont="1" applyBorder="1" applyAlignment="1">
      <alignment horizontal="center" vertical="center"/>
    </xf>
    <xf numFmtId="0" fontId="43" fillId="0" borderId="26" xfId="1" applyFont="1" applyBorder="1" applyAlignment="1">
      <alignment horizontal="center" vertical="center"/>
    </xf>
    <xf numFmtId="10" fontId="30" fillId="0" borderId="19" xfId="2" applyNumberFormat="1" applyFont="1" applyFill="1" applyBorder="1" applyAlignment="1">
      <alignment horizontal="center" vertical="center"/>
    </xf>
    <xf numFmtId="10" fontId="30" fillId="0" borderId="10" xfId="2" applyNumberFormat="1" applyFont="1" applyFill="1" applyBorder="1" applyAlignment="1">
      <alignment horizontal="center" vertical="center"/>
    </xf>
    <xf numFmtId="10" fontId="30" fillId="0" borderId="9" xfId="2" applyNumberFormat="1" applyFont="1" applyFill="1" applyBorder="1" applyAlignment="1">
      <alignment horizontal="center" vertical="center"/>
    </xf>
    <xf numFmtId="166" fontId="37" fillId="0" borderId="24" xfId="1" applyNumberFormat="1" applyFont="1" applyBorder="1" applyAlignment="1">
      <alignment horizontal="left" vertical="center"/>
    </xf>
    <xf numFmtId="166" fontId="37" fillId="0" borderId="5" xfId="1" applyNumberFormat="1" applyFont="1" applyBorder="1" applyAlignment="1">
      <alignment horizontal="left" vertical="center"/>
    </xf>
    <xf numFmtId="166" fontId="37" fillId="0" borderId="1" xfId="1" applyNumberFormat="1" applyFont="1" applyBorder="1" applyAlignment="1">
      <alignment horizontal="left" vertical="center"/>
    </xf>
    <xf numFmtId="0" fontId="37" fillId="0" borderId="24" xfId="1" applyFont="1" applyBorder="1" applyAlignment="1">
      <alignment horizontal="left" vertical="center"/>
    </xf>
    <xf numFmtId="0" fontId="30" fillId="2" borderId="4" xfId="1" applyFont="1" applyFill="1" applyBorder="1" applyAlignment="1">
      <alignment horizontal="right" vertical="center" shrinkToFit="1"/>
    </xf>
    <xf numFmtId="0" fontId="30" fillId="2" borderId="5" xfId="1" applyFont="1" applyFill="1" applyBorder="1" applyAlignment="1">
      <alignment horizontal="right" vertical="center" shrinkToFit="1"/>
    </xf>
    <xf numFmtId="0" fontId="30" fillId="2" borderId="1" xfId="1" applyFont="1" applyFill="1" applyBorder="1" applyAlignment="1">
      <alignment horizontal="right" vertical="center" shrinkToFit="1"/>
    </xf>
    <xf numFmtId="0" fontId="10" fillId="0" borderId="19" xfId="1" applyBorder="1" applyAlignment="1">
      <alignment horizontal="left" vertical="center" wrapText="1"/>
    </xf>
    <xf numFmtId="0" fontId="10" fillId="0" borderId="10" xfId="1" applyBorder="1" applyAlignment="1">
      <alignment horizontal="left" vertical="center" wrapText="1"/>
    </xf>
    <xf numFmtId="0" fontId="10" fillId="0" borderId="9" xfId="1" applyBorder="1" applyAlignment="1">
      <alignment horizontal="left" vertical="center" wrapText="1"/>
    </xf>
    <xf numFmtId="0" fontId="37" fillId="0" borderId="4" xfId="1" applyFont="1" applyBorder="1" applyAlignment="1">
      <alignment horizontal="center" vertical="center" wrapText="1"/>
    </xf>
    <xf numFmtId="0" fontId="37" fillId="0" borderId="5" xfId="1" applyFont="1" applyBorder="1" applyAlignment="1">
      <alignment horizontal="center" vertical="center" wrapText="1"/>
    </xf>
    <xf numFmtId="0" fontId="37" fillId="0" borderId="1" xfId="1" applyFont="1" applyBorder="1" applyAlignment="1">
      <alignment horizontal="center" vertical="center" wrapText="1"/>
    </xf>
    <xf numFmtId="4" fontId="37" fillId="0" borderId="45" xfId="1" applyNumberFormat="1" applyFont="1" applyBorder="1" applyAlignment="1">
      <alignment horizontal="center" vertical="center" wrapText="1"/>
    </xf>
    <xf numFmtId="4" fontId="37" fillId="0" borderId="54" xfId="1" applyNumberFormat="1" applyFont="1" applyBorder="1" applyAlignment="1">
      <alignment horizontal="center" vertical="center" wrapText="1"/>
    </xf>
    <xf numFmtId="0" fontId="37" fillId="0" borderId="132" xfId="1" applyFont="1" applyBorder="1" applyAlignment="1">
      <alignment horizontal="left" vertical="center"/>
    </xf>
    <xf numFmtId="0" fontId="37" fillId="0" borderId="42" xfId="1" applyFont="1" applyBorder="1" applyAlignment="1">
      <alignment horizontal="left" vertical="center"/>
    </xf>
    <xf numFmtId="0" fontId="10" fillId="0" borderId="133" xfId="0" applyFont="1" applyBorder="1" applyAlignment="1">
      <alignment horizontal="left" vertical="center"/>
    </xf>
    <xf numFmtId="0" fontId="37" fillId="3" borderId="10" xfId="1" applyFont="1" applyFill="1" applyBorder="1" applyAlignment="1">
      <alignment horizontal="center" vertical="center" shrinkToFit="1"/>
    </xf>
    <xf numFmtId="0" fontId="37" fillId="0" borderId="32" xfId="1" applyFont="1" applyBorder="1" applyAlignment="1">
      <alignment horizontal="right" vertical="center"/>
    </xf>
    <xf numFmtId="0" fontId="37" fillId="0" borderId="30" xfId="1" applyFont="1" applyBorder="1" applyAlignment="1">
      <alignment horizontal="right" vertical="center"/>
    </xf>
    <xf numFmtId="0" fontId="37" fillId="0" borderId="45" xfId="1" applyFont="1" applyBorder="1" applyAlignment="1">
      <alignment horizontal="right" vertical="center"/>
    </xf>
    <xf numFmtId="0" fontId="37" fillId="0" borderId="7" xfId="1" applyFont="1" applyBorder="1" applyAlignment="1">
      <alignment horizontal="right" vertical="center"/>
    </xf>
    <xf numFmtId="0" fontId="37" fillId="0" borderId="6" xfId="1" applyFont="1" applyBorder="1" applyAlignment="1">
      <alignment horizontal="right" vertical="center"/>
    </xf>
    <xf numFmtId="0" fontId="37" fillId="0" borderId="22" xfId="1" applyFont="1" applyBorder="1" applyAlignment="1">
      <alignment horizontal="right" vertical="center"/>
    </xf>
    <xf numFmtId="0" fontId="37" fillId="0" borderId="48" xfId="1" applyFont="1" applyBorder="1" applyAlignment="1">
      <alignment horizontal="left" vertical="center"/>
    </xf>
    <xf numFmtId="0" fontId="37" fillId="0" borderId="21" xfId="1" applyFont="1" applyBorder="1" applyAlignment="1">
      <alignment horizontal="left" vertical="center"/>
    </xf>
    <xf numFmtId="0" fontId="10" fillId="0" borderId="107" xfId="0" applyFont="1" applyBorder="1" applyAlignment="1">
      <alignment horizontal="left" vertical="center"/>
    </xf>
    <xf numFmtId="0" fontId="37" fillId="0" borderId="19" xfId="1" applyFont="1" applyBorder="1" applyAlignment="1">
      <alignment horizontal="center" vertical="center" wrapText="1"/>
    </xf>
    <xf numFmtId="0" fontId="37" fillId="0" borderId="10" xfId="1" applyFont="1" applyBorder="1" applyAlignment="1">
      <alignment horizontal="center" vertical="center" wrapText="1"/>
    </xf>
    <xf numFmtId="0" fontId="37" fillId="0" borderId="9" xfId="1" applyFont="1" applyBorder="1" applyAlignment="1">
      <alignment horizontal="center" vertical="center" wrapText="1"/>
    </xf>
    <xf numFmtId="0" fontId="37" fillId="0" borderId="3" xfId="1" applyFont="1" applyBorder="1" applyAlignment="1">
      <alignment horizontal="center" vertical="center" wrapText="1"/>
    </xf>
    <xf numFmtId="0" fontId="37" fillId="0" borderId="0" xfId="1" applyFont="1" applyAlignment="1">
      <alignment horizontal="center" vertical="center" wrapText="1"/>
    </xf>
    <xf numFmtId="0" fontId="37" fillId="0" borderId="2" xfId="1" applyFont="1" applyBorder="1" applyAlignment="1">
      <alignment horizontal="center" vertical="center" wrapText="1"/>
    </xf>
    <xf numFmtId="0" fontId="37" fillId="20" borderId="132" xfId="1" applyFont="1" applyFill="1" applyBorder="1" applyAlignment="1">
      <alignment horizontal="center" vertical="center" wrapText="1"/>
    </xf>
    <xf numFmtId="0" fontId="37" fillId="20" borderId="42" xfId="1" applyFont="1" applyFill="1" applyBorder="1" applyAlignment="1">
      <alignment horizontal="center" vertical="center" wrapText="1"/>
    </xf>
    <xf numFmtId="0" fontId="37" fillId="20" borderId="39" xfId="1" applyFont="1" applyFill="1" applyBorder="1" applyAlignment="1">
      <alignment horizontal="center" vertical="center" wrapText="1"/>
    </xf>
    <xf numFmtId="164" fontId="37" fillId="0" borderId="117" xfId="28" applyFont="1" applyFill="1" applyBorder="1" applyAlignment="1">
      <alignment horizontal="center" vertical="center" wrapText="1"/>
    </xf>
    <xf numFmtId="164" fontId="37" fillId="0" borderId="109" xfId="28" applyFont="1" applyFill="1" applyBorder="1" applyAlignment="1">
      <alignment horizontal="center" vertical="center" wrapText="1"/>
    </xf>
    <xf numFmtId="164" fontId="37" fillId="0" borderId="29" xfId="28" applyFont="1" applyFill="1" applyBorder="1" applyAlignment="1">
      <alignment horizontal="center" vertical="center" wrapText="1"/>
    </xf>
    <xf numFmtId="164" fontId="37" fillId="0" borderId="131" xfId="28" applyFont="1" applyFill="1" applyBorder="1" applyAlignment="1">
      <alignment horizontal="center" vertical="center" wrapText="1"/>
    </xf>
    <xf numFmtId="0" fontId="37" fillId="0" borderId="53" xfId="1" applyFont="1" applyBorder="1" applyAlignment="1">
      <alignment horizontal="left" vertical="center" wrapText="1"/>
    </xf>
    <xf numFmtId="0" fontId="37" fillId="0" borderId="37" xfId="1" applyFont="1" applyBorder="1" applyAlignment="1">
      <alignment horizontal="left" vertical="center" wrapText="1"/>
    </xf>
    <xf numFmtId="0" fontId="37" fillId="0" borderId="100" xfId="1" applyFont="1" applyBorder="1" applyAlignment="1">
      <alignment horizontal="left" vertical="center" wrapText="1"/>
    </xf>
    <xf numFmtId="0" fontId="37" fillId="0" borderId="132" xfId="1" applyFont="1" applyBorder="1" applyAlignment="1">
      <alignment horizontal="left" vertical="center" wrapText="1"/>
    </xf>
    <xf numFmtId="0" fontId="37" fillId="0" borderId="42" xfId="1" applyFont="1" applyBorder="1" applyAlignment="1">
      <alignment horizontal="left" vertical="center" wrapText="1"/>
    </xf>
    <xf numFmtId="14" fontId="37" fillId="0" borderId="43" xfId="1" applyNumberFormat="1" applyFont="1" applyBorder="1" applyAlignment="1">
      <alignment horizontal="center" vertical="center"/>
    </xf>
    <xf numFmtId="14" fontId="37" fillId="0" borderId="39" xfId="1" applyNumberFormat="1" applyFont="1" applyBorder="1" applyAlignment="1">
      <alignment horizontal="center" vertical="center"/>
    </xf>
    <xf numFmtId="0" fontId="37" fillId="3" borderId="5" xfId="1" applyFont="1" applyFill="1" applyBorder="1" applyAlignment="1">
      <alignment horizontal="center" vertical="center" shrinkToFit="1"/>
    </xf>
    <xf numFmtId="0" fontId="0" fillId="0" borderId="10" xfId="0" applyBorder="1" applyAlignment="1">
      <alignment horizontal="center"/>
    </xf>
    <xf numFmtId="0" fontId="11" fillId="0" borderId="4" xfId="1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15" fillId="7" borderId="22" xfId="1" applyFont="1" applyFill="1" applyBorder="1" applyAlignment="1">
      <alignment horizontal="left" vertical="center" wrapText="1"/>
    </xf>
    <xf numFmtId="0" fontId="15" fillId="7" borderId="21" xfId="1" applyFont="1" applyFill="1" applyBorder="1" applyAlignment="1">
      <alignment horizontal="left" vertical="center" wrapText="1"/>
    </xf>
    <xf numFmtId="0" fontId="15" fillId="7" borderId="28" xfId="1" applyFont="1" applyFill="1" applyBorder="1" applyAlignment="1">
      <alignment horizontal="left" vertical="center" wrapText="1"/>
    </xf>
    <xf numFmtId="0" fontId="37" fillId="7" borderId="14" xfId="0" applyFont="1" applyFill="1" applyBorder="1" applyAlignment="1">
      <alignment horizontal="center" vertical="center"/>
    </xf>
    <xf numFmtId="0" fontId="37" fillId="7" borderId="13" xfId="0" applyFont="1" applyFill="1" applyBorder="1" applyAlignment="1">
      <alignment horizontal="center" vertical="center"/>
    </xf>
    <xf numFmtId="0" fontId="37" fillId="7" borderId="20" xfId="0" applyFont="1" applyFill="1" applyBorder="1" applyAlignment="1">
      <alignment horizontal="center" vertical="center"/>
    </xf>
    <xf numFmtId="0" fontId="27" fillId="0" borderId="14" xfId="17" applyFont="1" applyBorder="1" applyAlignment="1">
      <alignment horizontal="center" vertical="center" wrapText="1"/>
    </xf>
    <xf numFmtId="0" fontId="27" fillId="0" borderId="13" xfId="17" applyFont="1" applyBorder="1" applyAlignment="1">
      <alignment horizontal="center" vertical="center" wrapText="1"/>
    </xf>
    <xf numFmtId="0" fontId="27" fillId="0" borderId="20" xfId="17" applyFont="1" applyBorder="1" applyAlignment="1">
      <alignment horizontal="center" vertical="center" wrapText="1"/>
    </xf>
    <xf numFmtId="0" fontId="11" fillId="0" borderId="19" xfId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/>
    </xf>
    <xf numFmtId="0" fontId="11" fillId="0" borderId="3" xfId="1" applyFont="1" applyBorder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11" fillId="0" borderId="2" xfId="1" applyFont="1" applyBorder="1" applyAlignment="1">
      <alignment horizontal="center" vertical="center"/>
    </xf>
    <xf numFmtId="0" fontId="15" fillId="0" borderId="5" xfId="0" applyFont="1" applyBorder="1" applyAlignment="1">
      <alignment horizontal="center"/>
    </xf>
    <xf numFmtId="0" fontId="26" fillId="7" borderId="14" xfId="0" applyFont="1" applyFill="1" applyBorder="1" applyAlignment="1">
      <alignment horizontal="center" vertical="center"/>
    </xf>
    <xf numFmtId="0" fontId="26" fillId="7" borderId="13" xfId="0" applyFont="1" applyFill="1" applyBorder="1" applyAlignment="1">
      <alignment horizontal="center" vertical="center"/>
    </xf>
    <xf numFmtId="0" fontId="26" fillId="7" borderId="20" xfId="0" applyFont="1" applyFill="1" applyBorder="1" applyAlignment="1">
      <alignment horizontal="center" vertical="center"/>
    </xf>
    <xf numFmtId="0" fontId="27" fillId="0" borderId="4" xfId="17" applyFont="1" applyBorder="1" applyAlignment="1">
      <alignment horizontal="center" vertical="center" wrapText="1"/>
    </xf>
    <xf numFmtId="0" fontId="27" fillId="0" borderId="5" xfId="17" applyFont="1" applyBorder="1" applyAlignment="1">
      <alignment horizontal="center" vertical="center" wrapText="1"/>
    </xf>
    <xf numFmtId="0" fontId="32" fillId="11" borderId="122" xfId="30" applyFont="1" applyFill="1" applyBorder="1" applyAlignment="1">
      <alignment horizontal="left" wrapText="1"/>
    </xf>
    <xf numFmtId="0" fontId="32" fillId="11" borderId="123" xfId="30" applyFont="1" applyFill="1" applyBorder="1" applyAlignment="1">
      <alignment horizontal="left" wrapText="1"/>
    </xf>
    <xf numFmtId="0" fontId="32" fillId="11" borderId="124" xfId="30" applyFont="1" applyFill="1" applyBorder="1" applyAlignment="1">
      <alignment horizontal="left" wrapText="1"/>
    </xf>
    <xf numFmtId="0" fontId="9" fillId="0" borderId="125" xfId="30" applyFont="1" applyBorder="1" applyAlignment="1">
      <alignment horizontal="left" vertical="center" wrapText="1"/>
    </xf>
    <xf numFmtId="0" fontId="9" fillId="0" borderId="126" xfId="30" applyFont="1" applyBorder="1" applyAlignment="1">
      <alignment horizontal="left" vertical="center" wrapText="1"/>
    </xf>
    <xf numFmtId="0" fontId="9" fillId="0" borderId="125" xfId="30" applyFont="1" applyBorder="1" applyAlignment="1">
      <alignment horizontal="center" vertical="center" wrapText="1"/>
    </xf>
    <xf numFmtId="0" fontId="9" fillId="0" borderId="126" xfId="30" applyFont="1" applyBorder="1" applyAlignment="1">
      <alignment horizontal="center" vertical="center" wrapText="1"/>
    </xf>
    <xf numFmtId="0" fontId="32" fillId="12" borderId="122" xfId="30" applyFont="1" applyFill="1" applyBorder="1" applyAlignment="1">
      <alignment horizontal="center" vertical="center" wrapText="1"/>
    </xf>
    <xf numFmtId="0" fontId="32" fillId="12" borderId="124" xfId="30" applyFont="1" applyFill="1" applyBorder="1" applyAlignment="1">
      <alignment horizontal="center" vertical="center" wrapText="1"/>
    </xf>
    <xf numFmtId="0" fontId="9" fillId="0" borderId="122" xfId="30" applyFont="1" applyBorder="1" applyAlignment="1">
      <alignment horizontal="center" vertical="center" wrapText="1"/>
    </xf>
    <xf numFmtId="0" fontId="9" fillId="0" borderId="124" xfId="30" applyFont="1" applyBorder="1" applyAlignment="1">
      <alignment horizontal="center" vertical="center" wrapText="1"/>
    </xf>
    <xf numFmtId="0" fontId="11" fillId="0" borderId="4" xfId="7" applyFont="1" applyBorder="1" applyAlignment="1">
      <alignment horizontal="center" vertical="center"/>
    </xf>
    <xf numFmtId="0" fontId="11" fillId="0" borderId="5" xfId="7" applyFont="1" applyBorder="1" applyAlignment="1">
      <alignment horizontal="center" vertical="center"/>
    </xf>
    <xf numFmtId="0" fontId="11" fillId="0" borderId="1" xfId="7" applyFont="1" applyBorder="1" applyAlignment="1">
      <alignment horizontal="center" vertical="center"/>
    </xf>
    <xf numFmtId="0" fontId="11" fillId="0" borderId="3" xfId="7" applyFont="1" applyBorder="1" applyAlignment="1">
      <alignment horizontal="center" vertical="center"/>
    </xf>
    <xf numFmtId="0" fontId="11" fillId="0" borderId="0" xfId="7" applyFont="1" applyAlignment="1">
      <alignment horizontal="center" vertical="center"/>
    </xf>
    <xf numFmtId="0" fontId="33" fillId="0" borderId="0" xfId="7" applyFont="1" applyAlignment="1">
      <alignment horizontal="center" vertical="center"/>
    </xf>
    <xf numFmtId="0" fontId="11" fillId="0" borderId="2" xfId="7" applyFont="1" applyBorder="1" applyAlignment="1">
      <alignment horizontal="center" vertical="center"/>
    </xf>
    <xf numFmtId="0" fontId="11" fillId="0" borderId="19" xfId="7" applyFont="1" applyBorder="1" applyAlignment="1">
      <alignment horizontal="center" vertical="center"/>
    </xf>
    <xf numFmtId="0" fontId="11" fillId="0" borderId="10" xfId="7" applyFont="1" applyBorder="1" applyAlignment="1">
      <alignment horizontal="center" vertical="center"/>
    </xf>
    <xf numFmtId="0" fontId="11" fillId="0" borderId="9" xfId="7" applyFont="1" applyBorder="1" applyAlignment="1">
      <alignment horizontal="center" vertical="center"/>
    </xf>
    <xf numFmtId="0" fontId="9" fillId="0" borderId="5" xfId="7" applyFont="1" applyBorder="1" applyAlignment="1">
      <alignment horizontal="center" vertical="center" wrapText="1"/>
    </xf>
    <xf numFmtId="0" fontId="9" fillId="0" borderId="0" xfId="7" applyFont="1" applyAlignment="1">
      <alignment horizontal="center" vertical="center" wrapText="1"/>
    </xf>
    <xf numFmtId="0" fontId="9" fillId="0" borderId="1" xfId="7" applyFont="1" applyBorder="1" applyAlignment="1">
      <alignment horizontal="left" vertical="center"/>
    </xf>
    <xf numFmtId="0" fontId="9" fillId="0" borderId="2" xfId="7" applyFont="1" applyBorder="1" applyAlignment="1">
      <alignment horizontal="left" vertical="center"/>
    </xf>
    <xf numFmtId="4" fontId="10" fillId="0" borderId="38" xfId="1" applyNumberFormat="1" applyBorder="1" applyAlignment="1">
      <alignment horizontal="left" wrapText="1"/>
    </xf>
    <xf numFmtId="4" fontId="10" fillId="0" borderId="0" xfId="1" applyNumberFormat="1" applyAlignment="1">
      <alignment wrapText="1"/>
    </xf>
    <xf numFmtId="0" fontId="13" fillId="5" borderId="27" xfId="7" applyFont="1" applyFill="1" applyBorder="1" applyAlignment="1">
      <alignment horizontal="center" vertical="center"/>
    </xf>
    <xf numFmtId="0" fontId="13" fillId="5" borderId="8" xfId="7" applyFont="1" applyFill="1" applyBorder="1" applyAlignment="1">
      <alignment horizontal="center" vertical="center"/>
    </xf>
    <xf numFmtId="4" fontId="10" fillId="0" borderId="107" xfId="1" applyNumberFormat="1" applyBorder="1" applyAlignment="1">
      <alignment horizontal="center" vertical="center" wrapText="1"/>
    </xf>
    <xf numFmtId="0" fontId="13" fillId="5" borderId="6" xfId="7" applyFont="1" applyFill="1" applyBorder="1" applyAlignment="1">
      <alignment horizontal="center" vertical="center"/>
    </xf>
    <xf numFmtId="0" fontId="9" fillId="0" borderId="6" xfId="7" applyFont="1" applyBorder="1" applyAlignment="1">
      <alignment horizontal="center"/>
    </xf>
    <xf numFmtId="0" fontId="10" fillId="0" borderId="6" xfId="7" applyBorder="1" applyAlignment="1">
      <alignment horizontal="right"/>
    </xf>
    <xf numFmtId="0" fontId="9" fillId="19" borderId="0" xfId="29" applyFont="1" applyFill="1" applyAlignment="1">
      <alignment horizontal="center" vertical="center"/>
    </xf>
    <xf numFmtId="0" fontId="9" fillId="0" borderId="0" xfId="0" applyFont="1" applyAlignment="1">
      <alignment horizontal="left" vertical="center" wrapText="1"/>
    </xf>
    <xf numFmtId="0" fontId="37" fillId="0" borderId="108" xfId="29" applyFont="1" applyBorder="1" applyAlignment="1">
      <alignment horizontal="left" vertical="center"/>
    </xf>
    <xf numFmtId="0" fontId="44" fillId="8" borderId="22" xfId="29" applyFont="1" applyFill="1" applyBorder="1" applyAlignment="1">
      <alignment horizontal="left" vertical="center" wrapText="1"/>
    </xf>
    <xf numFmtId="0" fontId="44" fillId="8" borderId="107" xfId="29" applyFont="1" applyFill="1" applyBorder="1" applyAlignment="1">
      <alignment horizontal="left" vertical="center" wrapText="1"/>
    </xf>
    <xf numFmtId="0" fontId="44" fillId="8" borderId="21" xfId="29" applyFont="1" applyFill="1" applyBorder="1" applyAlignment="1">
      <alignment horizontal="left" vertical="center" wrapText="1"/>
    </xf>
    <xf numFmtId="0" fontId="37" fillId="0" borderId="0" xfId="29" applyFont="1" applyAlignment="1">
      <alignment horizontal="left" vertical="center"/>
    </xf>
    <xf numFmtId="0" fontId="44" fillId="8" borderId="21" xfId="29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44" fillId="24" borderId="0" xfId="0" applyFont="1" applyFill="1" applyAlignment="1">
      <alignment horizontal="center" vertical="center"/>
    </xf>
    <xf numFmtId="0" fontId="10" fillId="0" borderId="0" xfId="0" applyFont="1" applyAlignment="1">
      <alignment horizontal="left" vertical="center" wrapText="1"/>
    </xf>
    <xf numFmtId="0" fontId="9" fillId="0" borderId="142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19" xfId="0" applyFont="1" applyBorder="1" applyAlignment="1">
      <alignment horizontal="left" vertical="center"/>
    </xf>
    <xf numFmtId="0" fontId="10" fillId="0" borderId="10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11" fillId="19" borderId="0" xfId="29" applyFont="1" applyFill="1" applyAlignment="1">
      <alignment horizontal="center" vertical="center"/>
    </xf>
    <xf numFmtId="0" fontId="12" fillId="9" borderId="53" xfId="29" applyFont="1" applyFill="1" applyBorder="1" applyAlignment="1">
      <alignment horizontal="center" vertical="center"/>
    </xf>
    <xf numFmtId="0" fontId="12" fillId="9" borderId="37" xfId="29" applyFont="1" applyFill="1" applyBorder="1" applyAlignment="1">
      <alignment horizontal="center" vertical="center"/>
    </xf>
    <xf numFmtId="0" fontId="12" fillId="9" borderId="54" xfId="29" applyFont="1" applyFill="1" applyBorder="1" applyAlignment="1">
      <alignment horizontal="center" vertical="center"/>
    </xf>
    <xf numFmtId="0" fontId="32" fillId="0" borderId="0" xfId="0" applyFont="1" applyAlignment="1">
      <alignment horizontal="center" vertical="center" wrapText="1"/>
    </xf>
    <xf numFmtId="0" fontId="9" fillId="22" borderId="0" xfId="29" applyFont="1" applyFill="1" applyAlignment="1">
      <alignment horizontal="left" vertical="center"/>
    </xf>
    <xf numFmtId="4" fontId="23" fillId="6" borderId="53" xfId="0" applyNumberFormat="1" applyFont="1" applyFill="1" applyBorder="1" applyAlignment="1">
      <alignment horizontal="center" vertical="center" wrapText="1"/>
    </xf>
    <xf numFmtId="4" fontId="23" fillId="6" borderId="38" xfId="0" applyNumberFormat="1" applyFont="1" applyFill="1" applyBorder="1" applyAlignment="1">
      <alignment horizontal="center" vertical="center" wrapText="1"/>
    </xf>
    <xf numFmtId="4" fontId="23" fillId="6" borderId="37" xfId="0" applyNumberFormat="1" applyFont="1" applyFill="1" applyBorder="1" applyAlignment="1">
      <alignment horizontal="center" vertical="center" wrapText="1"/>
    </xf>
    <xf numFmtId="4" fontId="23" fillId="0" borderId="4" xfId="0" applyNumberFormat="1" applyFont="1" applyBorder="1" applyAlignment="1">
      <alignment horizontal="center" vertical="top" wrapText="1"/>
    </xf>
    <xf numFmtId="4" fontId="23" fillId="0" borderId="3" xfId="0" applyNumberFormat="1" applyFont="1" applyBorder="1" applyAlignment="1">
      <alignment horizontal="center" vertical="top" wrapText="1"/>
    </xf>
    <xf numFmtId="4" fontId="12" fillId="0" borderId="5" xfId="0" applyNumberFormat="1" applyFont="1" applyBorder="1" applyAlignment="1">
      <alignment horizontal="left" vertical="center" wrapText="1"/>
    </xf>
    <xf numFmtId="0" fontId="0" fillId="0" borderId="5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2" fillId="0" borderId="10" xfId="0" applyFont="1" applyBorder="1" applyAlignment="1">
      <alignment horizontal="left" vertical="center"/>
    </xf>
    <xf numFmtId="0" fontId="9" fillId="0" borderId="10" xfId="0" applyFont="1" applyBorder="1" applyAlignment="1">
      <alignment horizontal="left" vertical="center"/>
    </xf>
    <xf numFmtId="0" fontId="9" fillId="0" borderId="9" xfId="0" applyFont="1" applyBorder="1" applyAlignment="1">
      <alignment horizontal="left" vertical="center"/>
    </xf>
    <xf numFmtId="4" fontId="24" fillId="0" borderId="14" xfId="0" applyNumberFormat="1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4" fontId="23" fillId="6" borderId="53" xfId="0" applyNumberFormat="1" applyFont="1" applyFill="1" applyBorder="1" applyAlignment="1">
      <alignment horizontal="center" vertical="center"/>
    </xf>
    <xf numFmtId="4" fontId="23" fillId="6" borderId="37" xfId="0" applyNumberFormat="1" applyFont="1" applyFill="1" applyBorder="1" applyAlignment="1">
      <alignment horizontal="center" vertical="center"/>
    </xf>
    <xf numFmtId="4" fontId="23" fillId="6" borderId="100" xfId="0" applyNumberFormat="1" applyFont="1" applyFill="1" applyBorder="1" applyAlignment="1">
      <alignment horizontal="center" vertical="center"/>
    </xf>
    <xf numFmtId="0" fontId="11" fillId="0" borderId="113" xfId="0" applyFont="1" applyBorder="1" applyAlignment="1">
      <alignment horizontal="center"/>
    </xf>
    <xf numFmtId="0" fontId="11" fillId="0" borderId="114" xfId="0" applyFont="1" applyBorder="1" applyAlignment="1">
      <alignment horizontal="center"/>
    </xf>
    <xf numFmtId="0" fontId="9" fillId="0" borderId="113" xfId="0" applyFont="1" applyBorder="1" applyAlignment="1">
      <alignment horizontal="center"/>
    </xf>
    <xf numFmtId="0" fontId="9" fillId="0" borderId="114" xfId="0" quotePrefix="1" applyFont="1" applyBorder="1" applyAlignment="1">
      <alignment horizontal="center"/>
    </xf>
    <xf numFmtId="49" fontId="9" fillId="0" borderId="14" xfId="0" applyNumberFormat="1" applyFont="1" applyBorder="1" applyAlignment="1">
      <alignment horizontal="center" vertical="center"/>
    </xf>
    <xf numFmtId="49" fontId="9" fillId="0" borderId="13" xfId="0" applyNumberFormat="1" applyFont="1" applyBorder="1" applyAlignment="1">
      <alignment horizontal="center" vertical="center"/>
    </xf>
    <xf numFmtId="49" fontId="9" fillId="0" borderId="20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18" xfId="0" applyBorder="1" applyAlignment="1">
      <alignment horizontal="center"/>
    </xf>
    <xf numFmtId="0" fontId="14" fillId="0" borderId="14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49" fontId="20" fillId="0" borderId="14" xfId="0" applyNumberFormat="1" applyFont="1" applyBorder="1" applyAlignment="1">
      <alignment horizontal="center" vertical="center"/>
    </xf>
    <xf numFmtId="49" fontId="20" fillId="0" borderId="13" xfId="0" applyNumberFormat="1" applyFont="1" applyBorder="1" applyAlignment="1">
      <alignment horizontal="center" vertical="center"/>
    </xf>
    <xf numFmtId="49" fontId="20" fillId="0" borderId="20" xfId="0" applyNumberFormat="1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49" fontId="9" fillId="0" borderId="19" xfId="0" applyNumberFormat="1" applyFont="1" applyBorder="1" applyAlignment="1">
      <alignment horizontal="center" vertical="center"/>
    </xf>
    <xf numFmtId="49" fontId="9" fillId="0" borderId="10" xfId="0" applyNumberFormat="1" applyFont="1" applyBorder="1" applyAlignment="1">
      <alignment horizontal="center" vertical="center"/>
    </xf>
    <xf numFmtId="49" fontId="9" fillId="0" borderId="9" xfId="0" applyNumberFormat="1" applyFont="1" applyBorder="1" applyAlignment="1">
      <alignment horizontal="center" vertical="center"/>
    </xf>
    <xf numFmtId="0" fontId="9" fillId="0" borderId="14" xfId="0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9" fillId="0" borderId="20" xfId="0" applyFont="1" applyBorder="1" applyAlignment="1">
      <alignment horizontal="center"/>
    </xf>
    <xf numFmtId="4" fontId="23" fillId="0" borderId="19" xfId="0" applyNumberFormat="1" applyFont="1" applyBorder="1" applyAlignment="1">
      <alignment horizontal="center" vertical="top" wrapText="1"/>
    </xf>
    <xf numFmtId="4" fontId="12" fillId="0" borderId="1" xfId="0" applyNumberFormat="1" applyFont="1" applyBorder="1" applyAlignment="1">
      <alignment horizontal="left" vertical="center" wrapText="1"/>
    </xf>
    <xf numFmtId="0" fontId="12" fillId="0" borderId="2" xfId="0" applyFont="1" applyBorder="1" applyAlignment="1">
      <alignment horizontal="center" vertical="center"/>
    </xf>
    <xf numFmtId="0" fontId="12" fillId="0" borderId="9" xfId="0" applyFont="1" applyBorder="1" applyAlignment="1">
      <alignment horizontal="left" vertical="center"/>
    </xf>
    <xf numFmtId="4" fontId="24" fillId="0" borderId="13" xfId="0" applyNumberFormat="1" applyFont="1" applyBorder="1" applyAlignment="1">
      <alignment horizontal="center" vertical="center" wrapText="1"/>
    </xf>
    <xf numFmtId="4" fontId="24" fillId="0" borderId="119" xfId="0" applyNumberFormat="1" applyFont="1" applyBorder="1" applyAlignment="1">
      <alignment horizontal="center" vertical="center" wrapText="1"/>
    </xf>
    <xf numFmtId="4" fontId="23" fillId="6" borderId="100" xfId="0" applyNumberFormat="1" applyFont="1" applyFill="1" applyBorder="1" applyAlignment="1">
      <alignment horizontal="center" vertical="center" wrapText="1"/>
    </xf>
    <xf numFmtId="0" fontId="20" fillId="0" borderId="14" xfId="0" applyFont="1" applyBorder="1" applyAlignment="1">
      <alignment horizontal="center"/>
    </xf>
    <xf numFmtId="0" fontId="20" fillId="0" borderId="13" xfId="0" applyFont="1" applyBorder="1" applyAlignment="1">
      <alignment horizontal="center"/>
    </xf>
    <xf numFmtId="0" fontId="20" fillId="0" borderId="20" xfId="0" applyFont="1" applyBorder="1" applyAlignment="1">
      <alignment horizontal="center"/>
    </xf>
  </cellXfs>
  <cellStyles count="48">
    <cellStyle name="Hiperlink" xfId="47" builtinId="8"/>
    <cellStyle name="Moeda" xfId="28" builtinId="4"/>
    <cellStyle name="Moeda 2" xfId="9" xr:uid="{00000000-0005-0000-0000-000000000000}"/>
    <cellStyle name="Moeda 2 2" xfId="35" xr:uid="{BDDB0F15-1F34-47EF-A9FC-C51B3CAB9EBA}"/>
    <cellStyle name="Moeda 3" xfId="8" xr:uid="{00000000-0005-0000-0000-000001000000}"/>
    <cellStyle name="Moeda 3 2" xfId="38" xr:uid="{6F231C51-F4B9-433F-A585-F4DD6B079060}"/>
    <cellStyle name="Moeda 4" xfId="20" xr:uid="{D99A4A0E-2AA4-4B33-A689-7CCF81C407D0}"/>
    <cellStyle name="Moeda 4 2" xfId="25" xr:uid="{BD435C1D-2CAA-4A60-A43E-3ACCD7999C6E}"/>
    <cellStyle name="Moeda 4 3" xfId="40" xr:uid="{9E6F5AFF-1345-438E-BEC2-80961293D364}"/>
    <cellStyle name="Moeda 5" xfId="21" xr:uid="{B6E67E76-812F-4255-B074-6AB834F129DC}"/>
    <cellStyle name="Moeda 5 2" xfId="23" xr:uid="{EB613701-ACF1-4B3A-9136-DA6CBD79CD5D}"/>
    <cellStyle name="Moeda 5 3" xfId="42" xr:uid="{4C716B55-0F56-4F45-8A62-32CCB5DBFAE1}"/>
    <cellStyle name="Moeda 6" xfId="15" xr:uid="{272F6421-95CD-47BF-ABF5-1884CB6E0E35}"/>
    <cellStyle name="Moeda 6 2" xfId="45" xr:uid="{9E049289-8656-4C4A-86C9-14502DE8C394}"/>
    <cellStyle name="Moeda 7" xfId="22" xr:uid="{AD603459-2559-4D39-8485-D1A58F7AF483}"/>
    <cellStyle name="Moeda 8" xfId="31" xr:uid="{500D4CF1-D6D7-4627-BF4B-66A3E0524429}"/>
    <cellStyle name="Moeda 9" xfId="34" xr:uid="{60EC8715-7D72-41E3-8B4E-39E42375F5E9}"/>
    <cellStyle name="Normal" xfId="0" builtinId="0"/>
    <cellStyle name="Normal 2" xfId="1" xr:uid="{00000000-0005-0000-0000-000003000000}"/>
    <cellStyle name="Normal 2 2" xfId="7" xr:uid="{00000000-0005-0000-0000-000004000000}"/>
    <cellStyle name="Normal 3" xfId="4" xr:uid="{00000000-0005-0000-0000-000005000000}"/>
    <cellStyle name="Normal 3 2" xfId="12" xr:uid="{00000000-0005-0000-0000-000006000000}"/>
    <cellStyle name="Normal 3 2 2" xfId="18" xr:uid="{9862D92E-93C9-4BED-BBF8-53A8F0BF3BD8}"/>
    <cellStyle name="Normal 3 3" xfId="29" xr:uid="{5C2744A5-5683-4440-8289-164E8D1AF452}"/>
    <cellStyle name="Normal 4" xfId="17" xr:uid="{07C1CC0A-BEB4-4AE2-8229-4CCDFF30918C}"/>
    <cellStyle name="Normal 4 2" xfId="26" xr:uid="{92F239A7-4DA6-45FC-8361-1B79BEEC3263}"/>
    <cellStyle name="Normal 4 3" xfId="37" xr:uid="{E428C499-E5EF-4727-A3CB-3BAB2C74A423}"/>
    <cellStyle name="Normal 5" xfId="30" xr:uid="{6348318E-28FF-4DF0-A9AF-A54F011049DB}"/>
    <cellStyle name="Normal 5 2" xfId="24" xr:uid="{68B58002-4EDF-4572-A111-197D6A1194A0}"/>
    <cellStyle name="Normal 6" xfId="41" xr:uid="{F4EBB21A-0C41-41DE-B5B0-211B2ED980F0}"/>
    <cellStyle name="Normal 7" xfId="16" xr:uid="{3CC0740B-5CA1-4B3F-A912-CCE111917B47}"/>
    <cellStyle name="Normal 8" xfId="43" xr:uid="{0970115D-32DC-4964-AF05-C7F9BC1AADB9}"/>
    <cellStyle name="Normal 9" xfId="44" xr:uid="{A2B81CD2-06E1-409D-A8DE-88DE1C8CF307}"/>
    <cellStyle name="Normal 9 2" xfId="46" xr:uid="{5E08C0B5-DDD8-444C-BE4A-29E972759DA1}"/>
    <cellStyle name="Normal_Pesquisa no referencial 10 de maio de 2013" xfId="33" xr:uid="{5BDF9E39-93F3-4030-86F4-0781D8A44777}"/>
    <cellStyle name="Porcentagem" xfId="2" builtinId="5"/>
    <cellStyle name="Porcentagem 2" xfId="36" xr:uid="{B77B4983-6887-4737-953B-12443EAF9DFC}"/>
    <cellStyle name="Porcentagem 3" xfId="10" xr:uid="{00000000-0005-0000-0000-000008000000}"/>
    <cellStyle name="Separador de milhares 2" xfId="5" xr:uid="{00000000-0005-0000-0000-00000A000000}"/>
    <cellStyle name="Separador de milhares 2 2" xfId="13" xr:uid="{00000000-0005-0000-0000-00000B000000}"/>
    <cellStyle name="Separador de milhares 2 2 2" xfId="39" xr:uid="{884472B9-DCBB-431C-B4E2-926406426E50}"/>
    <cellStyle name="Vírgula" xfId="3" builtinId="3"/>
    <cellStyle name="Vírgula 2" xfId="6" xr:uid="{00000000-0005-0000-0000-00000C000000}"/>
    <cellStyle name="Vírgula 2 2" xfId="14" xr:uid="{00000000-0005-0000-0000-00000D000000}"/>
    <cellStyle name="Vírgula 3" xfId="11" xr:uid="{00000000-0005-0000-0000-00000E000000}"/>
    <cellStyle name="Vírgula 4" xfId="32" xr:uid="{5B0047B2-9FA5-45C8-8677-26EF5D3D99A6}"/>
    <cellStyle name="Vírgula 5" xfId="19" xr:uid="{0AACBD49-4F23-4CD3-A01D-C34E6E328AB7}"/>
    <cellStyle name="Vírgula 5 2" xfId="27" xr:uid="{C8D2C5F4-327A-468B-A6F4-535F0805BFF1}"/>
  </cellStyles>
  <dxfs count="8"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condense val="0"/>
        <extend val="0"/>
      </font>
      <fill>
        <patternFill>
          <bgColor rgb="FFC0C0C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condense val="0"/>
        <extend val="0"/>
      </font>
      <fill>
        <patternFill>
          <bgColor rgb="FFC0C0C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condense val="0"/>
        <extend val="0"/>
      </font>
      <fill>
        <patternFill>
          <bgColor rgb="FFC0C0C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condense val="0"/>
        <extend val="0"/>
      </font>
      <fill>
        <patternFill>
          <bgColor rgb="FFC0C0C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33CC"/>
      <color rgb="FFFF3399"/>
      <color rgb="FFEEFB9D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5" Type="http://schemas.openxmlformats.org/officeDocument/2006/relationships/image" Target="../media/image1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7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7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9.jpe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jpeg"/><Relationship Id="rId1" Type="http://schemas.openxmlformats.org/officeDocument/2006/relationships/image" Target="../media/image20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3.jpeg"/><Relationship Id="rId2" Type="http://schemas.openxmlformats.org/officeDocument/2006/relationships/image" Target="../media/image22.jpeg"/><Relationship Id="rId1" Type="http://schemas.openxmlformats.org/officeDocument/2006/relationships/image" Target="../media/image21.jpeg"/><Relationship Id="rId4" Type="http://schemas.openxmlformats.org/officeDocument/2006/relationships/image" Target="../media/image24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5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6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9.jpe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jpeg"/><Relationship Id="rId1" Type="http://schemas.openxmlformats.org/officeDocument/2006/relationships/image" Target="../media/image20.pn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3.jpeg"/><Relationship Id="rId2" Type="http://schemas.openxmlformats.org/officeDocument/2006/relationships/image" Target="../media/image22.jpeg"/><Relationship Id="rId1" Type="http://schemas.openxmlformats.org/officeDocument/2006/relationships/image" Target="../media/image21.jpeg"/><Relationship Id="rId4" Type="http://schemas.openxmlformats.org/officeDocument/2006/relationships/image" Target="../media/image24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5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6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238125</xdr:colOff>
      <xdr:row>1</xdr:row>
      <xdr:rowOff>66675</xdr:rowOff>
    </xdr:from>
    <xdr:ext cx="724559" cy="670711"/>
    <xdr:pic>
      <xdr:nvPicPr>
        <xdr:cNvPr id="2" name="Imagem 2" descr="NOVO - Logo-PMC.03.julho.13.jpg">
          <a:extLst>
            <a:ext uri="{FF2B5EF4-FFF2-40B4-BE49-F238E27FC236}">
              <a16:creationId xmlns:a16="http://schemas.microsoft.com/office/drawing/2014/main" id="{7A411685-301C-4DB8-A788-1BCD6E9EB8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38125" y="66675"/>
          <a:ext cx="724559" cy="6707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238125</xdr:colOff>
      <xdr:row>1</xdr:row>
      <xdr:rowOff>66675</xdr:rowOff>
    </xdr:from>
    <xdr:ext cx="724559" cy="670711"/>
    <xdr:pic>
      <xdr:nvPicPr>
        <xdr:cNvPr id="2" name="Imagem 2" descr="NOVO - Logo-PMC.03.julho.13.jpg">
          <a:extLst>
            <a:ext uri="{FF2B5EF4-FFF2-40B4-BE49-F238E27FC236}">
              <a16:creationId xmlns:a16="http://schemas.microsoft.com/office/drawing/2014/main" id="{2A2BF810-700B-40A0-9B37-0B186A629E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2450" y="238125"/>
          <a:ext cx="724559" cy="6707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6010655" y="241300"/>
    <xdr:ext cx="428244" cy="105156"/>
    <xdr:pic>
      <xdr:nvPicPr>
        <xdr:cNvPr id="2" name="image1.png">
          <a:extLst>
            <a:ext uri="{FF2B5EF4-FFF2-40B4-BE49-F238E27FC236}">
              <a16:creationId xmlns:a16="http://schemas.microsoft.com/office/drawing/2014/main" id="{F0AE3DBB-33B9-4E10-8E27-7BE6EC206A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10655" y="241300"/>
          <a:ext cx="428244" cy="105156"/>
        </a:xfrm>
        <a:prstGeom prst="rect">
          <a:avLst/>
        </a:prstGeom>
      </xdr:spPr>
    </xdr:pic>
    <xdr:clientData/>
  </xdr:absoluteAnchor>
  <xdr:oneCellAnchor>
    <xdr:from>
      <xdr:col>1</xdr:col>
      <xdr:colOff>285241</xdr:colOff>
      <xdr:row>1</xdr:row>
      <xdr:rowOff>0</xdr:rowOff>
    </xdr:from>
    <xdr:ext cx="507492" cy="120396"/>
    <xdr:pic>
      <xdr:nvPicPr>
        <xdr:cNvPr id="3" name="image6.png">
          <a:extLst>
            <a:ext uri="{FF2B5EF4-FFF2-40B4-BE49-F238E27FC236}">
              <a16:creationId xmlns:a16="http://schemas.microsoft.com/office/drawing/2014/main" id="{257D92AA-07C8-48CC-A411-6CD4BA43F1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6731" y="114300"/>
          <a:ext cx="507492" cy="120396"/>
        </a:xfrm>
        <a:prstGeom prst="rect">
          <a:avLst/>
        </a:prstGeom>
      </xdr:spPr>
    </xdr:pic>
    <xdr:clientData/>
  </xdr:oneCellAnchor>
  <xdr:oneCellAnchor>
    <xdr:from>
      <xdr:col>4</xdr:col>
      <xdr:colOff>271018</xdr:colOff>
      <xdr:row>0</xdr:row>
      <xdr:rowOff>0</xdr:rowOff>
    </xdr:from>
    <xdr:ext cx="1129284" cy="103632"/>
    <xdr:pic>
      <xdr:nvPicPr>
        <xdr:cNvPr id="4" name="image7.png">
          <a:extLst>
            <a:ext uri="{FF2B5EF4-FFF2-40B4-BE49-F238E27FC236}">
              <a16:creationId xmlns:a16="http://schemas.microsoft.com/office/drawing/2014/main" id="{AB66FC1F-679F-49C1-8013-5D1291131C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80178" y="0"/>
          <a:ext cx="1129284" cy="103632"/>
        </a:xfrm>
        <a:prstGeom prst="rect">
          <a:avLst/>
        </a:prstGeom>
      </xdr:spPr>
    </xdr:pic>
    <xdr:clientData/>
  </xdr:oneCellAnchor>
  <xdr:oneCellAnchor>
    <xdr:from>
      <xdr:col>1</xdr:col>
      <xdr:colOff>1202690</xdr:colOff>
      <xdr:row>3</xdr:row>
      <xdr:rowOff>41909</xdr:rowOff>
    </xdr:from>
    <xdr:ext cx="563880" cy="80772"/>
    <xdr:pic>
      <xdr:nvPicPr>
        <xdr:cNvPr id="5" name="image8.png">
          <a:extLst>
            <a:ext uri="{FF2B5EF4-FFF2-40B4-BE49-F238E27FC236}">
              <a16:creationId xmlns:a16="http://schemas.microsoft.com/office/drawing/2014/main" id="{29B71D5A-B1E0-455C-BF62-1F21DEE1EE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4180" y="392429"/>
          <a:ext cx="563880" cy="80772"/>
        </a:xfrm>
        <a:prstGeom prst="rect">
          <a:avLst/>
        </a:prstGeom>
      </xdr:spPr>
    </xdr:pic>
    <xdr:clientData/>
  </xdr:oneCellAnchor>
  <xdr:oneCellAnchor>
    <xdr:from>
      <xdr:col>1</xdr:col>
      <xdr:colOff>1861057</xdr:colOff>
      <xdr:row>3</xdr:row>
      <xdr:rowOff>41909</xdr:rowOff>
    </xdr:from>
    <xdr:ext cx="408432" cy="80772"/>
    <xdr:pic>
      <xdr:nvPicPr>
        <xdr:cNvPr id="6" name="image9.png">
          <a:extLst>
            <a:ext uri="{FF2B5EF4-FFF2-40B4-BE49-F238E27FC236}">
              <a16:creationId xmlns:a16="http://schemas.microsoft.com/office/drawing/2014/main" id="{6DC9816A-47E6-4DF9-85B1-3FD22E0134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0642" y="392429"/>
          <a:ext cx="408432" cy="80772"/>
        </a:xfrm>
        <a:prstGeom prst="rect">
          <a:avLst/>
        </a:prstGeom>
      </xdr:spPr>
    </xdr:pic>
    <xdr:clientData/>
  </xdr:oneCellAnchor>
  <xdr:oneCellAnchor>
    <xdr:from>
      <xdr:col>1</xdr:col>
      <xdr:colOff>2363978</xdr:colOff>
      <xdr:row>3</xdr:row>
      <xdr:rowOff>41909</xdr:rowOff>
    </xdr:from>
    <xdr:ext cx="341376" cy="80772"/>
    <xdr:pic>
      <xdr:nvPicPr>
        <xdr:cNvPr id="7" name="image10.png">
          <a:extLst>
            <a:ext uri="{FF2B5EF4-FFF2-40B4-BE49-F238E27FC236}">
              <a16:creationId xmlns:a16="http://schemas.microsoft.com/office/drawing/2014/main" id="{96DADE54-8214-4D97-AEFB-0D418B2D89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1658" y="392429"/>
          <a:ext cx="341376" cy="80772"/>
        </a:xfrm>
        <a:prstGeom prst="rect">
          <a:avLst/>
        </a:prstGeom>
      </xdr:spPr>
    </xdr:pic>
    <xdr:clientData/>
  </xdr:oneCellAnchor>
  <xdr:oneCellAnchor>
    <xdr:from>
      <xdr:col>2</xdr:col>
      <xdr:colOff>228472</xdr:colOff>
      <xdr:row>3</xdr:row>
      <xdr:rowOff>41909</xdr:rowOff>
    </xdr:from>
    <xdr:ext cx="71755" cy="79375"/>
    <xdr:sp macro="" textlink="">
      <xdr:nvSpPr>
        <xdr:cNvPr id="8" name="Shape 12">
          <a:extLst>
            <a:ext uri="{FF2B5EF4-FFF2-40B4-BE49-F238E27FC236}">
              <a16:creationId xmlns:a16="http://schemas.microsoft.com/office/drawing/2014/main" id="{C3724E80-9B2E-4A22-9AF9-F5CE94CB6241}"/>
            </a:ext>
          </a:extLst>
        </xdr:cNvPr>
        <xdr:cNvSpPr/>
      </xdr:nvSpPr>
      <xdr:spPr>
        <a:xfrm>
          <a:off x="3413632" y="392429"/>
          <a:ext cx="71755" cy="79375"/>
        </a:xfrm>
        <a:custGeom>
          <a:avLst/>
          <a:gdLst/>
          <a:ahLst/>
          <a:cxnLst/>
          <a:rect l="0" t="0" r="0" b="0"/>
          <a:pathLst>
            <a:path w="71755" h="79375">
              <a:moveTo>
                <a:pt x="39624" y="1524"/>
              </a:moveTo>
              <a:lnTo>
                <a:pt x="30480" y="1524"/>
              </a:lnTo>
              <a:lnTo>
                <a:pt x="32004" y="0"/>
              </a:lnTo>
              <a:lnTo>
                <a:pt x="36576" y="0"/>
              </a:lnTo>
              <a:lnTo>
                <a:pt x="39624" y="1524"/>
              </a:lnTo>
              <a:close/>
            </a:path>
            <a:path w="71755" h="79375">
              <a:moveTo>
                <a:pt x="13716" y="79248"/>
              </a:moveTo>
              <a:lnTo>
                <a:pt x="0" y="79248"/>
              </a:lnTo>
              <a:lnTo>
                <a:pt x="0" y="73152"/>
              </a:lnTo>
              <a:lnTo>
                <a:pt x="24384" y="4572"/>
              </a:lnTo>
              <a:lnTo>
                <a:pt x="24384" y="3048"/>
              </a:lnTo>
              <a:lnTo>
                <a:pt x="25908" y="1524"/>
              </a:lnTo>
              <a:lnTo>
                <a:pt x="45720" y="1524"/>
              </a:lnTo>
              <a:lnTo>
                <a:pt x="45720" y="4572"/>
              </a:lnTo>
              <a:lnTo>
                <a:pt x="50054" y="16764"/>
              </a:lnTo>
              <a:lnTo>
                <a:pt x="35052" y="16764"/>
              </a:lnTo>
              <a:lnTo>
                <a:pt x="22860" y="48768"/>
              </a:lnTo>
              <a:lnTo>
                <a:pt x="61434" y="48768"/>
              </a:lnTo>
              <a:lnTo>
                <a:pt x="65769" y="60960"/>
              </a:lnTo>
              <a:lnTo>
                <a:pt x="19812" y="60960"/>
              </a:lnTo>
              <a:lnTo>
                <a:pt x="15240" y="76200"/>
              </a:lnTo>
              <a:lnTo>
                <a:pt x="15240" y="77724"/>
              </a:lnTo>
              <a:lnTo>
                <a:pt x="13716" y="77724"/>
              </a:lnTo>
              <a:lnTo>
                <a:pt x="13716" y="79248"/>
              </a:lnTo>
              <a:close/>
            </a:path>
            <a:path w="71755" h="79375">
              <a:moveTo>
                <a:pt x="61434" y="48768"/>
              </a:moveTo>
              <a:lnTo>
                <a:pt x="45720" y="48768"/>
              </a:lnTo>
              <a:lnTo>
                <a:pt x="35052" y="16764"/>
              </a:lnTo>
              <a:lnTo>
                <a:pt x="50054" y="16764"/>
              </a:lnTo>
              <a:lnTo>
                <a:pt x="61434" y="48768"/>
              </a:lnTo>
              <a:close/>
            </a:path>
            <a:path w="71755" h="79375">
              <a:moveTo>
                <a:pt x="70104" y="79248"/>
              </a:moveTo>
              <a:lnTo>
                <a:pt x="54864" y="79248"/>
              </a:lnTo>
              <a:lnTo>
                <a:pt x="54864" y="77724"/>
              </a:lnTo>
              <a:lnTo>
                <a:pt x="48768" y="60960"/>
              </a:lnTo>
              <a:lnTo>
                <a:pt x="65769" y="60960"/>
              </a:lnTo>
              <a:lnTo>
                <a:pt x="70104" y="73152"/>
              </a:lnTo>
              <a:lnTo>
                <a:pt x="70104" y="74676"/>
              </a:lnTo>
              <a:lnTo>
                <a:pt x="71628" y="76200"/>
              </a:lnTo>
              <a:lnTo>
                <a:pt x="71628" y="77724"/>
              </a:lnTo>
              <a:lnTo>
                <a:pt x="70104" y="79248"/>
              </a:lnTo>
              <a:close/>
            </a:path>
          </a:pathLst>
        </a:custGeom>
        <a:solidFill>
          <a:srgbClr val="FFFFFF"/>
        </a:solidFill>
      </xdr:spPr>
    </xdr:sp>
    <xdr:clientData/>
  </xdr:oneCellAnchor>
  <xdr:oneCellAnchor>
    <xdr:from>
      <xdr:col>2</xdr:col>
      <xdr:colOff>394589</xdr:colOff>
      <xdr:row>3</xdr:row>
      <xdr:rowOff>20573</xdr:rowOff>
    </xdr:from>
    <xdr:ext cx="252984" cy="102108"/>
    <xdr:pic>
      <xdr:nvPicPr>
        <xdr:cNvPr id="9" name="image11.png">
          <a:extLst>
            <a:ext uri="{FF2B5EF4-FFF2-40B4-BE49-F238E27FC236}">
              <a16:creationId xmlns:a16="http://schemas.microsoft.com/office/drawing/2014/main" id="{1384B4C0-8746-4E6B-BD31-8BFF5E2340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7844" y="374903"/>
          <a:ext cx="252984" cy="102108"/>
        </a:xfrm>
        <a:prstGeom prst="rect">
          <a:avLst/>
        </a:prstGeom>
      </xdr:spPr>
    </xdr:pic>
    <xdr:clientData/>
  </xdr:oneCellAnchor>
  <xdr:oneCellAnchor>
    <xdr:from>
      <xdr:col>3</xdr:col>
      <xdr:colOff>13957</xdr:colOff>
      <xdr:row>3</xdr:row>
      <xdr:rowOff>43433</xdr:rowOff>
    </xdr:from>
    <xdr:ext cx="127000" cy="78105"/>
    <xdr:sp macro="" textlink="">
      <xdr:nvSpPr>
        <xdr:cNvPr id="10" name="Shape 14">
          <a:extLst>
            <a:ext uri="{FF2B5EF4-FFF2-40B4-BE49-F238E27FC236}">
              <a16:creationId xmlns:a16="http://schemas.microsoft.com/office/drawing/2014/main" id="{91C92951-5A77-4D9B-A555-9401D76D86FC}"/>
            </a:ext>
          </a:extLst>
        </xdr:cNvPr>
        <xdr:cNvSpPr/>
      </xdr:nvSpPr>
      <xdr:spPr>
        <a:xfrm>
          <a:off x="3959212" y="392048"/>
          <a:ext cx="127000" cy="78105"/>
        </a:xfrm>
        <a:custGeom>
          <a:avLst/>
          <a:gdLst/>
          <a:ahLst/>
          <a:cxnLst/>
          <a:rect l="0" t="0" r="0" b="0"/>
          <a:pathLst>
            <a:path w="127000" h="78105">
              <a:moveTo>
                <a:pt x="65544" y="32016"/>
              </a:moveTo>
              <a:lnTo>
                <a:pt x="48768" y="4064"/>
              </a:lnTo>
              <a:lnTo>
                <a:pt x="48768" y="30492"/>
              </a:lnTo>
              <a:lnTo>
                <a:pt x="48768" y="45732"/>
              </a:lnTo>
              <a:lnTo>
                <a:pt x="47244" y="50304"/>
              </a:lnTo>
              <a:lnTo>
                <a:pt x="44196" y="56400"/>
              </a:lnTo>
              <a:lnTo>
                <a:pt x="42672" y="57924"/>
              </a:lnTo>
              <a:lnTo>
                <a:pt x="41148" y="60972"/>
              </a:lnTo>
              <a:lnTo>
                <a:pt x="35052" y="64020"/>
              </a:lnTo>
              <a:lnTo>
                <a:pt x="32004" y="64020"/>
              </a:lnTo>
              <a:lnTo>
                <a:pt x="28956" y="65544"/>
              </a:lnTo>
              <a:lnTo>
                <a:pt x="15240" y="65544"/>
              </a:lnTo>
              <a:lnTo>
                <a:pt x="15240" y="12192"/>
              </a:lnTo>
              <a:lnTo>
                <a:pt x="32004" y="12192"/>
              </a:lnTo>
              <a:lnTo>
                <a:pt x="41148" y="16764"/>
              </a:lnTo>
              <a:lnTo>
                <a:pt x="42672" y="19812"/>
              </a:lnTo>
              <a:lnTo>
                <a:pt x="44196" y="21336"/>
              </a:lnTo>
              <a:lnTo>
                <a:pt x="48768" y="30492"/>
              </a:lnTo>
              <a:lnTo>
                <a:pt x="48768" y="4064"/>
              </a:lnTo>
              <a:lnTo>
                <a:pt x="47244" y="3048"/>
              </a:lnTo>
              <a:lnTo>
                <a:pt x="38100" y="0"/>
              </a:lnTo>
              <a:lnTo>
                <a:pt x="3048" y="0"/>
              </a:lnTo>
              <a:lnTo>
                <a:pt x="1524" y="1524"/>
              </a:lnTo>
              <a:lnTo>
                <a:pt x="0" y="1524"/>
              </a:lnTo>
              <a:lnTo>
                <a:pt x="0" y="76212"/>
              </a:lnTo>
              <a:lnTo>
                <a:pt x="1524" y="76212"/>
              </a:lnTo>
              <a:lnTo>
                <a:pt x="3048" y="77736"/>
              </a:lnTo>
              <a:lnTo>
                <a:pt x="30480" y="77736"/>
              </a:lnTo>
              <a:lnTo>
                <a:pt x="36576" y="76212"/>
              </a:lnTo>
              <a:lnTo>
                <a:pt x="50292" y="71640"/>
              </a:lnTo>
              <a:lnTo>
                <a:pt x="53340" y="68592"/>
              </a:lnTo>
              <a:lnTo>
                <a:pt x="57912" y="65544"/>
              </a:lnTo>
              <a:lnTo>
                <a:pt x="60960" y="60972"/>
              </a:lnTo>
              <a:lnTo>
                <a:pt x="62484" y="56400"/>
              </a:lnTo>
              <a:lnTo>
                <a:pt x="65544" y="44208"/>
              </a:lnTo>
              <a:lnTo>
                <a:pt x="65544" y="32016"/>
              </a:lnTo>
              <a:close/>
            </a:path>
            <a:path w="127000" h="78105">
              <a:moveTo>
                <a:pt x="126504" y="1524"/>
              </a:moveTo>
              <a:lnTo>
                <a:pt x="124968" y="1524"/>
              </a:lnTo>
              <a:lnTo>
                <a:pt x="124968" y="0"/>
              </a:lnTo>
              <a:lnTo>
                <a:pt x="82296" y="0"/>
              </a:lnTo>
              <a:lnTo>
                <a:pt x="82296" y="1524"/>
              </a:lnTo>
              <a:lnTo>
                <a:pt x="80772" y="1524"/>
              </a:lnTo>
              <a:lnTo>
                <a:pt x="80772" y="76212"/>
              </a:lnTo>
              <a:lnTo>
                <a:pt x="82296" y="76212"/>
              </a:lnTo>
              <a:lnTo>
                <a:pt x="82296" y="77736"/>
              </a:lnTo>
              <a:lnTo>
                <a:pt x="124968" y="77736"/>
              </a:lnTo>
              <a:lnTo>
                <a:pt x="124968" y="76212"/>
              </a:lnTo>
              <a:lnTo>
                <a:pt x="126504" y="76212"/>
              </a:lnTo>
              <a:lnTo>
                <a:pt x="126504" y="67056"/>
              </a:lnTo>
              <a:lnTo>
                <a:pt x="124968" y="65532"/>
              </a:lnTo>
              <a:lnTo>
                <a:pt x="96012" y="65532"/>
              </a:lnTo>
              <a:lnTo>
                <a:pt x="96012" y="42672"/>
              </a:lnTo>
              <a:lnTo>
                <a:pt x="120396" y="42672"/>
              </a:lnTo>
              <a:lnTo>
                <a:pt x="121920" y="41148"/>
              </a:lnTo>
              <a:lnTo>
                <a:pt x="121920" y="32004"/>
              </a:lnTo>
              <a:lnTo>
                <a:pt x="120396" y="32004"/>
              </a:lnTo>
              <a:lnTo>
                <a:pt x="120396" y="30480"/>
              </a:lnTo>
              <a:lnTo>
                <a:pt x="96012" y="30480"/>
              </a:lnTo>
              <a:lnTo>
                <a:pt x="96012" y="12192"/>
              </a:lnTo>
              <a:lnTo>
                <a:pt x="124968" y="12192"/>
              </a:lnTo>
              <a:lnTo>
                <a:pt x="124968" y="10668"/>
              </a:lnTo>
              <a:lnTo>
                <a:pt x="126504" y="9144"/>
              </a:lnTo>
              <a:lnTo>
                <a:pt x="126504" y="1524"/>
              </a:lnTo>
              <a:close/>
            </a:path>
          </a:pathLst>
        </a:custGeom>
        <a:solidFill>
          <a:srgbClr val="FFFFFF"/>
        </a:solidFill>
      </xdr:spPr>
    </xdr:sp>
    <xdr:clientData/>
  </xdr:oneCellAnchor>
  <xdr:oneCellAnchor>
    <xdr:from>
      <xdr:col>3</xdr:col>
      <xdr:colOff>236474</xdr:colOff>
      <xdr:row>3</xdr:row>
      <xdr:rowOff>41909</xdr:rowOff>
    </xdr:from>
    <xdr:ext cx="300228" cy="80772"/>
    <xdr:pic>
      <xdr:nvPicPr>
        <xdr:cNvPr id="11" name="image12.png">
          <a:extLst>
            <a:ext uri="{FF2B5EF4-FFF2-40B4-BE49-F238E27FC236}">
              <a16:creationId xmlns:a16="http://schemas.microsoft.com/office/drawing/2014/main" id="{8C056FB3-9B0B-400A-A1C1-1CD23613D6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81729" y="392429"/>
          <a:ext cx="300228" cy="80772"/>
        </a:xfrm>
        <a:prstGeom prst="rect">
          <a:avLst/>
        </a:prstGeom>
      </xdr:spPr>
    </xdr:pic>
    <xdr:clientData/>
  </xdr:oneCellAnchor>
  <xdr:oneCellAnchor>
    <xdr:from>
      <xdr:col>1</xdr:col>
      <xdr:colOff>2278634</xdr:colOff>
      <xdr:row>36</xdr:row>
      <xdr:rowOff>41147</xdr:rowOff>
    </xdr:from>
    <xdr:ext cx="373380" cy="80772"/>
    <xdr:pic>
      <xdr:nvPicPr>
        <xdr:cNvPr id="12" name="image13.png">
          <a:extLst>
            <a:ext uri="{FF2B5EF4-FFF2-40B4-BE49-F238E27FC236}">
              <a16:creationId xmlns:a16="http://schemas.microsoft.com/office/drawing/2014/main" id="{6BED6E47-582F-4291-9FDC-CDEAACD6A1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68219" y="6670547"/>
          <a:ext cx="373380" cy="80772"/>
        </a:xfrm>
        <a:prstGeom prst="rect">
          <a:avLst/>
        </a:prstGeom>
      </xdr:spPr>
    </xdr:pic>
    <xdr:clientData/>
  </xdr:oneCellAnchor>
  <xdr:oneCellAnchor>
    <xdr:from>
      <xdr:col>2</xdr:col>
      <xdr:colOff>127889</xdr:colOff>
      <xdr:row>36</xdr:row>
      <xdr:rowOff>42671</xdr:rowOff>
    </xdr:from>
    <xdr:ext cx="66040" cy="78105"/>
    <xdr:sp macro="" textlink="">
      <xdr:nvSpPr>
        <xdr:cNvPr id="13" name="Shape 17">
          <a:extLst>
            <a:ext uri="{FF2B5EF4-FFF2-40B4-BE49-F238E27FC236}">
              <a16:creationId xmlns:a16="http://schemas.microsoft.com/office/drawing/2014/main" id="{0DB44E0C-C9E9-47DB-9136-B3EE4918BEF8}"/>
            </a:ext>
          </a:extLst>
        </xdr:cNvPr>
        <xdr:cNvSpPr/>
      </xdr:nvSpPr>
      <xdr:spPr>
        <a:xfrm>
          <a:off x="3311144" y="6672071"/>
          <a:ext cx="66040" cy="78105"/>
        </a:xfrm>
        <a:custGeom>
          <a:avLst/>
          <a:gdLst/>
          <a:ahLst/>
          <a:cxnLst/>
          <a:rect l="0" t="0" r="0" b="0"/>
          <a:pathLst>
            <a:path w="66040" h="78105">
              <a:moveTo>
                <a:pt x="36576" y="77724"/>
              </a:moveTo>
              <a:lnTo>
                <a:pt x="3048" y="77724"/>
              </a:lnTo>
              <a:lnTo>
                <a:pt x="0" y="74676"/>
              </a:lnTo>
              <a:lnTo>
                <a:pt x="0" y="3048"/>
              </a:lnTo>
              <a:lnTo>
                <a:pt x="3048" y="0"/>
              </a:lnTo>
              <a:lnTo>
                <a:pt x="32004" y="0"/>
              </a:lnTo>
              <a:lnTo>
                <a:pt x="38100" y="1524"/>
              </a:lnTo>
              <a:lnTo>
                <a:pt x="51816" y="6096"/>
              </a:lnTo>
              <a:lnTo>
                <a:pt x="54864" y="9144"/>
              </a:lnTo>
              <a:lnTo>
                <a:pt x="59436" y="12192"/>
              </a:lnTo>
              <a:lnTo>
                <a:pt x="16764" y="12192"/>
              </a:lnTo>
              <a:lnTo>
                <a:pt x="16764" y="65532"/>
              </a:lnTo>
              <a:lnTo>
                <a:pt x="57912" y="65532"/>
              </a:lnTo>
              <a:lnTo>
                <a:pt x="51816" y="71628"/>
              </a:lnTo>
              <a:lnTo>
                <a:pt x="47244" y="74676"/>
              </a:lnTo>
              <a:lnTo>
                <a:pt x="42672" y="76200"/>
              </a:lnTo>
              <a:lnTo>
                <a:pt x="36576" y="77724"/>
              </a:lnTo>
              <a:close/>
            </a:path>
            <a:path w="66040" h="78105">
              <a:moveTo>
                <a:pt x="57912" y="65532"/>
              </a:moveTo>
              <a:lnTo>
                <a:pt x="33528" y="65532"/>
              </a:lnTo>
              <a:lnTo>
                <a:pt x="35052" y="64008"/>
              </a:lnTo>
              <a:lnTo>
                <a:pt x="41148" y="60960"/>
              </a:lnTo>
              <a:lnTo>
                <a:pt x="42672" y="57912"/>
              </a:lnTo>
              <a:lnTo>
                <a:pt x="45720" y="56388"/>
              </a:lnTo>
              <a:lnTo>
                <a:pt x="47244" y="53340"/>
              </a:lnTo>
              <a:lnTo>
                <a:pt x="47244" y="50292"/>
              </a:lnTo>
              <a:lnTo>
                <a:pt x="48768" y="47244"/>
              </a:lnTo>
              <a:lnTo>
                <a:pt x="48768" y="32004"/>
              </a:lnTo>
              <a:lnTo>
                <a:pt x="47244" y="27432"/>
              </a:lnTo>
              <a:lnTo>
                <a:pt x="47244" y="24384"/>
              </a:lnTo>
              <a:lnTo>
                <a:pt x="45720" y="22860"/>
              </a:lnTo>
              <a:lnTo>
                <a:pt x="44196" y="19812"/>
              </a:lnTo>
              <a:lnTo>
                <a:pt x="39624" y="15240"/>
              </a:lnTo>
              <a:lnTo>
                <a:pt x="36576" y="13716"/>
              </a:lnTo>
              <a:lnTo>
                <a:pt x="33528" y="13716"/>
              </a:lnTo>
              <a:lnTo>
                <a:pt x="28956" y="12192"/>
              </a:lnTo>
              <a:lnTo>
                <a:pt x="59436" y="12192"/>
              </a:lnTo>
              <a:lnTo>
                <a:pt x="64008" y="25908"/>
              </a:lnTo>
              <a:lnTo>
                <a:pt x="65532" y="32004"/>
              </a:lnTo>
              <a:lnTo>
                <a:pt x="65532" y="45720"/>
              </a:lnTo>
              <a:lnTo>
                <a:pt x="64008" y="51816"/>
              </a:lnTo>
              <a:lnTo>
                <a:pt x="60960" y="60960"/>
              </a:lnTo>
              <a:lnTo>
                <a:pt x="57912" y="65532"/>
              </a:lnTo>
              <a:close/>
            </a:path>
          </a:pathLst>
        </a:custGeom>
        <a:solidFill>
          <a:srgbClr val="FFFFFF"/>
        </a:solidFill>
      </xdr:spPr>
    </xdr:sp>
    <xdr:clientData/>
  </xdr:oneCellAnchor>
  <xdr:oneCellAnchor>
    <xdr:from>
      <xdr:col>1</xdr:col>
      <xdr:colOff>617473</xdr:colOff>
      <xdr:row>40</xdr:row>
      <xdr:rowOff>35051</xdr:rowOff>
    </xdr:from>
    <xdr:ext cx="862584" cy="106680"/>
    <xdr:pic>
      <xdr:nvPicPr>
        <xdr:cNvPr id="14" name="image14.png">
          <a:extLst>
            <a:ext uri="{FF2B5EF4-FFF2-40B4-BE49-F238E27FC236}">
              <a16:creationId xmlns:a16="http://schemas.microsoft.com/office/drawing/2014/main" id="{3AEDD616-21E4-498A-8E46-75661696AB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3248" y="8020811"/>
          <a:ext cx="862584" cy="106680"/>
        </a:xfrm>
        <a:prstGeom prst="rect">
          <a:avLst/>
        </a:prstGeom>
      </xdr:spPr>
    </xdr:pic>
    <xdr:clientData/>
  </xdr:oneCellAnchor>
  <xdr:oneCellAnchor>
    <xdr:from>
      <xdr:col>4</xdr:col>
      <xdr:colOff>219303</xdr:colOff>
      <xdr:row>4</xdr:row>
      <xdr:rowOff>21336</xdr:rowOff>
    </xdr:from>
    <xdr:ext cx="1036320" cy="121920"/>
    <xdr:pic>
      <xdr:nvPicPr>
        <xdr:cNvPr id="15" name="image15.png">
          <a:extLst>
            <a:ext uri="{FF2B5EF4-FFF2-40B4-BE49-F238E27FC236}">
              <a16:creationId xmlns:a16="http://schemas.microsoft.com/office/drawing/2014/main" id="{E16CC45B-86CB-4884-AC60-7B4F6FA4C1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30368" y="535686"/>
          <a:ext cx="1036320" cy="121920"/>
        </a:xfrm>
        <a:prstGeom prst="rect">
          <a:avLst/>
        </a:prstGeom>
      </xdr:spPr>
    </xdr:pic>
    <xdr:clientData/>
  </xdr:oneCellAnchor>
  <xdr:oneCellAnchor>
    <xdr:from>
      <xdr:col>2</xdr:col>
      <xdr:colOff>198881</xdr:colOff>
      <xdr:row>4</xdr:row>
      <xdr:rowOff>21336</xdr:rowOff>
    </xdr:from>
    <xdr:ext cx="1071372" cy="121920"/>
    <xdr:pic>
      <xdr:nvPicPr>
        <xdr:cNvPr id="16" name="image16.png">
          <a:extLst>
            <a:ext uri="{FF2B5EF4-FFF2-40B4-BE49-F238E27FC236}">
              <a16:creationId xmlns:a16="http://schemas.microsoft.com/office/drawing/2014/main" id="{C029C0AF-EE3C-40E4-8F40-BA06983F98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82136" y="535686"/>
          <a:ext cx="1071372" cy="121920"/>
        </a:xfrm>
        <a:prstGeom prst="rect">
          <a:avLst/>
        </a:prstGeom>
      </xdr:spPr>
    </xdr:pic>
    <xdr:clientData/>
  </xdr:oneCellAnchor>
  <xdr:oneCellAnchor>
    <xdr:from>
      <xdr:col>1</xdr:col>
      <xdr:colOff>2286253</xdr:colOff>
      <xdr:row>6</xdr:row>
      <xdr:rowOff>41147</xdr:rowOff>
    </xdr:from>
    <xdr:ext cx="485140" cy="81280"/>
    <xdr:grpSp>
      <xdr:nvGrpSpPr>
        <xdr:cNvPr id="17" name="Group 21">
          <a:extLst>
            <a:ext uri="{FF2B5EF4-FFF2-40B4-BE49-F238E27FC236}">
              <a16:creationId xmlns:a16="http://schemas.microsoft.com/office/drawing/2014/main" id="{606A3631-ED85-422F-BE10-25EE2E1E711F}"/>
            </a:ext>
          </a:extLst>
        </xdr:cNvPr>
        <xdr:cNvGrpSpPr/>
      </xdr:nvGrpSpPr>
      <xdr:grpSpPr>
        <a:xfrm>
          <a:off x="2924428" y="1050797"/>
          <a:ext cx="485140" cy="81280"/>
          <a:chOff x="0" y="0"/>
          <a:chExt cx="485140" cy="81280"/>
        </a:xfrm>
      </xdr:grpSpPr>
      <xdr:pic>
        <xdr:nvPicPr>
          <xdr:cNvPr id="18" name="image17.png">
            <a:extLst>
              <a:ext uri="{FF2B5EF4-FFF2-40B4-BE49-F238E27FC236}">
                <a16:creationId xmlns:a16="http://schemas.microsoft.com/office/drawing/2014/main" id="{404C0B1C-560E-6F31-F85A-ABC025BC066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373380" cy="80772"/>
          </a:xfrm>
          <a:prstGeom prst="rect">
            <a:avLst/>
          </a:prstGeom>
        </xdr:spPr>
      </xdr:pic>
      <xdr:sp macro="" textlink="">
        <xdr:nvSpPr>
          <xdr:cNvPr id="19" name="Shape 23">
            <a:extLst>
              <a:ext uri="{FF2B5EF4-FFF2-40B4-BE49-F238E27FC236}">
                <a16:creationId xmlns:a16="http://schemas.microsoft.com/office/drawing/2014/main" id="{AF85934B-395F-79A5-796A-45D811DC7667}"/>
              </a:ext>
            </a:extLst>
          </xdr:cNvPr>
          <xdr:cNvSpPr/>
        </xdr:nvSpPr>
        <xdr:spPr>
          <a:xfrm>
            <a:off x="413004" y="1524"/>
            <a:ext cx="71755" cy="78105"/>
          </a:xfrm>
          <a:custGeom>
            <a:avLst/>
            <a:gdLst/>
            <a:ahLst/>
            <a:cxnLst/>
            <a:rect l="0" t="0" r="0" b="0"/>
            <a:pathLst>
              <a:path w="71755" h="78105">
                <a:moveTo>
                  <a:pt x="13716" y="77724"/>
                </a:moveTo>
                <a:lnTo>
                  <a:pt x="0" y="77724"/>
                </a:lnTo>
                <a:lnTo>
                  <a:pt x="0" y="71628"/>
                </a:lnTo>
                <a:lnTo>
                  <a:pt x="24384" y="3048"/>
                </a:lnTo>
                <a:lnTo>
                  <a:pt x="24384" y="1524"/>
                </a:lnTo>
                <a:lnTo>
                  <a:pt x="25908" y="1524"/>
                </a:lnTo>
                <a:lnTo>
                  <a:pt x="25908" y="0"/>
                </a:lnTo>
                <a:lnTo>
                  <a:pt x="45720" y="0"/>
                </a:lnTo>
                <a:lnTo>
                  <a:pt x="45720" y="3048"/>
                </a:lnTo>
                <a:lnTo>
                  <a:pt x="50054" y="15240"/>
                </a:lnTo>
                <a:lnTo>
                  <a:pt x="35052" y="15240"/>
                </a:lnTo>
                <a:lnTo>
                  <a:pt x="22860" y="47244"/>
                </a:lnTo>
                <a:lnTo>
                  <a:pt x="61434" y="47244"/>
                </a:lnTo>
                <a:lnTo>
                  <a:pt x="65769" y="59436"/>
                </a:lnTo>
                <a:lnTo>
                  <a:pt x="19812" y="59436"/>
                </a:lnTo>
                <a:lnTo>
                  <a:pt x="15240" y="74676"/>
                </a:lnTo>
                <a:lnTo>
                  <a:pt x="15240" y="76200"/>
                </a:lnTo>
                <a:lnTo>
                  <a:pt x="13716" y="76200"/>
                </a:lnTo>
                <a:lnTo>
                  <a:pt x="13716" y="77724"/>
                </a:lnTo>
                <a:close/>
              </a:path>
              <a:path w="71755" h="78105">
                <a:moveTo>
                  <a:pt x="61434" y="47244"/>
                </a:moveTo>
                <a:lnTo>
                  <a:pt x="45720" y="47244"/>
                </a:lnTo>
                <a:lnTo>
                  <a:pt x="35052" y="15240"/>
                </a:lnTo>
                <a:lnTo>
                  <a:pt x="50054" y="15240"/>
                </a:lnTo>
                <a:lnTo>
                  <a:pt x="61434" y="47244"/>
                </a:lnTo>
                <a:close/>
              </a:path>
              <a:path w="71755" h="78105">
                <a:moveTo>
                  <a:pt x="70104" y="77724"/>
                </a:moveTo>
                <a:lnTo>
                  <a:pt x="54864" y="77724"/>
                </a:lnTo>
                <a:lnTo>
                  <a:pt x="54864" y="76200"/>
                </a:lnTo>
                <a:lnTo>
                  <a:pt x="48768" y="59436"/>
                </a:lnTo>
                <a:lnTo>
                  <a:pt x="65769" y="59436"/>
                </a:lnTo>
                <a:lnTo>
                  <a:pt x="70104" y="71628"/>
                </a:lnTo>
                <a:lnTo>
                  <a:pt x="71628" y="73152"/>
                </a:lnTo>
                <a:lnTo>
                  <a:pt x="71628" y="76200"/>
                </a:lnTo>
                <a:lnTo>
                  <a:pt x="70104" y="77724"/>
                </a:lnTo>
                <a:close/>
              </a:path>
            </a:pathLst>
          </a:custGeom>
          <a:solidFill>
            <a:srgbClr val="FFFFFF"/>
          </a:solidFill>
        </xdr:spPr>
      </xdr:sp>
    </xdr:grpSp>
    <xdr:clientData/>
  </xdr:oneCellAnchor>
  <xdr:oneCellAnchor>
    <xdr:from>
      <xdr:col>1</xdr:col>
      <xdr:colOff>2286253</xdr:colOff>
      <xdr:row>17</xdr:row>
      <xdr:rowOff>41147</xdr:rowOff>
    </xdr:from>
    <xdr:ext cx="475488" cy="80772"/>
    <xdr:pic>
      <xdr:nvPicPr>
        <xdr:cNvPr id="20" name="image18.png">
          <a:extLst>
            <a:ext uri="{FF2B5EF4-FFF2-40B4-BE49-F238E27FC236}">
              <a16:creationId xmlns:a16="http://schemas.microsoft.com/office/drawing/2014/main" id="{B843F569-92DB-47D3-99B3-409F71E554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73933" y="3112007"/>
          <a:ext cx="475488" cy="80772"/>
        </a:xfrm>
        <a:prstGeom prst="rect">
          <a:avLst/>
        </a:prstGeom>
      </xdr:spPr>
    </xdr:pic>
    <xdr:clientData/>
  </xdr:oneCellAnchor>
  <xdr:oneCellAnchor>
    <xdr:from>
      <xdr:col>1</xdr:col>
      <xdr:colOff>2286253</xdr:colOff>
      <xdr:row>29</xdr:row>
      <xdr:rowOff>41147</xdr:rowOff>
    </xdr:from>
    <xdr:ext cx="474345" cy="81280"/>
    <xdr:grpSp>
      <xdr:nvGrpSpPr>
        <xdr:cNvPr id="21" name="Group 25">
          <a:extLst>
            <a:ext uri="{FF2B5EF4-FFF2-40B4-BE49-F238E27FC236}">
              <a16:creationId xmlns:a16="http://schemas.microsoft.com/office/drawing/2014/main" id="{5571269F-C3FE-4778-BDC4-637B6052A0FF}"/>
            </a:ext>
          </a:extLst>
        </xdr:cNvPr>
        <xdr:cNvGrpSpPr/>
      </xdr:nvGrpSpPr>
      <xdr:grpSpPr>
        <a:xfrm>
          <a:off x="2924428" y="5375147"/>
          <a:ext cx="474345" cy="81280"/>
          <a:chOff x="0" y="0"/>
          <a:chExt cx="474345" cy="81280"/>
        </a:xfrm>
      </xdr:grpSpPr>
      <xdr:pic>
        <xdr:nvPicPr>
          <xdr:cNvPr id="22" name="image19.png">
            <a:extLst>
              <a:ext uri="{FF2B5EF4-FFF2-40B4-BE49-F238E27FC236}">
                <a16:creationId xmlns:a16="http://schemas.microsoft.com/office/drawing/2014/main" id="{5D86F836-22AC-11BA-6DA6-58352EA27FF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373380" cy="80772"/>
          </a:xfrm>
          <a:prstGeom prst="rect">
            <a:avLst/>
          </a:prstGeom>
        </xdr:spPr>
      </xdr:pic>
      <xdr:sp macro="" textlink="">
        <xdr:nvSpPr>
          <xdr:cNvPr id="23" name="Shape 27">
            <a:extLst>
              <a:ext uri="{FF2B5EF4-FFF2-40B4-BE49-F238E27FC236}">
                <a16:creationId xmlns:a16="http://schemas.microsoft.com/office/drawing/2014/main" id="{DACA34EC-FF77-4F55-D9CA-3DB81F3BD043}"/>
              </a:ext>
            </a:extLst>
          </xdr:cNvPr>
          <xdr:cNvSpPr/>
        </xdr:nvSpPr>
        <xdr:spPr>
          <a:xfrm>
            <a:off x="416051" y="0"/>
            <a:ext cx="58419" cy="81280"/>
          </a:xfrm>
          <a:custGeom>
            <a:avLst/>
            <a:gdLst/>
            <a:ahLst/>
            <a:cxnLst/>
            <a:rect l="0" t="0" r="0" b="0"/>
            <a:pathLst>
              <a:path w="58419" h="81280">
                <a:moveTo>
                  <a:pt x="39624" y="80772"/>
                </a:moveTo>
                <a:lnTo>
                  <a:pt x="28956" y="80772"/>
                </a:lnTo>
                <a:lnTo>
                  <a:pt x="15240" y="76200"/>
                </a:lnTo>
                <a:lnTo>
                  <a:pt x="6096" y="67056"/>
                </a:lnTo>
                <a:lnTo>
                  <a:pt x="3048" y="62484"/>
                </a:lnTo>
                <a:lnTo>
                  <a:pt x="0" y="53340"/>
                </a:lnTo>
                <a:lnTo>
                  <a:pt x="0" y="28956"/>
                </a:lnTo>
                <a:lnTo>
                  <a:pt x="3048" y="22860"/>
                </a:lnTo>
                <a:lnTo>
                  <a:pt x="6096" y="13716"/>
                </a:lnTo>
                <a:lnTo>
                  <a:pt x="9144" y="10668"/>
                </a:lnTo>
                <a:lnTo>
                  <a:pt x="13716" y="7620"/>
                </a:lnTo>
                <a:lnTo>
                  <a:pt x="16764" y="4572"/>
                </a:lnTo>
                <a:lnTo>
                  <a:pt x="30480" y="0"/>
                </a:lnTo>
                <a:lnTo>
                  <a:pt x="42672" y="0"/>
                </a:lnTo>
                <a:lnTo>
                  <a:pt x="44196" y="1524"/>
                </a:lnTo>
                <a:lnTo>
                  <a:pt x="47244" y="1524"/>
                </a:lnTo>
                <a:lnTo>
                  <a:pt x="48768" y="3048"/>
                </a:lnTo>
                <a:lnTo>
                  <a:pt x="50292" y="3048"/>
                </a:lnTo>
                <a:lnTo>
                  <a:pt x="51816" y="4572"/>
                </a:lnTo>
                <a:lnTo>
                  <a:pt x="54864" y="4572"/>
                </a:lnTo>
                <a:lnTo>
                  <a:pt x="54864" y="6096"/>
                </a:lnTo>
                <a:lnTo>
                  <a:pt x="56388" y="6096"/>
                </a:lnTo>
                <a:lnTo>
                  <a:pt x="56388" y="10668"/>
                </a:lnTo>
                <a:lnTo>
                  <a:pt x="57912" y="12192"/>
                </a:lnTo>
                <a:lnTo>
                  <a:pt x="57912" y="13716"/>
                </a:lnTo>
                <a:lnTo>
                  <a:pt x="30480" y="13716"/>
                </a:lnTo>
                <a:lnTo>
                  <a:pt x="28956" y="15240"/>
                </a:lnTo>
                <a:lnTo>
                  <a:pt x="25908" y="16764"/>
                </a:lnTo>
                <a:lnTo>
                  <a:pt x="24384" y="18288"/>
                </a:lnTo>
                <a:lnTo>
                  <a:pt x="21336" y="19812"/>
                </a:lnTo>
                <a:lnTo>
                  <a:pt x="18288" y="25908"/>
                </a:lnTo>
                <a:lnTo>
                  <a:pt x="18288" y="28956"/>
                </a:lnTo>
                <a:lnTo>
                  <a:pt x="16764" y="32004"/>
                </a:lnTo>
                <a:lnTo>
                  <a:pt x="16764" y="48768"/>
                </a:lnTo>
                <a:lnTo>
                  <a:pt x="19812" y="54864"/>
                </a:lnTo>
                <a:lnTo>
                  <a:pt x="19812" y="57912"/>
                </a:lnTo>
                <a:lnTo>
                  <a:pt x="25908" y="64008"/>
                </a:lnTo>
                <a:lnTo>
                  <a:pt x="28956" y="65532"/>
                </a:lnTo>
                <a:lnTo>
                  <a:pt x="30480" y="67056"/>
                </a:lnTo>
                <a:lnTo>
                  <a:pt x="57912" y="67056"/>
                </a:lnTo>
                <a:lnTo>
                  <a:pt x="57912" y="71628"/>
                </a:lnTo>
                <a:lnTo>
                  <a:pt x="56388" y="71628"/>
                </a:lnTo>
                <a:lnTo>
                  <a:pt x="56388" y="73152"/>
                </a:lnTo>
                <a:lnTo>
                  <a:pt x="53340" y="76200"/>
                </a:lnTo>
                <a:lnTo>
                  <a:pt x="51816" y="76200"/>
                </a:lnTo>
                <a:lnTo>
                  <a:pt x="50292" y="77724"/>
                </a:lnTo>
                <a:lnTo>
                  <a:pt x="48768" y="77724"/>
                </a:lnTo>
                <a:lnTo>
                  <a:pt x="47244" y="79248"/>
                </a:lnTo>
                <a:lnTo>
                  <a:pt x="42672" y="79248"/>
                </a:lnTo>
                <a:lnTo>
                  <a:pt x="39624" y="80772"/>
                </a:lnTo>
                <a:close/>
              </a:path>
              <a:path w="58419" h="81280">
                <a:moveTo>
                  <a:pt x="57912" y="15240"/>
                </a:moveTo>
                <a:lnTo>
                  <a:pt x="45720" y="15240"/>
                </a:lnTo>
                <a:lnTo>
                  <a:pt x="44196" y="13716"/>
                </a:lnTo>
                <a:lnTo>
                  <a:pt x="57912" y="13716"/>
                </a:lnTo>
                <a:lnTo>
                  <a:pt x="57912" y="15240"/>
                </a:lnTo>
                <a:close/>
              </a:path>
              <a:path w="58419" h="81280">
                <a:moveTo>
                  <a:pt x="56388" y="19812"/>
                </a:moveTo>
                <a:lnTo>
                  <a:pt x="53340" y="19812"/>
                </a:lnTo>
                <a:lnTo>
                  <a:pt x="53340" y="18288"/>
                </a:lnTo>
                <a:lnTo>
                  <a:pt x="51816" y="18288"/>
                </a:lnTo>
                <a:lnTo>
                  <a:pt x="50292" y="16764"/>
                </a:lnTo>
                <a:lnTo>
                  <a:pt x="48768" y="16764"/>
                </a:lnTo>
                <a:lnTo>
                  <a:pt x="47244" y="15240"/>
                </a:lnTo>
                <a:lnTo>
                  <a:pt x="56388" y="15240"/>
                </a:lnTo>
                <a:lnTo>
                  <a:pt x="56388" y="19812"/>
                </a:lnTo>
                <a:close/>
              </a:path>
              <a:path w="58419" h="81280">
                <a:moveTo>
                  <a:pt x="56388" y="62484"/>
                </a:moveTo>
                <a:lnTo>
                  <a:pt x="51816" y="62484"/>
                </a:lnTo>
                <a:lnTo>
                  <a:pt x="53340" y="60960"/>
                </a:lnTo>
                <a:lnTo>
                  <a:pt x="56388" y="60960"/>
                </a:lnTo>
                <a:lnTo>
                  <a:pt x="56388" y="62484"/>
                </a:lnTo>
                <a:close/>
              </a:path>
              <a:path w="58419" h="81280">
                <a:moveTo>
                  <a:pt x="57912" y="67056"/>
                </a:moveTo>
                <a:lnTo>
                  <a:pt x="42672" y="67056"/>
                </a:lnTo>
                <a:lnTo>
                  <a:pt x="44196" y="65532"/>
                </a:lnTo>
                <a:lnTo>
                  <a:pt x="45720" y="65532"/>
                </a:lnTo>
                <a:lnTo>
                  <a:pt x="48768" y="64008"/>
                </a:lnTo>
                <a:lnTo>
                  <a:pt x="50292" y="64008"/>
                </a:lnTo>
                <a:lnTo>
                  <a:pt x="50292" y="62484"/>
                </a:lnTo>
                <a:lnTo>
                  <a:pt x="57912" y="62484"/>
                </a:lnTo>
                <a:lnTo>
                  <a:pt x="57912" y="67056"/>
                </a:lnTo>
                <a:close/>
              </a:path>
            </a:pathLst>
          </a:custGeom>
          <a:solidFill>
            <a:srgbClr val="FFFFFF"/>
          </a:solidFill>
        </xdr:spPr>
      </xdr:sp>
    </xdr:grp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303498</xdr:colOff>
      <xdr:row>1</xdr:row>
      <xdr:rowOff>122083</xdr:rowOff>
    </xdr:from>
    <xdr:ext cx="637796" cy="590396"/>
    <xdr:pic>
      <xdr:nvPicPr>
        <xdr:cNvPr id="2" name="Imagem 2" descr="NOVO - Logo-PMC.03.julho.13.jpg">
          <a:extLst>
            <a:ext uri="{FF2B5EF4-FFF2-40B4-BE49-F238E27FC236}">
              <a16:creationId xmlns:a16="http://schemas.microsoft.com/office/drawing/2014/main" id="{52DC74A7-4560-4A7C-B264-B9E8DAFCEC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6057" y="290171"/>
          <a:ext cx="637796" cy="590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303498</xdr:colOff>
      <xdr:row>1</xdr:row>
      <xdr:rowOff>122083</xdr:rowOff>
    </xdr:from>
    <xdr:ext cx="637796" cy="590396"/>
    <xdr:pic>
      <xdr:nvPicPr>
        <xdr:cNvPr id="2" name="Imagem 2" descr="NOVO - Logo-PMC.03.julho.13.jpg">
          <a:extLst>
            <a:ext uri="{FF2B5EF4-FFF2-40B4-BE49-F238E27FC236}">
              <a16:creationId xmlns:a16="http://schemas.microsoft.com/office/drawing/2014/main" id="{D6F3E24F-36A5-4B62-9A8C-803EFA0591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8298" y="312583"/>
          <a:ext cx="637796" cy="590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78921</xdr:colOff>
      <xdr:row>1</xdr:row>
      <xdr:rowOff>65314</xdr:rowOff>
    </xdr:from>
    <xdr:to>
      <xdr:col>1</xdr:col>
      <xdr:colOff>608780</xdr:colOff>
      <xdr:row>3</xdr:row>
      <xdr:rowOff>73206</xdr:rowOff>
    </xdr:to>
    <xdr:pic>
      <xdr:nvPicPr>
        <xdr:cNvPr id="2" name="Imagem 2">
          <a:extLst>
            <a:ext uri="{FF2B5EF4-FFF2-40B4-BE49-F238E27FC236}">
              <a16:creationId xmlns:a16="http://schemas.microsoft.com/office/drawing/2014/main" id="{529BA54A-9B1C-463E-AA1C-BBEAC95C3C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3246" y="236764"/>
          <a:ext cx="529859" cy="5565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78921</xdr:colOff>
      <xdr:row>1</xdr:row>
      <xdr:rowOff>65314</xdr:rowOff>
    </xdr:from>
    <xdr:to>
      <xdr:col>1</xdr:col>
      <xdr:colOff>608780</xdr:colOff>
      <xdr:row>3</xdr:row>
      <xdr:rowOff>73206</xdr:rowOff>
    </xdr:to>
    <xdr:pic>
      <xdr:nvPicPr>
        <xdr:cNvPr id="2" name="Imagem 2">
          <a:extLst>
            <a:ext uri="{FF2B5EF4-FFF2-40B4-BE49-F238E27FC236}">
              <a16:creationId xmlns:a16="http://schemas.microsoft.com/office/drawing/2014/main" id="{BCECE543-6BCE-4EA8-BCB4-6155E47164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3721" y="236764"/>
          <a:ext cx="529859" cy="5603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78921</xdr:colOff>
      <xdr:row>1</xdr:row>
      <xdr:rowOff>65314</xdr:rowOff>
    </xdr:from>
    <xdr:to>
      <xdr:col>1</xdr:col>
      <xdr:colOff>608780</xdr:colOff>
      <xdr:row>3</xdr:row>
      <xdr:rowOff>73206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85FAEDB4-7A7D-4D49-9729-D1B642C019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3721" y="236764"/>
          <a:ext cx="529859" cy="5603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714376</xdr:colOff>
      <xdr:row>8</xdr:row>
      <xdr:rowOff>11334</xdr:rowOff>
    </xdr:from>
    <xdr:to>
      <xdr:col>3</xdr:col>
      <xdr:colOff>546100</xdr:colOff>
      <xdr:row>25</xdr:row>
      <xdr:rowOff>22226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839C5471-DE35-4F50-972E-4709D05B5B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4376" y="2170334"/>
          <a:ext cx="4848224" cy="2709642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152400</xdr:colOff>
      <xdr:row>1</xdr:row>
      <xdr:rowOff>123827</xdr:rowOff>
    </xdr:from>
    <xdr:to>
      <xdr:col>1</xdr:col>
      <xdr:colOff>728180</xdr:colOff>
      <xdr:row>3</xdr:row>
      <xdr:rowOff>104775</xdr:rowOff>
    </xdr:to>
    <xdr:pic>
      <xdr:nvPicPr>
        <xdr:cNvPr id="2" name="Imagem 2" descr="NOVO - Logo-PMC.03.julho.13.jpg">
          <a:extLst>
            <a:ext uri="{FF2B5EF4-FFF2-40B4-BE49-F238E27FC236}">
              <a16:creationId xmlns:a16="http://schemas.microsoft.com/office/drawing/2014/main" id="{09D419AF-4CB8-4470-8EE0-360EBB39B5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3400" y="295277"/>
          <a:ext cx="575780" cy="5143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152400</xdr:colOff>
      <xdr:row>1</xdr:row>
      <xdr:rowOff>123827</xdr:rowOff>
    </xdr:from>
    <xdr:to>
      <xdr:col>1</xdr:col>
      <xdr:colOff>728180</xdr:colOff>
      <xdr:row>3</xdr:row>
      <xdr:rowOff>104775</xdr:rowOff>
    </xdr:to>
    <xdr:pic>
      <xdr:nvPicPr>
        <xdr:cNvPr id="3" name="Imagem 2" descr="NOVO - Logo-PMC.03.julho.13.jpg">
          <a:extLst>
            <a:ext uri="{FF2B5EF4-FFF2-40B4-BE49-F238E27FC236}">
              <a16:creationId xmlns:a16="http://schemas.microsoft.com/office/drawing/2014/main" id="{13CF18A0-5F7A-4836-95D1-26EBB0DB6E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3400" y="295277"/>
          <a:ext cx="575780" cy="5143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372</xdr:row>
      <xdr:rowOff>0</xdr:rowOff>
    </xdr:from>
    <xdr:to>
      <xdr:col>1</xdr:col>
      <xdr:colOff>438150</xdr:colOff>
      <xdr:row>372</xdr:row>
      <xdr:rowOff>0</xdr:rowOff>
    </xdr:to>
    <xdr:pic>
      <xdr:nvPicPr>
        <xdr:cNvPr id="2" name="Picture 3" descr="logo">
          <a:extLst>
            <a:ext uri="{FF2B5EF4-FFF2-40B4-BE49-F238E27FC236}">
              <a16:creationId xmlns:a16="http://schemas.microsoft.com/office/drawing/2014/main" id="{92F440C5-F1EA-4B62-91E6-8E0E001B7D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90575" y="99917250"/>
          <a:ext cx="419100" cy="0"/>
        </a:xfrm>
        <a:prstGeom prst="rect">
          <a:avLst/>
        </a:prstGeom>
        <a:solidFill>
          <a:srgbClr val="69FFFF"/>
        </a:solidFill>
        <a:ln w="19050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19050</xdr:colOff>
      <xdr:row>461</xdr:row>
      <xdr:rowOff>0</xdr:rowOff>
    </xdr:from>
    <xdr:to>
      <xdr:col>1</xdr:col>
      <xdr:colOff>419100</xdr:colOff>
      <xdr:row>461</xdr:row>
      <xdr:rowOff>0</xdr:rowOff>
    </xdr:to>
    <xdr:pic>
      <xdr:nvPicPr>
        <xdr:cNvPr id="3" name="Picture 4" descr="logo">
          <a:extLst>
            <a:ext uri="{FF2B5EF4-FFF2-40B4-BE49-F238E27FC236}">
              <a16:creationId xmlns:a16="http://schemas.microsoft.com/office/drawing/2014/main" id="{0E06701F-B6D6-4685-B02B-3A8CE9B41A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90575" y="119414925"/>
          <a:ext cx="400050" cy="0"/>
        </a:xfrm>
        <a:prstGeom prst="rect">
          <a:avLst/>
        </a:prstGeom>
        <a:solidFill>
          <a:srgbClr val="69FFFF"/>
        </a:solidFill>
        <a:ln w="19050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57150</xdr:colOff>
      <xdr:row>1</xdr:row>
      <xdr:rowOff>133350</xdr:rowOff>
    </xdr:from>
    <xdr:to>
      <xdr:col>2</xdr:col>
      <xdr:colOff>80480</xdr:colOff>
      <xdr:row>3</xdr:row>
      <xdr:rowOff>114298</xdr:rowOff>
    </xdr:to>
    <xdr:pic>
      <xdr:nvPicPr>
        <xdr:cNvPr id="4" name="Imagem 2" descr="NOVO - Logo-PMC.03.julho.13.jpg">
          <a:extLst>
            <a:ext uri="{FF2B5EF4-FFF2-40B4-BE49-F238E27FC236}">
              <a16:creationId xmlns:a16="http://schemas.microsoft.com/office/drawing/2014/main" id="{D8E88DE7-F58D-4B1B-90DC-18A60E8147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28675" y="304800"/>
          <a:ext cx="575780" cy="5143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19050</xdr:colOff>
      <xdr:row>298</xdr:row>
      <xdr:rowOff>0</xdr:rowOff>
    </xdr:from>
    <xdr:to>
      <xdr:col>1</xdr:col>
      <xdr:colOff>438150</xdr:colOff>
      <xdr:row>298</xdr:row>
      <xdr:rowOff>0</xdr:rowOff>
    </xdr:to>
    <xdr:pic>
      <xdr:nvPicPr>
        <xdr:cNvPr id="5" name="Picture 3" descr="logo">
          <a:extLst>
            <a:ext uri="{FF2B5EF4-FFF2-40B4-BE49-F238E27FC236}">
              <a16:creationId xmlns:a16="http://schemas.microsoft.com/office/drawing/2014/main" id="{499B4E93-F9C0-4839-9672-21F3AE2693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90575" y="77295375"/>
          <a:ext cx="419100" cy="0"/>
        </a:xfrm>
        <a:prstGeom prst="rect">
          <a:avLst/>
        </a:prstGeom>
        <a:solidFill>
          <a:srgbClr val="69FFFF"/>
        </a:solidFill>
        <a:ln w="19050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19050</xdr:colOff>
      <xdr:row>371</xdr:row>
      <xdr:rowOff>0</xdr:rowOff>
    </xdr:from>
    <xdr:to>
      <xdr:col>1</xdr:col>
      <xdr:colOff>438150</xdr:colOff>
      <xdr:row>371</xdr:row>
      <xdr:rowOff>0</xdr:rowOff>
    </xdr:to>
    <xdr:pic>
      <xdr:nvPicPr>
        <xdr:cNvPr id="6" name="Picture 3" descr="logo">
          <a:extLst>
            <a:ext uri="{FF2B5EF4-FFF2-40B4-BE49-F238E27FC236}">
              <a16:creationId xmlns:a16="http://schemas.microsoft.com/office/drawing/2014/main" id="{E3ADAD41-661D-437A-8213-AC768F302B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90575" y="100041075"/>
          <a:ext cx="419100" cy="0"/>
        </a:xfrm>
        <a:prstGeom prst="rect">
          <a:avLst/>
        </a:prstGeom>
        <a:solidFill>
          <a:srgbClr val="69FFFF"/>
        </a:solidFill>
        <a:ln w="19050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19050</xdr:colOff>
      <xdr:row>461</xdr:row>
      <xdr:rowOff>0</xdr:rowOff>
    </xdr:from>
    <xdr:to>
      <xdr:col>1</xdr:col>
      <xdr:colOff>419100</xdr:colOff>
      <xdr:row>461</xdr:row>
      <xdr:rowOff>0</xdr:rowOff>
    </xdr:to>
    <xdr:pic>
      <xdr:nvPicPr>
        <xdr:cNvPr id="7" name="Picture 4" descr="logo">
          <a:extLst>
            <a:ext uri="{FF2B5EF4-FFF2-40B4-BE49-F238E27FC236}">
              <a16:creationId xmlns:a16="http://schemas.microsoft.com/office/drawing/2014/main" id="{9BD8F8F6-1A93-4E5C-AD3D-137991854F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90575" y="119862600"/>
          <a:ext cx="400050" cy="0"/>
        </a:xfrm>
        <a:prstGeom prst="rect">
          <a:avLst/>
        </a:prstGeom>
        <a:solidFill>
          <a:srgbClr val="69FFFF"/>
        </a:solidFill>
        <a:ln w="19050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57150</xdr:colOff>
      <xdr:row>1</xdr:row>
      <xdr:rowOff>133350</xdr:rowOff>
    </xdr:from>
    <xdr:to>
      <xdr:col>2</xdr:col>
      <xdr:colOff>80480</xdr:colOff>
      <xdr:row>3</xdr:row>
      <xdr:rowOff>114298</xdr:rowOff>
    </xdr:to>
    <xdr:pic>
      <xdr:nvPicPr>
        <xdr:cNvPr id="8" name="Imagem 2" descr="NOVO - Logo-PMC.03.julho.13.jpg">
          <a:extLst>
            <a:ext uri="{FF2B5EF4-FFF2-40B4-BE49-F238E27FC236}">
              <a16:creationId xmlns:a16="http://schemas.microsoft.com/office/drawing/2014/main" id="{0FD7019B-91C0-4988-AE9E-E7842FCF64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28675" y="304800"/>
          <a:ext cx="575780" cy="5143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19050</xdr:colOff>
      <xdr:row>297</xdr:row>
      <xdr:rowOff>0</xdr:rowOff>
    </xdr:from>
    <xdr:to>
      <xdr:col>1</xdr:col>
      <xdr:colOff>438150</xdr:colOff>
      <xdr:row>297</xdr:row>
      <xdr:rowOff>0</xdr:rowOff>
    </xdr:to>
    <xdr:pic>
      <xdr:nvPicPr>
        <xdr:cNvPr id="9" name="Picture 3" descr="logo">
          <a:extLst>
            <a:ext uri="{FF2B5EF4-FFF2-40B4-BE49-F238E27FC236}">
              <a16:creationId xmlns:a16="http://schemas.microsoft.com/office/drawing/2014/main" id="{9FA3F2E2-2ACA-4A32-923E-FFBE37A052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90575" y="77419200"/>
          <a:ext cx="419100" cy="0"/>
        </a:xfrm>
        <a:prstGeom prst="rect">
          <a:avLst/>
        </a:prstGeom>
        <a:solidFill>
          <a:srgbClr val="69FFFF"/>
        </a:solidFill>
        <a:ln w="19050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</xdr:row>
      <xdr:rowOff>76200</xdr:rowOff>
    </xdr:from>
    <xdr:to>
      <xdr:col>2</xdr:col>
      <xdr:colOff>0</xdr:colOff>
      <xdr:row>7</xdr:row>
      <xdr:rowOff>47625</xdr:rowOff>
    </xdr:to>
    <xdr:pic>
      <xdr:nvPicPr>
        <xdr:cNvPr id="2" name="Picture 2" descr="logotipo PMC janeiro 2009">
          <a:extLst>
            <a:ext uri="{FF2B5EF4-FFF2-40B4-BE49-F238E27FC236}">
              <a16:creationId xmlns:a16="http://schemas.microsoft.com/office/drawing/2014/main" id="{D02972A2-9FE0-4ADD-AB1D-87924BDDA9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05500" y="247650"/>
          <a:ext cx="0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1905000</xdr:colOff>
      <xdr:row>1</xdr:row>
      <xdr:rowOff>76200</xdr:rowOff>
    </xdr:from>
    <xdr:to>
      <xdr:col>2</xdr:col>
      <xdr:colOff>1905000</xdr:colOff>
      <xdr:row>7</xdr:row>
      <xdr:rowOff>47625</xdr:rowOff>
    </xdr:to>
    <xdr:pic>
      <xdr:nvPicPr>
        <xdr:cNvPr id="3" name="Picture 2" descr="logotipo PMC janeiro 2009">
          <a:extLst>
            <a:ext uri="{FF2B5EF4-FFF2-40B4-BE49-F238E27FC236}">
              <a16:creationId xmlns:a16="http://schemas.microsoft.com/office/drawing/2014/main" id="{DBFB0B1C-E4E2-429E-B3F8-50C40192B9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810500" y="247650"/>
          <a:ext cx="0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2105025</xdr:colOff>
      <xdr:row>2</xdr:row>
      <xdr:rowOff>0</xdr:rowOff>
    </xdr:from>
    <xdr:to>
      <xdr:col>2</xdr:col>
      <xdr:colOff>2105025</xdr:colOff>
      <xdr:row>7</xdr:row>
      <xdr:rowOff>142875</xdr:rowOff>
    </xdr:to>
    <xdr:pic>
      <xdr:nvPicPr>
        <xdr:cNvPr id="4" name="Picture 2" descr="logotipo PMC janeiro 2009">
          <a:extLst>
            <a:ext uri="{FF2B5EF4-FFF2-40B4-BE49-F238E27FC236}">
              <a16:creationId xmlns:a16="http://schemas.microsoft.com/office/drawing/2014/main" id="{B5970A22-74EC-4FC3-BD06-FE12860A95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10525" y="342900"/>
          <a:ext cx="0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76200</xdr:rowOff>
    </xdr:from>
    <xdr:to>
      <xdr:col>5</xdr:col>
      <xdr:colOff>0</xdr:colOff>
      <xdr:row>7</xdr:row>
      <xdr:rowOff>47625</xdr:rowOff>
    </xdr:to>
    <xdr:pic>
      <xdr:nvPicPr>
        <xdr:cNvPr id="5" name="Picture 2" descr="logotipo PMC janeiro 2009">
          <a:extLst>
            <a:ext uri="{FF2B5EF4-FFF2-40B4-BE49-F238E27FC236}">
              <a16:creationId xmlns:a16="http://schemas.microsoft.com/office/drawing/2014/main" id="{5DD21A3A-4AAD-4660-90E9-B5DF3B39C0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420600" y="247650"/>
          <a:ext cx="0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57150</xdr:rowOff>
    </xdr:from>
    <xdr:to>
      <xdr:col>5</xdr:col>
      <xdr:colOff>0</xdr:colOff>
      <xdr:row>7</xdr:row>
      <xdr:rowOff>28575</xdr:rowOff>
    </xdr:to>
    <xdr:pic>
      <xdr:nvPicPr>
        <xdr:cNvPr id="6" name="Picture 2" descr="logotipo PMC janeiro 2009">
          <a:extLst>
            <a:ext uri="{FF2B5EF4-FFF2-40B4-BE49-F238E27FC236}">
              <a16:creationId xmlns:a16="http://schemas.microsoft.com/office/drawing/2014/main" id="{1400FC56-E2F6-4AFA-A226-B944FA4F22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420600" y="228600"/>
          <a:ext cx="0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76200</xdr:rowOff>
    </xdr:from>
    <xdr:to>
      <xdr:col>6</xdr:col>
      <xdr:colOff>0</xdr:colOff>
      <xdr:row>7</xdr:row>
      <xdr:rowOff>47625</xdr:rowOff>
    </xdr:to>
    <xdr:pic>
      <xdr:nvPicPr>
        <xdr:cNvPr id="7" name="Picture 2" descr="logotipo PMC janeiro 2009">
          <a:extLst>
            <a:ext uri="{FF2B5EF4-FFF2-40B4-BE49-F238E27FC236}">
              <a16:creationId xmlns:a16="http://schemas.microsoft.com/office/drawing/2014/main" id="{43ED77DC-A262-48C6-B197-32E0732329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030200" y="247650"/>
          <a:ext cx="0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0</xdr:colOff>
      <xdr:row>7</xdr:row>
      <xdr:rowOff>142875</xdr:rowOff>
    </xdr:to>
    <xdr:pic>
      <xdr:nvPicPr>
        <xdr:cNvPr id="8" name="Picture 2" descr="logotipo PMC janeiro 2009">
          <a:extLst>
            <a:ext uri="{FF2B5EF4-FFF2-40B4-BE49-F238E27FC236}">
              <a16:creationId xmlns:a16="http://schemas.microsoft.com/office/drawing/2014/main" id="{3CC0AE64-A47E-474F-99AC-6278E8BF3F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030200" y="342900"/>
          <a:ext cx="0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57150</xdr:rowOff>
    </xdr:from>
    <xdr:to>
      <xdr:col>6</xdr:col>
      <xdr:colOff>0</xdr:colOff>
      <xdr:row>7</xdr:row>
      <xdr:rowOff>28575</xdr:rowOff>
    </xdr:to>
    <xdr:pic>
      <xdr:nvPicPr>
        <xdr:cNvPr id="9" name="Picture 2" descr="logotipo PMC janeiro 2009">
          <a:extLst>
            <a:ext uri="{FF2B5EF4-FFF2-40B4-BE49-F238E27FC236}">
              <a16:creationId xmlns:a16="http://schemas.microsoft.com/office/drawing/2014/main" id="{67B591C3-4A3B-4366-B5AA-45AEE022E4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030200" y="228600"/>
          <a:ext cx="0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2486025</xdr:colOff>
      <xdr:row>2</xdr:row>
      <xdr:rowOff>19050</xdr:rowOff>
    </xdr:from>
    <xdr:to>
      <xdr:col>2</xdr:col>
      <xdr:colOff>3400425</xdr:colOff>
      <xdr:row>6</xdr:row>
      <xdr:rowOff>104774</xdr:rowOff>
    </xdr:to>
    <xdr:pic>
      <xdr:nvPicPr>
        <xdr:cNvPr id="10" name="Imagem 2" descr="NOVO - Logo-PMC.03.julho.13.jpg">
          <a:extLst>
            <a:ext uri="{FF2B5EF4-FFF2-40B4-BE49-F238E27FC236}">
              <a16:creationId xmlns:a16="http://schemas.microsoft.com/office/drawing/2014/main" id="{96E68B0D-84BF-459B-AC73-6C50537A85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391525" y="361950"/>
          <a:ext cx="914400" cy="733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2476500</xdr:colOff>
      <xdr:row>2</xdr:row>
      <xdr:rowOff>28574</xdr:rowOff>
    </xdr:from>
    <xdr:to>
      <xdr:col>0</xdr:col>
      <xdr:colOff>3457575</xdr:colOff>
      <xdr:row>6</xdr:row>
      <xdr:rowOff>133349</xdr:rowOff>
    </xdr:to>
    <xdr:pic>
      <xdr:nvPicPr>
        <xdr:cNvPr id="11" name="Imagem 2" descr="NOVO - Logo-PMC.03.julho.13.jpg">
          <a:extLst>
            <a:ext uri="{FF2B5EF4-FFF2-40B4-BE49-F238E27FC236}">
              <a16:creationId xmlns:a16="http://schemas.microsoft.com/office/drawing/2014/main" id="{0314BF1E-EC5A-4B13-A82A-6FECA4E010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476500" y="371474"/>
          <a:ext cx="981075" cy="752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76200</xdr:rowOff>
    </xdr:from>
    <xdr:to>
      <xdr:col>2</xdr:col>
      <xdr:colOff>0</xdr:colOff>
      <xdr:row>7</xdr:row>
      <xdr:rowOff>47625</xdr:rowOff>
    </xdr:to>
    <xdr:pic>
      <xdr:nvPicPr>
        <xdr:cNvPr id="12" name="Picture 2" descr="logotipo PMC janeiro 2009">
          <a:extLst>
            <a:ext uri="{FF2B5EF4-FFF2-40B4-BE49-F238E27FC236}">
              <a16:creationId xmlns:a16="http://schemas.microsoft.com/office/drawing/2014/main" id="{4976B193-590F-4C6D-9721-50749A2D38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05500" y="247650"/>
          <a:ext cx="0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1905000</xdr:colOff>
      <xdr:row>1</xdr:row>
      <xdr:rowOff>76200</xdr:rowOff>
    </xdr:from>
    <xdr:to>
      <xdr:col>2</xdr:col>
      <xdr:colOff>1905000</xdr:colOff>
      <xdr:row>7</xdr:row>
      <xdr:rowOff>47625</xdr:rowOff>
    </xdr:to>
    <xdr:pic>
      <xdr:nvPicPr>
        <xdr:cNvPr id="13" name="Picture 2" descr="logotipo PMC janeiro 2009">
          <a:extLst>
            <a:ext uri="{FF2B5EF4-FFF2-40B4-BE49-F238E27FC236}">
              <a16:creationId xmlns:a16="http://schemas.microsoft.com/office/drawing/2014/main" id="{47461C61-ED4E-4705-82CF-546DC740A6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810500" y="247650"/>
          <a:ext cx="0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2105025</xdr:colOff>
      <xdr:row>2</xdr:row>
      <xdr:rowOff>0</xdr:rowOff>
    </xdr:from>
    <xdr:to>
      <xdr:col>2</xdr:col>
      <xdr:colOff>2105025</xdr:colOff>
      <xdr:row>7</xdr:row>
      <xdr:rowOff>142875</xdr:rowOff>
    </xdr:to>
    <xdr:pic>
      <xdr:nvPicPr>
        <xdr:cNvPr id="14" name="Picture 2" descr="logotipo PMC janeiro 2009">
          <a:extLst>
            <a:ext uri="{FF2B5EF4-FFF2-40B4-BE49-F238E27FC236}">
              <a16:creationId xmlns:a16="http://schemas.microsoft.com/office/drawing/2014/main" id="{BE8F47E7-FF59-49F1-94C2-D912E6A12B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10525" y="342900"/>
          <a:ext cx="0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76200</xdr:rowOff>
    </xdr:from>
    <xdr:to>
      <xdr:col>5</xdr:col>
      <xdr:colOff>0</xdr:colOff>
      <xdr:row>7</xdr:row>
      <xdr:rowOff>47625</xdr:rowOff>
    </xdr:to>
    <xdr:pic>
      <xdr:nvPicPr>
        <xdr:cNvPr id="15" name="Picture 2" descr="logotipo PMC janeiro 2009">
          <a:extLst>
            <a:ext uri="{FF2B5EF4-FFF2-40B4-BE49-F238E27FC236}">
              <a16:creationId xmlns:a16="http://schemas.microsoft.com/office/drawing/2014/main" id="{74563867-2F4E-45C2-91EE-DFEF7D19F3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420600" y="247650"/>
          <a:ext cx="0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57150</xdr:rowOff>
    </xdr:from>
    <xdr:to>
      <xdr:col>5</xdr:col>
      <xdr:colOff>0</xdr:colOff>
      <xdr:row>7</xdr:row>
      <xdr:rowOff>28575</xdr:rowOff>
    </xdr:to>
    <xdr:pic>
      <xdr:nvPicPr>
        <xdr:cNvPr id="16" name="Picture 2" descr="logotipo PMC janeiro 2009">
          <a:extLst>
            <a:ext uri="{FF2B5EF4-FFF2-40B4-BE49-F238E27FC236}">
              <a16:creationId xmlns:a16="http://schemas.microsoft.com/office/drawing/2014/main" id="{CACD0FA6-5722-400F-B3C1-EB9A227446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420600" y="228600"/>
          <a:ext cx="0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76200</xdr:rowOff>
    </xdr:from>
    <xdr:to>
      <xdr:col>6</xdr:col>
      <xdr:colOff>0</xdr:colOff>
      <xdr:row>7</xdr:row>
      <xdr:rowOff>47625</xdr:rowOff>
    </xdr:to>
    <xdr:pic>
      <xdr:nvPicPr>
        <xdr:cNvPr id="17" name="Picture 2" descr="logotipo PMC janeiro 2009">
          <a:extLst>
            <a:ext uri="{FF2B5EF4-FFF2-40B4-BE49-F238E27FC236}">
              <a16:creationId xmlns:a16="http://schemas.microsoft.com/office/drawing/2014/main" id="{EB946A51-C3B2-46BD-A63D-703ED68682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030200" y="247650"/>
          <a:ext cx="0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0</xdr:colOff>
      <xdr:row>7</xdr:row>
      <xdr:rowOff>142875</xdr:rowOff>
    </xdr:to>
    <xdr:pic>
      <xdr:nvPicPr>
        <xdr:cNvPr id="18" name="Picture 2" descr="logotipo PMC janeiro 2009">
          <a:extLst>
            <a:ext uri="{FF2B5EF4-FFF2-40B4-BE49-F238E27FC236}">
              <a16:creationId xmlns:a16="http://schemas.microsoft.com/office/drawing/2014/main" id="{CEFA1876-9627-4D75-866E-E615849227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030200" y="342900"/>
          <a:ext cx="0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57150</xdr:rowOff>
    </xdr:from>
    <xdr:to>
      <xdr:col>6</xdr:col>
      <xdr:colOff>0</xdr:colOff>
      <xdr:row>7</xdr:row>
      <xdr:rowOff>28575</xdr:rowOff>
    </xdr:to>
    <xdr:pic>
      <xdr:nvPicPr>
        <xdr:cNvPr id="19" name="Picture 2" descr="logotipo PMC janeiro 2009">
          <a:extLst>
            <a:ext uri="{FF2B5EF4-FFF2-40B4-BE49-F238E27FC236}">
              <a16:creationId xmlns:a16="http://schemas.microsoft.com/office/drawing/2014/main" id="{4C931583-5D46-417D-9537-CF32EDB1C5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030200" y="228600"/>
          <a:ext cx="0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2486025</xdr:colOff>
      <xdr:row>2</xdr:row>
      <xdr:rowOff>19050</xdr:rowOff>
    </xdr:from>
    <xdr:to>
      <xdr:col>2</xdr:col>
      <xdr:colOff>3400425</xdr:colOff>
      <xdr:row>6</xdr:row>
      <xdr:rowOff>104774</xdr:rowOff>
    </xdr:to>
    <xdr:pic>
      <xdr:nvPicPr>
        <xdr:cNvPr id="20" name="Imagem 2" descr="NOVO - Logo-PMC.03.julho.13.jpg">
          <a:extLst>
            <a:ext uri="{FF2B5EF4-FFF2-40B4-BE49-F238E27FC236}">
              <a16:creationId xmlns:a16="http://schemas.microsoft.com/office/drawing/2014/main" id="{F45B2DAC-1988-4157-B983-0D7C4D4DEF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391525" y="361950"/>
          <a:ext cx="914400" cy="733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2476500</xdr:colOff>
      <xdr:row>2</xdr:row>
      <xdr:rowOff>28574</xdr:rowOff>
    </xdr:from>
    <xdr:to>
      <xdr:col>0</xdr:col>
      <xdr:colOff>3457575</xdr:colOff>
      <xdr:row>6</xdr:row>
      <xdr:rowOff>133349</xdr:rowOff>
    </xdr:to>
    <xdr:pic>
      <xdr:nvPicPr>
        <xdr:cNvPr id="21" name="Imagem 2" descr="NOVO - Logo-PMC.03.julho.13.jpg">
          <a:extLst>
            <a:ext uri="{FF2B5EF4-FFF2-40B4-BE49-F238E27FC236}">
              <a16:creationId xmlns:a16="http://schemas.microsoft.com/office/drawing/2014/main" id="{FA7215F6-4081-44AB-A65D-5C25E086EC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476500" y="371474"/>
          <a:ext cx="981075" cy="752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169334</xdr:colOff>
      <xdr:row>1</xdr:row>
      <xdr:rowOff>158750</xdr:rowOff>
    </xdr:from>
    <xdr:to>
      <xdr:col>0</xdr:col>
      <xdr:colOff>731309</xdr:colOff>
      <xdr:row>3</xdr:row>
      <xdr:rowOff>181473</xdr:rowOff>
    </xdr:to>
    <xdr:pic>
      <xdr:nvPicPr>
        <xdr:cNvPr id="2" name="Imagem 1" descr="NOVO - Logo-PMC.03.julho.13.jpg">
          <a:extLst>
            <a:ext uri="{FF2B5EF4-FFF2-40B4-BE49-F238E27FC236}">
              <a16:creationId xmlns:a16="http://schemas.microsoft.com/office/drawing/2014/main" id="{521597E5-E138-4269-B203-65A4FFC1EA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9334" y="368300"/>
          <a:ext cx="561975" cy="5846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169334</xdr:colOff>
      <xdr:row>1</xdr:row>
      <xdr:rowOff>158750</xdr:rowOff>
    </xdr:from>
    <xdr:to>
      <xdr:col>0</xdr:col>
      <xdr:colOff>731309</xdr:colOff>
      <xdr:row>3</xdr:row>
      <xdr:rowOff>181473</xdr:rowOff>
    </xdr:to>
    <xdr:pic>
      <xdr:nvPicPr>
        <xdr:cNvPr id="3" name="Imagem 2" descr="NOVO - Logo-PMC.03.julho.13.jpg">
          <a:extLst>
            <a:ext uri="{FF2B5EF4-FFF2-40B4-BE49-F238E27FC236}">
              <a16:creationId xmlns:a16="http://schemas.microsoft.com/office/drawing/2014/main" id="{597A9951-A8C3-4945-A1C1-4515A0DBC4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9334" y="368300"/>
          <a:ext cx="561975" cy="5846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190502</xdr:colOff>
      <xdr:row>1</xdr:row>
      <xdr:rowOff>42333</xdr:rowOff>
    </xdr:from>
    <xdr:to>
      <xdr:col>0</xdr:col>
      <xdr:colOff>645584</xdr:colOff>
      <xdr:row>4</xdr:row>
      <xdr:rowOff>105442</xdr:rowOff>
    </xdr:to>
    <xdr:pic>
      <xdr:nvPicPr>
        <xdr:cNvPr id="2" name="Imagem 1" descr="NOVO - Logo-PMC.03.julho.13.jpg">
          <a:extLst>
            <a:ext uri="{FF2B5EF4-FFF2-40B4-BE49-F238E27FC236}">
              <a16:creationId xmlns:a16="http://schemas.microsoft.com/office/drawing/2014/main" id="{E3D065FF-D66F-4132-864E-C9F144BF05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2" y="185208"/>
          <a:ext cx="455082" cy="63460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190502</xdr:colOff>
      <xdr:row>1</xdr:row>
      <xdr:rowOff>42333</xdr:rowOff>
    </xdr:from>
    <xdr:to>
      <xdr:col>0</xdr:col>
      <xdr:colOff>645584</xdr:colOff>
      <xdr:row>3</xdr:row>
      <xdr:rowOff>143542</xdr:rowOff>
    </xdr:to>
    <xdr:pic>
      <xdr:nvPicPr>
        <xdr:cNvPr id="3" name="Imagem 2" descr="NOVO - Logo-PMC.03.julho.13.jpg">
          <a:extLst>
            <a:ext uri="{FF2B5EF4-FFF2-40B4-BE49-F238E27FC236}">
              <a16:creationId xmlns:a16="http://schemas.microsoft.com/office/drawing/2014/main" id="{5E22EB78-9A7E-41FE-BD47-D640F8CD6A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2" y="185208"/>
          <a:ext cx="455082" cy="4917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190502</xdr:colOff>
      <xdr:row>1</xdr:row>
      <xdr:rowOff>42333</xdr:rowOff>
    </xdr:from>
    <xdr:to>
      <xdr:col>0</xdr:col>
      <xdr:colOff>645584</xdr:colOff>
      <xdr:row>3</xdr:row>
      <xdr:rowOff>143542</xdr:rowOff>
    </xdr:to>
    <xdr:pic>
      <xdr:nvPicPr>
        <xdr:cNvPr id="4" name="Imagem 3" descr="NOVO - Logo-PMC.03.julho.13.jpg">
          <a:extLst>
            <a:ext uri="{FF2B5EF4-FFF2-40B4-BE49-F238E27FC236}">
              <a16:creationId xmlns:a16="http://schemas.microsoft.com/office/drawing/2014/main" id="{BA42576C-8C11-404A-9318-85B8B8F52E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2" y="185208"/>
          <a:ext cx="455082" cy="4917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152400</xdr:colOff>
      <xdr:row>1</xdr:row>
      <xdr:rowOff>123827</xdr:rowOff>
    </xdr:from>
    <xdr:to>
      <xdr:col>1</xdr:col>
      <xdr:colOff>728180</xdr:colOff>
      <xdr:row>3</xdr:row>
      <xdr:rowOff>104775</xdr:rowOff>
    </xdr:to>
    <xdr:pic>
      <xdr:nvPicPr>
        <xdr:cNvPr id="2" name="Imagem 2" descr="NOVO - Logo-PMC.03.julho.13.jpg">
          <a:extLst>
            <a:ext uri="{FF2B5EF4-FFF2-40B4-BE49-F238E27FC236}">
              <a16:creationId xmlns:a16="http://schemas.microsoft.com/office/drawing/2014/main" id="{B8269F2F-E027-4B84-A0D0-DAE6B39A67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3400" y="295277"/>
          <a:ext cx="575780" cy="5143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1</xdr:col>
      <xdr:colOff>152400</xdr:colOff>
      <xdr:row>1</xdr:row>
      <xdr:rowOff>123827</xdr:rowOff>
    </xdr:from>
    <xdr:ext cx="575780" cy="514348"/>
    <xdr:pic>
      <xdr:nvPicPr>
        <xdr:cNvPr id="3" name="Imagem 2" descr="NOVO - Logo-PMC.03.julho.13.jpg">
          <a:extLst>
            <a:ext uri="{FF2B5EF4-FFF2-40B4-BE49-F238E27FC236}">
              <a16:creationId xmlns:a16="http://schemas.microsoft.com/office/drawing/2014/main" id="{A750A617-7C90-4924-A550-64DBD6B272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3400" y="295277"/>
          <a:ext cx="575780" cy="5143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372</xdr:row>
      <xdr:rowOff>0</xdr:rowOff>
    </xdr:from>
    <xdr:to>
      <xdr:col>1</xdr:col>
      <xdr:colOff>438150</xdr:colOff>
      <xdr:row>372</xdr:row>
      <xdr:rowOff>0</xdr:rowOff>
    </xdr:to>
    <xdr:pic>
      <xdr:nvPicPr>
        <xdr:cNvPr id="2" name="Picture 3" descr="logo">
          <a:extLst>
            <a:ext uri="{FF2B5EF4-FFF2-40B4-BE49-F238E27FC236}">
              <a16:creationId xmlns:a16="http://schemas.microsoft.com/office/drawing/2014/main" id="{2B4C2C89-A881-4CB0-BD05-3DC98335AB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90575" y="102469950"/>
          <a:ext cx="419100" cy="0"/>
        </a:xfrm>
        <a:prstGeom prst="rect">
          <a:avLst/>
        </a:prstGeom>
        <a:solidFill>
          <a:srgbClr val="69FFFF"/>
        </a:solidFill>
        <a:ln w="19050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19050</xdr:colOff>
      <xdr:row>461</xdr:row>
      <xdr:rowOff>0</xdr:rowOff>
    </xdr:from>
    <xdr:to>
      <xdr:col>1</xdr:col>
      <xdr:colOff>419100</xdr:colOff>
      <xdr:row>461</xdr:row>
      <xdr:rowOff>0</xdr:rowOff>
    </xdr:to>
    <xdr:pic>
      <xdr:nvPicPr>
        <xdr:cNvPr id="3" name="Picture 4" descr="logo">
          <a:extLst>
            <a:ext uri="{FF2B5EF4-FFF2-40B4-BE49-F238E27FC236}">
              <a16:creationId xmlns:a16="http://schemas.microsoft.com/office/drawing/2014/main" id="{E021ECE2-AFFB-45E5-A063-9ED38D0709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90575" y="122234325"/>
          <a:ext cx="400050" cy="0"/>
        </a:xfrm>
        <a:prstGeom prst="rect">
          <a:avLst/>
        </a:prstGeom>
        <a:solidFill>
          <a:srgbClr val="69FFFF"/>
        </a:solidFill>
        <a:ln w="19050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133350</xdr:colOff>
      <xdr:row>1</xdr:row>
      <xdr:rowOff>190500</xdr:rowOff>
    </xdr:from>
    <xdr:to>
      <xdr:col>2</xdr:col>
      <xdr:colOff>156680</xdr:colOff>
      <xdr:row>3</xdr:row>
      <xdr:rowOff>171448</xdr:rowOff>
    </xdr:to>
    <xdr:pic>
      <xdr:nvPicPr>
        <xdr:cNvPr id="4" name="Imagem 2" descr="NOVO - Logo-PMC.03.julho.13.jpg">
          <a:extLst>
            <a:ext uri="{FF2B5EF4-FFF2-40B4-BE49-F238E27FC236}">
              <a16:creationId xmlns:a16="http://schemas.microsoft.com/office/drawing/2014/main" id="{AD57DFC8-1526-429F-8064-86B2653232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04875" y="361950"/>
          <a:ext cx="575780" cy="5143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19050</xdr:colOff>
      <xdr:row>298</xdr:row>
      <xdr:rowOff>0</xdr:rowOff>
    </xdr:from>
    <xdr:to>
      <xdr:col>1</xdr:col>
      <xdr:colOff>438150</xdr:colOff>
      <xdr:row>298</xdr:row>
      <xdr:rowOff>0</xdr:rowOff>
    </xdr:to>
    <xdr:pic>
      <xdr:nvPicPr>
        <xdr:cNvPr id="5" name="Picture 3" descr="logo">
          <a:extLst>
            <a:ext uri="{FF2B5EF4-FFF2-40B4-BE49-F238E27FC236}">
              <a16:creationId xmlns:a16="http://schemas.microsoft.com/office/drawing/2014/main" id="{C0E8BAD0-C25E-4EF9-A544-3273D38111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90575" y="79848075"/>
          <a:ext cx="419100" cy="0"/>
        </a:xfrm>
        <a:prstGeom prst="rect">
          <a:avLst/>
        </a:prstGeom>
        <a:solidFill>
          <a:srgbClr val="69FFFF"/>
        </a:solidFill>
        <a:ln w="19050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19050</xdr:colOff>
      <xdr:row>371</xdr:row>
      <xdr:rowOff>0</xdr:rowOff>
    </xdr:from>
    <xdr:to>
      <xdr:col>1</xdr:col>
      <xdr:colOff>438150</xdr:colOff>
      <xdr:row>371</xdr:row>
      <xdr:rowOff>0</xdr:rowOff>
    </xdr:to>
    <xdr:pic>
      <xdr:nvPicPr>
        <xdr:cNvPr id="6" name="Picture 3" descr="logo">
          <a:extLst>
            <a:ext uri="{FF2B5EF4-FFF2-40B4-BE49-F238E27FC236}">
              <a16:creationId xmlns:a16="http://schemas.microsoft.com/office/drawing/2014/main" id="{2DDD8EBF-678E-4A99-A870-E799D33F12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90575" y="100041075"/>
          <a:ext cx="419100" cy="0"/>
        </a:xfrm>
        <a:prstGeom prst="rect">
          <a:avLst/>
        </a:prstGeom>
        <a:solidFill>
          <a:srgbClr val="69FFFF"/>
        </a:solidFill>
        <a:ln w="19050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19050</xdr:colOff>
      <xdr:row>461</xdr:row>
      <xdr:rowOff>0</xdr:rowOff>
    </xdr:from>
    <xdr:to>
      <xdr:col>1</xdr:col>
      <xdr:colOff>419100</xdr:colOff>
      <xdr:row>461</xdr:row>
      <xdr:rowOff>0</xdr:rowOff>
    </xdr:to>
    <xdr:pic>
      <xdr:nvPicPr>
        <xdr:cNvPr id="7" name="Picture 4" descr="logo">
          <a:extLst>
            <a:ext uri="{FF2B5EF4-FFF2-40B4-BE49-F238E27FC236}">
              <a16:creationId xmlns:a16="http://schemas.microsoft.com/office/drawing/2014/main" id="{C390166D-95CE-4039-A86E-0D5D7C1AC4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90575" y="119862600"/>
          <a:ext cx="400050" cy="0"/>
        </a:xfrm>
        <a:prstGeom prst="rect">
          <a:avLst/>
        </a:prstGeom>
        <a:solidFill>
          <a:srgbClr val="69FFFF"/>
        </a:solidFill>
        <a:ln w="19050">
          <a:noFill/>
          <a:miter lim="800000"/>
          <a:headEnd/>
          <a:tailEnd/>
        </a:ln>
      </xdr:spPr>
    </xdr:pic>
    <xdr:clientData/>
  </xdr:twoCellAnchor>
  <xdr:oneCellAnchor>
    <xdr:from>
      <xdr:col>1</xdr:col>
      <xdr:colOff>133350</xdr:colOff>
      <xdr:row>1</xdr:row>
      <xdr:rowOff>190500</xdr:rowOff>
    </xdr:from>
    <xdr:ext cx="575780" cy="514348"/>
    <xdr:pic>
      <xdr:nvPicPr>
        <xdr:cNvPr id="8" name="Imagem 2" descr="NOVO - Logo-PMC.03.julho.13.jpg">
          <a:extLst>
            <a:ext uri="{FF2B5EF4-FFF2-40B4-BE49-F238E27FC236}">
              <a16:creationId xmlns:a16="http://schemas.microsoft.com/office/drawing/2014/main" id="{28916226-736A-47B2-8D17-E64EE0F271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04875" y="361950"/>
          <a:ext cx="575780" cy="5143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>
    <xdr:from>
      <xdr:col>1</xdr:col>
      <xdr:colOff>19050</xdr:colOff>
      <xdr:row>297</xdr:row>
      <xdr:rowOff>0</xdr:rowOff>
    </xdr:from>
    <xdr:to>
      <xdr:col>1</xdr:col>
      <xdr:colOff>438150</xdr:colOff>
      <xdr:row>297</xdr:row>
      <xdr:rowOff>0</xdr:rowOff>
    </xdr:to>
    <xdr:pic>
      <xdr:nvPicPr>
        <xdr:cNvPr id="9" name="Picture 3" descr="logo">
          <a:extLst>
            <a:ext uri="{FF2B5EF4-FFF2-40B4-BE49-F238E27FC236}">
              <a16:creationId xmlns:a16="http://schemas.microsoft.com/office/drawing/2014/main" id="{D450F02C-4458-452A-A6F7-306D4D0F10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90575" y="77419200"/>
          <a:ext cx="419100" cy="0"/>
        </a:xfrm>
        <a:prstGeom prst="rect">
          <a:avLst/>
        </a:prstGeom>
        <a:solidFill>
          <a:srgbClr val="69FFFF"/>
        </a:solidFill>
        <a:ln w="19050">
          <a:noFill/>
          <a:miter lim="800000"/>
          <a:headEnd/>
          <a:tailEnd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</xdr:row>
      <xdr:rowOff>76200</xdr:rowOff>
    </xdr:from>
    <xdr:to>
      <xdr:col>2</xdr:col>
      <xdr:colOff>0</xdr:colOff>
      <xdr:row>7</xdr:row>
      <xdr:rowOff>47625</xdr:rowOff>
    </xdr:to>
    <xdr:pic>
      <xdr:nvPicPr>
        <xdr:cNvPr id="2" name="Picture 2" descr="logotipo PMC janeiro 2009">
          <a:extLst>
            <a:ext uri="{FF2B5EF4-FFF2-40B4-BE49-F238E27FC236}">
              <a16:creationId xmlns:a16="http://schemas.microsoft.com/office/drawing/2014/main" id="{1BD46673-73AA-4F2F-94AE-8D07962CE5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05500" y="247650"/>
          <a:ext cx="0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1905000</xdr:colOff>
      <xdr:row>1</xdr:row>
      <xdr:rowOff>76200</xdr:rowOff>
    </xdr:from>
    <xdr:to>
      <xdr:col>2</xdr:col>
      <xdr:colOff>1905000</xdr:colOff>
      <xdr:row>7</xdr:row>
      <xdr:rowOff>47625</xdr:rowOff>
    </xdr:to>
    <xdr:pic>
      <xdr:nvPicPr>
        <xdr:cNvPr id="3" name="Picture 2" descr="logotipo PMC janeiro 2009">
          <a:extLst>
            <a:ext uri="{FF2B5EF4-FFF2-40B4-BE49-F238E27FC236}">
              <a16:creationId xmlns:a16="http://schemas.microsoft.com/office/drawing/2014/main" id="{61438A35-C8AC-43C2-A26C-B95EFAB59A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810500" y="247650"/>
          <a:ext cx="0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2105025</xdr:colOff>
      <xdr:row>2</xdr:row>
      <xdr:rowOff>0</xdr:rowOff>
    </xdr:from>
    <xdr:to>
      <xdr:col>2</xdr:col>
      <xdr:colOff>2105025</xdr:colOff>
      <xdr:row>7</xdr:row>
      <xdr:rowOff>142875</xdr:rowOff>
    </xdr:to>
    <xdr:pic>
      <xdr:nvPicPr>
        <xdr:cNvPr id="4" name="Picture 2" descr="logotipo PMC janeiro 2009">
          <a:extLst>
            <a:ext uri="{FF2B5EF4-FFF2-40B4-BE49-F238E27FC236}">
              <a16:creationId xmlns:a16="http://schemas.microsoft.com/office/drawing/2014/main" id="{391B6569-D780-4E77-832F-CB7F93C648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10525" y="342900"/>
          <a:ext cx="0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76200</xdr:rowOff>
    </xdr:from>
    <xdr:to>
      <xdr:col>5</xdr:col>
      <xdr:colOff>0</xdr:colOff>
      <xdr:row>7</xdr:row>
      <xdr:rowOff>47625</xdr:rowOff>
    </xdr:to>
    <xdr:pic>
      <xdr:nvPicPr>
        <xdr:cNvPr id="5" name="Picture 2" descr="logotipo PMC janeiro 2009">
          <a:extLst>
            <a:ext uri="{FF2B5EF4-FFF2-40B4-BE49-F238E27FC236}">
              <a16:creationId xmlns:a16="http://schemas.microsoft.com/office/drawing/2014/main" id="{89EC08C7-A112-462E-B94A-07EC1C0C80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420600" y="247650"/>
          <a:ext cx="0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57150</xdr:rowOff>
    </xdr:from>
    <xdr:to>
      <xdr:col>5</xdr:col>
      <xdr:colOff>0</xdr:colOff>
      <xdr:row>7</xdr:row>
      <xdr:rowOff>28575</xdr:rowOff>
    </xdr:to>
    <xdr:pic>
      <xdr:nvPicPr>
        <xdr:cNvPr id="6" name="Picture 2" descr="logotipo PMC janeiro 2009">
          <a:extLst>
            <a:ext uri="{FF2B5EF4-FFF2-40B4-BE49-F238E27FC236}">
              <a16:creationId xmlns:a16="http://schemas.microsoft.com/office/drawing/2014/main" id="{B8399608-9DA2-4343-A0A9-EB556B9987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420600" y="228600"/>
          <a:ext cx="0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76200</xdr:rowOff>
    </xdr:from>
    <xdr:to>
      <xdr:col>6</xdr:col>
      <xdr:colOff>0</xdr:colOff>
      <xdr:row>7</xdr:row>
      <xdr:rowOff>47625</xdr:rowOff>
    </xdr:to>
    <xdr:pic>
      <xdr:nvPicPr>
        <xdr:cNvPr id="7" name="Picture 2" descr="logotipo PMC janeiro 2009">
          <a:extLst>
            <a:ext uri="{FF2B5EF4-FFF2-40B4-BE49-F238E27FC236}">
              <a16:creationId xmlns:a16="http://schemas.microsoft.com/office/drawing/2014/main" id="{535341BA-022C-4A6C-BB31-EA00E7EA51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030200" y="247650"/>
          <a:ext cx="0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0</xdr:colOff>
      <xdr:row>7</xdr:row>
      <xdr:rowOff>142875</xdr:rowOff>
    </xdr:to>
    <xdr:pic>
      <xdr:nvPicPr>
        <xdr:cNvPr id="8" name="Picture 2" descr="logotipo PMC janeiro 2009">
          <a:extLst>
            <a:ext uri="{FF2B5EF4-FFF2-40B4-BE49-F238E27FC236}">
              <a16:creationId xmlns:a16="http://schemas.microsoft.com/office/drawing/2014/main" id="{6C9931C5-1DC8-477F-9D33-2DB508C744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030200" y="342900"/>
          <a:ext cx="0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57150</xdr:rowOff>
    </xdr:from>
    <xdr:to>
      <xdr:col>6</xdr:col>
      <xdr:colOff>0</xdr:colOff>
      <xdr:row>7</xdr:row>
      <xdr:rowOff>28575</xdr:rowOff>
    </xdr:to>
    <xdr:pic>
      <xdr:nvPicPr>
        <xdr:cNvPr id="9" name="Picture 2" descr="logotipo PMC janeiro 2009">
          <a:extLst>
            <a:ext uri="{FF2B5EF4-FFF2-40B4-BE49-F238E27FC236}">
              <a16:creationId xmlns:a16="http://schemas.microsoft.com/office/drawing/2014/main" id="{3A2D6D52-3A26-47AF-A872-0853A0D2B1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030200" y="228600"/>
          <a:ext cx="0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2505075</xdr:colOff>
      <xdr:row>2</xdr:row>
      <xdr:rowOff>47625</xdr:rowOff>
    </xdr:from>
    <xdr:to>
      <xdr:col>2</xdr:col>
      <xdr:colOff>3419475</xdr:colOff>
      <xdr:row>6</xdr:row>
      <xdr:rowOff>133349</xdr:rowOff>
    </xdr:to>
    <xdr:pic>
      <xdr:nvPicPr>
        <xdr:cNvPr id="10" name="Imagem 2" descr="NOVO - Logo-PMC.03.julho.13.jpg">
          <a:extLst>
            <a:ext uri="{FF2B5EF4-FFF2-40B4-BE49-F238E27FC236}">
              <a16:creationId xmlns:a16="http://schemas.microsoft.com/office/drawing/2014/main" id="{3EEEAB3B-DD5A-4FE1-9FD3-E0F40B398C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410575" y="390525"/>
          <a:ext cx="914400" cy="733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2514600</xdr:colOff>
      <xdr:row>2</xdr:row>
      <xdr:rowOff>28574</xdr:rowOff>
    </xdr:from>
    <xdr:to>
      <xdr:col>0</xdr:col>
      <xdr:colOff>3495675</xdr:colOff>
      <xdr:row>6</xdr:row>
      <xdr:rowOff>133349</xdr:rowOff>
    </xdr:to>
    <xdr:pic>
      <xdr:nvPicPr>
        <xdr:cNvPr id="11" name="Imagem 2" descr="NOVO - Logo-PMC.03.julho.13.jpg">
          <a:extLst>
            <a:ext uri="{FF2B5EF4-FFF2-40B4-BE49-F238E27FC236}">
              <a16:creationId xmlns:a16="http://schemas.microsoft.com/office/drawing/2014/main" id="{041F13FD-691C-41C0-B2F4-7DC471A40C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14600" y="371474"/>
          <a:ext cx="981075" cy="752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</xdr:row>
      <xdr:rowOff>76200</xdr:rowOff>
    </xdr:from>
    <xdr:to>
      <xdr:col>2</xdr:col>
      <xdr:colOff>0</xdr:colOff>
      <xdr:row>7</xdr:row>
      <xdr:rowOff>47625</xdr:rowOff>
    </xdr:to>
    <xdr:pic>
      <xdr:nvPicPr>
        <xdr:cNvPr id="12" name="Picture 2" descr="logotipo PMC janeiro 2009">
          <a:extLst>
            <a:ext uri="{FF2B5EF4-FFF2-40B4-BE49-F238E27FC236}">
              <a16:creationId xmlns:a16="http://schemas.microsoft.com/office/drawing/2014/main" id="{4D9B3E0C-A383-4978-ADAD-AA0BA4BE95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05500" y="247650"/>
          <a:ext cx="0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1905000</xdr:colOff>
      <xdr:row>1</xdr:row>
      <xdr:rowOff>76200</xdr:rowOff>
    </xdr:from>
    <xdr:to>
      <xdr:col>2</xdr:col>
      <xdr:colOff>1905000</xdr:colOff>
      <xdr:row>7</xdr:row>
      <xdr:rowOff>47625</xdr:rowOff>
    </xdr:to>
    <xdr:pic>
      <xdr:nvPicPr>
        <xdr:cNvPr id="13" name="Picture 2" descr="logotipo PMC janeiro 2009">
          <a:extLst>
            <a:ext uri="{FF2B5EF4-FFF2-40B4-BE49-F238E27FC236}">
              <a16:creationId xmlns:a16="http://schemas.microsoft.com/office/drawing/2014/main" id="{9653A414-7B6E-4A10-9E8C-9444456433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810500" y="247650"/>
          <a:ext cx="0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2105025</xdr:colOff>
      <xdr:row>2</xdr:row>
      <xdr:rowOff>0</xdr:rowOff>
    </xdr:from>
    <xdr:to>
      <xdr:col>2</xdr:col>
      <xdr:colOff>2105025</xdr:colOff>
      <xdr:row>7</xdr:row>
      <xdr:rowOff>142875</xdr:rowOff>
    </xdr:to>
    <xdr:pic>
      <xdr:nvPicPr>
        <xdr:cNvPr id="14" name="Picture 2" descr="logotipo PMC janeiro 2009">
          <a:extLst>
            <a:ext uri="{FF2B5EF4-FFF2-40B4-BE49-F238E27FC236}">
              <a16:creationId xmlns:a16="http://schemas.microsoft.com/office/drawing/2014/main" id="{30115565-0033-4C01-839B-29902486C2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10525" y="342900"/>
          <a:ext cx="0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76200</xdr:rowOff>
    </xdr:from>
    <xdr:to>
      <xdr:col>5</xdr:col>
      <xdr:colOff>0</xdr:colOff>
      <xdr:row>7</xdr:row>
      <xdr:rowOff>47625</xdr:rowOff>
    </xdr:to>
    <xdr:pic>
      <xdr:nvPicPr>
        <xdr:cNvPr id="15" name="Picture 2" descr="logotipo PMC janeiro 2009">
          <a:extLst>
            <a:ext uri="{FF2B5EF4-FFF2-40B4-BE49-F238E27FC236}">
              <a16:creationId xmlns:a16="http://schemas.microsoft.com/office/drawing/2014/main" id="{A8CF7F4A-0084-4B43-A0B0-E5516DA8D2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420600" y="247650"/>
          <a:ext cx="0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0</xdr:colOff>
      <xdr:row>1</xdr:row>
      <xdr:rowOff>57150</xdr:rowOff>
    </xdr:from>
    <xdr:to>
      <xdr:col>5</xdr:col>
      <xdr:colOff>0</xdr:colOff>
      <xdr:row>7</xdr:row>
      <xdr:rowOff>28575</xdr:rowOff>
    </xdr:to>
    <xdr:pic>
      <xdr:nvPicPr>
        <xdr:cNvPr id="16" name="Picture 2" descr="logotipo PMC janeiro 2009">
          <a:extLst>
            <a:ext uri="{FF2B5EF4-FFF2-40B4-BE49-F238E27FC236}">
              <a16:creationId xmlns:a16="http://schemas.microsoft.com/office/drawing/2014/main" id="{6B11641A-9520-4A55-9E2A-704AB78517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420600" y="228600"/>
          <a:ext cx="0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76200</xdr:rowOff>
    </xdr:from>
    <xdr:to>
      <xdr:col>6</xdr:col>
      <xdr:colOff>0</xdr:colOff>
      <xdr:row>7</xdr:row>
      <xdr:rowOff>47625</xdr:rowOff>
    </xdr:to>
    <xdr:pic>
      <xdr:nvPicPr>
        <xdr:cNvPr id="17" name="Picture 2" descr="logotipo PMC janeiro 2009">
          <a:extLst>
            <a:ext uri="{FF2B5EF4-FFF2-40B4-BE49-F238E27FC236}">
              <a16:creationId xmlns:a16="http://schemas.microsoft.com/office/drawing/2014/main" id="{A3F847EC-0DC2-4107-88E1-6295C3DE91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030200" y="247650"/>
          <a:ext cx="0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0</xdr:colOff>
      <xdr:row>7</xdr:row>
      <xdr:rowOff>142875</xdr:rowOff>
    </xdr:to>
    <xdr:pic>
      <xdr:nvPicPr>
        <xdr:cNvPr id="18" name="Picture 2" descr="logotipo PMC janeiro 2009">
          <a:extLst>
            <a:ext uri="{FF2B5EF4-FFF2-40B4-BE49-F238E27FC236}">
              <a16:creationId xmlns:a16="http://schemas.microsoft.com/office/drawing/2014/main" id="{720147D3-C552-42C6-91B9-B80D110001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030200" y="342900"/>
          <a:ext cx="0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1</xdr:row>
      <xdr:rowOff>57150</xdr:rowOff>
    </xdr:from>
    <xdr:to>
      <xdr:col>6</xdr:col>
      <xdr:colOff>0</xdr:colOff>
      <xdr:row>7</xdr:row>
      <xdr:rowOff>28575</xdr:rowOff>
    </xdr:to>
    <xdr:pic>
      <xdr:nvPicPr>
        <xdr:cNvPr id="19" name="Picture 2" descr="logotipo PMC janeiro 2009">
          <a:extLst>
            <a:ext uri="{FF2B5EF4-FFF2-40B4-BE49-F238E27FC236}">
              <a16:creationId xmlns:a16="http://schemas.microsoft.com/office/drawing/2014/main" id="{57C2029B-E660-470A-86A2-396B75E6F0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030200" y="228600"/>
          <a:ext cx="0" cy="952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2505075</xdr:colOff>
      <xdr:row>2</xdr:row>
      <xdr:rowOff>47625</xdr:rowOff>
    </xdr:from>
    <xdr:to>
      <xdr:col>2</xdr:col>
      <xdr:colOff>3419475</xdr:colOff>
      <xdr:row>6</xdr:row>
      <xdr:rowOff>133349</xdr:rowOff>
    </xdr:to>
    <xdr:pic>
      <xdr:nvPicPr>
        <xdr:cNvPr id="20" name="Imagem 2" descr="NOVO - Logo-PMC.03.julho.13.jpg">
          <a:extLst>
            <a:ext uri="{FF2B5EF4-FFF2-40B4-BE49-F238E27FC236}">
              <a16:creationId xmlns:a16="http://schemas.microsoft.com/office/drawing/2014/main" id="{564B76B5-5786-4CDF-93EE-FC9B790B59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410575" y="390525"/>
          <a:ext cx="914400" cy="7334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2514600</xdr:colOff>
      <xdr:row>2</xdr:row>
      <xdr:rowOff>28574</xdr:rowOff>
    </xdr:from>
    <xdr:to>
      <xdr:col>0</xdr:col>
      <xdr:colOff>3495675</xdr:colOff>
      <xdr:row>6</xdr:row>
      <xdr:rowOff>133349</xdr:rowOff>
    </xdr:to>
    <xdr:pic>
      <xdr:nvPicPr>
        <xdr:cNvPr id="21" name="Imagem 2" descr="NOVO - Logo-PMC.03.julho.13.jpg">
          <a:extLst>
            <a:ext uri="{FF2B5EF4-FFF2-40B4-BE49-F238E27FC236}">
              <a16:creationId xmlns:a16="http://schemas.microsoft.com/office/drawing/2014/main" id="{4E96038F-3ACA-41D1-AB76-D1B3A9CFBB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514600" y="371474"/>
          <a:ext cx="981075" cy="752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169334</xdr:colOff>
      <xdr:row>1</xdr:row>
      <xdr:rowOff>158751</xdr:rowOff>
    </xdr:from>
    <xdr:to>
      <xdr:col>0</xdr:col>
      <xdr:colOff>731309</xdr:colOff>
      <xdr:row>3</xdr:row>
      <xdr:rowOff>127001</xdr:rowOff>
    </xdr:to>
    <xdr:pic>
      <xdr:nvPicPr>
        <xdr:cNvPr id="2" name="Imagem 1" descr="NOVO - Logo-PMC.03.julho.13.jpg">
          <a:extLst>
            <a:ext uri="{FF2B5EF4-FFF2-40B4-BE49-F238E27FC236}">
              <a16:creationId xmlns:a16="http://schemas.microsoft.com/office/drawing/2014/main" id="{55AD2286-DEF4-457E-AD0E-EE756CD4F9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9334" y="368301"/>
          <a:ext cx="561975" cy="530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169334</xdr:colOff>
      <xdr:row>1</xdr:row>
      <xdr:rowOff>158750</xdr:rowOff>
    </xdr:from>
    <xdr:to>
      <xdr:col>0</xdr:col>
      <xdr:colOff>731309</xdr:colOff>
      <xdr:row>3</xdr:row>
      <xdr:rowOff>181473</xdr:rowOff>
    </xdr:to>
    <xdr:pic>
      <xdr:nvPicPr>
        <xdr:cNvPr id="3" name="Imagem 2" descr="NOVO - Logo-PMC.03.julho.13.jpg">
          <a:extLst>
            <a:ext uri="{FF2B5EF4-FFF2-40B4-BE49-F238E27FC236}">
              <a16:creationId xmlns:a16="http://schemas.microsoft.com/office/drawing/2014/main" id="{BF27F42A-92C0-41E0-8745-4724E896D0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9334" y="368300"/>
          <a:ext cx="561975" cy="5846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190502</xdr:colOff>
      <xdr:row>1</xdr:row>
      <xdr:rowOff>42333</xdr:rowOff>
    </xdr:from>
    <xdr:to>
      <xdr:col>0</xdr:col>
      <xdr:colOff>645584</xdr:colOff>
      <xdr:row>3</xdr:row>
      <xdr:rowOff>143542</xdr:rowOff>
    </xdr:to>
    <xdr:pic>
      <xdr:nvPicPr>
        <xdr:cNvPr id="2" name="Imagem 1" descr="NOVO - Logo-PMC.03.julho.13.jpg">
          <a:extLst>
            <a:ext uri="{FF2B5EF4-FFF2-40B4-BE49-F238E27FC236}">
              <a16:creationId xmlns:a16="http://schemas.microsoft.com/office/drawing/2014/main" id="{7EA2C7FE-C1BB-45BE-8CCF-D889340E17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2" y="185208"/>
          <a:ext cx="455082" cy="4917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0</xdr:col>
      <xdr:colOff>190502</xdr:colOff>
      <xdr:row>1</xdr:row>
      <xdr:rowOff>42333</xdr:rowOff>
    </xdr:from>
    <xdr:ext cx="455082" cy="491734"/>
    <xdr:pic>
      <xdr:nvPicPr>
        <xdr:cNvPr id="3" name="Imagem 2" descr="NOVO - Logo-PMC.03.julho.13.jpg">
          <a:extLst>
            <a:ext uri="{FF2B5EF4-FFF2-40B4-BE49-F238E27FC236}">
              <a16:creationId xmlns:a16="http://schemas.microsoft.com/office/drawing/2014/main" id="{C5F946D6-B51C-4F17-B343-DF7097DD02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2" y="185208"/>
          <a:ext cx="455082" cy="49173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ulcell.com.br/eletrica/emenda/conector-perfurante-p-derivacao-10-70mm-1-5-10mm-cpp000-mci" TargetMode="External"/><Relationship Id="rId3" Type="http://schemas.openxmlformats.org/officeDocument/2006/relationships/hyperlink" Target="https://www.eletrorastro.com.br/produto/conector-torcao-2x1-0mm-com-50-unidades-cinza-decorlux-89403?utm_source=google&amp;utm_medium=cpc" TargetMode="External"/><Relationship Id="rId7" Type="http://schemas.openxmlformats.org/officeDocument/2006/relationships/hyperlink" Target="https://www.alvesemachado.com.br/conectores/conector-perfurante-10-70-mm-principal-1-5-10-mm-derivacao" TargetMode="External"/><Relationship Id="rId2" Type="http://schemas.openxmlformats.org/officeDocument/2006/relationships/hyperlink" Target="https://www.eletrodex.net/acessorios/cabos-e-fios/conectores/conector-de-torcao-linha-beta?srsltid=AfmBOooPdLJlUilReVu8Fkx6YhFr01FIrv28WrCJwO-VLLdykb8FIhKo" TargetMode="External"/><Relationship Id="rId1" Type="http://schemas.openxmlformats.org/officeDocument/2006/relationships/hyperlink" Target="https://www.exatron.com.br/produtos/chave-comando-de-grupo-2-x-60-com-disjuntor/?srsltid=AfmBOoqvkXEs0e84V7U5AAWACbaMNNGUcqrAhNEOHC8M3Tb-zKbAsSiA" TargetMode="External"/><Relationship Id="rId6" Type="http://schemas.openxmlformats.org/officeDocument/2006/relationships/hyperlink" Target="https://www.plenobras.com.br/646a5ab6d496504d21df8cbf/braco-galvanizado-a-fogo-curvo-2%22x2000-mm?srsltid=AfmBOoqVNtphLqWTTJw1YQ2VG0ehOEeDg3yoewb-JsCYKdFXvJ6GpslnT4Q" TargetMode="External"/><Relationship Id="rId5" Type="http://schemas.openxmlformats.org/officeDocument/2006/relationships/hyperlink" Target="https://www.lojaeletrica.com.br/braco-galvanizado-a-fogo-2-metros-48mm-curva-b5-olivo.html" TargetMode="External"/><Relationship Id="rId10" Type="http://schemas.openxmlformats.org/officeDocument/2006/relationships/printerSettings" Target="../printerSettings/printerSettings10.bin"/><Relationship Id="rId4" Type="http://schemas.openxmlformats.org/officeDocument/2006/relationships/hyperlink" Target="https://www.ferramentaskennedy.com.br/conector-torcao-azul-10mm-c50359369/p?adset_id=&amp;device=c&amp;gad_campaignid=17498598395&amp;gad_source=4&amp;gbraid=0AAAAADyLiV84JbVMOEmFeIH1rPGuNX9sr&amp;gclid=Cj0KCQjwkOvTBhDgARIsAKUNyRvz_QbOxlkKVAN249tnv3KMFU5MKsbZDrUPR-ddYKGvzNCuU0LKALgaAke6EALw_wcB&amp;kwd=&amp;matchtype=&amp;utm_campaign=17487853896&amp;utm_medium=cpc&amp;utm_source=google" TargetMode="External"/><Relationship Id="rId9" Type="http://schemas.openxmlformats.org/officeDocument/2006/relationships/hyperlink" Target="https://www.sveletrica.com/braco-para-luminaria-diametro-38mm-x-2-metros-com-luva-48mm-00a0001yj5/p?idsku=5301&amp;srsltid=AfmBOoqo2EAo0M0FRrKAujFJkP-FLGMbrHUar7TyRjrVrgZ5dZb4cxRItVk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mailto:fabiano.silva@c7compositos.com.br" TargetMode="External"/><Relationship Id="rId2" Type="http://schemas.openxmlformats.org/officeDocument/2006/relationships/hyperlink" Target="mailto:sonia.santos@petrofisa.com.br" TargetMode="External"/><Relationship Id="rId1" Type="http://schemas.openxmlformats.org/officeDocument/2006/relationships/hyperlink" Target="mailto:comercial2@techcomposites.com.br" TargetMode="External"/><Relationship Id="rId4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C15819-E7DF-4663-81DF-3863DBCB2D6E}">
  <sheetPr>
    <tabColor theme="4"/>
    <pageSetUpPr fitToPage="1"/>
  </sheetPr>
  <dimension ref="B1:K34"/>
  <sheetViews>
    <sheetView showGridLines="0" view="pageBreakPreview" zoomScaleNormal="100" zoomScaleSheetLayoutView="100" workbookViewId="0">
      <pane ySplit="8" topLeftCell="A9" activePane="bottomLeft" state="frozen"/>
      <selection activeCell="B36" sqref="B36"/>
      <selection pane="bottomLeft" activeCell="B35" sqref="B35"/>
    </sheetView>
  </sheetViews>
  <sheetFormatPr defaultRowHeight="12.75" x14ac:dyDescent="0.2"/>
  <cols>
    <col min="1" max="1" width="4.5703125" customWidth="1"/>
    <col min="2" max="2" width="84.42578125" bestFit="1" customWidth="1"/>
    <col min="3" max="8" width="12.5703125" customWidth="1"/>
  </cols>
  <sheetData>
    <row r="1" spans="2:11" ht="13.5" thickBot="1" x14ac:dyDescent="0.25">
      <c r="B1" s="857"/>
      <c r="C1" s="857"/>
      <c r="D1" s="857"/>
      <c r="E1" s="857"/>
      <c r="F1" s="857"/>
      <c r="G1" s="857"/>
      <c r="H1" s="857"/>
      <c r="I1" s="857"/>
    </row>
    <row r="2" spans="2:11" ht="21.75" customHeight="1" x14ac:dyDescent="0.2">
      <c r="B2" s="858" t="s">
        <v>12</v>
      </c>
      <c r="C2" s="859"/>
      <c r="D2" s="859"/>
      <c r="E2" s="859"/>
      <c r="F2" s="859"/>
      <c r="G2" s="859"/>
      <c r="H2" s="859"/>
      <c r="I2" s="860"/>
    </row>
    <row r="3" spans="2:11" ht="21.75" customHeight="1" x14ac:dyDescent="0.2">
      <c r="B3" s="873" t="s">
        <v>13</v>
      </c>
      <c r="C3" s="874"/>
      <c r="D3" s="874"/>
      <c r="E3" s="874"/>
      <c r="F3" s="874"/>
      <c r="G3" s="874"/>
      <c r="H3" s="874"/>
      <c r="I3" s="875"/>
    </row>
    <row r="4" spans="2:11" ht="21.75" customHeight="1" thickBot="1" x14ac:dyDescent="0.25">
      <c r="B4" s="870" t="s">
        <v>15</v>
      </c>
      <c r="C4" s="871"/>
      <c r="D4" s="871"/>
      <c r="E4" s="871"/>
      <c r="F4" s="871"/>
      <c r="G4" s="871"/>
      <c r="H4" s="871"/>
      <c r="I4" s="872"/>
    </row>
    <row r="5" spans="2:11" ht="13.5" thickBot="1" x14ac:dyDescent="0.25"/>
    <row r="6" spans="2:11" ht="15.75" customHeight="1" thickBot="1" x14ac:dyDescent="0.25">
      <c r="B6" s="864" t="s">
        <v>1321</v>
      </c>
      <c r="C6" s="865"/>
      <c r="D6" s="865"/>
      <c r="E6" s="865"/>
      <c r="F6" s="865"/>
      <c r="G6" s="865"/>
      <c r="H6" s="865"/>
      <c r="I6" s="866"/>
    </row>
    <row r="7" spans="2:11" ht="13.5" thickBot="1" x14ac:dyDescent="0.25"/>
    <row r="8" spans="2:11" ht="15.75" customHeight="1" thickBot="1" x14ac:dyDescent="0.25">
      <c r="B8" s="867" t="s">
        <v>1337</v>
      </c>
      <c r="C8" s="868"/>
      <c r="D8" s="868"/>
      <c r="E8" s="868"/>
      <c r="F8" s="868"/>
      <c r="G8" s="868"/>
      <c r="H8" s="868"/>
      <c r="I8" s="869"/>
    </row>
    <row r="9" spans="2:11" ht="13.5" thickBot="1" x14ac:dyDescent="0.25"/>
    <row r="10" spans="2:11" ht="15" x14ac:dyDescent="0.2">
      <c r="B10" s="681" t="s">
        <v>1309</v>
      </c>
      <c r="C10" s="682">
        <v>46266</v>
      </c>
      <c r="D10" s="47"/>
      <c r="E10" s="47"/>
      <c r="F10" s="47"/>
      <c r="G10" s="47"/>
      <c r="H10" s="47"/>
      <c r="I10" s="48"/>
      <c r="J10" s="37"/>
      <c r="K10" s="37"/>
    </row>
    <row r="11" spans="2:11" ht="15" x14ac:dyDescent="0.2">
      <c r="B11" s="38" t="s">
        <v>14</v>
      </c>
      <c r="C11" s="54" t="s">
        <v>1897</v>
      </c>
      <c r="D11" s="49"/>
      <c r="E11" s="49"/>
      <c r="F11" s="49"/>
      <c r="G11" s="49"/>
      <c r="H11" s="49"/>
      <c r="I11" s="50"/>
      <c r="J11" s="37"/>
      <c r="K11" s="37"/>
    </row>
    <row r="12" spans="2:11" ht="36.75" customHeight="1" x14ac:dyDescent="0.2">
      <c r="B12" s="38" t="s">
        <v>11</v>
      </c>
      <c r="C12" s="861" t="s">
        <v>2054</v>
      </c>
      <c r="D12" s="862"/>
      <c r="E12" s="862"/>
      <c r="F12" s="862"/>
      <c r="G12" s="862"/>
      <c r="H12" s="862"/>
      <c r="I12" s="863"/>
      <c r="J12" s="37"/>
      <c r="K12" s="37"/>
    </row>
    <row r="13" spans="2:11" ht="15" x14ac:dyDescent="0.2">
      <c r="B13" s="38" t="s">
        <v>1310</v>
      </c>
      <c r="C13" s="54">
        <v>0</v>
      </c>
      <c r="D13" s="52"/>
      <c r="E13" s="52"/>
      <c r="F13" s="52"/>
      <c r="G13" s="52"/>
      <c r="H13" s="52"/>
      <c r="I13" s="53"/>
      <c r="J13" s="37"/>
      <c r="K13" s="37"/>
    </row>
    <row r="14" spans="2:11" ht="15" x14ac:dyDescent="0.2">
      <c r="B14" s="38" t="s">
        <v>1311</v>
      </c>
      <c r="C14" s="54">
        <v>0</v>
      </c>
      <c r="D14" s="52"/>
      <c r="E14" s="52"/>
      <c r="F14" s="52"/>
      <c r="G14" s="52"/>
      <c r="H14" s="52"/>
      <c r="I14" s="53"/>
      <c r="J14" s="37"/>
      <c r="K14" s="37"/>
    </row>
    <row r="15" spans="2:11" ht="15" x14ac:dyDescent="0.2">
      <c r="B15" s="38" t="s">
        <v>1380</v>
      </c>
      <c r="C15" s="55">
        <v>0.20949999999999999</v>
      </c>
      <c r="D15" s="52"/>
      <c r="E15" s="52"/>
      <c r="F15" s="52"/>
      <c r="G15" s="52"/>
      <c r="H15" s="52"/>
      <c r="I15" s="53"/>
      <c r="J15" s="37"/>
      <c r="K15" s="37"/>
    </row>
    <row r="16" spans="2:11" ht="15" x14ac:dyDescent="0.2">
      <c r="B16" s="38" t="s">
        <v>1381</v>
      </c>
      <c r="C16" s="55">
        <v>0.24440000000000001</v>
      </c>
      <c r="D16" s="52"/>
      <c r="E16" s="52"/>
      <c r="F16" s="52"/>
      <c r="G16" s="52"/>
      <c r="H16" s="52"/>
      <c r="I16" s="53"/>
      <c r="J16" s="37"/>
      <c r="K16" s="37"/>
    </row>
    <row r="17" spans="2:11" ht="15" x14ac:dyDescent="0.2">
      <c r="B17" s="38" t="s">
        <v>1308</v>
      </c>
      <c r="C17" s="683">
        <v>46204</v>
      </c>
      <c r="D17" s="52"/>
      <c r="E17" s="52"/>
      <c r="F17" s="52"/>
      <c r="G17" s="52"/>
      <c r="H17" s="52"/>
      <c r="I17" s="53"/>
      <c r="J17" s="37"/>
      <c r="K17" s="37"/>
    </row>
    <row r="18" spans="2:11" ht="15" x14ac:dyDescent="0.2">
      <c r="B18" s="38" t="s">
        <v>1690</v>
      </c>
      <c r="C18" s="683">
        <v>46113</v>
      </c>
      <c r="D18" s="52"/>
      <c r="E18" s="52"/>
      <c r="F18" s="52"/>
      <c r="G18" s="52"/>
      <c r="H18" s="52"/>
      <c r="I18" s="53"/>
      <c r="J18" s="37"/>
      <c r="K18" s="37"/>
    </row>
    <row r="19" spans="2:11" ht="15" x14ac:dyDescent="0.2">
      <c r="B19" s="38" t="s">
        <v>1810</v>
      </c>
      <c r="C19" s="683">
        <v>46023</v>
      </c>
      <c r="D19" s="52"/>
      <c r="E19" s="52"/>
      <c r="F19" s="52"/>
      <c r="G19" s="52"/>
      <c r="H19" s="52"/>
      <c r="I19" s="53"/>
      <c r="J19" s="37"/>
      <c r="K19" s="37"/>
    </row>
    <row r="20" spans="2:11" ht="15" x14ac:dyDescent="0.2">
      <c r="B20" s="38" t="s">
        <v>2052</v>
      </c>
      <c r="C20" s="683">
        <v>46174</v>
      </c>
      <c r="D20" s="52"/>
      <c r="E20" s="52"/>
      <c r="F20" s="52"/>
      <c r="G20" s="52"/>
      <c r="H20" s="52"/>
      <c r="I20" s="53"/>
      <c r="J20" s="37"/>
      <c r="K20" s="37"/>
    </row>
    <row r="21" spans="2:11" ht="15" x14ac:dyDescent="0.2">
      <c r="B21" s="38" t="s">
        <v>1313</v>
      </c>
      <c r="C21" s="54">
        <v>5385</v>
      </c>
      <c r="D21" s="52"/>
      <c r="E21" s="52"/>
      <c r="F21" s="52"/>
      <c r="G21" s="52"/>
      <c r="H21" s="52"/>
      <c r="I21" s="53"/>
      <c r="J21" s="37"/>
      <c r="K21" s="37"/>
    </row>
    <row r="22" spans="2:11" ht="15" x14ac:dyDescent="0.2">
      <c r="B22" s="38" t="s">
        <v>1320</v>
      </c>
      <c r="C22" s="51" t="s">
        <v>1839</v>
      </c>
      <c r="D22" s="52"/>
      <c r="E22" s="52"/>
      <c r="F22" s="52"/>
      <c r="G22" s="52"/>
      <c r="H22" s="52"/>
      <c r="I22" s="53"/>
      <c r="J22" s="37"/>
      <c r="K22" s="37"/>
    </row>
    <row r="23" spans="2:11" ht="15" x14ac:dyDescent="0.2">
      <c r="B23" s="38" t="s">
        <v>1382</v>
      </c>
      <c r="C23" s="102">
        <v>4</v>
      </c>
      <c r="D23" s="52" t="s">
        <v>1383</v>
      </c>
      <c r="E23" s="52"/>
      <c r="F23" s="52"/>
      <c r="G23" s="52"/>
      <c r="H23" s="52"/>
      <c r="I23" s="53"/>
      <c r="J23" s="37"/>
      <c r="K23" s="37"/>
    </row>
    <row r="24" spans="2:11" ht="15" x14ac:dyDescent="0.2">
      <c r="B24" s="39" t="s">
        <v>1340</v>
      </c>
      <c r="C24" s="51" t="s">
        <v>2134</v>
      </c>
      <c r="D24" s="52"/>
      <c r="E24" s="52"/>
      <c r="F24" s="52"/>
      <c r="G24" s="52"/>
      <c r="H24" s="52"/>
      <c r="I24" s="53"/>
      <c r="J24" s="37"/>
      <c r="K24" s="37"/>
    </row>
    <row r="25" spans="2:11" ht="15" x14ac:dyDescent="0.2">
      <c r="B25" s="38" t="s">
        <v>1332</v>
      </c>
      <c r="C25" s="104">
        <v>230151</v>
      </c>
      <c r="D25" s="72" t="s">
        <v>1331</v>
      </c>
      <c r="E25" s="52"/>
      <c r="F25" s="52"/>
      <c r="G25" s="52"/>
      <c r="H25" s="52"/>
      <c r="I25" s="53"/>
      <c r="J25" s="37"/>
      <c r="K25" s="37"/>
    </row>
    <row r="26" spans="2:11" ht="15.75" thickBot="1" x14ac:dyDescent="0.25">
      <c r="B26" s="40" t="s">
        <v>1333</v>
      </c>
      <c r="C26" s="731" t="s">
        <v>2140</v>
      </c>
      <c r="D26" s="56"/>
      <c r="E26" s="56"/>
      <c r="F26" s="56"/>
      <c r="G26" s="56"/>
      <c r="H26" s="56"/>
      <c r="I26" s="57"/>
      <c r="J26" s="37"/>
      <c r="K26" s="37"/>
    </row>
    <row r="27" spans="2:11" ht="15" x14ac:dyDescent="0.2">
      <c r="B27" s="876"/>
      <c r="C27" s="876"/>
      <c r="D27" s="876"/>
      <c r="E27" s="876"/>
      <c r="F27" s="876"/>
      <c r="G27" s="876"/>
      <c r="H27" s="876"/>
      <c r="I27" s="876"/>
      <c r="J27" s="37"/>
      <c r="K27" s="37"/>
    </row>
    <row r="31" spans="2:11" ht="12.75" customHeight="1" x14ac:dyDescent="0.2"/>
    <row r="32" spans="2:11" ht="12.75" customHeight="1" x14ac:dyDescent="0.2">
      <c r="B32" s="788"/>
      <c r="C32" s="788"/>
      <c r="D32" s="789"/>
      <c r="E32" s="789"/>
      <c r="F32" s="789"/>
    </row>
    <row r="33" spans="2:6" ht="12.75" customHeight="1" x14ac:dyDescent="0.2">
      <c r="B33" s="788"/>
      <c r="C33" s="788"/>
      <c r="D33" s="789"/>
      <c r="E33" s="789"/>
      <c r="F33" s="789"/>
    </row>
    <row r="34" spans="2:6" ht="12.75" customHeight="1" x14ac:dyDescent="0.2">
      <c r="B34" s="788"/>
      <c r="C34" s="788"/>
      <c r="D34" s="789"/>
      <c r="E34" s="789"/>
      <c r="F34" s="789"/>
    </row>
  </sheetData>
  <mergeCells count="14">
    <mergeCell ref="B1:I1"/>
    <mergeCell ref="B2:I2"/>
    <mergeCell ref="B32:C32"/>
    <mergeCell ref="B33:C33"/>
    <mergeCell ref="B34:C34"/>
    <mergeCell ref="D32:F32"/>
    <mergeCell ref="D33:F33"/>
    <mergeCell ref="D34:F34"/>
    <mergeCell ref="C12:I12"/>
    <mergeCell ref="B6:I6"/>
    <mergeCell ref="B8:I8"/>
    <mergeCell ref="B4:I4"/>
    <mergeCell ref="B3:I3"/>
    <mergeCell ref="B27:I27"/>
  </mergeCells>
  <pageMargins left="0.25" right="0.25" top="0.75" bottom="0.75" header="0.3" footer="0.3"/>
  <pageSetup paperSize="9" scale="59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6AC950-098D-4BAD-A60E-8E762DB839CF}">
  <sheetPr>
    <tabColor theme="4"/>
  </sheetPr>
  <dimension ref="B1:G63"/>
  <sheetViews>
    <sheetView showGridLines="0" zoomScale="85" zoomScaleNormal="85" workbookViewId="0">
      <pane ySplit="8" topLeftCell="A9" activePane="bottomLeft" state="frozen"/>
      <selection activeCell="H34" sqref="H34"/>
      <selection pane="bottomLeft" activeCell="B9" sqref="B9:G64"/>
    </sheetView>
  </sheetViews>
  <sheetFormatPr defaultRowHeight="12.75" x14ac:dyDescent="0.2"/>
  <cols>
    <col min="1" max="1" width="4.5703125" customWidth="1"/>
    <col min="2" max="2" width="65.85546875" bestFit="1" customWidth="1"/>
    <col min="3" max="3" width="17" customWidth="1"/>
    <col min="4" max="5" width="12.5703125" customWidth="1"/>
    <col min="6" max="6" width="14.42578125" customWidth="1"/>
    <col min="7" max="7" width="12.5703125" customWidth="1"/>
  </cols>
  <sheetData>
    <row r="1" spans="2:7" ht="13.5" thickBot="1" x14ac:dyDescent="0.25"/>
    <row r="2" spans="2:7" ht="21.75" customHeight="1" x14ac:dyDescent="0.2">
      <c r="B2" s="858" t="s">
        <v>12</v>
      </c>
      <c r="C2" s="859"/>
      <c r="D2" s="859"/>
      <c r="E2" s="859"/>
      <c r="F2" s="859"/>
      <c r="G2" s="860"/>
    </row>
    <row r="3" spans="2:7" ht="21.75" customHeight="1" x14ac:dyDescent="0.2">
      <c r="B3" s="873" t="s">
        <v>13</v>
      </c>
      <c r="C3" s="874"/>
      <c r="D3" s="874"/>
      <c r="E3" s="874"/>
      <c r="F3" s="874"/>
      <c r="G3" s="875"/>
    </row>
    <row r="4" spans="2:7" ht="21.75" customHeight="1" thickBot="1" x14ac:dyDescent="0.25">
      <c r="B4" s="870" t="s">
        <v>15</v>
      </c>
      <c r="C4" s="871"/>
      <c r="D4" s="871"/>
      <c r="E4" s="871"/>
      <c r="F4" s="871"/>
      <c r="G4" s="872"/>
    </row>
    <row r="5" spans="2:7" ht="13.5" thickBot="1" x14ac:dyDescent="0.25"/>
    <row r="6" spans="2:7" ht="15.75" customHeight="1" thickBot="1" x14ac:dyDescent="0.25">
      <c r="B6" s="877" t="s">
        <v>1334</v>
      </c>
      <c r="C6" s="878"/>
      <c r="D6" s="878"/>
      <c r="E6" s="878"/>
      <c r="F6" s="878"/>
      <c r="G6" s="879"/>
    </row>
    <row r="7" spans="2:7" ht="13.5" thickBot="1" x14ac:dyDescent="0.25"/>
    <row r="8" spans="2:7" ht="15.75" thickBot="1" x14ac:dyDescent="0.25">
      <c r="B8" s="880" t="s">
        <v>1336</v>
      </c>
      <c r="C8" s="881"/>
      <c r="D8" s="881"/>
      <c r="E8" s="868"/>
      <c r="F8" s="868"/>
      <c r="G8" s="869"/>
    </row>
    <row r="9" spans="2:7" ht="15" x14ac:dyDescent="0.2">
      <c r="B9" s="284"/>
      <c r="C9" s="284"/>
      <c r="D9" s="284"/>
      <c r="E9" s="283"/>
      <c r="F9" s="283"/>
      <c r="G9" s="283"/>
    </row>
    <row r="10" spans="2:7" x14ac:dyDescent="0.2">
      <c r="B10" s="218"/>
      <c r="C10" s="218"/>
      <c r="D10" s="218"/>
    </row>
    <row r="11" spans="2:7" x14ac:dyDescent="0.2">
      <c r="B11" s="218"/>
      <c r="C11" s="218"/>
      <c r="D11" s="218"/>
    </row>
    <row r="12" spans="2:7" x14ac:dyDescent="0.2">
      <c r="B12" s="218"/>
      <c r="C12" s="218"/>
      <c r="D12" s="218"/>
    </row>
    <row r="13" spans="2:7" x14ac:dyDescent="0.2">
      <c r="B13" s="218"/>
      <c r="C13" s="218"/>
      <c r="D13" s="218"/>
    </row>
    <row r="14" spans="2:7" x14ac:dyDescent="0.2">
      <c r="B14" s="218"/>
      <c r="C14" s="285"/>
      <c r="D14" s="218"/>
    </row>
    <row r="15" spans="2:7" x14ac:dyDescent="0.2">
      <c r="B15" s="218"/>
      <c r="C15" s="285"/>
      <c r="D15" s="218"/>
    </row>
    <row r="16" spans="2:7" x14ac:dyDescent="0.2">
      <c r="B16" s="218"/>
      <c r="C16" s="285"/>
      <c r="D16" s="218"/>
    </row>
    <row r="17" spans="2:5" x14ac:dyDescent="0.2">
      <c r="B17" s="218"/>
      <c r="C17" s="285"/>
      <c r="D17" s="218"/>
    </row>
    <row r="18" spans="2:5" x14ac:dyDescent="0.2">
      <c r="B18" s="218"/>
      <c r="C18" s="285"/>
      <c r="D18" s="218"/>
    </row>
    <row r="19" spans="2:5" x14ac:dyDescent="0.2">
      <c r="B19" s="218"/>
      <c r="C19" s="285"/>
      <c r="D19" s="218"/>
    </row>
    <row r="20" spans="2:5" x14ac:dyDescent="0.2">
      <c r="B20" s="218"/>
      <c r="C20" s="285"/>
      <c r="D20" s="218"/>
    </row>
    <row r="21" spans="2:5" x14ac:dyDescent="0.2">
      <c r="B21" s="218"/>
      <c r="C21" s="285"/>
      <c r="D21" s="218"/>
    </row>
    <row r="22" spans="2:5" x14ac:dyDescent="0.2">
      <c r="B22" s="218"/>
      <c r="C22" s="285"/>
      <c r="D22" s="218"/>
      <c r="E22" s="58"/>
    </row>
    <row r="23" spans="2:5" x14ac:dyDescent="0.2">
      <c r="B23" s="218"/>
      <c r="C23" s="285"/>
      <c r="D23" s="218"/>
      <c r="E23" s="58"/>
    </row>
    <row r="24" spans="2:5" x14ac:dyDescent="0.2">
      <c r="B24" s="218"/>
      <c r="C24" s="285"/>
      <c r="D24" s="218"/>
      <c r="E24" s="58"/>
    </row>
    <row r="25" spans="2:5" x14ac:dyDescent="0.2">
      <c r="B25" s="218"/>
      <c r="C25" s="285"/>
      <c r="D25" s="218"/>
      <c r="E25" s="58"/>
    </row>
    <row r="26" spans="2:5" x14ac:dyDescent="0.2">
      <c r="B26" s="218"/>
      <c r="C26" s="285"/>
      <c r="D26" s="218"/>
      <c r="E26" s="58"/>
    </row>
    <row r="27" spans="2:5" x14ac:dyDescent="0.2">
      <c r="B27" s="218"/>
      <c r="C27" s="285"/>
      <c r="D27" s="218"/>
      <c r="E27" s="58"/>
    </row>
    <row r="28" spans="2:5" x14ac:dyDescent="0.2">
      <c r="B28" s="218"/>
      <c r="C28" s="285"/>
      <c r="D28" s="218"/>
      <c r="E28" s="58"/>
    </row>
    <row r="29" spans="2:5" x14ac:dyDescent="0.2">
      <c r="B29" s="218"/>
      <c r="C29" s="285"/>
      <c r="D29" s="218"/>
    </row>
    <row r="30" spans="2:5" x14ac:dyDescent="0.2">
      <c r="B30" s="218"/>
      <c r="C30" s="285"/>
      <c r="D30" s="218"/>
      <c r="E30" s="58"/>
    </row>
    <row r="31" spans="2:5" x14ac:dyDescent="0.2">
      <c r="B31" s="218"/>
      <c r="C31" s="285"/>
      <c r="D31" s="218"/>
      <c r="E31" s="58"/>
    </row>
    <row r="32" spans="2:5" x14ac:dyDescent="0.2">
      <c r="B32" s="218"/>
      <c r="C32" s="285"/>
      <c r="D32" s="218"/>
      <c r="E32" s="58"/>
    </row>
    <row r="33" spans="2:7" x14ac:dyDescent="0.2">
      <c r="B33" s="218"/>
      <c r="C33" s="285"/>
      <c r="D33" s="218"/>
      <c r="E33" s="58"/>
    </row>
    <row r="34" spans="2:7" x14ac:dyDescent="0.2">
      <c r="B34" s="218"/>
      <c r="C34" s="285"/>
      <c r="D34" s="218"/>
    </row>
    <row r="35" spans="2:7" x14ac:dyDescent="0.2">
      <c r="B35" s="218"/>
      <c r="C35" s="285"/>
      <c r="D35" s="218"/>
    </row>
    <row r="36" spans="2:7" x14ac:dyDescent="0.2">
      <c r="B36" s="218"/>
      <c r="C36" s="285"/>
      <c r="D36" s="218"/>
    </row>
    <row r="37" spans="2:7" x14ac:dyDescent="0.2">
      <c r="B37" s="218"/>
      <c r="C37" s="285"/>
      <c r="D37" s="218"/>
    </row>
    <row r="38" spans="2:7" x14ac:dyDescent="0.2">
      <c r="B38" s="218"/>
      <c r="C38" s="285"/>
      <c r="D38" s="218"/>
    </row>
    <row r="40" spans="2:7" x14ac:dyDescent="0.2">
      <c r="D40" s="218"/>
      <c r="E40" s="218"/>
      <c r="F40" s="218"/>
      <c r="G40" s="218"/>
    </row>
    <row r="41" spans="2:7" x14ac:dyDescent="0.2">
      <c r="D41" s="218"/>
      <c r="E41" s="285"/>
      <c r="F41" s="285"/>
      <c r="G41" s="285"/>
    </row>
    <row r="42" spans="2:7" x14ac:dyDescent="0.2">
      <c r="D42" s="218"/>
      <c r="E42" s="285"/>
      <c r="F42" s="285"/>
      <c r="G42" s="285"/>
    </row>
    <row r="43" spans="2:7" x14ac:dyDescent="0.2">
      <c r="D43" s="218"/>
      <c r="E43" s="285"/>
      <c r="F43" s="285"/>
      <c r="G43" s="285"/>
    </row>
    <row r="44" spans="2:7" x14ac:dyDescent="0.2">
      <c r="D44" s="218"/>
      <c r="E44" s="285"/>
      <c r="F44" s="285"/>
      <c r="G44" s="285"/>
    </row>
    <row r="45" spans="2:7" x14ac:dyDescent="0.2">
      <c r="D45" s="218"/>
      <c r="E45" s="285"/>
      <c r="F45" s="285"/>
      <c r="G45" s="285"/>
    </row>
    <row r="46" spans="2:7" x14ac:dyDescent="0.2">
      <c r="D46" s="218"/>
      <c r="E46" s="285"/>
      <c r="F46" s="285"/>
      <c r="G46" s="285"/>
    </row>
    <row r="47" spans="2:7" x14ac:dyDescent="0.2">
      <c r="D47" s="218"/>
      <c r="E47" s="285"/>
      <c r="F47" s="285"/>
      <c r="G47" s="285"/>
    </row>
    <row r="48" spans="2:7" x14ac:dyDescent="0.2">
      <c r="D48" s="218"/>
      <c r="E48" s="285"/>
      <c r="F48" s="285"/>
      <c r="G48" s="285"/>
    </row>
    <row r="49" spans="4:7" x14ac:dyDescent="0.2">
      <c r="D49" s="218"/>
      <c r="E49" s="285"/>
      <c r="F49" s="285"/>
      <c r="G49" s="285"/>
    </row>
    <row r="50" spans="4:7" x14ac:dyDescent="0.2">
      <c r="D50" s="218"/>
      <c r="E50" s="285"/>
      <c r="F50" s="285"/>
      <c r="G50" s="285"/>
    </row>
    <row r="51" spans="4:7" x14ac:dyDescent="0.2">
      <c r="D51" s="218"/>
      <c r="E51" s="285"/>
      <c r="F51" s="285"/>
      <c r="G51" s="285"/>
    </row>
    <row r="52" spans="4:7" x14ac:dyDescent="0.2">
      <c r="D52" s="218"/>
      <c r="E52" s="285"/>
      <c r="F52" s="285"/>
      <c r="G52" s="285"/>
    </row>
    <row r="53" spans="4:7" x14ac:dyDescent="0.2">
      <c r="D53" s="218"/>
      <c r="E53" s="285"/>
      <c r="F53" s="285"/>
      <c r="G53" s="285"/>
    </row>
    <row r="54" spans="4:7" x14ac:dyDescent="0.2">
      <c r="D54" s="218"/>
      <c r="E54" s="285"/>
      <c r="F54" s="285"/>
      <c r="G54" s="285"/>
    </row>
    <row r="55" spans="4:7" x14ac:dyDescent="0.2">
      <c r="D55" s="218"/>
      <c r="E55" s="285"/>
      <c r="F55" s="285"/>
      <c r="G55" s="285"/>
    </row>
    <row r="56" spans="4:7" x14ac:dyDescent="0.2">
      <c r="D56" s="218"/>
      <c r="E56" s="285"/>
      <c r="F56" s="285"/>
      <c r="G56" s="285"/>
    </row>
    <row r="57" spans="4:7" x14ac:dyDescent="0.2">
      <c r="D57" s="218"/>
      <c r="E57" s="285"/>
      <c r="F57" s="285"/>
      <c r="G57" s="285"/>
    </row>
    <row r="58" spans="4:7" x14ac:dyDescent="0.2">
      <c r="D58" s="218"/>
      <c r="E58" s="285"/>
      <c r="F58" s="285"/>
      <c r="G58" s="285"/>
    </row>
    <row r="59" spans="4:7" x14ac:dyDescent="0.2">
      <c r="D59" s="218"/>
      <c r="E59" s="285"/>
      <c r="F59" s="285"/>
      <c r="G59" s="285"/>
    </row>
    <row r="60" spans="4:7" x14ac:dyDescent="0.2">
      <c r="D60" s="218"/>
      <c r="E60" s="285"/>
      <c r="F60" s="285"/>
      <c r="G60" s="285"/>
    </row>
    <row r="61" spans="4:7" x14ac:dyDescent="0.2">
      <c r="D61" s="218"/>
      <c r="E61" s="285"/>
      <c r="F61" s="285"/>
      <c r="G61" s="285"/>
    </row>
    <row r="62" spans="4:7" x14ac:dyDescent="0.2">
      <c r="D62" s="218"/>
      <c r="E62" s="285"/>
      <c r="F62" s="285"/>
      <c r="G62" s="285"/>
    </row>
    <row r="63" spans="4:7" x14ac:dyDescent="0.2">
      <c r="D63" s="218"/>
      <c r="E63" s="285"/>
      <c r="F63" s="285"/>
      <c r="G63" s="285"/>
    </row>
  </sheetData>
  <mergeCells count="5">
    <mergeCell ref="B2:G2"/>
    <mergeCell ref="B3:G3"/>
    <mergeCell ref="B4:G4"/>
    <mergeCell ref="B6:G6"/>
    <mergeCell ref="B8:G8"/>
  </mergeCells>
  <phoneticPr fontId="16" type="noConversion"/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17EA2C-D172-46EC-A28F-8B58E9CCB108}">
  <sheetPr>
    <tabColor rgb="FFFFC000"/>
    <pageSetUpPr fitToPage="1"/>
  </sheetPr>
  <dimension ref="A1:F41"/>
  <sheetViews>
    <sheetView workbookViewId="0">
      <selection activeCell="D41" sqref="D41"/>
    </sheetView>
  </sheetViews>
  <sheetFormatPr defaultColWidth="9.140625" defaultRowHeight="12.75" x14ac:dyDescent="0.2"/>
  <cols>
    <col min="1" max="1" width="9.5703125" style="287" customWidth="1"/>
    <col min="2" max="2" width="40.42578125" style="287" customWidth="1"/>
    <col min="3" max="6" width="13.42578125" style="298" customWidth="1"/>
    <col min="7" max="16384" width="9.140625" style="286"/>
  </cols>
  <sheetData>
    <row r="1" spans="1:6" ht="9" customHeight="1" x14ac:dyDescent="0.2"/>
    <row r="2" spans="1:6" ht="9.9499999999999993" customHeight="1" x14ac:dyDescent="0.2"/>
    <row r="3" spans="1:6" ht="9" customHeight="1" x14ac:dyDescent="0.2"/>
    <row r="4" spans="1:6" ht="13.35" customHeight="1" x14ac:dyDescent="0.2">
      <c r="A4" s="882"/>
      <c r="B4" s="883"/>
      <c r="C4" s="883"/>
      <c r="D4" s="883"/>
      <c r="E4" s="883"/>
      <c r="F4" s="884"/>
    </row>
    <row r="5" spans="1:6" ht="13.35" customHeight="1" x14ac:dyDescent="0.2">
      <c r="A5" s="885" t="s">
        <v>28</v>
      </c>
      <c r="B5" s="887" t="s">
        <v>1335</v>
      </c>
      <c r="C5" s="889"/>
      <c r="D5" s="890"/>
      <c r="E5" s="889"/>
      <c r="F5" s="890"/>
    </row>
    <row r="6" spans="1:6" ht="26.45" customHeight="1" x14ac:dyDescent="0.2">
      <c r="A6" s="886"/>
      <c r="B6" s="888"/>
      <c r="C6" s="299" t="s">
        <v>1705</v>
      </c>
      <c r="D6" s="299" t="s">
        <v>1706</v>
      </c>
      <c r="E6" s="891" t="s">
        <v>1707</v>
      </c>
      <c r="F6" s="892"/>
    </row>
    <row r="7" spans="1:6" ht="13.35" customHeight="1" x14ac:dyDescent="0.2">
      <c r="A7" s="882"/>
      <c r="B7" s="883"/>
      <c r="C7" s="883"/>
      <c r="D7" s="883"/>
      <c r="E7" s="883"/>
      <c r="F7" s="884"/>
    </row>
    <row r="8" spans="1:6" ht="15" customHeight="1" x14ac:dyDescent="0.2">
      <c r="A8" s="288" t="s">
        <v>1708</v>
      </c>
      <c r="B8" s="289" t="s">
        <v>1709</v>
      </c>
      <c r="C8" s="294">
        <v>0.05</v>
      </c>
      <c r="D8" s="300">
        <v>0.05</v>
      </c>
      <c r="E8" s="300">
        <v>0.2</v>
      </c>
      <c r="F8" s="300">
        <v>0.2</v>
      </c>
    </row>
    <row r="9" spans="1:6" ht="15" customHeight="1" x14ac:dyDescent="0.2">
      <c r="A9" s="290" t="s">
        <v>1710</v>
      </c>
      <c r="B9" s="291" t="s">
        <v>1711</v>
      </c>
      <c r="C9" s="297">
        <v>1.4999999999999999E-2</v>
      </c>
      <c r="D9" s="301">
        <v>1.4999999999999999E-2</v>
      </c>
      <c r="E9" s="301">
        <v>1.4999999999999999E-2</v>
      </c>
      <c r="F9" s="301">
        <v>1.4999999999999999E-2</v>
      </c>
    </row>
    <row r="10" spans="1:6" ht="15" customHeight="1" x14ac:dyDescent="0.2">
      <c r="A10" s="288" t="s">
        <v>1712</v>
      </c>
      <c r="B10" s="289" t="s">
        <v>1713</v>
      </c>
      <c r="C10" s="294">
        <v>0.01</v>
      </c>
      <c r="D10" s="294">
        <v>0.01</v>
      </c>
      <c r="E10" s="300">
        <v>0.01</v>
      </c>
      <c r="F10" s="300">
        <v>0.01</v>
      </c>
    </row>
    <row r="11" spans="1:6" ht="15" customHeight="1" x14ac:dyDescent="0.2">
      <c r="A11" s="290" t="s">
        <v>1714</v>
      </c>
      <c r="B11" s="291" t="s">
        <v>1715</v>
      </c>
      <c r="C11" s="297">
        <v>2E-3</v>
      </c>
      <c r="D11" s="297">
        <v>2E-3</v>
      </c>
      <c r="E11" s="297">
        <v>2E-3</v>
      </c>
      <c r="F11" s="297">
        <v>2E-3</v>
      </c>
    </row>
    <row r="12" spans="1:6" ht="15" customHeight="1" x14ac:dyDescent="0.2">
      <c r="A12" s="288" t="s">
        <v>1716</v>
      </c>
      <c r="B12" s="289" t="s">
        <v>1717</v>
      </c>
      <c r="C12" s="294">
        <v>6.0000000000000001E-3</v>
      </c>
      <c r="D12" s="294">
        <v>6.0000000000000001E-3</v>
      </c>
      <c r="E12" s="294">
        <v>6.0000000000000001E-3</v>
      </c>
      <c r="F12" s="294">
        <v>6.0000000000000001E-3</v>
      </c>
    </row>
    <row r="13" spans="1:6" ht="15" customHeight="1" x14ac:dyDescent="0.2">
      <c r="A13" s="290" t="s">
        <v>1718</v>
      </c>
      <c r="B13" s="291" t="s">
        <v>1719</v>
      </c>
      <c r="C13" s="297">
        <v>2.5000000000000001E-2</v>
      </c>
      <c r="D13" s="297">
        <v>2.5000000000000001E-2</v>
      </c>
      <c r="E13" s="297">
        <v>2.5000000000000001E-2</v>
      </c>
      <c r="F13" s="297">
        <v>2.5000000000000001E-2</v>
      </c>
    </row>
    <row r="14" spans="1:6" ht="15" customHeight="1" x14ac:dyDescent="0.2">
      <c r="A14" s="288" t="s">
        <v>1720</v>
      </c>
      <c r="B14" s="289" t="s">
        <v>1721</v>
      </c>
      <c r="C14" s="294">
        <v>0.03</v>
      </c>
      <c r="D14" s="294">
        <v>0.03</v>
      </c>
      <c r="E14" s="294">
        <v>0.03</v>
      </c>
      <c r="F14" s="294">
        <v>0.03</v>
      </c>
    </row>
    <row r="15" spans="1:6" ht="15" customHeight="1" x14ac:dyDescent="0.2">
      <c r="A15" s="290" t="s">
        <v>1722</v>
      </c>
      <c r="B15" s="291" t="s">
        <v>1723</v>
      </c>
      <c r="C15" s="297">
        <v>0.08</v>
      </c>
      <c r="D15" s="301">
        <v>0.08</v>
      </c>
      <c r="E15" s="301">
        <v>0.08</v>
      </c>
      <c r="F15" s="301">
        <v>0.08</v>
      </c>
    </row>
    <row r="16" spans="1:6" ht="15" customHeight="1" x14ac:dyDescent="0.2">
      <c r="A16" s="288" t="s">
        <v>1724</v>
      </c>
      <c r="B16" s="289" t="s">
        <v>1725</v>
      </c>
      <c r="C16" s="304">
        <v>0</v>
      </c>
      <c r="D16" s="303">
        <v>0</v>
      </c>
      <c r="E16" s="303">
        <v>0</v>
      </c>
      <c r="F16" s="303">
        <v>0</v>
      </c>
    </row>
    <row r="17" spans="1:6" ht="15" customHeight="1" x14ac:dyDescent="0.2">
      <c r="A17" s="290" t="s">
        <v>1726</v>
      </c>
      <c r="B17" s="290" t="s">
        <v>1599</v>
      </c>
      <c r="C17" s="297">
        <f>SUM(C8:C16)</f>
        <v>0.21800000000000003</v>
      </c>
      <c r="D17" s="297">
        <f>SUM(D8:D16)</f>
        <v>0.21800000000000003</v>
      </c>
      <c r="E17" s="297">
        <f>SUM(E8:E16)</f>
        <v>0.36800000000000005</v>
      </c>
      <c r="F17" s="297">
        <f>SUM(F8:F16)</f>
        <v>0.36800000000000005</v>
      </c>
    </row>
    <row r="18" spans="1:6" ht="13.35" customHeight="1" x14ac:dyDescent="0.2">
      <c r="A18" s="882"/>
      <c r="B18" s="883"/>
      <c r="C18" s="883"/>
      <c r="D18" s="883"/>
      <c r="E18" s="883"/>
      <c r="F18" s="884"/>
    </row>
    <row r="19" spans="1:6" ht="15" customHeight="1" x14ac:dyDescent="0.2">
      <c r="A19" s="288" t="s">
        <v>1727</v>
      </c>
      <c r="B19" s="289" t="s">
        <v>1728</v>
      </c>
      <c r="C19" s="294">
        <v>0.17910000000000001</v>
      </c>
      <c r="D19" s="292"/>
      <c r="E19" s="294">
        <v>0.17910000000000001</v>
      </c>
      <c r="F19" s="292"/>
    </row>
    <row r="20" spans="1:6" ht="15" customHeight="1" x14ac:dyDescent="0.2">
      <c r="A20" s="290" t="s">
        <v>1729</v>
      </c>
      <c r="B20" s="291" t="s">
        <v>1730</v>
      </c>
      <c r="C20" s="297">
        <v>3.9699999999999999E-2</v>
      </c>
      <c r="D20" s="295"/>
      <c r="E20" s="297">
        <v>3.9699999999999999E-2</v>
      </c>
      <c r="F20" s="295"/>
    </row>
    <row r="21" spans="1:6" ht="15" customHeight="1" x14ac:dyDescent="0.2">
      <c r="A21" s="288" t="s">
        <v>1731</v>
      </c>
      <c r="B21" s="289" t="s">
        <v>1732</v>
      </c>
      <c r="C21" s="294">
        <v>8.6E-3</v>
      </c>
      <c r="D21" s="294">
        <v>6.4999999999999997E-3</v>
      </c>
      <c r="E21" s="294">
        <v>8.6E-3</v>
      </c>
      <c r="F21" s="300">
        <v>6.4999999999999997E-3</v>
      </c>
    </row>
    <row r="22" spans="1:6" ht="15" customHeight="1" x14ac:dyDescent="0.2">
      <c r="A22" s="290" t="s">
        <v>1733</v>
      </c>
      <c r="B22" s="291" t="s">
        <v>1734</v>
      </c>
      <c r="C22" s="297">
        <v>0.11070000000000001</v>
      </c>
      <c r="D22" s="301">
        <v>8.3299999999999999E-2</v>
      </c>
      <c r="E22" s="301">
        <v>0.11070000000000001</v>
      </c>
      <c r="F22" s="301">
        <v>8.3299999999999999E-2</v>
      </c>
    </row>
    <row r="23" spans="1:6" ht="15" customHeight="1" x14ac:dyDescent="0.2">
      <c r="A23" s="288" t="s">
        <v>1735</v>
      </c>
      <c r="B23" s="289" t="s">
        <v>1736</v>
      </c>
      <c r="C23" s="294">
        <v>6.9999999999999999E-4</v>
      </c>
      <c r="D23" s="300">
        <v>5.0000000000000001E-4</v>
      </c>
      <c r="E23" s="294">
        <v>6.9999999999999999E-4</v>
      </c>
      <c r="F23" s="300">
        <v>5.0000000000000001E-4</v>
      </c>
    </row>
    <row r="24" spans="1:6" ht="15" customHeight="1" x14ac:dyDescent="0.2">
      <c r="A24" s="290" t="s">
        <v>1737</v>
      </c>
      <c r="B24" s="291" t="s">
        <v>1738</v>
      </c>
      <c r="C24" s="297">
        <v>7.4000000000000003E-3</v>
      </c>
      <c r="D24" s="297">
        <v>5.5999999999999999E-3</v>
      </c>
      <c r="E24" s="297">
        <v>7.4000000000000003E-3</v>
      </c>
      <c r="F24" s="297">
        <v>5.5999999999999999E-3</v>
      </c>
    </row>
    <row r="25" spans="1:6" ht="15" customHeight="1" x14ac:dyDescent="0.2">
      <c r="A25" s="288" t="s">
        <v>1739</v>
      </c>
      <c r="B25" s="289" t="s">
        <v>1740</v>
      </c>
      <c r="C25" s="294">
        <v>1.7000000000000001E-2</v>
      </c>
      <c r="D25" s="292"/>
      <c r="E25" s="294">
        <v>1.7000000000000001E-2</v>
      </c>
      <c r="F25" s="292"/>
    </row>
    <row r="26" spans="1:6" ht="15" customHeight="1" x14ac:dyDescent="0.2">
      <c r="A26" s="290" t="s">
        <v>1741</v>
      </c>
      <c r="B26" s="291" t="s">
        <v>1742</v>
      </c>
      <c r="C26" s="297">
        <v>1E-3</v>
      </c>
      <c r="D26" s="297">
        <v>6.9999999999999999E-4</v>
      </c>
      <c r="E26" s="297">
        <v>1E-3</v>
      </c>
      <c r="F26" s="297">
        <v>6.9999999999999999E-4</v>
      </c>
    </row>
    <row r="27" spans="1:6" ht="15" customHeight="1" x14ac:dyDescent="0.2">
      <c r="A27" s="288" t="s">
        <v>1743</v>
      </c>
      <c r="B27" s="289" t="s">
        <v>1744</v>
      </c>
      <c r="C27" s="294">
        <v>0.1255</v>
      </c>
      <c r="D27" s="294">
        <v>9.4500000000000001E-2</v>
      </c>
      <c r="E27" s="294">
        <v>0.1255</v>
      </c>
      <c r="F27" s="294">
        <v>9.4500000000000001E-2</v>
      </c>
    </row>
    <row r="28" spans="1:6" ht="15" customHeight="1" x14ac:dyDescent="0.2">
      <c r="A28" s="290" t="s">
        <v>1745</v>
      </c>
      <c r="B28" s="291" t="s">
        <v>1746</v>
      </c>
      <c r="C28" s="297">
        <v>2.9999999999999997E-4</v>
      </c>
      <c r="D28" s="297">
        <v>2.9999999999999997E-4</v>
      </c>
      <c r="E28" s="297">
        <v>2.9999999999999997E-4</v>
      </c>
      <c r="F28" s="297">
        <v>2.9999999999999997E-4</v>
      </c>
    </row>
    <row r="29" spans="1:6" ht="15" customHeight="1" x14ac:dyDescent="0.2">
      <c r="A29" s="288" t="s">
        <v>1747</v>
      </c>
      <c r="B29" s="288" t="s">
        <v>1599</v>
      </c>
      <c r="C29" s="294">
        <f>SUM(C19:C28)</f>
        <v>0.49000000000000005</v>
      </c>
      <c r="D29" s="294">
        <f>SUM(D19:D28)</f>
        <v>0.19139999999999999</v>
      </c>
      <c r="E29" s="294">
        <f>SUM(E19:E28)</f>
        <v>0.49000000000000005</v>
      </c>
      <c r="F29" s="294">
        <f>SUM(F19:F28)</f>
        <v>0.19139999999999999</v>
      </c>
    </row>
    <row r="30" spans="1:6" ht="13.35" customHeight="1" x14ac:dyDescent="0.2">
      <c r="A30" s="882"/>
      <c r="B30" s="883"/>
      <c r="C30" s="883"/>
      <c r="D30" s="883"/>
      <c r="E30" s="883"/>
      <c r="F30" s="884"/>
    </row>
    <row r="31" spans="1:6" ht="15" customHeight="1" x14ac:dyDescent="0.2">
      <c r="A31" s="288" t="s">
        <v>1748</v>
      </c>
      <c r="B31" s="289" t="s">
        <v>1749</v>
      </c>
      <c r="C31" s="294">
        <v>5.4800000000000001E-2</v>
      </c>
      <c r="D31" s="294">
        <v>4.1200000000000001E-2</v>
      </c>
      <c r="E31" s="294">
        <v>5.4800000000000001E-2</v>
      </c>
      <c r="F31" s="294">
        <v>4.1200000000000001E-2</v>
      </c>
    </row>
    <row r="32" spans="1:6" ht="15" customHeight="1" x14ac:dyDescent="0.2">
      <c r="A32" s="290" t="s">
        <v>1750</v>
      </c>
      <c r="B32" s="291" t="s">
        <v>1751</v>
      </c>
      <c r="C32" s="297">
        <v>1.2999999999999999E-3</v>
      </c>
      <c r="D32" s="297">
        <v>1E-3</v>
      </c>
      <c r="E32" s="297">
        <v>1.2999999999999999E-3</v>
      </c>
      <c r="F32" s="297">
        <v>1E-3</v>
      </c>
    </row>
    <row r="33" spans="1:6" ht="15" customHeight="1" x14ac:dyDescent="0.2">
      <c r="A33" s="288" t="s">
        <v>1752</v>
      </c>
      <c r="B33" s="289" t="s">
        <v>1753</v>
      </c>
      <c r="C33" s="294">
        <v>1.6799999999999999E-2</v>
      </c>
      <c r="D33" s="294">
        <v>1.2699999999999999E-2</v>
      </c>
      <c r="E33" s="294">
        <v>1.6799999999999999E-2</v>
      </c>
      <c r="F33" s="294">
        <v>1.2699999999999999E-2</v>
      </c>
    </row>
    <row r="34" spans="1:6" ht="15" customHeight="1" x14ac:dyDescent="0.2">
      <c r="A34" s="290" t="s">
        <v>1754</v>
      </c>
      <c r="B34" s="291" t="s">
        <v>1755</v>
      </c>
      <c r="C34" s="297">
        <v>2.81E-2</v>
      </c>
      <c r="D34" s="297">
        <v>2.12E-2</v>
      </c>
      <c r="E34" s="297">
        <v>2.81E-2</v>
      </c>
      <c r="F34" s="297">
        <v>2.12E-2</v>
      </c>
    </row>
    <row r="35" spans="1:6" ht="15" customHeight="1" x14ac:dyDescent="0.2">
      <c r="A35" s="288" t="s">
        <v>1756</v>
      </c>
      <c r="B35" s="289" t="s">
        <v>1757</v>
      </c>
      <c r="C35" s="294">
        <v>4.5999999999999999E-3</v>
      </c>
      <c r="D35" s="294">
        <v>3.5000000000000001E-3</v>
      </c>
      <c r="E35" s="294">
        <v>4.5999999999999999E-3</v>
      </c>
      <c r="F35" s="294">
        <v>3.5000000000000001E-3</v>
      </c>
    </row>
    <row r="36" spans="1:6" ht="15" customHeight="1" x14ac:dyDescent="0.2">
      <c r="A36" s="290" t="s">
        <v>1758</v>
      </c>
      <c r="B36" s="290" t="s">
        <v>1599</v>
      </c>
      <c r="C36" s="297">
        <f>SUM(C31:C35)</f>
        <v>0.1056</v>
      </c>
      <c r="D36" s="297">
        <f>SUM(D31:D35)</f>
        <v>7.9600000000000004E-2</v>
      </c>
      <c r="E36" s="297">
        <f>SUM(E31:E35)</f>
        <v>0.1056</v>
      </c>
      <c r="F36" s="297">
        <f>SUM(F31:F35)</f>
        <v>7.9600000000000004E-2</v>
      </c>
    </row>
    <row r="37" spans="1:6" ht="13.35" customHeight="1" x14ac:dyDescent="0.2">
      <c r="A37" s="882"/>
      <c r="B37" s="883"/>
      <c r="C37" s="883"/>
      <c r="D37" s="883"/>
      <c r="E37" s="883"/>
      <c r="F37" s="884"/>
    </row>
    <row r="38" spans="1:6" ht="39.75" customHeight="1" x14ac:dyDescent="0.2">
      <c r="A38" s="292" t="s">
        <v>1759</v>
      </c>
      <c r="B38" s="293" t="s">
        <v>1760</v>
      </c>
      <c r="C38" s="294">
        <f>+C17*C29-C8*C22</f>
        <v>0.10128500000000003</v>
      </c>
      <c r="D38" s="294">
        <f>+D17*D29-D8*D22</f>
        <v>3.7560200000000002E-2</v>
      </c>
      <c r="E38" s="294">
        <f>+(E17)*(E29)</f>
        <v>0.18032000000000004</v>
      </c>
      <c r="F38" s="294">
        <f>+(F17)*(F29)</f>
        <v>7.0435200000000003E-2</v>
      </c>
    </row>
    <row r="39" spans="1:6" ht="39.75" customHeight="1" x14ac:dyDescent="0.2">
      <c r="A39" s="295" t="s">
        <v>1761</v>
      </c>
      <c r="B39" s="296" t="s">
        <v>1762</v>
      </c>
      <c r="C39" s="297">
        <f>+C31*C15+C32*C17</f>
        <v>4.6673999999999995E-3</v>
      </c>
      <c r="D39" s="297">
        <f>+D31*D15+D32*D17</f>
        <v>3.5140000000000002E-3</v>
      </c>
      <c r="E39" s="297">
        <f t="shared" ref="E39:F39" si="0">+E31*E15+E32*E17</f>
        <v>4.8624000000000002E-3</v>
      </c>
      <c r="F39" s="297">
        <f t="shared" si="0"/>
        <v>3.6640000000000006E-3</v>
      </c>
    </row>
    <row r="40" spans="1:6" ht="15" customHeight="1" x14ac:dyDescent="0.2">
      <c r="A40" s="288" t="s">
        <v>1763</v>
      </c>
      <c r="B40" s="288" t="s">
        <v>1599</v>
      </c>
      <c r="C40" s="294">
        <f>SUM(C38:C39)</f>
        <v>0.10595240000000003</v>
      </c>
      <c r="D40" s="294">
        <f>SUM(D38:D39)</f>
        <v>4.1074200000000005E-2</v>
      </c>
      <c r="E40" s="294">
        <f>SUM(E38:E39)</f>
        <v>0.18518240000000002</v>
      </c>
      <c r="F40" s="294">
        <f>SUM(F38:F39)</f>
        <v>7.4099200000000004E-2</v>
      </c>
    </row>
    <row r="41" spans="1:6" ht="13.35" customHeight="1" x14ac:dyDescent="0.2">
      <c r="A41" s="882"/>
      <c r="B41" s="884"/>
      <c r="C41" s="302">
        <f>SUM(C40,C36,C29,C17)</f>
        <v>0.91955240000000016</v>
      </c>
      <c r="D41" s="302">
        <f>SUM(D40,D36,D29,D17)</f>
        <v>0.53007420000000005</v>
      </c>
      <c r="E41" s="302">
        <f>SUM(E40,E36,E29,E17)</f>
        <v>1.1487824000000002</v>
      </c>
      <c r="F41" s="302">
        <f>SUM(F40,F36,F29,F17)</f>
        <v>0.71309920000000004</v>
      </c>
    </row>
  </sheetData>
  <mergeCells count="11">
    <mergeCell ref="A4:F4"/>
    <mergeCell ref="A5:A6"/>
    <mergeCell ref="B5:B6"/>
    <mergeCell ref="C5:D5"/>
    <mergeCell ref="E5:F5"/>
    <mergeCell ref="E6:F6"/>
    <mergeCell ref="A7:F7"/>
    <mergeCell ref="A18:F18"/>
    <mergeCell ref="A30:F30"/>
    <mergeCell ref="A37:F37"/>
    <mergeCell ref="A41:B41"/>
  </mergeCells>
  <pageMargins left="0.7" right="0.7" top="0.75" bottom="0.75" header="0.3" footer="0.3"/>
  <pageSetup paperSize="9" scale="86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Q127"/>
  <sheetViews>
    <sheetView showGridLines="0" tabSelected="1" view="pageBreakPreview" zoomScale="90" zoomScaleNormal="100" zoomScaleSheetLayoutView="90" workbookViewId="0">
      <selection activeCell="O114" sqref="O114"/>
    </sheetView>
  </sheetViews>
  <sheetFormatPr defaultColWidth="11.42578125" defaultRowHeight="12.75" x14ac:dyDescent="0.2"/>
  <cols>
    <col min="1" max="1" width="4.5703125" style="381" customWidth="1"/>
    <col min="2" max="3" width="13.42578125" style="381" customWidth="1"/>
    <col min="4" max="4" width="15.5703125" style="381" bestFit="1" customWidth="1"/>
    <col min="5" max="5" width="86" style="382" customWidth="1"/>
    <col min="6" max="6" width="8.85546875" style="381" customWidth="1"/>
    <col min="7" max="7" width="14.85546875" style="383" bestFit="1" customWidth="1"/>
    <col min="8" max="8" width="14.5703125" style="384" bestFit="1" customWidth="1"/>
    <col min="9" max="9" width="11" style="385" customWidth="1"/>
    <col min="10" max="10" width="18" style="384" bestFit="1" customWidth="1"/>
    <col min="11" max="11" width="15.7109375" style="384" bestFit="1" customWidth="1"/>
    <col min="12" max="12" width="18.28515625" style="386" customWidth="1"/>
    <col min="13" max="13" width="16.5703125" style="387" bestFit="1" customWidth="1"/>
    <col min="14" max="14" width="12.85546875" style="318" bestFit="1" customWidth="1"/>
    <col min="15" max="15" width="19.5703125" style="386" customWidth="1"/>
    <col min="16" max="16" width="13" style="386" customWidth="1"/>
    <col min="17" max="17" width="18.42578125" style="386" customWidth="1"/>
    <col min="18" max="16384" width="11.42578125" style="386"/>
  </cols>
  <sheetData>
    <row r="1" spans="1:17" ht="13.5" thickBot="1" x14ac:dyDescent="0.25"/>
    <row r="2" spans="1:17" ht="21.75" customHeight="1" x14ac:dyDescent="0.2">
      <c r="B2" s="818" t="s">
        <v>12</v>
      </c>
      <c r="C2" s="819"/>
      <c r="D2" s="819"/>
      <c r="E2" s="819"/>
      <c r="F2" s="819"/>
      <c r="G2" s="819"/>
      <c r="H2" s="819"/>
      <c r="I2" s="819"/>
      <c r="J2" s="819"/>
      <c r="K2" s="819"/>
      <c r="L2" s="820"/>
      <c r="M2" s="386"/>
      <c r="N2" s="386"/>
    </row>
    <row r="3" spans="1:17" ht="16.5" customHeight="1" x14ac:dyDescent="0.2">
      <c r="B3" s="839" t="s">
        <v>13</v>
      </c>
      <c r="C3" s="840"/>
      <c r="D3" s="840"/>
      <c r="E3" s="840"/>
      <c r="F3" s="840"/>
      <c r="G3" s="840"/>
      <c r="H3" s="840"/>
      <c r="I3" s="840"/>
      <c r="J3" s="840"/>
      <c r="K3" s="840"/>
      <c r="L3" s="841"/>
      <c r="M3" s="386"/>
      <c r="N3" s="386"/>
    </row>
    <row r="4" spans="1:17" ht="23.25" customHeight="1" thickBot="1" x14ac:dyDescent="0.25">
      <c r="B4" s="836" t="s">
        <v>15</v>
      </c>
      <c r="C4" s="837"/>
      <c r="D4" s="837"/>
      <c r="E4" s="837"/>
      <c r="F4" s="837"/>
      <c r="G4" s="837"/>
      <c r="H4" s="837"/>
      <c r="I4" s="837"/>
      <c r="J4" s="837"/>
      <c r="K4" s="837"/>
      <c r="L4" s="838"/>
      <c r="M4" s="386"/>
      <c r="N4" s="386"/>
    </row>
    <row r="5" spans="1:17" ht="27" customHeight="1" x14ac:dyDescent="0.2">
      <c r="B5" s="849" t="s">
        <v>1902</v>
      </c>
      <c r="C5" s="850"/>
      <c r="D5" s="851"/>
      <c r="E5" s="388">
        <v>46245</v>
      </c>
      <c r="F5" s="827" t="s">
        <v>1317</v>
      </c>
      <c r="G5" s="828"/>
      <c r="H5" s="829"/>
      <c r="I5" s="389">
        <f>'DADOS GERAIS'!C13</f>
        <v>0</v>
      </c>
      <c r="J5" s="390"/>
      <c r="K5" s="821" t="s">
        <v>1318</v>
      </c>
      <c r="L5" s="822"/>
      <c r="M5" s="386"/>
      <c r="N5" s="386"/>
    </row>
    <row r="6" spans="1:17" ht="27" customHeight="1" x14ac:dyDescent="0.2">
      <c r="B6" s="833" t="s">
        <v>1314</v>
      </c>
      <c r="C6" s="834"/>
      <c r="D6" s="835"/>
      <c r="E6" s="391" t="s">
        <v>1897</v>
      </c>
      <c r="F6" s="830" t="s">
        <v>5</v>
      </c>
      <c r="G6" s="831"/>
      <c r="H6" s="832"/>
      <c r="I6" s="392">
        <f>'DADOS GERAIS'!C14</f>
        <v>0</v>
      </c>
      <c r="J6" s="393"/>
      <c r="K6" s="845" t="s">
        <v>2237</v>
      </c>
      <c r="L6" s="846"/>
      <c r="M6" s="386"/>
      <c r="N6" s="386"/>
    </row>
    <row r="7" spans="1:17" ht="25.5" customHeight="1" x14ac:dyDescent="0.2">
      <c r="B7" s="833" t="s">
        <v>1315</v>
      </c>
      <c r="C7" s="834"/>
      <c r="D7" s="835"/>
      <c r="E7" s="391" t="str">
        <f>'DADOS GERAIS'!C12</f>
        <v>Rua Vila Guaíra / altura das ruas Chanceler Lauro Müller e Antônio Parolin Júnior</v>
      </c>
      <c r="F7" s="830" t="s">
        <v>1316</v>
      </c>
      <c r="G7" s="831"/>
      <c r="H7" s="832"/>
      <c r="I7" s="394">
        <f>'DADOS GERAIS'!C15</f>
        <v>0.20949999999999999</v>
      </c>
      <c r="J7" s="395"/>
      <c r="K7" s="847"/>
      <c r="L7" s="848"/>
      <c r="M7" s="386"/>
      <c r="N7" s="386"/>
    </row>
    <row r="8" spans="1:17" ht="30" customHeight="1" thickBot="1" x14ac:dyDescent="0.25">
      <c r="B8" s="823" t="s">
        <v>24</v>
      </c>
      <c r="C8" s="824"/>
      <c r="D8" s="825"/>
      <c r="E8" s="396">
        <f>'DADOS GERAIS'!C21</f>
        <v>5385</v>
      </c>
      <c r="F8" s="852" t="s">
        <v>1903</v>
      </c>
      <c r="G8" s="853"/>
      <c r="H8" s="853"/>
      <c r="I8" s="853"/>
      <c r="J8" s="853"/>
      <c r="K8" s="854">
        <f>'DADOS GERAIS'!C10</f>
        <v>46266</v>
      </c>
      <c r="L8" s="855"/>
      <c r="M8" s="386"/>
      <c r="N8" s="386"/>
    </row>
    <row r="9" spans="1:17" ht="22.5" customHeight="1" x14ac:dyDescent="0.2">
      <c r="B9" s="839" t="str">
        <f>CONCATENATE("OBRA : ",'DADOS GERAIS'!C22)</f>
        <v>OBRA : PASSARELAS VILA GUAÍRA</v>
      </c>
      <c r="C9" s="840"/>
      <c r="D9" s="840"/>
      <c r="E9" s="840"/>
      <c r="F9" s="840"/>
      <c r="G9" s="840"/>
      <c r="H9" s="840"/>
      <c r="I9" s="840"/>
      <c r="J9" s="840"/>
      <c r="K9" s="840"/>
      <c r="L9" s="841"/>
      <c r="M9" s="398"/>
      <c r="N9" s="399"/>
      <c r="O9" s="398"/>
      <c r="P9" s="399"/>
    </row>
    <row r="10" spans="1:17" s="387" customFormat="1" ht="18" customHeight="1" thickBot="1" x14ac:dyDescent="0.25">
      <c r="A10" s="400"/>
      <c r="B10" s="842" t="s">
        <v>1339</v>
      </c>
      <c r="C10" s="843"/>
      <c r="D10" s="843"/>
      <c r="E10" s="843"/>
      <c r="F10" s="843"/>
      <c r="G10" s="843"/>
      <c r="H10" s="843"/>
      <c r="I10" s="843"/>
      <c r="J10" s="843"/>
      <c r="K10" s="843"/>
      <c r="L10" s="844"/>
      <c r="M10" s="401"/>
      <c r="N10" s="398"/>
      <c r="O10" s="401"/>
      <c r="P10" s="398"/>
      <c r="Q10" s="402"/>
    </row>
    <row r="11" spans="1:17" s="387" customFormat="1" ht="18" customHeight="1" thickBot="1" x14ac:dyDescent="0.25">
      <c r="A11" s="400"/>
      <c r="B11" s="403"/>
      <c r="C11" s="403"/>
      <c r="D11" s="404"/>
      <c r="E11" s="405"/>
      <c r="F11" s="405"/>
      <c r="G11" s="406"/>
      <c r="H11" s="407"/>
      <c r="I11" s="405"/>
      <c r="J11" s="407"/>
      <c r="K11" s="408" t="s">
        <v>0</v>
      </c>
      <c r="L11" s="409">
        <f>L110</f>
        <v>1065604.9399999997</v>
      </c>
      <c r="M11" s="398"/>
      <c r="N11" s="398"/>
      <c r="O11" s="398"/>
      <c r="P11" s="398"/>
    </row>
    <row r="12" spans="1:17" s="387" customFormat="1" ht="18" customHeight="1" thickBot="1" x14ac:dyDescent="0.25">
      <c r="A12" s="400"/>
      <c r="B12" s="410" t="s">
        <v>6</v>
      </c>
      <c r="C12" s="410" t="s">
        <v>28</v>
      </c>
      <c r="D12" s="411" t="s">
        <v>1688</v>
      </c>
      <c r="E12" s="412" t="s">
        <v>7</v>
      </c>
      <c r="F12" s="412" t="s">
        <v>8</v>
      </c>
      <c r="G12" s="413" t="s">
        <v>9</v>
      </c>
      <c r="H12" s="414" t="s">
        <v>1995</v>
      </c>
      <c r="I12" s="415" t="s">
        <v>31</v>
      </c>
      <c r="J12" s="414" t="s">
        <v>2000</v>
      </c>
      <c r="K12" s="414" t="s">
        <v>2001</v>
      </c>
      <c r="L12" s="416" t="s">
        <v>10</v>
      </c>
      <c r="M12" s="688" t="s">
        <v>1319</v>
      </c>
      <c r="N12" s="397"/>
      <c r="O12" s="398"/>
      <c r="P12" s="398"/>
    </row>
    <row r="13" spans="1:17" ht="15" customHeight="1" thickBot="1" x14ac:dyDescent="0.25">
      <c r="B13" s="417" t="s">
        <v>16</v>
      </c>
      <c r="C13" s="418"/>
      <c r="D13" s="418"/>
      <c r="E13" s="826" t="s">
        <v>60</v>
      </c>
      <c r="F13" s="826"/>
      <c r="G13" s="826"/>
      <c r="H13" s="826"/>
      <c r="I13" s="826"/>
      <c r="J13" s="826"/>
      <c r="K13" s="826"/>
      <c r="L13" s="419"/>
      <c r="M13" s="689"/>
      <c r="N13" s="397"/>
      <c r="O13" s="398"/>
      <c r="P13" s="399"/>
    </row>
    <row r="14" spans="1:17" ht="22.5" customHeight="1" x14ac:dyDescent="0.2">
      <c r="B14" s="420" t="s">
        <v>1924</v>
      </c>
      <c r="C14" s="421" t="s">
        <v>186</v>
      </c>
      <c r="D14" s="422" t="s">
        <v>1687</v>
      </c>
      <c r="E14" s="423" t="s">
        <v>1385</v>
      </c>
      <c r="F14" s="424" t="s">
        <v>1600</v>
      </c>
      <c r="G14" s="425">
        <v>1</v>
      </c>
      <c r="H14" s="426">
        <f>VLOOKUP($C14,COMPOSIÇÕES!$A$2:$L$1172,5,FALSE)</f>
        <v>96657.75</v>
      </c>
      <c r="I14" s="427">
        <f>$I$7</f>
        <v>0.20949999999999999</v>
      </c>
      <c r="J14" s="428">
        <f>TRUNC(H14*(1+I14),2)</f>
        <v>116907.54</v>
      </c>
      <c r="K14" s="429">
        <f>IFERROR(TRUNC(G14*J14,2),"-")</f>
        <v>116907.54</v>
      </c>
      <c r="L14" s="430"/>
      <c r="M14" s="690">
        <f>IFERROR(K14/$L$11,"-")</f>
        <v>0.10971002067614291</v>
      </c>
      <c r="N14" s="397"/>
      <c r="O14" s="398"/>
      <c r="P14" s="399"/>
    </row>
    <row r="15" spans="1:17" ht="13.5" thickBot="1" x14ac:dyDescent="0.25">
      <c r="B15" s="782"/>
      <c r="C15" s="783"/>
      <c r="D15" s="783"/>
      <c r="E15" s="783"/>
      <c r="F15" s="783"/>
      <c r="G15" s="783"/>
      <c r="H15" s="783"/>
      <c r="I15" s="783"/>
      <c r="J15" s="783"/>
      <c r="K15" s="784"/>
      <c r="L15" s="431"/>
      <c r="M15" s="690"/>
      <c r="N15" s="397"/>
      <c r="O15" s="398"/>
      <c r="P15" s="399"/>
    </row>
    <row r="16" spans="1:17" ht="15" customHeight="1" thickBot="1" x14ac:dyDescent="0.25">
      <c r="B16" s="812" t="str">
        <f>E13</f>
        <v>ADMINISTRAÇÃO LOCAL DA OBRA</v>
      </c>
      <c r="C16" s="813"/>
      <c r="D16" s="813"/>
      <c r="E16" s="813"/>
      <c r="F16" s="813"/>
      <c r="G16" s="813"/>
      <c r="H16" s="813"/>
      <c r="I16" s="813"/>
      <c r="J16" s="813"/>
      <c r="K16" s="814"/>
      <c r="L16" s="451">
        <f>SUM(K14:K14)</f>
        <v>116907.54</v>
      </c>
      <c r="M16" s="691"/>
      <c r="O16" s="399"/>
      <c r="P16" s="399"/>
    </row>
    <row r="17" spans="1:16" ht="15" customHeight="1" thickBot="1" x14ac:dyDescent="0.25">
      <c r="B17" s="433" t="s">
        <v>19</v>
      </c>
      <c r="C17" s="434"/>
      <c r="D17" s="434"/>
      <c r="E17" s="781" t="s">
        <v>1693</v>
      </c>
      <c r="F17" s="781"/>
      <c r="G17" s="781"/>
      <c r="H17" s="781"/>
      <c r="I17" s="781"/>
      <c r="J17" s="781"/>
      <c r="K17" s="781"/>
      <c r="L17" s="435"/>
      <c r="M17" s="690"/>
      <c r="O17" s="399"/>
      <c r="P17" s="399"/>
    </row>
    <row r="18" spans="1:16" s="536" customFormat="1" ht="38.25" x14ac:dyDescent="0.2">
      <c r="A18" s="527"/>
      <c r="B18" s="436" t="s">
        <v>1925</v>
      </c>
      <c r="C18" s="528">
        <v>103689</v>
      </c>
      <c r="D18" s="438" t="s">
        <v>1665</v>
      </c>
      <c r="E18" s="529" t="s">
        <v>1656</v>
      </c>
      <c r="F18" s="530" t="s">
        <v>1672</v>
      </c>
      <c r="G18" s="531">
        <v>12</v>
      </c>
      <c r="H18" s="426">
        <f>VLOOKUP($C18,SINAPI!$A$2:$L$1160,5,FALSE)</f>
        <v>508.82</v>
      </c>
      <c r="I18" s="532">
        <f>IF(G18=0,"-",$I$7)</f>
        <v>0.20949999999999999</v>
      </c>
      <c r="J18" s="476">
        <f>IFERROR(TRUNC(H18*(1+I18),2),"-")</f>
        <v>615.41</v>
      </c>
      <c r="K18" s="533">
        <f>IFERROR(TRUNC(G18*J18,2),"-")</f>
        <v>7384.92</v>
      </c>
      <c r="L18" s="534"/>
      <c r="M18" s="692">
        <f>IFERROR(K18/$L$11,"-")</f>
        <v>6.9302606648951924E-3</v>
      </c>
      <c r="N18" s="535"/>
      <c r="O18" s="399"/>
      <c r="P18" s="399"/>
    </row>
    <row r="19" spans="1:16" ht="38.25" x14ac:dyDescent="0.2">
      <c r="B19" s="443" t="s">
        <v>1926</v>
      </c>
      <c r="C19" s="537">
        <v>5212560</v>
      </c>
      <c r="D19" s="422" t="s">
        <v>1689</v>
      </c>
      <c r="E19" s="423" t="s">
        <v>1691</v>
      </c>
      <c r="F19" s="424" t="s">
        <v>1657</v>
      </c>
      <c r="G19" s="440">
        <v>480</v>
      </c>
      <c r="H19" s="426">
        <f>VLOOKUP($C19,SICRO!$A$2:$L$1163,5,FALSE)</f>
        <v>4.75</v>
      </c>
      <c r="I19" s="441">
        <f>IF(G19=0,"-",$I$7)</f>
        <v>0.20949999999999999</v>
      </c>
      <c r="J19" s="428">
        <f>IFERROR(TRUNC(H19*(1+I19),2),"-")</f>
        <v>5.74</v>
      </c>
      <c r="K19" s="442">
        <f>IFERROR(TRUNC(G19*J19,2),"-")</f>
        <v>2755.2</v>
      </c>
      <c r="L19" s="430"/>
      <c r="M19" s="690">
        <f t="shared" ref="M19:M23" si="0">IFERROR(K19/$L$11,"-")</f>
        <v>2.5855735991614308E-3</v>
      </c>
      <c r="O19" s="399"/>
      <c r="P19" s="399"/>
    </row>
    <row r="20" spans="1:16" ht="34.5" customHeight="1" x14ac:dyDescent="0.2">
      <c r="B20" s="436" t="s">
        <v>1927</v>
      </c>
      <c r="C20" s="538">
        <v>5213835</v>
      </c>
      <c r="D20" s="422" t="s">
        <v>1689</v>
      </c>
      <c r="E20" s="529" t="s">
        <v>1692</v>
      </c>
      <c r="F20" s="424" t="s">
        <v>1657</v>
      </c>
      <c r="G20" s="440">
        <v>1200</v>
      </c>
      <c r="H20" s="426">
        <f>VLOOKUP($C20,SICRO!$A$2:$L$1163,5,FALSE)</f>
        <v>0.93</v>
      </c>
      <c r="I20" s="441">
        <v>0.20949999999999999</v>
      </c>
      <c r="J20" s="428">
        <f>IFERROR(TRUNC(H20*(1+I20),2),"-")</f>
        <v>1.1200000000000001</v>
      </c>
      <c r="K20" s="442">
        <f>IFERROR(TRUNC(G20*J20,2),"-")</f>
        <v>1344</v>
      </c>
      <c r="L20" s="430"/>
      <c r="M20" s="690">
        <f t="shared" si="0"/>
        <v>1.2612554142250882E-3</v>
      </c>
    </row>
    <row r="21" spans="1:16" ht="25.5" x14ac:dyDescent="0.2">
      <c r="B21" s="443" t="s">
        <v>1928</v>
      </c>
      <c r="C21" s="485">
        <v>10775</v>
      </c>
      <c r="D21" s="422" t="s">
        <v>1665</v>
      </c>
      <c r="E21" s="539" t="s">
        <v>1798</v>
      </c>
      <c r="F21" s="424" t="s">
        <v>18</v>
      </c>
      <c r="G21" s="440">
        <v>3</v>
      </c>
      <c r="H21" s="426">
        <f>VLOOKUP($C21,SINAPI!$A$2:$L$1160,5,FALSE)</f>
        <v>1000</v>
      </c>
      <c r="I21" s="441">
        <f t="shared" ref="I21:I23" si="1">IF(G21=0,"-",$I$7)</f>
        <v>0.20949999999999999</v>
      </c>
      <c r="J21" s="428">
        <f t="shared" ref="J21:J23" si="2">IFERROR(TRUNC(H21*(1+I21),2),"-")</f>
        <v>1209.5</v>
      </c>
      <c r="K21" s="442">
        <f>IFERROR(TRUNC(G21*J21,2),"-")</f>
        <v>3628.5</v>
      </c>
      <c r="L21" s="430"/>
      <c r="M21" s="690">
        <f t="shared" si="0"/>
        <v>3.4051080881813489E-3</v>
      </c>
    </row>
    <row r="22" spans="1:16" x14ac:dyDescent="0.2">
      <c r="B22" s="436" t="s">
        <v>1929</v>
      </c>
      <c r="C22" s="437" t="s">
        <v>1802</v>
      </c>
      <c r="D22" s="438" t="s">
        <v>1687</v>
      </c>
      <c r="E22" s="439" t="s">
        <v>30</v>
      </c>
      <c r="F22" s="424" t="s">
        <v>18</v>
      </c>
      <c r="G22" s="440">
        <v>3</v>
      </c>
      <c r="H22" s="426">
        <f>VLOOKUP($C22,COMPOSIÇÕES!$A$2:$L$1172,5,FALSE)</f>
        <v>797.91</v>
      </c>
      <c r="I22" s="441">
        <f t="shared" si="1"/>
        <v>0.20949999999999999</v>
      </c>
      <c r="J22" s="428">
        <f t="shared" si="2"/>
        <v>965.07</v>
      </c>
      <c r="K22" s="442">
        <f t="shared" ref="K22:K23" si="3">IFERROR(TRUNC(G22*J22,2),"-")</f>
        <v>2895.21</v>
      </c>
      <c r="L22" s="430"/>
      <c r="M22" s="690">
        <f t="shared" si="0"/>
        <v>2.716963755817424E-3</v>
      </c>
    </row>
    <row r="23" spans="1:16" x14ac:dyDescent="0.2">
      <c r="B23" s="443" t="s">
        <v>1930</v>
      </c>
      <c r="C23" s="437" t="s">
        <v>1803</v>
      </c>
      <c r="D23" s="444" t="s">
        <v>1687</v>
      </c>
      <c r="E23" s="445" t="s">
        <v>29</v>
      </c>
      <c r="F23" s="446" t="s">
        <v>18</v>
      </c>
      <c r="G23" s="447">
        <v>3</v>
      </c>
      <c r="H23" s="426">
        <f>VLOOKUP($C23,COMPOSIÇÕES!$A$2:$L$1172,5,FALSE)</f>
        <v>384.01</v>
      </c>
      <c r="I23" s="448">
        <f t="shared" si="1"/>
        <v>0.20949999999999999</v>
      </c>
      <c r="J23" s="449">
        <f t="shared" si="2"/>
        <v>464.46</v>
      </c>
      <c r="K23" s="450">
        <f t="shared" si="3"/>
        <v>1393.38</v>
      </c>
      <c r="L23" s="431"/>
      <c r="M23" s="690">
        <f t="shared" si="0"/>
        <v>1.3075952894888048E-3</v>
      </c>
    </row>
    <row r="24" spans="1:16" ht="13.5" thickBot="1" x14ac:dyDescent="0.25">
      <c r="B24" s="782"/>
      <c r="C24" s="783"/>
      <c r="D24" s="783"/>
      <c r="E24" s="783"/>
      <c r="F24" s="783"/>
      <c r="G24" s="783"/>
      <c r="H24" s="783"/>
      <c r="I24" s="783"/>
      <c r="J24" s="783"/>
      <c r="K24" s="784"/>
      <c r="L24" s="431"/>
      <c r="M24" s="690"/>
    </row>
    <row r="25" spans="1:16" ht="13.5" thickBot="1" x14ac:dyDescent="0.25">
      <c r="B25" s="785" t="str">
        <f>E17</f>
        <v>CANTEIRO DE OBRAS E SINALIZAÇÃO</v>
      </c>
      <c r="C25" s="786"/>
      <c r="D25" s="786"/>
      <c r="E25" s="786"/>
      <c r="F25" s="786"/>
      <c r="G25" s="786"/>
      <c r="H25" s="786"/>
      <c r="I25" s="786"/>
      <c r="J25" s="786"/>
      <c r="K25" s="787"/>
      <c r="L25" s="451">
        <f>SUM(K18:K23)</f>
        <v>19401.21</v>
      </c>
      <c r="M25" s="691"/>
    </row>
    <row r="26" spans="1:16" ht="13.5" thickBot="1" x14ac:dyDescent="0.25">
      <c r="B26" s="452" t="s">
        <v>20</v>
      </c>
      <c r="C26" s="434"/>
      <c r="D26" s="453"/>
      <c r="E26" s="781" t="s">
        <v>1384</v>
      </c>
      <c r="F26" s="781"/>
      <c r="G26" s="781"/>
      <c r="H26" s="781"/>
      <c r="I26" s="781"/>
      <c r="J26" s="781"/>
      <c r="K26" s="781"/>
      <c r="L26" s="454"/>
      <c r="M26" s="690"/>
    </row>
    <row r="27" spans="1:16" x14ac:dyDescent="0.2">
      <c r="B27" s="540" t="s">
        <v>1931</v>
      </c>
      <c r="C27" s="701" t="s">
        <v>34</v>
      </c>
      <c r="D27" s="422" t="s">
        <v>1687</v>
      </c>
      <c r="E27" s="423" t="s">
        <v>1919</v>
      </c>
      <c r="F27" s="424" t="s">
        <v>1988</v>
      </c>
      <c r="G27" s="425">
        <v>2</v>
      </c>
      <c r="H27" s="426">
        <f>VLOOKUP($C27,COMPOSIÇÕES!$A$2:$L$1172,5,FALSE)</f>
        <v>986.75980000000004</v>
      </c>
      <c r="I27" s="441">
        <f>IF(G27=0,"-",$I$7)</f>
        <v>0.20949999999999999</v>
      </c>
      <c r="J27" s="476">
        <f>IFERROR(TRUNC(H27*(1+I27),2),"-")</f>
        <v>1193.48</v>
      </c>
      <c r="K27" s="464">
        <f>IFERROR(TRUNC(G27*J27,2),"-")</f>
        <v>2386.96</v>
      </c>
      <c r="L27" s="430"/>
      <c r="M27" s="690">
        <f t="shared" ref="M27:M30" si="4">IFERROR(K27/$L$11,"-")</f>
        <v>2.2400046306091641E-3</v>
      </c>
    </row>
    <row r="28" spans="1:16" ht="25.5" x14ac:dyDescent="0.2">
      <c r="B28" s="458" t="s">
        <v>1932</v>
      </c>
      <c r="C28" s="459" t="s">
        <v>35</v>
      </c>
      <c r="D28" s="460" t="s">
        <v>1687</v>
      </c>
      <c r="E28" s="461" t="s">
        <v>1920</v>
      </c>
      <c r="F28" s="462" t="s">
        <v>1988</v>
      </c>
      <c r="G28" s="463">
        <v>2</v>
      </c>
      <c r="H28" s="426">
        <f>VLOOKUP($C28,COMPOSIÇÕES!$A$2:$L$1172,5,FALSE)</f>
        <v>986.75980000000004</v>
      </c>
      <c r="I28" s="441">
        <f>IF(G28=0,"-",$I$7)</f>
        <v>0.20949999999999999</v>
      </c>
      <c r="J28" s="428">
        <f>IFERROR(TRUNC(H28*(1+I28),2),"-")</f>
        <v>1193.48</v>
      </c>
      <c r="K28" s="464">
        <f>IFERROR(TRUNC(G28*J28,2),"-")</f>
        <v>2386.96</v>
      </c>
      <c r="L28" s="465"/>
      <c r="M28" s="690">
        <f t="shared" ref="M28:M29" si="5">IFERROR(K28/$L$11,"-")</f>
        <v>2.2400046306091641E-3</v>
      </c>
    </row>
    <row r="29" spans="1:16" ht="25.5" x14ac:dyDescent="0.2">
      <c r="B29" s="458" t="s">
        <v>1934</v>
      </c>
      <c r="C29" s="459" t="s">
        <v>40</v>
      </c>
      <c r="D29" s="460" t="s">
        <v>1687</v>
      </c>
      <c r="E29" s="461" t="s">
        <v>1994</v>
      </c>
      <c r="F29" s="462" t="s">
        <v>1988</v>
      </c>
      <c r="G29" s="463">
        <v>2</v>
      </c>
      <c r="H29" s="426">
        <f>VLOOKUP($C29,COMPOSIÇÕES!$A$2:$L$1172,5,FALSE)</f>
        <v>1097.7388000000001</v>
      </c>
      <c r="I29" s="441">
        <f>IF(G29=0,"-",$I$7)</f>
        <v>0.20949999999999999</v>
      </c>
      <c r="J29" s="428">
        <f>IFERROR(TRUNC(H29*(1+I29),2),"-")</f>
        <v>1327.71</v>
      </c>
      <c r="K29" s="464">
        <f>IFERROR(TRUNC(G29*J29,2),"-")</f>
        <v>2655.42</v>
      </c>
      <c r="L29" s="465"/>
      <c r="M29" s="690">
        <f t="shared" si="5"/>
        <v>2.4919366458642737E-3</v>
      </c>
    </row>
    <row r="30" spans="1:16" ht="18.75" customHeight="1" x14ac:dyDescent="0.2">
      <c r="B30" s="458" t="s">
        <v>1934</v>
      </c>
      <c r="C30" s="459" t="s">
        <v>41</v>
      </c>
      <c r="D30" s="460" t="s">
        <v>1687</v>
      </c>
      <c r="E30" s="461" t="s">
        <v>2017</v>
      </c>
      <c r="F30" s="462" t="s">
        <v>1988</v>
      </c>
      <c r="G30" s="463">
        <v>2</v>
      </c>
      <c r="H30" s="426">
        <f>VLOOKUP($C30,COMPOSIÇÕES!$A$2:$L$1172,5,FALSE)</f>
        <v>743.72220000000004</v>
      </c>
      <c r="I30" s="441">
        <f>IF(G30=0,"-",$I$7)</f>
        <v>0.20949999999999999</v>
      </c>
      <c r="J30" s="428">
        <f>IFERROR(TRUNC(H30*(1+I30),2),"-")</f>
        <v>899.53</v>
      </c>
      <c r="K30" s="464">
        <f>IFERROR(TRUNC(G30*J30,2),"-")</f>
        <v>1799.06</v>
      </c>
      <c r="L30" s="465"/>
      <c r="M30" s="690">
        <f t="shared" si="4"/>
        <v>1.6882992302944845E-3</v>
      </c>
    </row>
    <row r="31" spans="1:16" ht="13.5" thickBot="1" x14ac:dyDescent="0.25">
      <c r="B31" s="782"/>
      <c r="C31" s="783"/>
      <c r="D31" s="783"/>
      <c r="E31" s="806"/>
      <c r="F31" s="806"/>
      <c r="G31" s="806"/>
      <c r="H31" s="806"/>
      <c r="I31" s="806"/>
      <c r="J31" s="806"/>
      <c r="K31" s="806"/>
      <c r="L31" s="466"/>
      <c r="M31" s="690"/>
    </row>
    <row r="32" spans="1:16" ht="15" customHeight="1" thickBot="1" x14ac:dyDescent="0.25">
      <c r="B32" s="785" t="str">
        <f>E26</f>
        <v xml:space="preserve">MOBILIZAÇÃO E DESMOBILIZAÇÃO </v>
      </c>
      <c r="C32" s="786"/>
      <c r="D32" s="786"/>
      <c r="E32" s="786"/>
      <c r="F32" s="786"/>
      <c r="G32" s="786"/>
      <c r="H32" s="786"/>
      <c r="I32" s="786"/>
      <c r="J32" s="786"/>
      <c r="K32" s="787"/>
      <c r="L32" s="451">
        <f>SUM(K27:K30)</f>
        <v>9228.4</v>
      </c>
      <c r="M32" s="691"/>
    </row>
    <row r="33" spans="2:14" ht="15" customHeight="1" thickBot="1" x14ac:dyDescent="0.25">
      <c r="B33" s="452" t="s">
        <v>21</v>
      </c>
      <c r="C33" s="434"/>
      <c r="D33" s="453"/>
      <c r="E33" s="781" t="s">
        <v>1818</v>
      </c>
      <c r="F33" s="781"/>
      <c r="G33" s="781"/>
      <c r="H33" s="781"/>
      <c r="I33" s="781"/>
      <c r="J33" s="781"/>
      <c r="K33" s="781"/>
      <c r="L33" s="454"/>
      <c r="M33" s="690"/>
    </row>
    <row r="34" spans="2:14" ht="38.25" x14ac:dyDescent="0.2">
      <c r="B34" s="561" t="s">
        <v>1935</v>
      </c>
      <c r="C34" s="482">
        <v>99439</v>
      </c>
      <c r="D34" s="455" t="s">
        <v>1665</v>
      </c>
      <c r="E34" s="562" t="s">
        <v>1766</v>
      </c>
      <c r="F34" s="563" t="s">
        <v>25</v>
      </c>
      <c r="G34" s="564">
        <f>2.52*2</f>
        <v>5.04</v>
      </c>
      <c r="H34" s="565">
        <f>VLOOKUP($C34,SINAPI!$A$2:$L$1160,5,FALSE)</f>
        <v>677.49</v>
      </c>
      <c r="I34" s="456">
        <f t="shared" ref="I34:I42" si="6">IF(G34=0,"-",$I$7)</f>
        <v>0.20949999999999999</v>
      </c>
      <c r="J34" s="457">
        <f>IFERROR(TRUNC(H34*(1+I34),2),"-")</f>
        <v>819.42</v>
      </c>
      <c r="K34" s="570">
        <f>IFERROR(TRUNC(G34*J34,2),"-")</f>
        <v>4129.87</v>
      </c>
      <c r="L34" s="566"/>
      <c r="M34" s="693">
        <f t="shared" ref="M34:M43" si="7">IFERROR(K34/$L$11,"-")</f>
        <v>3.8756107868644085E-3</v>
      </c>
    </row>
    <row r="35" spans="2:14" ht="25.5" x14ac:dyDescent="0.2">
      <c r="B35" s="480" t="s">
        <v>1936</v>
      </c>
      <c r="C35" s="489">
        <v>96531</v>
      </c>
      <c r="D35" s="422" t="s">
        <v>1665</v>
      </c>
      <c r="E35" s="469" t="s">
        <v>1797</v>
      </c>
      <c r="F35" s="481" t="s">
        <v>1672</v>
      </c>
      <c r="G35" s="471">
        <f>5.9*2</f>
        <v>11.8</v>
      </c>
      <c r="H35" s="426">
        <f>VLOOKUP($C35,SINAPI!$A$2:$L$1160,5,FALSE)</f>
        <v>122.22</v>
      </c>
      <c r="I35" s="542">
        <f t="shared" si="6"/>
        <v>0.20949999999999999</v>
      </c>
      <c r="J35" s="428">
        <f t="shared" ref="J35:J42" si="8">IFERROR(TRUNC(H35*(1+I35),2),"-")</f>
        <v>147.82</v>
      </c>
      <c r="K35" s="571">
        <f t="shared" ref="K35:K42" si="9">IFERROR(TRUNC(G35*J35,2),"-")</f>
        <v>1744.27</v>
      </c>
      <c r="L35" s="567"/>
      <c r="M35" s="690">
        <f t="shared" si="7"/>
        <v>1.636882426614877E-3</v>
      </c>
    </row>
    <row r="36" spans="2:14" x14ac:dyDescent="0.2">
      <c r="B36" s="480" t="s">
        <v>1937</v>
      </c>
      <c r="C36" s="489">
        <v>407819</v>
      </c>
      <c r="D36" s="422" t="s">
        <v>1767</v>
      </c>
      <c r="E36" s="469" t="s">
        <v>1800</v>
      </c>
      <c r="F36" s="481" t="s">
        <v>1764</v>
      </c>
      <c r="G36" s="471">
        <f>105.54*2</f>
        <v>211.08</v>
      </c>
      <c r="H36" s="426">
        <f>VLOOKUP($C36,SICRO!$A$2:$L$1163,5,FALSE)</f>
        <v>12.65</v>
      </c>
      <c r="I36" s="542">
        <f t="shared" si="6"/>
        <v>0.20949999999999999</v>
      </c>
      <c r="J36" s="428">
        <f t="shared" si="8"/>
        <v>15.3</v>
      </c>
      <c r="K36" s="571">
        <f t="shared" si="9"/>
        <v>3229.52</v>
      </c>
      <c r="L36" s="567"/>
      <c r="M36" s="690">
        <f t="shared" si="7"/>
        <v>3.030691655765035E-3</v>
      </c>
    </row>
    <row r="37" spans="2:14" ht="25.5" x14ac:dyDescent="0.2">
      <c r="B37" s="473" t="s">
        <v>1938</v>
      </c>
      <c r="C37" s="489">
        <v>2003850</v>
      </c>
      <c r="D37" s="422" t="s">
        <v>1689</v>
      </c>
      <c r="E37" s="469" t="s">
        <v>1801</v>
      </c>
      <c r="F37" s="544" t="s">
        <v>25</v>
      </c>
      <c r="G37" s="471">
        <f>0.18*2</f>
        <v>0.36</v>
      </c>
      <c r="H37" s="426">
        <f>VLOOKUP($C37,SICRO!$A$2:$L$1163,5,FALSE)</f>
        <v>148.53</v>
      </c>
      <c r="I37" s="542">
        <f t="shared" si="6"/>
        <v>0.20949999999999999</v>
      </c>
      <c r="J37" s="428">
        <f t="shared" si="8"/>
        <v>179.64</v>
      </c>
      <c r="K37" s="571">
        <f t="shared" si="9"/>
        <v>64.67</v>
      </c>
      <c r="L37" s="567"/>
      <c r="M37" s="690">
        <f t="shared" si="7"/>
        <v>6.0688532468702728E-5</v>
      </c>
    </row>
    <row r="38" spans="2:14" ht="25.5" x14ac:dyDescent="0.2">
      <c r="B38" s="480" t="s">
        <v>1939</v>
      </c>
      <c r="C38" s="489">
        <v>96523</v>
      </c>
      <c r="D38" s="422" t="s">
        <v>1665</v>
      </c>
      <c r="E38" s="469" t="s">
        <v>1812</v>
      </c>
      <c r="F38" s="544" t="s">
        <v>25</v>
      </c>
      <c r="G38" s="471">
        <f>4.46*2</f>
        <v>8.92</v>
      </c>
      <c r="H38" s="426">
        <f>VLOOKUP($C38,SINAPI!$A$2:$L$1160,5,FALSE)</f>
        <v>137</v>
      </c>
      <c r="I38" s="542">
        <f t="shared" si="6"/>
        <v>0.20949999999999999</v>
      </c>
      <c r="J38" s="428">
        <f t="shared" si="8"/>
        <v>165.7</v>
      </c>
      <c r="K38" s="571">
        <f t="shared" si="9"/>
        <v>1478.04</v>
      </c>
      <c r="L38" s="567"/>
      <c r="M38" s="690">
        <f t="shared" si="7"/>
        <v>1.3870431193759296E-3</v>
      </c>
    </row>
    <row r="39" spans="2:14" x14ac:dyDescent="0.2">
      <c r="B39" s="480" t="s">
        <v>1940</v>
      </c>
      <c r="C39" s="489">
        <v>94319</v>
      </c>
      <c r="D39" s="438" t="s">
        <v>1665</v>
      </c>
      <c r="E39" s="469" t="s">
        <v>1809</v>
      </c>
      <c r="F39" s="544" t="s">
        <v>25</v>
      </c>
      <c r="G39" s="471">
        <f>1.49*2</f>
        <v>2.98</v>
      </c>
      <c r="H39" s="426">
        <f>VLOOKUP($C39,SINAPI!$A$2:$L$1160,5,FALSE)</f>
        <v>91.59</v>
      </c>
      <c r="I39" s="542">
        <f t="shared" si="6"/>
        <v>0.20949999999999999</v>
      </c>
      <c r="J39" s="428">
        <f t="shared" si="8"/>
        <v>110.77</v>
      </c>
      <c r="K39" s="571">
        <f t="shared" si="9"/>
        <v>330.09</v>
      </c>
      <c r="L39" s="567"/>
      <c r="M39" s="690">
        <f t="shared" si="7"/>
        <v>3.0976770809639832E-4</v>
      </c>
    </row>
    <row r="40" spans="2:14" x14ac:dyDescent="0.2">
      <c r="B40" s="473" t="s">
        <v>1941</v>
      </c>
      <c r="C40" s="489">
        <v>2306105</v>
      </c>
      <c r="D40" s="422" t="s">
        <v>1689</v>
      </c>
      <c r="E40" s="469" t="s">
        <v>1811</v>
      </c>
      <c r="F40" s="470" t="s">
        <v>1658</v>
      </c>
      <c r="G40" s="471">
        <f>36*2</f>
        <v>72</v>
      </c>
      <c r="H40" s="426">
        <f>VLOOKUP($C40,SICRO!$A$2:$L$1163,5,FALSE)</f>
        <v>124.96</v>
      </c>
      <c r="I40" s="542">
        <f t="shared" si="6"/>
        <v>0.20949999999999999</v>
      </c>
      <c r="J40" s="428">
        <f t="shared" si="8"/>
        <v>151.13</v>
      </c>
      <c r="K40" s="571">
        <f t="shared" si="9"/>
        <v>10881.36</v>
      </c>
      <c r="L40" s="567"/>
      <c r="M40" s="690">
        <f t="shared" si="7"/>
        <v>1.0211439147419872E-2</v>
      </c>
    </row>
    <row r="41" spans="2:14" x14ac:dyDescent="0.2">
      <c r="B41" s="480" t="s">
        <v>1942</v>
      </c>
      <c r="C41" s="489" t="s">
        <v>1813</v>
      </c>
      <c r="D41" s="422" t="s">
        <v>1689</v>
      </c>
      <c r="E41" s="469" t="s">
        <v>1814</v>
      </c>
      <c r="F41" s="470" t="s">
        <v>1658</v>
      </c>
      <c r="G41" s="471">
        <f>36*2</f>
        <v>72</v>
      </c>
      <c r="H41" s="426">
        <f>VLOOKUP($C41,SICRO!$A$2:$L$1163,5,FALSE)</f>
        <v>59.2</v>
      </c>
      <c r="I41" s="542">
        <f t="shared" si="6"/>
        <v>0.20949999999999999</v>
      </c>
      <c r="J41" s="428">
        <f t="shared" si="8"/>
        <v>71.599999999999994</v>
      </c>
      <c r="K41" s="571">
        <f t="shared" si="9"/>
        <v>5155.2</v>
      </c>
      <c r="L41" s="567"/>
      <c r="M41" s="690">
        <f t="shared" si="7"/>
        <v>4.8378154102776596E-3</v>
      </c>
    </row>
    <row r="42" spans="2:14" x14ac:dyDescent="0.2">
      <c r="B42" s="480" t="s">
        <v>1943</v>
      </c>
      <c r="C42" s="489">
        <v>2306247</v>
      </c>
      <c r="D42" s="485" t="s">
        <v>1767</v>
      </c>
      <c r="E42" s="469" t="s">
        <v>1815</v>
      </c>
      <c r="F42" s="544" t="s">
        <v>25</v>
      </c>
      <c r="G42" s="471">
        <f>0.32+0.38</f>
        <v>0.7</v>
      </c>
      <c r="H42" s="426">
        <f>VLOOKUP($C42,SICRO!$A$2:$L$1163,5,FALSE)</f>
        <v>309.04000000000002</v>
      </c>
      <c r="I42" s="542">
        <f t="shared" si="6"/>
        <v>0.20949999999999999</v>
      </c>
      <c r="J42" s="428">
        <f t="shared" si="8"/>
        <v>373.78</v>
      </c>
      <c r="K42" s="571">
        <f t="shared" si="9"/>
        <v>261.64</v>
      </c>
      <c r="L42" s="567"/>
      <c r="M42" s="690">
        <f t="shared" si="7"/>
        <v>2.4553189477518754E-4</v>
      </c>
      <c r="N42" s="477"/>
    </row>
    <row r="43" spans="2:14" ht="25.5" x14ac:dyDescent="0.2">
      <c r="B43" s="234" t="s">
        <v>1944</v>
      </c>
      <c r="C43" s="545">
        <v>97636</v>
      </c>
      <c r="D43" s="548" t="s">
        <v>1665</v>
      </c>
      <c r="E43" s="558" t="s">
        <v>1838</v>
      </c>
      <c r="F43" s="551" t="s">
        <v>1672</v>
      </c>
      <c r="G43" s="549">
        <v>4</v>
      </c>
      <c r="H43" s="426">
        <f>VLOOKUP($C43,SINAPI!$A$2:$L$1160,5,FALSE)</f>
        <v>26.93</v>
      </c>
      <c r="I43" s="542">
        <f t="shared" ref="I43" si="10">IF(G43=0,"-",$I$7)</f>
        <v>0.20949999999999999</v>
      </c>
      <c r="J43" s="428">
        <f t="shared" ref="J43" si="11">IFERROR(TRUNC(H43*(1+I43),2),"-")</f>
        <v>32.57</v>
      </c>
      <c r="K43" s="571">
        <f t="shared" ref="K43" si="12">IFERROR(TRUNC(G43*J43,2),"-")</f>
        <v>130.28</v>
      </c>
      <c r="L43" s="568"/>
      <c r="M43" s="690">
        <f t="shared" si="7"/>
        <v>1.2225919298009265E-4</v>
      </c>
    </row>
    <row r="44" spans="2:14" ht="13.5" thickBot="1" x14ac:dyDescent="0.25">
      <c r="B44" s="805"/>
      <c r="C44" s="806"/>
      <c r="D44" s="806"/>
      <c r="E44" s="806"/>
      <c r="F44" s="806"/>
      <c r="G44" s="806"/>
      <c r="H44" s="806"/>
      <c r="I44" s="806"/>
      <c r="J44" s="806"/>
      <c r="K44" s="807"/>
      <c r="L44" s="569"/>
      <c r="M44" s="693"/>
    </row>
    <row r="45" spans="2:14" ht="15" customHeight="1" thickBot="1" x14ac:dyDescent="0.25">
      <c r="B45" s="785" t="str">
        <f>E33</f>
        <v>FUNDAÇÃO PARA INSTALAÇÃO DE OBRAS DE ARTE PARA PASSAGEM DE PEDESTRES</v>
      </c>
      <c r="C45" s="786"/>
      <c r="D45" s="786"/>
      <c r="E45" s="786"/>
      <c r="F45" s="786"/>
      <c r="G45" s="786"/>
      <c r="H45" s="786"/>
      <c r="I45" s="786"/>
      <c r="J45" s="786"/>
      <c r="K45" s="787"/>
      <c r="L45" s="451">
        <f>SUM(K34:K43)</f>
        <v>27404.94</v>
      </c>
      <c r="M45" s="691"/>
    </row>
    <row r="46" spans="2:14" ht="15" customHeight="1" thickBot="1" x14ac:dyDescent="0.25">
      <c r="B46" s="452" t="s">
        <v>22</v>
      </c>
      <c r="C46" s="434"/>
      <c r="D46" s="453"/>
      <c r="E46" s="781" t="s">
        <v>1857</v>
      </c>
      <c r="F46" s="781"/>
      <c r="G46" s="781"/>
      <c r="H46" s="781"/>
      <c r="I46" s="781"/>
      <c r="J46" s="781"/>
      <c r="K46" s="781"/>
      <c r="L46" s="467"/>
      <c r="M46" s="690"/>
    </row>
    <row r="47" spans="2:14" x14ac:dyDescent="0.2">
      <c r="B47" s="578" t="s">
        <v>1945</v>
      </c>
      <c r="C47" s="422" t="s">
        <v>1806</v>
      </c>
      <c r="D47" s="422" t="s">
        <v>1687</v>
      </c>
      <c r="E47" s="474" t="str">
        <f>'AUX COMPOSIÇÕES'!B64</f>
        <v>MONTAGEM DE PILARES PRÉ-FABRICADOS, INCLUSO IÇAMENTO COM GUINDASTE</v>
      </c>
      <c r="F47" s="470" t="s">
        <v>1765</v>
      </c>
      <c r="G47" s="471">
        <v>4</v>
      </c>
      <c r="H47" s="426">
        <f>VLOOKUP($C47,COMPOSIÇÕES!$A$2:$L$1172,5,FALSE)</f>
        <v>513.54000000000008</v>
      </c>
      <c r="I47" s="441">
        <f>IF(G47=0,"-",$I$7)</f>
        <v>0.20949999999999999</v>
      </c>
      <c r="J47" s="476">
        <f>IFERROR(TRUNC(H47*(1+I47),2),"-")</f>
        <v>621.12</v>
      </c>
      <c r="K47" s="464">
        <f>IFERROR(TRUNC(G47*J47,2),"-")</f>
        <v>2484.48</v>
      </c>
      <c r="L47" s="430"/>
      <c r="M47" s="690">
        <f t="shared" ref="M47:M53" si="13">IFERROR(K47/$L$11,"-")</f>
        <v>2.3315207228675203E-3</v>
      </c>
    </row>
    <row r="48" spans="2:14" x14ac:dyDescent="0.2">
      <c r="B48" s="480" t="s">
        <v>1946</v>
      </c>
      <c r="C48" s="489">
        <v>407819</v>
      </c>
      <c r="D48" s="422" t="s">
        <v>1767</v>
      </c>
      <c r="E48" s="469" t="s">
        <v>1819</v>
      </c>
      <c r="F48" s="481" t="s">
        <v>1764</v>
      </c>
      <c r="G48" s="471">
        <f>4*86.6</f>
        <v>346.4</v>
      </c>
      <c r="H48" s="426">
        <f>VLOOKUP($C48,SICRO!$A$2:$L$1163,5,FALSE)</f>
        <v>12.65</v>
      </c>
      <c r="I48" s="441">
        <f t="shared" ref="I48:I52" si="14">IF(G48=0,"-",$I$7)</f>
        <v>0.20949999999999999</v>
      </c>
      <c r="J48" s="428">
        <f t="shared" ref="J48:J52" si="15">IFERROR(TRUNC(H48*(1+I48),2),"-")</f>
        <v>15.3</v>
      </c>
      <c r="K48" s="464">
        <f t="shared" ref="K48:K52" si="16">IFERROR(TRUNC(G48*J48,2),"-")</f>
        <v>5299.92</v>
      </c>
      <c r="L48" s="430"/>
      <c r="M48" s="690">
        <f t="shared" si="13"/>
        <v>4.9736255914879686E-3</v>
      </c>
    </row>
    <row r="49" spans="1:14" x14ac:dyDescent="0.2">
      <c r="B49" s="672" t="s">
        <v>1947</v>
      </c>
      <c r="C49" s="348">
        <v>8808</v>
      </c>
      <c r="D49" s="702" t="s">
        <v>1795</v>
      </c>
      <c r="E49" s="474" t="s">
        <v>1820</v>
      </c>
      <c r="F49" s="673" t="s">
        <v>1658</v>
      </c>
      <c r="G49" s="674">
        <f>4*1.54*4</f>
        <v>24.64</v>
      </c>
      <c r="H49" s="675">
        <v>20.53</v>
      </c>
      <c r="I49" s="487">
        <f t="shared" si="14"/>
        <v>0.20949999999999999</v>
      </c>
      <c r="J49" s="676">
        <f t="shared" si="15"/>
        <v>24.83</v>
      </c>
      <c r="K49" s="677">
        <f t="shared" si="16"/>
        <v>611.80999999999995</v>
      </c>
      <c r="L49" s="430"/>
      <c r="M49" s="690">
        <f t="shared" si="13"/>
        <v>5.7414335935792498E-4</v>
      </c>
    </row>
    <row r="50" spans="1:14" ht="38.25" x14ac:dyDescent="0.2">
      <c r="B50" s="234" t="s">
        <v>1948</v>
      </c>
      <c r="C50" s="489">
        <v>1525</v>
      </c>
      <c r="D50" s="460" t="s">
        <v>1665</v>
      </c>
      <c r="E50" s="469" t="s">
        <v>1822</v>
      </c>
      <c r="F50" s="470" t="s">
        <v>25</v>
      </c>
      <c r="G50" s="440">
        <f>4*0.85</f>
        <v>3.4</v>
      </c>
      <c r="H50" s="426">
        <f>VLOOKUP($C50,SINAPI!$A$2:$L$1160,5,FALSE)</f>
        <v>520.48</v>
      </c>
      <c r="I50" s="542">
        <f t="shared" si="14"/>
        <v>0.20949999999999999</v>
      </c>
      <c r="J50" s="428">
        <f t="shared" si="15"/>
        <v>629.52</v>
      </c>
      <c r="K50" s="543">
        <f t="shared" si="16"/>
        <v>2140.36</v>
      </c>
      <c r="L50" s="465"/>
      <c r="M50" s="690">
        <f t="shared" si="13"/>
        <v>2.0085867845169719E-3</v>
      </c>
    </row>
    <row r="51" spans="1:14" ht="25.5" x14ac:dyDescent="0.2">
      <c r="B51" s="697" t="s">
        <v>1949</v>
      </c>
      <c r="C51" s="489">
        <v>103673</v>
      </c>
      <c r="D51" s="460" t="s">
        <v>1665</v>
      </c>
      <c r="E51" s="469" t="s">
        <v>1823</v>
      </c>
      <c r="F51" s="559" t="s">
        <v>25</v>
      </c>
      <c r="G51" s="440">
        <f>G50</f>
        <v>3.4</v>
      </c>
      <c r="H51" s="426">
        <f>VLOOKUP($C51,SINAPI!$A$2:$L$1160,5,FALSE)</f>
        <v>60.26</v>
      </c>
      <c r="I51" s="542">
        <f t="shared" si="14"/>
        <v>0.20949999999999999</v>
      </c>
      <c r="J51" s="428">
        <f t="shared" si="15"/>
        <v>72.88</v>
      </c>
      <c r="K51" s="543">
        <f t="shared" si="16"/>
        <v>247.79</v>
      </c>
      <c r="L51" s="465"/>
      <c r="M51" s="690">
        <f t="shared" si="13"/>
        <v>2.32534582656871E-4</v>
      </c>
    </row>
    <row r="52" spans="1:14" x14ac:dyDescent="0.2">
      <c r="B52" s="473" t="s">
        <v>1950</v>
      </c>
      <c r="C52" s="422" t="s">
        <v>1804</v>
      </c>
      <c r="D52" s="422" t="s">
        <v>1687</v>
      </c>
      <c r="E52" s="474" t="s">
        <v>1816</v>
      </c>
      <c r="F52" s="475" t="s">
        <v>1672</v>
      </c>
      <c r="G52" s="471">
        <f>4*5.8</f>
        <v>23.2</v>
      </c>
      <c r="H52" s="426">
        <f>VLOOKUP($C52,COMPOSIÇÕES!$A$2:$L$1172,5,FALSE)</f>
        <v>64.55</v>
      </c>
      <c r="I52" s="441">
        <f t="shared" si="14"/>
        <v>0.20949999999999999</v>
      </c>
      <c r="J52" s="476">
        <f t="shared" si="15"/>
        <v>78.069999999999993</v>
      </c>
      <c r="K52" s="464">
        <f t="shared" si="16"/>
        <v>1811.22</v>
      </c>
      <c r="L52" s="430"/>
      <c r="M52" s="693">
        <f t="shared" si="13"/>
        <v>1.6997105888041403E-3</v>
      </c>
      <c r="N52" s="477"/>
    </row>
    <row r="53" spans="1:14" ht="13.5" thickBot="1" x14ac:dyDescent="0.25">
      <c r="B53" s="782"/>
      <c r="C53" s="783"/>
      <c r="D53" s="783"/>
      <c r="E53" s="783"/>
      <c r="F53" s="783"/>
      <c r="G53" s="783"/>
      <c r="H53" s="783"/>
      <c r="I53" s="783"/>
      <c r="J53" s="783"/>
      <c r="K53" s="783"/>
      <c r="L53" s="466"/>
      <c r="M53" s="690">
        <f t="shared" si="13"/>
        <v>0</v>
      </c>
    </row>
    <row r="54" spans="1:14" ht="15" customHeight="1" thickBot="1" x14ac:dyDescent="0.25">
      <c r="B54" s="785" t="str">
        <f>E46</f>
        <v>PILARES PRÉ-MOLDADO PARA PASSARELA DE PEDESTRES</v>
      </c>
      <c r="C54" s="786"/>
      <c r="D54" s="786"/>
      <c r="E54" s="786"/>
      <c r="F54" s="786"/>
      <c r="G54" s="786"/>
      <c r="H54" s="786"/>
      <c r="I54" s="786"/>
      <c r="J54" s="786"/>
      <c r="K54" s="787"/>
      <c r="L54" s="451">
        <f>SUM(K47:K53)</f>
        <v>12595.58</v>
      </c>
      <c r="M54" s="691"/>
    </row>
    <row r="55" spans="1:14" ht="15" customHeight="1" thickBot="1" x14ac:dyDescent="0.25">
      <c r="B55" s="452" t="s">
        <v>1769</v>
      </c>
      <c r="C55" s="434"/>
      <c r="D55" s="453"/>
      <c r="E55" s="781" t="s">
        <v>1858</v>
      </c>
      <c r="F55" s="781"/>
      <c r="G55" s="781"/>
      <c r="H55" s="781"/>
      <c r="I55" s="781"/>
      <c r="J55" s="781"/>
      <c r="K55" s="781"/>
      <c r="L55" s="479"/>
      <c r="M55" s="690"/>
    </row>
    <row r="56" spans="1:14" ht="25.5" x14ac:dyDescent="0.2">
      <c r="B56" s="560" t="s">
        <v>1951</v>
      </c>
      <c r="C56" s="557">
        <v>97721</v>
      </c>
      <c r="D56" s="422" t="s">
        <v>1665</v>
      </c>
      <c r="E56" s="474" t="s">
        <v>1864</v>
      </c>
      <c r="F56" s="481" t="s">
        <v>25</v>
      </c>
      <c r="G56" s="471">
        <f>8.18+8.47</f>
        <v>16.649999999999999</v>
      </c>
      <c r="H56" s="426">
        <f>VLOOKUP($C56,SINAPI!$A$2:$L$1160,5,FALSE)</f>
        <v>82.16</v>
      </c>
      <c r="I56" s="441">
        <f t="shared" ref="I56:I61" si="17">IF(G56=0,"-",$I$7)</f>
        <v>0.20949999999999999</v>
      </c>
      <c r="J56" s="476">
        <f t="shared" ref="J56:J57" si="18">IFERROR(TRUNC(H56*(1+I56),2),"-")</f>
        <v>99.37</v>
      </c>
      <c r="K56" s="472">
        <f t="shared" ref="K56:K61" si="19">IFERROR(TRUNC(G56*J56,2),"-")</f>
        <v>1654.51</v>
      </c>
      <c r="L56" s="430"/>
      <c r="M56" s="690">
        <f t="shared" ref="M56:M62" si="20">IFERROR(K56/$L$11,"-")</f>
        <v>1.5526485828791302E-3</v>
      </c>
    </row>
    <row r="57" spans="1:14" s="318" customFormat="1" ht="18.75" customHeight="1" x14ac:dyDescent="0.2">
      <c r="A57" s="493"/>
      <c r="B57" s="248" t="s">
        <v>1952</v>
      </c>
      <c r="C57" s="348">
        <v>88306</v>
      </c>
      <c r="D57" s="702" t="s">
        <v>1796</v>
      </c>
      <c r="E57" s="469" t="s">
        <v>1849</v>
      </c>
      <c r="F57" s="678" t="s">
        <v>1672</v>
      </c>
      <c r="G57" s="674">
        <f>31.98+30.85</f>
        <v>62.83</v>
      </c>
      <c r="H57" s="675">
        <v>384.05</v>
      </c>
      <c r="I57" s="487">
        <f t="shared" si="17"/>
        <v>0.20949999999999999</v>
      </c>
      <c r="J57" s="676">
        <f t="shared" si="18"/>
        <v>464.5</v>
      </c>
      <c r="K57" s="679">
        <f t="shared" si="19"/>
        <v>29184.53</v>
      </c>
      <c r="L57" s="680"/>
      <c r="M57" s="694">
        <f t="shared" si="20"/>
        <v>2.7387757793239965E-2</v>
      </c>
    </row>
    <row r="58" spans="1:14" ht="38.25" x14ac:dyDescent="0.2">
      <c r="B58" s="480" t="s">
        <v>1953</v>
      </c>
      <c r="C58" s="489">
        <v>34479</v>
      </c>
      <c r="D58" s="422" t="s">
        <v>1665</v>
      </c>
      <c r="E58" s="469" t="s">
        <v>1862</v>
      </c>
      <c r="F58" s="470" t="s">
        <v>25</v>
      </c>
      <c r="G58" s="471">
        <f>2.04+1.97</f>
        <v>4.01</v>
      </c>
      <c r="H58" s="426">
        <f>VLOOKUP($C58,SINAPI!$A$2:$L$1160,5,FALSE)</f>
        <v>551.55999999999995</v>
      </c>
      <c r="I58" s="441">
        <f t="shared" si="17"/>
        <v>0.20949999999999999</v>
      </c>
      <c r="J58" s="428">
        <f t="shared" ref="J58:J61" si="21">IFERROR(TRUNC(H58*(1+I58),2),"-")</f>
        <v>667.11</v>
      </c>
      <c r="K58" s="472">
        <f t="shared" si="19"/>
        <v>2675.11</v>
      </c>
      <c r="L58" s="430"/>
      <c r="M58" s="690">
        <f t="shared" si="20"/>
        <v>2.5104144130563065E-3</v>
      </c>
    </row>
    <row r="59" spans="1:14" ht="25.5" x14ac:dyDescent="0.2">
      <c r="B59" s="480" t="s">
        <v>1954</v>
      </c>
      <c r="C59" s="489">
        <v>103673</v>
      </c>
      <c r="D59" s="422" t="s">
        <v>1665</v>
      </c>
      <c r="E59" s="469" t="s">
        <v>1863</v>
      </c>
      <c r="F59" s="546" t="s">
        <v>25</v>
      </c>
      <c r="G59" s="471">
        <f>G58</f>
        <v>4.01</v>
      </c>
      <c r="H59" s="426">
        <f>VLOOKUP($C59,SINAPI!$A$2:$L$1160,5,FALSE)</f>
        <v>60.26</v>
      </c>
      <c r="I59" s="441">
        <f t="shared" si="17"/>
        <v>0.20949999999999999</v>
      </c>
      <c r="J59" s="428">
        <f t="shared" si="21"/>
        <v>72.88</v>
      </c>
      <c r="K59" s="472">
        <f t="shared" si="19"/>
        <v>292.24</v>
      </c>
      <c r="L59" s="430"/>
      <c r="M59" s="690">
        <f t="shared" si="20"/>
        <v>2.7424797786691952E-4</v>
      </c>
    </row>
    <row r="60" spans="1:14" ht="25.5" x14ac:dyDescent="0.2">
      <c r="B60" s="480" t="s">
        <v>1955</v>
      </c>
      <c r="C60" s="489">
        <v>91596</v>
      </c>
      <c r="D60" s="422" t="s">
        <v>1665</v>
      </c>
      <c r="E60" s="469" t="s">
        <v>1861</v>
      </c>
      <c r="F60" s="546" t="s">
        <v>1764</v>
      </c>
      <c r="G60" s="471">
        <f>76.93+74.47</f>
        <v>151.4</v>
      </c>
      <c r="H60" s="426">
        <f>VLOOKUP($C60,SINAPI!$A$2:$L$1160,5,FALSE)</f>
        <v>9.65</v>
      </c>
      <c r="I60" s="441">
        <f t="shared" si="17"/>
        <v>0.20949999999999999</v>
      </c>
      <c r="J60" s="428">
        <f t="shared" si="21"/>
        <v>11.67</v>
      </c>
      <c r="K60" s="472">
        <f t="shared" si="19"/>
        <v>1766.83</v>
      </c>
      <c r="L60" s="430"/>
      <c r="M60" s="690">
        <f t="shared" si="20"/>
        <v>1.6580534996393696E-3</v>
      </c>
    </row>
    <row r="61" spans="1:14" ht="25.5" x14ac:dyDescent="0.2">
      <c r="B61" s="480" t="s">
        <v>1956</v>
      </c>
      <c r="C61" s="489">
        <v>3108004</v>
      </c>
      <c r="D61" s="422" t="s">
        <v>1767</v>
      </c>
      <c r="E61" s="469" t="s">
        <v>1840</v>
      </c>
      <c r="F61" s="544" t="s">
        <v>1672</v>
      </c>
      <c r="G61" s="471">
        <f>(10.01+9.73)/2</f>
        <v>9.870000000000001</v>
      </c>
      <c r="H61" s="426">
        <f>VLOOKUP($C61,SICRO!$A$2:$L$1163,5,FALSE)</f>
        <v>98.74</v>
      </c>
      <c r="I61" s="441">
        <f t="shared" si="17"/>
        <v>0.20949999999999999</v>
      </c>
      <c r="J61" s="428">
        <f t="shared" si="21"/>
        <v>119.42</v>
      </c>
      <c r="K61" s="472">
        <f t="shared" si="19"/>
        <v>1178.67</v>
      </c>
      <c r="L61" s="430"/>
      <c r="M61" s="690">
        <f t="shared" si="20"/>
        <v>1.1061041064618191E-3</v>
      </c>
    </row>
    <row r="62" spans="1:14" ht="13.5" thickBot="1" x14ac:dyDescent="0.25">
      <c r="B62" s="782"/>
      <c r="C62" s="783"/>
      <c r="D62" s="783"/>
      <c r="E62" s="783"/>
      <c r="F62" s="783"/>
      <c r="G62" s="783"/>
      <c r="H62" s="783"/>
      <c r="I62" s="783"/>
      <c r="J62" s="783"/>
      <c r="K62" s="784"/>
      <c r="L62" s="430"/>
      <c r="M62" s="690">
        <f t="shared" si="20"/>
        <v>0</v>
      </c>
    </row>
    <row r="63" spans="1:14" ht="15" customHeight="1" thickBot="1" x14ac:dyDescent="0.25">
      <c r="B63" s="785" t="s">
        <v>1858</v>
      </c>
      <c r="C63" s="786"/>
      <c r="D63" s="786"/>
      <c r="E63" s="786"/>
      <c r="F63" s="786"/>
      <c r="G63" s="786"/>
      <c r="H63" s="786"/>
      <c r="I63" s="786"/>
      <c r="J63" s="786"/>
      <c r="K63" s="787"/>
      <c r="L63" s="451">
        <f>SUM(K56:K62)</f>
        <v>36751.889999999992</v>
      </c>
      <c r="M63" s="690"/>
    </row>
    <row r="64" spans="1:14" ht="15" customHeight="1" thickBot="1" x14ac:dyDescent="0.25">
      <c r="B64" s="452" t="s">
        <v>1770</v>
      </c>
      <c r="C64" s="434"/>
      <c r="D64" s="453"/>
      <c r="E64" s="781" t="s">
        <v>1923</v>
      </c>
      <c r="F64" s="781"/>
      <c r="G64" s="781"/>
      <c r="H64" s="781"/>
      <c r="I64" s="781"/>
      <c r="J64" s="781"/>
      <c r="K64" s="781"/>
      <c r="L64" s="479"/>
      <c r="M64" s="690"/>
    </row>
    <row r="65" spans="2:16" ht="51" x14ac:dyDescent="0.2">
      <c r="B65" s="480" t="s">
        <v>1957</v>
      </c>
      <c r="C65" s="482">
        <v>90082</v>
      </c>
      <c r="D65" s="422" t="s">
        <v>1665</v>
      </c>
      <c r="E65" s="469" t="s">
        <v>1834</v>
      </c>
      <c r="F65" s="481" t="s">
        <v>25</v>
      </c>
      <c r="G65" s="471">
        <f>59+42.5</f>
        <v>101.5</v>
      </c>
      <c r="H65" s="426">
        <f>VLOOKUP($C65,SINAPI!$A$2:$L$1160,5,FALSE)</f>
        <v>10.74</v>
      </c>
      <c r="I65" s="441">
        <f>IF(G65=0,"-",$I$7)</f>
        <v>0.20949999999999999</v>
      </c>
      <c r="J65" s="428">
        <f>IFERROR(TRUNC(H65*(1+I65),2),"-")</f>
        <v>12.99</v>
      </c>
      <c r="K65" s="472">
        <f>IFERROR(TRUNC(G65*J65,2),"-")</f>
        <v>1318.48</v>
      </c>
      <c r="L65" s="430"/>
      <c r="M65" s="690">
        <f t="shared" ref="M65:M82" si="22">IFERROR(K65/$L$11,"-")</f>
        <v>1.237306576300219E-3</v>
      </c>
    </row>
    <row r="66" spans="2:16" x14ac:dyDescent="0.2">
      <c r="B66" s="480" t="s">
        <v>1958</v>
      </c>
      <c r="C66" s="489">
        <v>94319</v>
      </c>
      <c r="D66" s="438" t="s">
        <v>1665</v>
      </c>
      <c r="E66" s="469" t="s">
        <v>1809</v>
      </c>
      <c r="F66" s="481" t="s">
        <v>25</v>
      </c>
      <c r="G66" s="471">
        <f>42+29.75</f>
        <v>71.75</v>
      </c>
      <c r="H66" s="426">
        <f>VLOOKUP($C66,SINAPI!$A$2:$L$1160,5,FALSE)</f>
        <v>91.59</v>
      </c>
      <c r="I66" s="441">
        <f t="shared" ref="I66:I74" si="23">IF(G66=0,"-",$I$7)</f>
        <v>0.20949999999999999</v>
      </c>
      <c r="J66" s="428">
        <f t="shared" ref="J66:J75" si="24">IFERROR(TRUNC(H66*(1+I66),2),"-")</f>
        <v>110.77</v>
      </c>
      <c r="K66" s="472">
        <f t="shared" ref="K66:K75" si="25">IFERROR(TRUNC(G66*J66,2),"-")</f>
        <v>7947.74</v>
      </c>
      <c r="L66" s="430"/>
      <c r="M66" s="690">
        <f t="shared" si="22"/>
        <v>7.4584301382837077E-3</v>
      </c>
    </row>
    <row r="67" spans="2:16" ht="25.5" x14ac:dyDescent="0.2">
      <c r="B67" s="480" t="s">
        <v>1959</v>
      </c>
      <c r="C67" s="489" t="s">
        <v>2027</v>
      </c>
      <c r="D67" s="422" t="s">
        <v>1687</v>
      </c>
      <c r="E67" s="469" t="s">
        <v>1826</v>
      </c>
      <c r="F67" s="481" t="s">
        <v>25</v>
      </c>
      <c r="G67" s="471">
        <f>110.2+(24*1.6)+(32*1.1)</f>
        <v>183.8</v>
      </c>
      <c r="H67" s="426">
        <f>VLOOKUP($C67,COMPOSIÇÕES!$A$2:$L$1148,5,FALSE)</f>
        <v>100.88</v>
      </c>
      <c r="I67" s="441">
        <f t="shared" si="23"/>
        <v>0.20949999999999999</v>
      </c>
      <c r="J67" s="428">
        <f t="shared" si="24"/>
        <v>122.01</v>
      </c>
      <c r="K67" s="472">
        <f t="shared" si="25"/>
        <v>22425.43</v>
      </c>
      <c r="L67" s="430"/>
      <c r="M67" s="690">
        <f t="shared" si="22"/>
        <v>2.1044787949275091E-2</v>
      </c>
    </row>
    <row r="68" spans="2:16" x14ac:dyDescent="0.2">
      <c r="B68" s="480" t="s">
        <v>1960</v>
      </c>
      <c r="C68" s="489">
        <v>407819</v>
      </c>
      <c r="D68" s="422" t="s">
        <v>1767</v>
      </c>
      <c r="E68" s="469" t="s">
        <v>1827</v>
      </c>
      <c r="F68" s="481" t="s">
        <v>1764</v>
      </c>
      <c r="G68" s="471">
        <f>299.16+101.76+98.72</f>
        <v>499.64</v>
      </c>
      <c r="H68" s="426">
        <f>VLOOKUP($C68,SICRO!$A$2:$L$1163,5,FALSE)</f>
        <v>12.65</v>
      </c>
      <c r="I68" s="441">
        <f t="shared" si="23"/>
        <v>0.20949999999999999</v>
      </c>
      <c r="J68" s="428">
        <f t="shared" si="24"/>
        <v>15.3</v>
      </c>
      <c r="K68" s="472">
        <f t="shared" si="25"/>
        <v>7644.49</v>
      </c>
      <c r="L68" s="430"/>
      <c r="M68" s="690">
        <f t="shared" si="22"/>
        <v>7.1738500011082921E-3</v>
      </c>
    </row>
    <row r="69" spans="2:16" x14ac:dyDescent="0.2">
      <c r="B69" s="480" t="s">
        <v>1961</v>
      </c>
      <c r="C69" s="489">
        <v>407819</v>
      </c>
      <c r="D69" s="422" t="s">
        <v>1767</v>
      </c>
      <c r="E69" s="469" t="s">
        <v>1828</v>
      </c>
      <c r="F69" s="481" t="s">
        <v>1764</v>
      </c>
      <c r="G69" s="471">
        <f>462.66+182.44+127.89+37.24</f>
        <v>810.23</v>
      </c>
      <c r="H69" s="426">
        <f>VLOOKUP($C69,SICRO!$A$2:$L$1163,5,FALSE)</f>
        <v>12.65</v>
      </c>
      <c r="I69" s="441">
        <f t="shared" si="23"/>
        <v>0.20949999999999999</v>
      </c>
      <c r="J69" s="428">
        <f t="shared" si="24"/>
        <v>15.3</v>
      </c>
      <c r="K69" s="472">
        <f t="shared" si="25"/>
        <v>12396.51</v>
      </c>
      <c r="L69" s="430"/>
      <c r="M69" s="690">
        <f t="shared" si="22"/>
        <v>1.1633307555800186E-2</v>
      </c>
    </row>
    <row r="70" spans="2:16" ht="38.25" x14ac:dyDescent="0.2">
      <c r="B70" s="480" t="s">
        <v>1962</v>
      </c>
      <c r="C70" s="489">
        <v>1527</v>
      </c>
      <c r="D70" s="422" t="s">
        <v>1665</v>
      </c>
      <c r="E70" s="469" t="s">
        <v>1824</v>
      </c>
      <c r="F70" s="481" t="s">
        <v>25</v>
      </c>
      <c r="G70" s="471">
        <f>11.67+5.64+2.68+0.76</f>
        <v>20.75</v>
      </c>
      <c r="H70" s="426">
        <f>VLOOKUP($C70,SINAPI!$A$2:$L$1160,5,FALSE)</f>
        <v>504.95</v>
      </c>
      <c r="I70" s="441">
        <f t="shared" si="23"/>
        <v>0.20949999999999999</v>
      </c>
      <c r="J70" s="428">
        <f t="shared" si="24"/>
        <v>610.73</v>
      </c>
      <c r="K70" s="472">
        <f t="shared" si="25"/>
        <v>12672.64</v>
      </c>
      <c r="L70" s="430"/>
      <c r="M70" s="690">
        <f t="shared" si="22"/>
        <v>1.1892437360509987E-2</v>
      </c>
    </row>
    <row r="71" spans="2:16" ht="25.5" x14ac:dyDescent="0.2">
      <c r="B71" s="480" t="s">
        <v>1963</v>
      </c>
      <c r="C71" s="489">
        <v>103673</v>
      </c>
      <c r="D71" s="422" t="s">
        <v>1665</v>
      </c>
      <c r="E71" s="469" t="s">
        <v>1823</v>
      </c>
      <c r="F71" s="481" t="s">
        <v>25</v>
      </c>
      <c r="G71" s="471">
        <f>G70</f>
        <v>20.75</v>
      </c>
      <c r="H71" s="426">
        <f>VLOOKUP($C71,SINAPI!$A$2:$L$1160,5,FALSE)</f>
        <v>60.26</v>
      </c>
      <c r="I71" s="441">
        <f t="shared" si="23"/>
        <v>0.20949999999999999</v>
      </c>
      <c r="J71" s="428">
        <f t="shared" si="24"/>
        <v>72.88</v>
      </c>
      <c r="K71" s="472">
        <f t="shared" si="25"/>
        <v>1512.26</v>
      </c>
      <c r="L71" s="430"/>
      <c r="M71" s="690">
        <f t="shared" si="22"/>
        <v>1.4191563338660953E-3</v>
      </c>
    </row>
    <row r="72" spans="2:16" ht="25.5" x14ac:dyDescent="0.2">
      <c r="B72" s="480" t="s">
        <v>1964</v>
      </c>
      <c r="C72" s="460" t="s">
        <v>1805</v>
      </c>
      <c r="D72" s="422" t="s">
        <v>1687</v>
      </c>
      <c r="E72" s="469" t="s">
        <v>1829</v>
      </c>
      <c r="F72" s="481" t="s">
        <v>1672</v>
      </c>
      <c r="G72" s="471">
        <f>64+54.9</f>
        <v>118.9</v>
      </c>
      <c r="H72" s="426">
        <f>VLOOKUP($C72,COMPOSIÇÕES!$A$2:$L$1172,5,FALSE)</f>
        <v>145.77000000000001</v>
      </c>
      <c r="I72" s="441">
        <f t="shared" si="23"/>
        <v>0.20949999999999999</v>
      </c>
      <c r="J72" s="428">
        <f>IFERROR(TRUNC(H72*(1+I72),2),"-")</f>
        <v>176.3</v>
      </c>
      <c r="K72" s="472">
        <f t="shared" si="25"/>
        <v>20962.07</v>
      </c>
      <c r="L72" s="430"/>
      <c r="M72" s="690">
        <f t="shared" si="22"/>
        <v>1.9671521042310489E-2</v>
      </c>
    </row>
    <row r="73" spans="2:16" ht="25.5" x14ac:dyDescent="0.2">
      <c r="B73" s="480" t="s">
        <v>1965</v>
      </c>
      <c r="C73" s="489">
        <v>91596</v>
      </c>
      <c r="D73" s="422" t="s">
        <v>1665</v>
      </c>
      <c r="E73" s="469" t="s">
        <v>1835</v>
      </c>
      <c r="F73" s="481" t="s">
        <v>1764</v>
      </c>
      <c r="G73" s="471">
        <f>131.77+94.23</f>
        <v>226</v>
      </c>
      <c r="H73" s="426">
        <f>VLOOKUP($C73,SINAPI!$A$2:$L$1160,5,FALSE)</f>
        <v>9.65</v>
      </c>
      <c r="I73" s="441">
        <f t="shared" si="23"/>
        <v>0.20949999999999999</v>
      </c>
      <c r="J73" s="428">
        <f t="shared" si="24"/>
        <v>11.67</v>
      </c>
      <c r="K73" s="472">
        <f t="shared" si="25"/>
        <v>2637.42</v>
      </c>
      <c r="L73" s="430"/>
      <c r="M73" s="690">
        <f t="shared" si="22"/>
        <v>2.4750448322809022E-3</v>
      </c>
    </row>
    <row r="74" spans="2:16" ht="25.5" x14ac:dyDescent="0.2">
      <c r="B74" s="480" t="s">
        <v>1966</v>
      </c>
      <c r="C74" s="489">
        <v>3108004</v>
      </c>
      <c r="D74" s="422" t="s">
        <v>1767</v>
      </c>
      <c r="E74" s="469" t="s">
        <v>1840</v>
      </c>
      <c r="F74" s="544" t="s">
        <v>1672</v>
      </c>
      <c r="G74" s="471">
        <f>(13.56+17.68+37.8+47.25)/2</f>
        <v>58.144999999999996</v>
      </c>
      <c r="H74" s="426">
        <f>VLOOKUP($C74,SICRO!$A$2:$L$1163,5,FALSE)</f>
        <v>98.74</v>
      </c>
      <c r="I74" s="441">
        <f t="shared" si="23"/>
        <v>0.20949999999999999</v>
      </c>
      <c r="J74" s="428">
        <f t="shared" si="24"/>
        <v>119.42</v>
      </c>
      <c r="K74" s="472">
        <f t="shared" si="25"/>
        <v>6943.67</v>
      </c>
      <c r="L74" s="430"/>
      <c r="M74" s="690">
        <f t="shared" si="22"/>
        <v>6.5161766235805945E-3</v>
      </c>
    </row>
    <row r="75" spans="2:16" ht="25.5" x14ac:dyDescent="0.2">
      <c r="B75" s="480" t="s">
        <v>1967</v>
      </c>
      <c r="C75" s="489">
        <v>2003850</v>
      </c>
      <c r="D75" s="422" t="s">
        <v>1689</v>
      </c>
      <c r="E75" s="469" t="s">
        <v>1801</v>
      </c>
      <c r="F75" s="481" t="s">
        <v>25</v>
      </c>
      <c r="G75" s="471">
        <f>1.42+1.02</f>
        <v>2.44</v>
      </c>
      <c r="H75" s="426">
        <f>VLOOKUP($C75,SICRO!$A$2:$L$1163,5,FALSE)</f>
        <v>148.53</v>
      </c>
      <c r="I75" s="441">
        <f>IF(G75=0,"-",$I$7)</f>
        <v>0.20949999999999999</v>
      </c>
      <c r="J75" s="428">
        <f t="shared" si="24"/>
        <v>179.64</v>
      </c>
      <c r="K75" s="472">
        <f t="shared" si="25"/>
        <v>438.32</v>
      </c>
      <c r="L75" s="430"/>
      <c r="M75" s="690">
        <f t="shared" si="22"/>
        <v>4.1133442943686065E-4</v>
      </c>
    </row>
    <row r="76" spans="2:16" x14ac:dyDescent="0.2">
      <c r="B76" s="480" t="s">
        <v>1968</v>
      </c>
      <c r="C76" s="460">
        <v>407819</v>
      </c>
      <c r="D76" s="422" t="s">
        <v>1767</v>
      </c>
      <c r="E76" s="469" t="s">
        <v>1878</v>
      </c>
      <c r="F76" s="481" t="s">
        <v>1764</v>
      </c>
      <c r="G76" s="471">
        <f>231*0.66</f>
        <v>152.46</v>
      </c>
      <c r="H76" s="426">
        <f>VLOOKUP($C76,SICRO!$A$2:$L$1163,5,FALSE)</f>
        <v>12.65</v>
      </c>
      <c r="I76" s="441">
        <f t="shared" ref="I76:I81" si="26">IF(G76=0,"-",$I$7)</f>
        <v>0.20949999999999999</v>
      </c>
      <c r="J76" s="428">
        <f t="shared" ref="J76:J81" si="27">IFERROR(TRUNC(H76*(1+I76),2),"-")</f>
        <v>15.3</v>
      </c>
      <c r="K76" s="472">
        <f t="shared" ref="K76:K81" si="28">IFERROR(TRUNC(G76*J76,2),"-")</f>
        <v>2332.63</v>
      </c>
      <c r="L76" s="430"/>
      <c r="M76" s="690">
        <f t="shared" si="22"/>
        <v>2.1890195066100208E-3</v>
      </c>
    </row>
    <row r="77" spans="2:16" ht="38.25" x14ac:dyDescent="0.2">
      <c r="B77" s="480" t="s">
        <v>1969</v>
      </c>
      <c r="C77" s="460">
        <v>1527</v>
      </c>
      <c r="D77" s="422" t="s">
        <v>1665</v>
      </c>
      <c r="E77" s="469" t="s">
        <v>1879</v>
      </c>
      <c r="F77" s="481" t="s">
        <v>25</v>
      </c>
      <c r="G77" s="471">
        <f>231*0.025725</f>
        <v>5.942475</v>
      </c>
      <c r="H77" s="426">
        <f>VLOOKUP($C77,SINAPI!$A$2:$L$1160,5,FALSE)</f>
        <v>504.95</v>
      </c>
      <c r="I77" s="441">
        <f t="shared" si="26"/>
        <v>0.20949999999999999</v>
      </c>
      <c r="J77" s="428">
        <f t="shared" si="27"/>
        <v>610.73</v>
      </c>
      <c r="K77" s="472">
        <f t="shared" si="28"/>
        <v>3629.24</v>
      </c>
      <c r="L77" s="430"/>
      <c r="M77" s="690">
        <f t="shared" si="22"/>
        <v>3.405802529406443E-3</v>
      </c>
    </row>
    <row r="78" spans="2:16" ht="25.5" x14ac:dyDescent="0.2">
      <c r="B78" s="480" t="s">
        <v>1970</v>
      </c>
      <c r="C78" s="460">
        <v>103673</v>
      </c>
      <c r="D78" s="422" t="s">
        <v>1665</v>
      </c>
      <c r="E78" s="469" t="s">
        <v>1880</v>
      </c>
      <c r="F78" s="481" t="s">
        <v>25</v>
      </c>
      <c r="G78" s="471">
        <f>231*0.025725</f>
        <v>5.942475</v>
      </c>
      <c r="H78" s="426">
        <f>VLOOKUP($C78,SINAPI!$A$2:$L$1160,5,FALSE)</f>
        <v>60.26</v>
      </c>
      <c r="I78" s="441">
        <f t="shared" si="26"/>
        <v>0.20949999999999999</v>
      </c>
      <c r="J78" s="428">
        <f t="shared" si="27"/>
        <v>72.88</v>
      </c>
      <c r="K78" s="472">
        <f t="shared" si="28"/>
        <v>433.08</v>
      </c>
      <c r="L78" s="430"/>
      <c r="M78" s="690">
        <f t="shared" si="22"/>
        <v>4.0641703481592354E-4</v>
      </c>
    </row>
    <row r="79" spans="2:16" x14ac:dyDescent="0.2">
      <c r="B79" s="480" t="s">
        <v>1971</v>
      </c>
      <c r="C79" s="422" t="s">
        <v>1804</v>
      </c>
      <c r="D79" s="422" t="s">
        <v>1687</v>
      </c>
      <c r="E79" s="469" t="s">
        <v>1881</v>
      </c>
      <c r="F79" s="481" t="s">
        <v>1672</v>
      </c>
      <c r="G79" s="471">
        <f>231*0.62</f>
        <v>143.22</v>
      </c>
      <c r="H79" s="426">
        <f>VLOOKUP($C79,COMPOSIÇÕES!$A$2:$L$1172,5,FALSE)</f>
        <v>64.55</v>
      </c>
      <c r="I79" s="441">
        <f t="shared" si="26"/>
        <v>0.20949999999999999</v>
      </c>
      <c r="J79" s="428">
        <f t="shared" si="27"/>
        <v>78.069999999999993</v>
      </c>
      <c r="K79" s="472">
        <f t="shared" si="28"/>
        <v>11181.18</v>
      </c>
      <c r="L79" s="430"/>
      <c r="M79" s="690">
        <f t="shared" si="22"/>
        <v>1.0492800455673567E-2</v>
      </c>
      <c r="N79" s="477"/>
    </row>
    <row r="80" spans="2:16" x14ac:dyDescent="0.2">
      <c r="B80" s="480" t="s">
        <v>1972</v>
      </c>
      <c r="C80" s="460" t="s">
        <v>1877</v>
      </c>
      <c r="D80" s="422" t="s">
        <v>1687</v>
      </c>
      <c r="E80" s="469" t="s">
        <v>1884</v>
      </c>
      <c r="F80" s="481" t="s">
        <v>1672</v>
      </c>
      <c r="G80" s="471">
        <f>G81</f>
        <v>96</v>
      </c>
      <c r="H80" s="426">
        <f>VLOOKUP($C80,COMPOSIÇÕES!$A$2:$L$1172,5,FALSE)</f>
        <v>24.07</v>
      </c>
      <c r="I80" s="441">
        <f t="shared" ref="I80" si="29">IF(G80=0,"-",$I$7)</f>
        <v>0.20949999999999999</v>
      </c>
      <c r="J80" s="428">
        <f t="shared" ref="J80" si="30">IFERROR(TRUNC(H80*(1+I80),2),"-")</f>
        <v>29.11</v>
      </c>
      <c r="K80" s="472">
        <f t="shared" ref="K80" si="31">IFERROR(TRUNC(G80*J80,2),"-")</f>
        <v>2794.56</v>
      </c>
      <c r="L80" s="430"/>
      <c r="M80" s="690">
        <f t="shared" si="22"/>
        <v>2.6225103648637371E-3</v>
      </c>
      <c r="N80" s="477"/>
      <c r="P80" s="572"/>
    </row>
    <row r="81" spans="2:17" x14ac:dyDescent="0.2">
      <c r="B81" s="480" t="s">
        <v>1973</v>
      </c>
      <c r="C81" s="460" t="s">
        <v>1807</v>
      </c>
      <c r="D81" s="422" t="s">
        <v>1687</v>
      </c>
      <c r="E81" s="573" t="s">
        <v>1883</v>
      </c>
      <c r="F81" s="481" t="s">
        <v>1672</v>
      </c>
      <c r="G81" s="463">
        <v>96</v>
      </c>
      <c r="H81" s="426">
        <f>VLOOKUP($C81,COMPOSIÇÕES!$A$2:$L$1172,5,FALSE)</f>
        <v>16.23</v>
      </c>
      <c r="I81" s="441">
        <f t="shared" si="26"/>
        <v>0.20949999999999999</v>
      </c>
      <c r="J81" s="428">
        <f t="shared" si="27"/>
        <v>19.63</v>
      </c>
      <c r="K81" s="472">
        <f t="shared" si="28"/>
        <v>1884.48</v>
      </c>
      <c r="L81" s="574"/>
      <c r="M81" s="695">
        <f t="shared" si="22"/>
        <v>1.768460270088463E-3</v>
      </c>
      <c r="N81" s="477"/>
      <c r="P81" s="575"/>
    </row>
    <row r="82" spans="2:17" ht="13.5" thickBot="1" x14ac:dyDescent="0.25">
      <c r="B82" s="782"/>
      <c r="C82" s="783"/>
      <c r="D82" s="783"/>
      <c r="E82" s="783"/>
      <c r="F82" s="783"/>
      <c r="G82" s="783"/>
      <c r="H82" s="783"/>
      <c r="I82" s="783"/>
      <c r="J82" s="783"/>
      <c r="K82" s="784"/>
      <c r="L82" s="430"/>
      <c r="M82" s="690">
        <f t="shared" si="22"/>
        <v>0</v>
      </c>
    </row>
    <row r="83" spans="2:17" ht="15" customHeight="1" thickBot="1" x14ac:dyDescent="0.25">
      <c r="B83" s="785" t="s">
        <v>1923</v>
      </c>
      <c r="C83" s="786"/>
      <c r="D83" s="786"/>
      <c r="E83" s="786"/>
      <c r="F83" s="786"/>
      <c r="G83" s="786"/>
      <c r="H83" s="786"/>
      <c r="I83" s="786"/>
      <c r="J83" s="786"/>
      <c r="K83" s="787"/>
      <c r="L83" s="451">
        <f>SUM(K65:K82)</f>
        <v>119154.2</v>
      </c>
      <c r="M83" s="690"/>
    </row>
    <row r="84" spans="2:17" ht="15" customHeight="1" thickBot="1" x14ac:dyDescent="0.25">
      <c r="B84" s="452" t="s">
        <v>1771</v>
      </c>
      <c r="C84" s="434"/>
      <c r="D84" s="453"/>
      <c r="E84" s="781" t="s">
        <v>1921</v>
      </c>
      <c r="F84" s="781"/>
      <c r="G84" s="781"/>
      <c r="H84" s="781"/>
      <c r="I84" s="781"/>
      <c r="J84" s="781"/>
      <c r="K84" s="781"/>
      <c r="L84" s="479"/>
      <c r="M84" s="690"/>
    </row>
    <row r="85" spans="2:17" ht="25.5" x14ac:dyDescent="0.2">
      <c r="B85" s="480" t="s">
        <v>1974</v>
      </c>
      <c r="C85" s="483" t="s">
        <v>1898</v>
      </c>
      <c r="D85" s="483" t="s">
        <v>1850</v>
      </c>
      <c r="E85" s="484" t="s">
        <v>1851</v>
      </c>
      <c r="F85" s="485" t="s">
        <v>1658</v>
      </c>
      <c r="G85" s="471">
        <f>27.05+29.2+40.15+113.8</f>
        <v>210.2</v>
      </c>
      <c r="H85" s="486">
        <f>COTAÇÕES!H10</f>
        <v>572.20000000000005</v>
      </c>
      <c r="I85" s="487">
        <v>0.15279999999999999</v>
      </c>
      <c r="J85" s="428">
        <f t="shared" ref="J85:J86" si="32">IFERROR(TRUNC(H85*(1+I85),2),"-")</f>
        <v>659.63</v>
      </c>
      <c r="K85" s="472">
        <f t="shared" ref="K85:K86" si="33">IFERROR(TRUNC(G85*J85,2),"-")</f>
        <v>138654.22</v>
      </c>
      <c r="L85" s="430"/>
      <c r="M85" s="690">
        <f>IFERROR(K85/$L$11,"-")</f>
        <v>0.1301178464882117</v>
      </c>
      <c r="N85" s="318" t="s">
        <v>2128</v>
      </c>
      <c r="P85" s="488"/>
    </row>
    <row r="86" spans="2:17" ht="25.5" x14ac:dyDescent="0.2">
      <c r="B86" s="480" t="s">
        <v>1975</v>
      </c>
      <c r="C86" s="483" t="s">
        <v>1899</v>
      </c>
      <c r="D86" s="483" t="s">
        <v>1850</v>
      </c>
      <c r="E86" s="484" t="s">
        <v>1852</v>
      </c>
      <c r="F86" s="485" t="s">
        <v>1658</v>
      </c>
      <c r="G86" s="471">
        <f>94.5+67.8</f>
        <v>162.30000000000001</v>
      </c>
      <c r="H86" s="486">
        <f>COTAÇÕES!H16</f>
        <v>733.6</v>
      </c>
      <c r="I86" s="487">
        <v>0.15279999999999999</v>
      </c>
      <c r="J86" s="428">
        <f t="shared" si="32"/>
        <v>845.69</v>
      </c>
      <c r="K86" s="472">
        <f t="shared" si="33"/>
        <v>137255.48000000001</v>
      </c>
      <c r="L86" s="430"/>
      <c r="M86" s="690">
        <f>IFERROR(K86/$L$11,"-")</f>
        <v>0.1288052211920114</v>
      </c>
      <c r="N86" s="318" t="s">
        <v>2128</v>
      </c>
      <c r="P86" s="490"/>
      <c r="Q86" s="491"/>
    </row>
    <row r="87" spans="2:17" x14ac:dyDescent="0.2">
      <c r="B87" s="480" t="s">
        <v>1976</v>
      </c>
      <c r="C87" s="489">
        <v>3807862</v>
      </c>
      <c r="D87" s="459" t="s">
        <v>1767</v>
      </c>
      <c r="E87" s="484" t="s">
        <v>1853</v>
      </c>
      <c r="F87" s="470" t="s">
        <v>1765</v>
      </c>
      <c r="G87" s="471">
        <v>592</v>
      </c>
      <c r="H87" s="426">
        <f>VLOOKUP($C87,SICRO!$A$2:$L$1163,5,FALSE)</f>
        <v>4.4800000000000004</v>
      </c>
      <c r="I87" s="441">
        <f t="shared" ref="I87" si="34">IF(G87=0,"-",$I$7)</f>
        <v>0.20949999999999999</v>
      </c>
      <c r="J87" s="550">
        <f t="shared" ref="J87" si="35">IFERROR(TRUNC(H87*(1+I87),2),"-")</f>
        <v>5.41</v>
      </c>
      <c r="K87" s="472">
        <f t="shared" ref="K87" si="36">IFERROR(TRUNC(G87*J87,2),"-")</f>
        <v>3202.72</v>
      </c>
      <c r="L87" s="430"/>
      <c r="M87" s="690">
        <f t="shared" ref="M87:M88" si="37">IFERROR(K87/$L$11,"-")</f>
        <v>3.0055416222075702E-3</v>
      </c>
    </row>
    <row r="88" spans="2:17" ht="13.5" thickBot="1" x14ac:dyDescent="0.25">
      <c r="B88" s="782"/>
      <c r="C88" s="783"/>
      <c r="D88" s="783"/>
      <c r="E88" s="783"/>
      <c r="F88" s="783"/>
      <c r="G88" s="783"/>
      <c r="H88" s="783"/>
      <c r="I88" s="783"/>
      <c r="J88" s="783"/>
      <c r="K88" s="784"/>
      <c r="L88" s="430"/>
      <c r="M88" s="690">
        <f t="shared" si="37"/>
        <v>0</v>
      </c>
    </row>
    <row r="89" spans="2:17" ht="15" customHeight="1" thickBot="1" x14ac:dyDescent="0.25">
      <c r="B89" s="785" t="s">
        <v>1921</v>
      </c>
      <c r="C89" s="786"/>
      <c r="D89" s="786"/>
      <c r="E89" s="786"/>
      <c r="F89" s="786"/>
      <c r="G89" s="786"/>
      <c r="H89" s="786"/>
      <c r="I89" s="786"/>
      <c r="J89" s="786"/>
      <c r="K89" s="787"/>
      <c r="L89" s="451">
        <f>SUM(K85:K88)</f>
        <v>279112.42</v>
      </c>
      <c r="M89" s="690"/>
      <c r="N89" s="492"/>
    </row>
    <row r="90" spans="2:17" ht="15" customHeight="1" thickBot="1" x14ac:dyDescent="0.25">
      <c r="B90" s="452" t="s">
        <v>1860</v>
      </c>
      <c r="C90" s="434"/>
      <c r="D90" s="453"/>
      <c r="E90" s="781" t="s">
        <v>1922</v>
      </c>
      <c r="F90" s="781"/>
      <c r="G90" s="781"/>
      <c r="H90" s="781"/>
      <c r="I90" s="781"/>
      <c r="J90" s="781"/>
      <c r="K90" s="781"/>
      <c r="L90" s="479"/>
      <c r="M90" s="690"/>
      <c r="N90" s="493"/>
      <c r="P90" s="488"/>
    </row>
    <row r="91" spans="2:17" x14ac:dyDescent="0.2">
      <c r="B91" s="480" t="s">
        <v>1977</v>
      </c>
      <c r="C91" s="482">
        <v>407819</v>
      </c>
      <c r="D91" s="422" t="s">
        <v>1767</v>
      </c>
      <c r="E91" s="469" t="s">
        <v>1819</v>
      </c>
      <c r="F91" s="481" t="s">
        <v>1764</v>
      </c>
      <c r="G91" s="471">
        <f>1508.32+744.95+329.23+257.48+222.01+262.89+459.6+22.24</f>
        <v>3806.7199999999993</v>
      </c>
      <c r="H91" s="426">
        <f>VLOOKUP($C91,SICRO!$A$2:$L$1163,5,FALSE)</f>
        <v>12.65</v>
      </c>
      <c r="I91" s="441">
        <f t="shared" ref="I91:I96" si="38">IF(G91=0,"-",$I$7)</f>
        <v>0.20949999999999999</v>
      </c>
      <c r="J91" s="428">
        <f>IFERROR(TRUNC(H91*(1+I91),2),"-")</f>
        <v>15.3</v>
      </c>
      <c r="K91" s="472">
        <f>IFERROR(TRUNC(G91*J91,2),"-")</f>
        <v>58242.81</v>
      </c>
      <c r="L91" s="430"/>
      <c r="M91" s="690">
        <f t="shared" ref="M91:M99" si="39">IFERROR(K91/$L$11,"-")</f>
        <v>5.465703828287434E-2</v>
      </c>
      <c r="N91" s="492"/>
      <c r="P91" s="490"/>
    </row>
    <row r="92" spans="2:17" ht="38.25" x14ac:dyDescent="0.2">
      <c r="B92" s="468" t="s">
        <v>1978</v>
      </c>
      <c r="C92" s="460">
        <v>1527</v>
      </c>
      <c r="D92" s="422" t="s">
        <v>1665</v>
      </c>
      <c r="E92" s="469" t="s">
        <v>1879</v>
      </c>
      <c r="F92" s="481" t="s">
        <v>25</v>
      </c>
      <c r="G92" s="471">
        <f>83.51+40.98+16.63+13.67+11.4+11.54+21.6+0.91</f>
        <v>200.23999999999998</v>
      </c>
      <c r="H92" s="426">
        <f>VLOOKUP($C92,SINAPI!$A$2:$L$1160,5,FALSE)</f>
        <v>504.95</v>
      </c>
      <c r="I92" s="441">
        <f t="shared" ref="I92:I94" si="40">IF(G92=0,"-",$I$7)</f>
        <v>0.20949999999999999</v>
      </c>
      <c r="J92" s="428">
        <f>IFERROR(TRUNC(H92*(1+I92),2),"-")</f>
        <v>610.73</v>
      </c>
      <c r="K92" s="472">
        <f t="shared" ref="K92:K94" si="41">IFERROR(TRUNC(G92*J92,2),"-")</f>
        <v>122292.57</v>
      </c>
      <c r="L92" s="430"/>
      <c r="M92" s="690">
        <f t="shared" si="39"/>
        <v>0.1147635163928576</v>
      </c>
      <c r="N92" s="492"/>
      <c r="P92" s="490"/>
    </row>
    <row r="93" spans="2:17" ht="25.5" x14ac:dyDescent="0.2">
      <c r="B93" s="480" t="s">
        <v>1979</v>
      </c>
      <c r="C93" s="489">
        <v>103673</v>
      </c>
      <c r="D93" s="422" t="s">
        <v>1665</v>
      </c>
      <c r="E93" s="469" t="s">
        <v>1823</v>
      </c>
      <c r="F93" s="481" t="s">
        <v>25</v>
      </c>
      <c r="G93" s="471">
        <f>G92</f>
        <v>200.23999999999998</v>
      </c>
      <c r="H93" s="426">
        <f>VLOOKUP($C93,SINAPI!$A$2:$L$1160,5,FALSE)</f>
        <v>60.26</v>
      </c>
      <c r="I93" s="441">
        <f t="shared" si="40"/>
        <v>0.20949999999999999</v>
      </c>
      <c r="J93" s="428">
        <f t="shared" ref="J93:J94" si="42">IFERROR(TRUNC(H93*(1+I93),2),"-")</f>
        <v>72.88</v>
      </c>
      <c r="K93" s="472">
        <f t="shared" si="41"/>
        <v>14593.49</v>
      </c>
      <c r="L93" s="430"/>
      <c r="M93" s="690">
        <f t="shared" si="39"/>
        <v>1.369502847837774E-2</v>
      </c>
      <c r="N93" s="492"/>
      <c r="P93" s="490"/>
    </row>
    <row r="94" spans="2:17" ht="25.5" x14ac:dyDescent="0.2">
      <c r="B94" s="480" t="s">
        <v>1980</v>
      </c>
      <c r="C94" s="489">
        <v>3108004</v>
      </c>
      <c r="D94" s="422" t="s">
        <v>1767</v>
      </c>
      <c r="E94" s="469" t="s">
        <v>1840</v>
      </c>
      <c r="F94" s="481" t="s">
        <v>1672</v>
      </c>
      <c r="G94" s="471">
        <f>2*((1.05*189.8)+(1.09*98.5)+(0.75*59.4)+(0.9*40.2)+(0.86*35.2)+(0.55*57.7)+(0.6*98.2)+(0.5*5))/2</f>
        <v>510.81200000000007</v>
      </c>
      <c r="H94" s="426">
        <f>VLOOKUP($C94,SICRO!$A$2:$L$1163,5,FALSE)</f>
        <v>98.74</v>
      </c>
      <c r="I94" s="441">
        <f t="shared" si="40"/>
        <v>0.20949999999999999</v>
      </c>
      <c r="J94" s="428">
        <f t="shared" si="42"/>
        <v>119.42</v>
      </c>
      <c r="K94" s="472">
        <f t="shared" si="41"/>
        <v>61001.16</v>
      </c>
      <c r="L94" s="430"/>
      <c r="M94" s="690">
        <f t="shared" si="39"/>
        <v>5.7245567949412865E-2</v>
      </c>
      <c r="N94" s="492"/>
      <c r="P94" s="490"/>
    </row>
    <row r="95" spans="2:17" ht="21" customHeight="1" x14ac:dyDescent="0.2">
      <c r="B95" s="468" t="s">
        <v>1981</v>
      </c>
      <c r="C95" s="489" t="s">
        <v>1892</v>
      </c>
      <c r="D95" s="422" t="s">
        <v>1687</v>
      </c>
      <c r="E95" s="469" t="s">
        <v>1856</v>
      </c>
      <c r="F95" s="481" t="s">
        <v>1672</v>
      </c>
      <c r="G95" s="471">
        <f>0.4*(40.2+113.8+57.7+14.3+45.1+39.8+36.2+10+25.2+5+5.8+5.5+25.7+9.7+36+62.5+38.4+13.4)</f>
        <v>233.72</v>
      </c>
      <c r="H95" s="426">
        <f>VLOOKUP($C95,COMPOSIÇÕES!$A$2:$L$1172,5,FALSE)</f>
        <v>48.54</v>
      </c>
      <c r="I95" s="441">
        <f t="shared" si="38"/>
        <v>0.20949999999999999</v>
      </c>
      <c r="J95" s="428">
        <f t="shared" ref="J95:J96" si="43">IFERROR(TRUNC(H95*(1+I95),2),"-")</f>
        <v>58.7</v>
      </c>
      <c r="K95" s="472">
        <f t="shared" ref="K95:K96" si="44">IFERROR(TRUNC(G95*J95,2),"-")</f>
        <v>13719.36</v>
      </c>
      <c r="L95" s="430"/>
      <c r="M95" s="690">
        <f t="shared" si="39"/>
        <v>1.2874715089064813E-2</v>
      </c>
      <c r="N95" s="477"/>
      <c r="O95" s="490"/>
      <c r="P95" s="490"/>
    </row>
    <row r="96" spans="2:17" ht="25.5" x14ac:dyDescent="0.2">
      <c r="B96" s="480" t="s">
        <v>1982</v>
      </c>
      <c r="C96" s="357" t="s">
        <v>1876</v>
      </c>
      <c r="D96" s="422" t="s">
        <v>1687</v>
      </c>
      <c r="E96" s="469" t="str">
        <f>'AUX COMPOSIÇÕES'!B74</f>
        <v>FURAÇÃO PARA 10,0MM EM CONCRETO ARMADO, INCLUSIVE COLAGEM DE ARMADURA (PARA 8MM) - PROFUNDADE 13 CM</v>
      </c>
      <c r="F96" s="470" t="s">
        <v>1765</v>
      </c>
      <c r="G96" s="471">
        <f>594+402+352+577+982+50</f>
        <v>2957</v>
      </c>
      <c r="H96" s="426">
        <f>VLOOKUP($C96,COMPOSIÇÕES!$A$2:$L$1172,5,FALSE)</f>
        <v>15.980000000000002</v>
      </c>
      <c r="I96" s="441">
        <f t="shared" si="38"/>
        <v>0.20949999999999999</v>
      </c>
      <c r="J96" s="428">
        <f t="shared" si="43"/>
        <v>19.32</v>
      </c>
      <c r="K96" s="472">
        <f t="shared" si="44"/>
        <v>57129.24</v>
      </c>
      <c r="L96" s="430"/>
      <c r="M96" s="690">
        <f t="shared" si="39"/>
        <v>5.3612026235539047E-2</v>
      </c>
      <c r="P96" s="490"/>
    </row>
    <row r="97" spans="2:16" ht="25.5" x14ac:dyDescent="0.2">
      <c r="B97" s="480" t="s">
        <v>1983</v>
      </c>
      <c r="C97" s="380" t="s">
        <v>2028</v>
      </c>
      <c r="D97" s="422" t="s">
        <v>1687</v>
      </c>
      <c r="E97" s="469" t="str">
        <f>'AUX COMPOSIÇÕES'!B86</f>
        <v>FURAÇÃO PARA 10,0MM EM CONCRETO ARMADO, INCLUSIVE COLAGEM DE ARMADURA (PARA 8MM) - PROFUNDADE 15 CM</v>
      </c>
      <c r="F97" s="470" t="s">
        <v>1765</v>
      </c>
      <c r="G97" s="471">
        <v>985</v>
      </c>
      <c r="H97" s="426">
        <f>VLOOKUP($C97,COMPOSIÇÕES!$A$2:$L$1172,5,FALSE)</f>
        <v>18.490000000000006</v>
      </c>
      <c r="I97" s="441">
        <f t="shared" ref="I97:I98" si="45">IF(G97=0,"-",$I$7)</f>
        <v>0.20949999999999999</v>
      </c>
      <c r="J97" s="428">
        <f t="shared" ref="J97:J98" si="46">IFERROR(TRUNC(H97*(1+I97),2),"-")</f>
        <v>22.36</v>
      </c>
      <c r="K97" s="472">
        <f t="shared" ref="K97:K98" si="47">IFERROR(TRUNC(G97*J97,2),"-")</f>
        <v>22024.6</v>
      </c>
      <c r="L97" s="430"/>
      <c r="M97" s="690">
        <f t="shared" si="39"/>
        <v>2.066863541379604E-2</v>
      </c>
      <c r="P97" s="490"/>
    </row>
    <row r="98" spans="2:16" ht="25.5" x14ac:dyDescent="0.2">
      <c r="B98" s="468" t="s">
        <v>1984</v>
      </c>
      <c r="C98" s="380" t="s">
        <v>2026</v>
      </c>
      <c r="D98" s="422" t="s">
        <v>1687</v>
      </c>
      <c r="E98" s="469" t="str">
        <f>'AUX COMPOSIÇÕES'!B98</f>
        <v>FURAÇÃO PARA 10,0MM EM CONCRETO ARMADO, INCLUSIVE COLAGEM DE ARMADURA (PARA 8MM) - PROFUNDADE 18 CM</v>
      </c>
      <c r="F98" s="470" t="s">
        <v>1765</v>
      </c>
      <c r="G98" s="471">
        <v>1898</v>
      </c>
      <c r="H98" s="426">
        <f>VLOOKUP($C98,COMPOSIÇÕES!$A$2:$L$1172,5,FALSE)</f>
        <v>22.240000000000002</v>
      </c>
      <c r="I98" s="441">
        <f t="shared" si="45"/>
        <v>0.20949999999999999</v>
      </c>
      <c r="J98" s="428">
        <f t="shared" si="46"/>
        <v>26.89</v>
      </c>
      <c r="K98" s="472">
        <f t="shared" si="47"/>
        <v>51037.22</v>
      </c>
      <c r="L98" s="430"/>
      <c r="M98" s="690">
        <f t="shared" si="39"/>
        <v>4.7895067002973933E-2</v>
      </c>
      <c r="O98" s="494"/>
      <c r="P98" s="490"/>
    </row>
    <row r="99" spans="2:16" ht="13.5" thickBot="1" x14ac:dyDescent="0.25">
      <c r="B99" s="782"/>
      <c r="C99" s="783"/>
      <c r="D99" s="783"/>
      <c r="E99" s="783"/>
      <c r="F99" s="783"/>
      <c r="G99" s="783"/>
      <c r="H99" s="783"/>
      <c r="I99" s="783"/>
      <c r="J99" s="783"/>
      <c r="K99" s="784"/>
      <c r="L99" s="430"/>
      <c r="M99" s="690">
        <f t="shared" si="39"/>
        <v>0</v>
      </c>
      <c r="O99" s="495"/>
      <c r="P99" s="490"/>
    </row>
    <row r="100" spans="2:16" ht="15" customHeight="1" thickBot="1" x14ac:dyDescent="0.25">
      <c r="B100" s="785" t="s">
        <v>1922</v>
      </c>
      <c r="C100" s="786"/>
      <c r="D100" s="786"/>
      <c r="E100" s="786"/>
      <c r="F100" s="786"/>
      <c r="G100" s="786"/>
      <c r="H100" s="786"/>
      <c r="I100" s="786"/>
      <c r="J100" s="786"/>
      <c r="K100" s="787"/>
      <c r="L100" s="451">
        <f>SUM(K91:K99)</f>
        <v>400040.44999999995</v>
      </c>
      <c r="M100" s="690"/>
      <c r="P100" s="496"/>
    </row>
    <row r="101" spans="2:16" ht="15" customHeight="1" thickBot="1" x14ac:dyDescent="0.25">
      <c r="B101" s="478" t="s">
        <v>1901</v>
      </c>
      <c r="C101" s="541"/>
      <c r="D101" s="577"/>
      <c r="E101" s="856" t="s">
        <v>1836</v>
      </c>
      <c r="F101" s="856"/>
      <c r="G101" s="856"/>
      <c r="H101" s="856"/>
      <c r="I101" s="856"/>
      <c r="J101" s="856"/>
      <c r="K101" s="856"/>
      <c r="L101" s="479"/>
      <c r="M101" s="690"/>
      <c r="O101" s="495"/>
    </row>
    <row r="102" spans="2:16" x14ac:dyDescent="0.2">
      <c r="B102" s="468" t="s">
        <v>1985</v>
      </c>
      <c r="C102" s="460" t="s">
        <v>1807</v>
      </c>
      <c r="D102" s="460" t="s">
        <v>1687</v>
      </c>
      <c r="E102" s="573" t="s">
        <v>1886</v>
      </c>
      <c r="F102" s="470" t="s">
        <v>1672</v>
      </c>
      <c r="G102" s="463">
        <f>600.81+868.05</f>
        <v>1468.86</v>
      </c>
      <c r="H102" s="547">
        <f>VLOOKUP($C102,COMPOSIÇÕES!$A$2:$L$1172,5,FALSE)</f>
        <v>16.23</v>
      </c>
      <c r="I102" s="542">
        <f t="shared" ref="I102" si="48">IF(G102=0,"-",$I$7)</f>
        <v>0.20949999999999999</v>
      </c>
      <c r="J102" s="428">
        <f t="shared" ref="J102" si="49">IFERROR(TRUNC(H102*(1+I102),2),"-")</f>
        <v>19.63</v>
      </c>
      <c r="K102" s="571">
        <f t="shared" ref="K102" si="50">IFERROR(TRUNC(G102*J102,2),"-")</f>
        <v>28833.72</v>
      </c>
      <c r="L102" s="574"/>
      <c r="M102" s="695">
        <f t="shared" ref="M102:M103" si="51">IFERROR(K102/$L$11,"-")</f>
        <v>2.7058545730840933E-2</v>
      </c>
    </row>
    <row r="103" spans="2:16" x14ac:dyDescent="0.2">
      <c r="B103" s="480" t="s">
        <v>1986</v>
      </c>
      <c r="C103" s="489" t="s">
        <v>1808</v>
      </c>
      <c r="D103" s="422" t="s">
        <v>1687</v>
      </c>
      <c r="E103" s="576" t="s">
        <v>1887</v>
      </c>
      <c r="F103" s="551" t="s">
        <v>1672</v>
      </c>
      <c r="G103" s="440">
        <f>293.6+643.36</f>
        <v>936.96</v>
      </c>
      <c r="H103" s="426">
        <f>VLOOKUP($C103,COMPOSIÇÕES!$A$2:$L$1172,5,FALSE)</f>
        <v>0.45</v>
      </c>
      <c r="I103" s="441">
        <f>IF(G103=0,"-",$I$7)</f>
        <v>0.20949999999999999</v>
      </c>
      <c r="J103" s="428">
        <f t="shared" ref="J103" si="52">IFERROR(TRUNC(H103*(1+I103),2),"-")</f>
        <v>0.54</v>
      </c>
      <c r="K103" s="472">
        <f t="shared" ref="K103" si="53">IFERROR(TRUNC(G103*J103,2),"-")</f>
        <v>505.95</v>
      </c>
      <c r="L103" s="430"/>
      <c r="M103" s="690">
        <f t="shared" si="51"/>
        <v>4.7480072680594002E-4</v>
      </c>
    </row>
    <row r="104" spans="2:16" ht="13.5" thickBot="1" x14ac:dyDescent="0.25">
      <c r="B104" s="782"/>
      <c r="C104" s="783"/>
      <c r="D104" s="783"/>
      <c r="E104" s="783"/>
      <c r="F104" s="783"/>
      <c r="G104" s="783"/>
      <c r="H104" s="783"/>
      <c r="I104" s="783"/>
      <c r="J104" s="783"/>
      <c r="K104" s="784"/>
      <c r="L104" s="430"/>
      <c r="M104" s="690">
        <f t="shared" ref="M104" si="54">IFERROR(K104/$L$11,"-")</f>
        <v>0</v>
      </c>
    </row>
    <row r="105" spans="2:16" ht="15" customHeight="1" thickBot="1" x14ac:dyDescent="0.25">
      <c r="B105" s="785" t="s">
        <v>1836</v>
      </c>
      <c r="C105" s="786"/>
      <c r="D105" s="786"/>
      <c r="E105" s="786"/>
      <c r="F105" s="786"/>
      <c r="G105" s="786"/>
      <c r="H105" s="786"/>
      <c r="I105" s="786"/>
      <c r="J105" s="786"/>
      <c r="K105" s="787"/>
      <c r="L105" s="451">
        <f>SUM(K102:K104)</f>
        <v>29339.670000000002</v>
      </c>
      <c r="M105" s="691"/>
      <c r="N105" s="492"/>
    </row>
    <row r="106" spans="2:16" ht="15" customHeight="1" thickBot="1" x14ac:dyDescent="0.25">
      <c r="B106" s="452" t="s">
        <v>2072</v>
      </c>
      <c r="C106" s="434"/>
      <c r="D106" s="453"/>
      <c r="E106" s="781" t="s">
        <v>2073</v>
      </c>
      <c r="F106" s="781"/>
      <c r="G106" s="781"/>
      <c r="H106" s="781"/>
      <c r="I106" s="781"/>
      <c r="J106" s="781"/>
      <c r="K106" s="781"/>
      <c r="L106" s="479"/>
      <c r="M106" s="690"/>
      <c r="O106" s="495"/>
    </row>
    <row r="107" spans="2:16" ht="17.25" customHeight="1" x14ac:dyDescent="0.2">
      <c r="B107" s="578" t="s">
        <v>2084</v>
      </c>
      <c r="C107" s="422" t="s">
        <v>2098</v>
      </c>
      <c r="D107" s="422" t="s">
        <v>1687</v>
      </c>
      <c r="E107" s="353" t="s">
        <v>2102</v>
      </c>
      <c r="F107" s="481" t="s">
        <v>1765</v>
      </c>
      <c r="G107" s="425">
        <v>1</v>
      </c>
      <c r="H107" s="426">
        <f>VLOOKUP($C107,COMPOSIÇÕES!$A$2:$L$1172,5,FALSE)</f>
        <v>12954.649999999998</v>
      </c>
      <c r="I107" s="441">
        <f t="shared" ref="I107" si="55">IF(G107=0,"-",$I$7)</f>
        <v>0.20949999999999999</v>
      </c>
      <c r="J107" s="476">
        <f t="shared" ref="J107" si="56">IFERROR(TRUNC(H107*(1+I107),2),"-")</f>
        <v>15668.64</v>
      </c>
      <c r="K107" s="472">
        <f t="shared" ref="K107" si="57">IFERROR(TRUNC(G107*J107,2),"-")</f>
        <v>15668.64</v>
      </c>
      <c r="L107" s="574"/>
      <c r="M107" s="695">
        <f t="shared" ref="M107:M108" si="58">IFERROR(K107/$L$11,"-")</f>
        <v>1.4703985888053413E-2</v>
      </c>
    </row>
    <row r="108" spans="2:16" ht="13.5" thickBot="1" x14ac:dyDescent="0.25">
      <c r="B108" s="782"/>
      <c r="C108" s="783"/>
      <c r="D108" s="783"/>
      <c r="E108" s="783"/>
      <c r="F108" s="783"/>
      <c r="G108" s="783"/>
      <c r="H108" s="783"/>
      <c r="I108" s="783"/>
      <c r="J108" s="783"/>
      <c r="K108" s="784"/>
      <c r="L108" s="430"/>
      <c r="M108" s="690">
        <f t="shared" si="58"/>
        <v>0</v>
      </c>
    </row>
    <row r="109" spans="2:16" ht="15" customHeight="1" thickBot="1" x14ac:dyDescent="0.25">
      <c r="B109" s="785" t="s">
        <v>2073</v>
      </c>
      <c r="C109" s="786"/>
      <c r="D109" s="786"/>
      <c r="E109" s="786"/>
      <c r="F109" s="786"/>
      <c r="G109" s="786"/>
      <c r="H109" s="786"/>
      <c r="I109" s="786"/>
      <c r="J109" s="786"/>
      <c r="K109" s="787"/>
      <c r="L109" s="451">
        <f>SUM(K107:K108)</f>
        <v>15668.64</v>
      </c>
      <c r="M109" s="691"/>
      <c r="N109" s="492"/>
    </row>
    <row r="110" spans="2:16" ht="13.5" thickBot="1" x14ac:dyDescent="0.25">
      <c r="B110" s="497"/>
      <c r="C110" s="498"/>
      <c r="D110" s="498"/>
      <c r="E110" s="499"/>
      <c r="F110" s="500"/>
      <c r="G110" s="406"/>
      <c r="H110" s="793" t="s">
        <v>23</v>
      </c>
      <c r="I110" s="793"/>
      <c r="J110" s="793"/>
      <c r="K110" s="794"/>
      <c r="L110" s="501">
        <f>SUM(L15:L109)</f>
        <v>1065604.9399999997</v>
      </c>
      <c r="M110" s="696">
        <f>SUM(M13:M108)</f>
        <v>1.0000000000000004</v>
      </c>
    </row>
    <row r="111" spans="2:16" ht="18.75" customHeight="1" x14ac:dyDescent="0.2">
      <c r="B111" s="790" t="s">
        <v>1</v>
      </c>
      <c r="C111" s="791"/>
      <c r="D111" s="791"/>
      <c r="E111" s="791"/>
      <c r="F111" s="791"/>
      <c r="G111" s="791"/>
      <c r="H111" s="791"/>
      <c r="I111" s="791"/>
      <c r="J111" s="791"/>
      <c r="K111" s="791"/>
      <c r="L111" s="502"/>
      <c r="M111" s="503"/>
    </row>
    <row r="112" spans="2:16" ht="15" customHeight="1" x14ac:dyDescent="0.2">
      <c r="B112" s="795" t="s">
        <v>1859</v>
      </c>
      <c r="C112" s="796"/>
      <c r="D112" s="796"/>
      <c r="E112" s="796"/>
      <c r="F112" s="796"/>
      <c r="G112" s="796"/>
      <c r="H112" s="796"/>
      <c r="I112" s="796"/>
      <c r="J112" s="796"/>
      <c r="K112" s="796"/>
      <c r="L112" s="504"/>
      <c r="M112" s="503"/>
      <c r="N112" s="505"/>
    </row>
    <row r="113" spans="1:15" ht="17.25" customHeight="1" thickBot="1" x14ac:dyDescent="0.25">
      <c r="B113" s="815" t="s">
        <v>2246</v>
      </c>
      <c r="C113" s="816"/>
      <c r="D113" s="816"/>
      <c r="E113" s="816"/>
      <c r="F113" s="816"/>
      <c r="G113" s="816"/>
      <c r="H113" s="816"/>
      <c r="I113" s="816"/>
      <c r="J113" s="816"/>
      <c r="K113" s="816"/>
      <c r="L113" s="817"/>
      <c r="M113" s="771"/>
    </row>
    <row r="114" spans="1:15" ht="23.25" customHeight="1" thickBot="1" x14ac:dyDescent="0.25">
      <c r="B114" s="797" t="s">
        <v>2</v>
      </c>
      <c r="C114" s="798"/>
      <c r="D114" s="798"/>
      <c r="E114" s="798"/>
      <c r="F114" s="798"/>
      <c r="G114" s="798"/>
      <c r="H114" s="798"/>
      <c r="I114" s="798"/>
      <c r="J114" s="798"/>
      <c r="K114" s="798"/>
      <c r="L114" s="698">
        <f>SUM(K14:K108)</f>
        <v>1065604.94</v>
      </c>
      <c r="N114" s="492"/>
    </row>
    <row r="115" spans="1:15" ht="16.5" customHeight="1" x14ac:dyDescent="0.2">
      <c r="B115" s="790" t="s">
        <v>2135</v>
      </c>
      <c r="C115" s="791"/>
      <c r="D115" s="791"/>
      <c r="E115" s="792"/>
      <c r="F115" s="811" t="s">
        <v>3</v>
      </c>
      <c r="G115" s="791"/>
      <c r="H115" s="792"/>
      <c r="I115" s="808" t="s">
        <v>4</v>
      </c>
      <c r="J115" s="809"/>
      <c r="K115" s="809"/>
      <c r="L115" s="810"/>
    </row>
    <row r="116" spans="1:15" ht="11.25" customHeight="1" x14ac:dyDescent="0.2">
      <c r="B116" s="799"/>
      <c r="C116" s="800"/>
      <c r="D116" s="800"/>
      <c r="E116" s="801"/>
      <c r="F116" s="507"/>
      <c r="G116" s="508"/>
      <c r="H116" s="509"/>
      <c r="I116" s="510"/>
      <c r="J116" s="511"/>
      <c r="K116" s="511"/>
      <c r="L116" s="512"/>
    </row>
    <row r="117" spans="1:15" ht="8.25" customHeight="1" x14ac:dyDescent="0.2">
      <c r="B117" s="799"/>
      <c r="C117" s="800"/>
      <c r="D117" s="800"/>
      <c r="E117" s="801"/>
      <c r="F117" s="507"/>
      <c r="G117" s="508"/>
      <c r="H117" s="509"/>
      <c r="I117" s="510"/>
      <c r="J117" s="511"/>
      <c r="K117" s="511"/>
      <c r="L117" s="512"/>
    </row>
    <row r="118" spans="1:15" ht="15" hidden="1" customHeight="1" x14ac:dyDescent="0.2">
      <c r="B118" s="799"/>
      <c r="C118" s="800"/>
      <c r="D118" s="800"/>
      <c r="E118" s="801"/>
      <c r="F118" s="552"/>
      <c r="G118" s="553"/>
      <c r="H118" s="554"/>
      <c r="I118" s="555"/>
      <c r="J118" s="556"/>
      <c r="K118" s="556"/>
      <c r="L118" s="512"/>
    </row>
    <row r="119" spans="1:15" ht="13.5" thickBot="1" x14ac:dyDescent="0.25">
      <c r="B119" s="802"/>
      <c r="C119" s="803"/>
      <c r="D119" s="803"/>
      <c r="E119" s="804"/>
      <c r="F119" s="513"/>
      <c r="G119" s="514"/>
      <c r="H119" s="515"/>
      <c r="I119" s="516"/>
      <c r="J119" s="517"/>
      <c r="K119" s="517"/>
      <c r="L119" s="518"/>
      <c r="N119" s="519"/>
      <c r="O119" s="520"/>
    </row>
    <row r="120" spans="1:15" x14ac:dyDescent="0.2">
      <c r="B120" s="386"/>
      <c r="C120" s="386"/>
      <c r="D120" s="386"/>
      <c r="E120" s="386"/>
      <c r="F120" s="386"/>
      <c r="H120" s="521"/>
      <c r="I120" s="386"/>
      <c r="J120" s="521"/>
      <c r="K120" s="521"/>
    </row>
    <row r="121" spans="1:15" x14ac:dyDescent="0.2">
      <c r="B121" s="312"/>
      <c r="C121" s="312"/>
      <c r="D121" s="788"/>
      <c r="E121" s="788"/>
      <c r="F121" s="312"/>
      <c r="G121" s="522"/>
      <c r="H121" s="523"/>
      <c r="I121" s="789"/>
      <c r="J121" s="789"/>
      <c r="K121" s="789"/>
      <c r="L121" s="524"/>
    </row>
    <row r="122" spans="1:15" s="524" customFormat="1" x14ac:dyDescent="0.2">
      <c r="A122" s="312"/>
      <c r="B122" s="312"/>
      <c r="C122" s="312"/>
      <c r="D122" s="788"/>
      <c r="E122" s="788"/>
      <c r="F122" s="312"/>
      <c r="G122" s="522"/>
      <c r="H122" s="523"/>
      <c r="I122" s="789"/>
      <c r="J122" s="789"/>
      <c r="K122" s="789"/>
      <c r="M122" s="525"/>
      <c r="N122" s="378"/>
    </row>
    <row r="123" spans="1:15" s="524" customFormat="1" ht="13.5" customHeight="1" x14ac:dyDescent="0.2">
      <c r="A123" s="312"/>
      <c r="B123" s="312"/>
      <c r="C123" s="312"/>
      <c r="D123" s="788"/>
      <c r="E123" s="788"/>
      <c r="F123" s="312"/>
      <c r="G123" s="522"/>
      <c r="H123" s="523"/>
      <c r="I123" s="789"/>
      <c r="J123" s="789"/>
      <c r="K123" s="789"/>
      <c r="M123" s="525"/>
      <c r="N123" s="378"/>
    </row>
    <row r="124" spans="1:15" s="524" customFormat="1" x14ac:dyDescent="0.2">
      <c r="A124" s="312"/>
      <c r="B124" s="312"/>
      <c r="C124" s="312"/>
      <c r="D124" s="788"/>
      <c r="E124" s="788"/>
      <c r="F124" s="312"/>
      <c r="G124" s="522"/>
      <c r="H124" s="523"/>
      <c r="I124" s="789"/>
      <c r="J124" s="789"/>
      <c r="K124" s="789"/>
      <c r="M124" s="525"/>
      <c r="N124" s="378"/>
    </row>
    <row r="125" spans="1:15" s="524" customFormat="1" x14ac:dyDescent="0.2">
      <c r="A125" s="312"/>
      <c r="B125" s="312"/>
      <c r="C125" s="312"/>
      <c r="D125" s="788"/>
      <c r="E125" s="788"/>
      <c r="F125" s="312"/>
      <c r="G125" s="522"/>
      <c r="H125" s="523"/>
      <c r="I125" s="789"/>
      <c r="J125" s="789"/>
      <c r="K125" s="789"/>
      <c r="M125" s="525"/>
      <c r="N125" s="378"/>
    </row>
    <row r="126" spans="1:15" s="524" customFormat="1" x14ac:dyDescent="0.2">
      <c r="A126" s="312"/>
      <c r="B126" s="312"/>
      <c r="C126" s="312"/>
      <c r="D126" s="788"/>
      <c r="E126" s="788"/>
      <c r="F126" s="312"/>
      <c r="G126" s="522"/>
      <c r="H126" s="523"/>
      <c r="I126" s="789"/>
      <c r="J126" s="789"/>
      <c r="K126" s="789"/>
      <c r="M126" s="525"/>
      <c r="N126" s="378"/>
    </row>
    <row r="127" spans="1:15" s="524" customFormat="1" x14ac:dyDescent="0.2">
      <c r="A127" s="312"/>
      <c r="B127" s="312"/>
      <c r="C127" s="312"/>
      <c r="D127" s="312"/>
      <c r="E127" s="313"/>
      <c r="F127" s="312"/>
      <c r="G127" s="522"/>
      <c r="H127" s="523"/>
      <c r="I127" s="526"/>
      <c r="J127" s="523"/>
      <c r="K127" s="523"/>
      <c r="M127" s="525"/>
      <c r="N127" s="378"/>
    </row>
  </sheetData>
  <sheetProtection selectLockedCells="1" selectUnlockedCells="1"/>
  <autoFilter ref="B12:L115" xr:uid="{00000000-0001-0000-0000-000000000000}"/>
  <mergeCells count="70">
    <mergeCell ref="K8:L8"/>
    <mergeCell ref="B54:K54"/>
    <mergeCell ref="B45:K45"/>
    <mergeCell ref="E101:K101"/>
    <mergeCell ref="B105:K105"/>
    <mergeCell ref="B62:K62"/>
    <mergeCell ref="B100:K100"/>
    <mergeCell ref="B89:K89"/>
    <mergeCell ref="E46:K46"/>
    <mergeCell ref="B99:K99"/>
    <mergeCell ref="B104:K104"/>
    <mergeCell ref="B88:K88"/>
    <mergeCell ref="E84:K84"/>
    <mergeCell ref="E64:K64"/>
    <mergeCell ref="E55:K55"/>
    <mergeCell ref="B83:K83"/>
    <mergeCell ref="B2:L2"/>
    <mergeCell ref="K5:L5"/>
    <mergeCell ref="B8:D8"/>
    <mergeCell ref="E13:K13"/>
    <mergeCell ref="F5:H5"/>
    <mergeCell ref="F6:H6"/>
    <mergeCell ref="B6:D6"/>
    <mergeCell ref="B4:L4"/>
    <mergeCell ref="B3:L3"/>
    <mergeCell ref="B9:L9"/>
    <mergeCell ref="F7:H7"/>
    <mergeCell ref="B7:D7"/>
    <mergeCell ref="B10:L10"/>
    <mergeCell ref="K6:L7"/>
    <mergeCell ref="B5:D5"/>
    <mergeCell ref="F8:J8"/>
    <mergeCell ref="B63:K63"/>
    <mergeCell ref="E90:K90"/>
    <mergeCell ref="E33:K33"/>
    <mergeCell ref="E17:K17"/>
    <mergeCell ref="B25:K25"/>
    <mergeCell ref="E26:K26"/>
    <mergeCell ref="B32:K32"/>
    <mergeCell ref="D126:E126"/>
    <mergeCell ref="I123:K123"/>
    <mergeCell ref="I124:K124"/>
    <mergeCell ref="I125:K125"/>
    <mergeCell ref="I126:K126"/>
    <mergeCell ref="D124:E124"/>
    <mergeCell ref="D125:E125"/>
    <mergeCell ref="D123:E123"/>
    <mergeCell ref="D122:E122"/>
    <mergeCell ref="I122:K122"/>
    <mergeCell ref="B15:K15"/>
    <mergeCell ref="B111:K111"/>
    <mergeCell ref="B112:K112"/>
    <mergeCell ref="B114:K114"/>
    <mergeCell ref="B116:E119"/>
    <mergeCell ref="B82:K82"/>
    <mergeCell ref="B53:K53"/>
    <mergeCell ref="B44:K44"/>
    <mergeCell ref="B31:K31"/>
    <mergeCell ref="B24:K24"/>
    <mergeCell ref="I115:L115"/>
    <mergeCell ref="F115:H115"/>
    <mergeCell ref="B16:K16"/>
    <mergeCell ref="B113:L113"/>
    <mergeCell ref="E106:K106"/>
    <mergeCell ref="B108:K108"/>
    <mergeCell ref="B109:K109"/>
    <mergeCell ref="D121:E121"/>
    <mergeCell ref="I121:K121"/>
    <mergeCell ref="B115:E115"/>
    <mergeCell ref="H110:K110"/>
  </mergeCells>
  <phoneticPr fontId="16" type="noConversion"/>
  <pageMargins left="0.25" right="0.25" top="0.75" bottom="0.75" header="0.3" footer="0.3"/>
  <pageSetup paperSize="9" scale="44" fitToHeight="0" orientation="portrait" r:id="rId1"/>
  <headerFooter alignWithMargins="0"/>
  <rowBreaks count="1" manualBreakCount="1">
    <brk id="83" min="1" max="11" man="1"/>
  </rowBreaks>
  <colBreaks count="1" manualBreakCount="1">
    <brk id="12" max="124" man="1"/>
  </colBreaks>
  <ignoredErrors>
    <ignoredError sqref="H72" formula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D98CF7-FB20-4A88-8FCB-73C787A110B7}">
  <sheetPr>
    <pageSetUpPr fitToPage="1"/>
  </sheetPr>
  <dimension ref="A1:Q126"/>
  <sheetViews>
    <sheetView showGridLines="0" view="pageBreakPreview" topLeftCell="A97" zoomScaleNormal="100" zoomScaleSheetLayoutView="100" workbookViewId="0">
      <selection activeCell="K21" sqref="K21"/>
    </sheetView>
  </sheetViews>
  <sheetFormatPr defaultColWidth="11.42578125" defaultRowHeight="12.75" x14ac:dyDescent="0.2"/>
  <cols>
    <col min="1" max="1" width="4.5703125" style="381" customWidth="1"/>
    <col min="2" max="3" width="13.42578125" style="381" customWidth="1"/>
    <col min="4" max="4" width="15.5703125" style="381" bestFit="1" customWidth="1"/>
    <col min="5" max="5" width="86" style="382" customWidth="1"/>
    <col min="6" max="6" width="8.85546875" style="381" customWidth="1"/>
    <col min="7" max="7" width="14.85546875" style="383" bestFit="1" customWidth="1"/>
    <col min="8" max="8" width="14.5703125" style="384" bestFit="1" customWidth="1"/>
    <col min="9" max="9" width="11" style="385" customWidth="1"/>
    <col min="10" max="10" width="18" style="384" bestFit="1" customWidth="1"/>
    <col min="11" max="11" width="15.7109375" style="384" bestFit="1" customWidth="1"/>
    <col min="12" max="12" width="18.28515625" style="386" customWidth="1"/>
    <col min="13" max="13" width="16.5703125" style="387" bestFit="1" customWidth="1"/>
    <col min="14" max="14" width="12.85546875" style="318" bestFit="1" customWidth="1"/>
    <col min="15" max="15" width="19.5703125" style="386" customWidth="1"/>
    <col min="16" max="16" width="13" style="386" customWidth="1"/>
    <col min="17" max="17" width="18.42578125" style="386" customWidth="1"/>
    <col min="18" max="16384" width="11.42578125" style="386"/>
  </cols>
  <sheetData>
    <row r="1" spans="1:17" ht="13.5" thickBot="1" x14ac:dyDescent="0.25"/>
    <row r="2" spans="1:17" ht="21.75" customHeight="1" x14ac:dyDescent="0.2">
      <c r="B2" s="818" t="s">
        <v>12</v>
      </c>
      <c r="C2" s="819"/>
      <c r="D2" s="819"/>
      <c r="E2" s="819"/>
      <c r="F2" s="819"/>
      <c r="G2" s="819"/>
      <c r="H2" s="819"/>
      <c r="I2" s="819"/>
      <c r="J2" s="819"/>
      <c r="K2" s="819"/>
      <c r="L2" s="820"/>
      <c r="M2" s="386"/>
      <c r="N2" s="386"/>
    </row>
    <row r="3" spans="1:17" ht="16.5" customHeight="1" x14ac:dyDescent="0.2">
      <c r="B3" s="839" t="s">
        <v>13</v>
      </c>
      <c r="C3" s="840"/>
      <c r="D3" s="840"/>
      <c r="E3" s="840"/>
      <c r="F3" s="840"/>
      <c r="G3" s="840"/>
      <c r="H3" s="840"/>
      <c r="I3" s="840"/>
      <c r="J3" s="840"/>
      <c r="K3" s="840"/>
      <c r="L3" s="841"/>
      <c r="M3" s="386"/>
      <c r="N3" s="386"/>
    </row>
    <row r="4" spans="1:17" ht="23.25" customHeight="1" thickBot="1" x14ac:dyDescent="0.25">
      <c r="B4" s="836" t="s">
        <v>15</v>
      </c>
      <c r="C4" s="837"/>
      <c r="D4" s="837"/>
      <c r="E4" s="837"/>
      <c r="F4" s="837"/>
      <c r="G4" s="837"/>
      <c r="H4" s="837"/>
      <c r="I4" s="837"/>
      <c r="J4" s="837"/>
      <c r="K4" s="837"/>
      <c r="L4" s="838"/>
      <c r="M4" s="386"/>
      <c r="N4" s="386"/>
    </row>
    <row r="5" spans="1:17" ht="27" customHeight="1" x14ac:dyDescent="0.2">
      <c r="B5" s="849" t="s">
        <v>1902</v>
      </c>
      <c r="C5" s="850"/>
      <c r="D5" s="851"/>
      <c r="E5" s="388">
        <v>46245</v>
      </c>
      <c r="F5" s="827" t="s">
        <v>1317</v>
      </c>
      <c r="G5" s="828"/>
      <c r="H5" s="829"/>
      <c r="I5" s="389">
        <f>'DADOS GERAIS'!C13</f>
        <v>0</v>
      </c>
      <c r="J5" s="390"/>
      <c r="K5" s="821" t="s">
        <v>1318</v>
      </c>
      <c r="L5" s="822"/>
      <c r="M5" s="386"/>
      <c r="N5" s="386"/>
    </row>
    <row r="6" spans="1:17" ht="27" customHeight="1" x14ac:dyDescent="0.2">
      <c r="B6" s="833" t="s">
        <v>1314</v>
      </c>
      <c r="C6" s="834"/>
      <c r="D6" s="835"/>
      <c r="E6" s="391" t="s">
        <v>1897</v>
      </c>
      <c r="F6" s="830" t="s">
        <v>5</v>
      </c>
      <c r="G6" s="831"/>
      <c r="H6" s="832"/>
      <c r="I6" s="392">
        <f>'DADOS GERAIS'!C14</f>
        <v>0</v>
      </c>
      <c r="J6" s="393"/>
      <c r="K6" s="845" t="s">
        <v>2237</v>
      </c>
      <c r="L6" s="846"/>
      <c r="M6" s="386"/>
      <c r="N6" s="386"/>
    </row>
    <row r="7" spans="1:17" ht="25.5" customHeight="1" x14ac:dyDescent="0.2">
      <c r="B7" s="833" t="s">
        <v>1315</v>
      </c>
      <c r="C7" s="834"/>
      <c r="D7" s="835"/>
      <c r="E7" s="391" t="str">
        <f>'DADOS GERAIS'!C12</f>
        <v>Rua Vila Guaíra / altura das ruas Chanceler Lauro Müller e Antônio Parolin Júnior</v>
      </c>
      <c r="F7" s="830" t="s">
        <v>1316</v>
      </c>
      <c r="G7" s="831"/>
      <c r="H7" s="832"/>
      <c r="I7" s="394">
        <f>'DADOS GERAIS'!C16</f>
        <v>0.24440000000000001</v>
      </c>
      <c r="J7" s="395"/>
      <c r="K7" s="847"/>
      <c r="L7" s="848"/>
      <c r="M7" s="386"/>
      <c r="N7" s="386"/>
    </row>
    <row r="8" spans="1:17" ht="30" customHeight="1" thickBot="1" x14ac:dyDescent="0.25">
      <c r="B8" s="823" t="s">
        <v>24</v>
      </c>
      <c r="C8" s="824"/>
      <c r="D8" s="825"/>
      <c r="E8" s="396">
        <f>'DADOS GERAIS'!C21</f>
        <v>5385</v>
      </c>
      <c r="F8" s="852" t="s">
        <v>1903</v>
      </c>
      <c r="G8" s="853"/>
      <c r="H8" s="853"/>
      <c r="I8" s="853"/>
      <c r="J8" s="853"/>
      <c r="K8" s="854">
        <f>'DADOS GERAIS'!C10</f>
        <v>46266</v>
      </c>
      <c r="L8" s="855"/>
      <c r="M8" s="386"/>
      <c r="N8" s="386"/>
    </row>
    <row r="9" spans="1:17" ht="22.5" customHeight="1" x14ac:dyDescent="0.2">
      <c r="B9" s="839" t="str">
        <f>CONCATENATE("OBRA : ",'DADOS GERAIS'!C22)</f>
        <v>OBRA : PASSARELAS VILA GUAÍRA</v>
      </c>
      <c r="C9" s="840"/>
      <c r="D9" s="840"/>
      <c r="E9" s="840"/>
      <c r="F9" s="840"/>
      <c r="G9" s="840"/>
      <c r="H9" s="840"/>
      <c r="I9" s="840"/>
      <c r="J9" s="840"/>
      <c r="K9" s="840"/>
      <c r="L9" s="841"/>
      <c r="M9" s="398"/>
      <c r="N9" s="399"/>
      <c r="O9" s="398"/>
      <c r="P9" s="399"/>
    </row>
    <row r="10" spans="1:17" s="387" customFormat="1" ht="18" customHeight="1" thickBot="1" x14ac:dyDescent="0.25">
      <c r="A10" s="400"/>
      <c r="B10" s="842" t="s">
        <v>1996</v>
      </c>
      <c r="C10" s="843"/>
      <c r="D10" s="843"/>
      <c r="E10" s="843"/>
      <c r="F10" s="843"/>
      <c r="G10" s="843"/>
      <c r="H10" s="843"/>
      <c r="I10" s="843"/>
      <c r="J10" s="843"/>
      <c r="K10" s="843"/>
      <c r="L10" s="844"/>
      <c r="M10" s="401"/>
      <c r="N10" s="398"/>
      <c r="O10" s="401"/>
      <c r="P10" s="398"/>
      <c r="Q10" s="402"/>
    </row>
    <row r="11" spans="1:17" s="387" customFormat="1" ht="18" customHeight="1" thickBot="1" x14ac:dyDescent="0.25">
      <c r="A11" s="400"/>
      <c r="B11" s="403"/>
      <c r="C11" s="403"/>
      <c r="D11" s="404"/>
      <c r="E11" s="405"/>
      <c r="F11" s="405"/>
      <c r="G11" s="406"/>
      <c r="H11" s="407"/>
      <c r="I11" s="405"/>
      <c r="J11" s="407"/>
      <c r="K11" s="408" t="s">
        <v>0</v>
      </c>
      <c r="L11" s="409">
        <f>L110</f>
        <v>1075844.6700000002</v>
      </c>
      <c r="M11" s="398"/>
      <c r="N11" s="398"/>
      <c r="O11" s="398"/>
      <c r="P11" s="398"/>
    </row>
    <row r="12" spans="1:17" s="387" customFormat="1" ht="18" customHeight="1" thickBot="1" x14ac:dyDescent="0.25">
      <c r="A12" s="400"/>
      <c r="B12" s="410" t="s">
        <v>6</v>
      </c>
      <c r="C12" s="410" t="s">
        <v>28</v>
      </c>
      <c r="D12" s="411" t="s">
        <v>1688</v>
      </c>
      <c r="E12" s="412" t="s">
        <v>7</v>
      </c>
      <c r="F12" s="412" t="s">
        <v>8</v>
      </c>
      <c r="G12" s="413" t="s">
        <v>9</v>
      </c>
      <c r="H12" s="414" t="s">
        <v>1997</v>
      </c>
      <c r="I12" s="415" t="s">
        <v>31</v>
      </c>
      <c r="J12" s="414" t="s">
        <v>1998</v>
      </c>
      <c r="K12" s="414" t="s">
        <v>1999</v>
      </c>
      <c r="L12" s="416" t="s">
        <v>10</v>
      </c>
      <c r="M12" s="688" t="s">
        <v>1319</v>
      </c>
      <c r="N12" s="397"/>
      <c r="O12" s="398"/>
      <c r="P12" s="398"/>
    </row>
    <row r="13" spans="1:17" ht="15" customHeight="1" thickBot="1" x14ac:dyDescent="0.25">
      <c r="B13" s="417" t="s">
        <v>16</v>
      </c>
      <c r="C13" s="418"/>
      <c r="D13" s="418"/>
      <c r="E13" s="826" t="s">
        <v>60</v>
      </c>
      <c r="F13" s="826"/>
      <c r="G13" s="826"/>
      <c r="H13" s="826"/>
      <c r="I13" s="826"/>
      <c r="J13" s="826"/>
      <c r="K13" s="826"/>
      <c r="L13" s="419"/>
      <c r="M13" s="689"/>
      <c r="N13" s="397"/>
      <c r="O13" s="398"/>
      <c r="P13" s="399"/>
    </row>
    <row r="14" spans="1:17" ht="22.5" customHeight="1" x14ac:dyDescent="0.2">
      <c r="B14" s="420" t="s">
        <v>1924</v>
      </c>
      <c r="C14" s="421" t="s">
        <v>186</v>
      </c>
      <c r="D14" s="422" t="s">
        <v>1687</v>
      </c>
      <c r="E14" s="423" t="s">
        <v>1385</v>
      </c>
      <c r="F14" s="424" t="s">
        <v>1600</v>
      </c>
      <c r="G14" s="425">
        <v>1</v>
      </c>
      <c r="H14" s="426">
        <f>VLOOKUP($C14,COMPOSIÇÕES!$A$2:$L$1172,6,FALSE)</f>
        <v>90783.25</v>
      </c>
      <c r="I14" s="427">
        <f>$I$7</f>
        <v>0.24440000000000001</v>
      </c>
      <c r="J14" s="428">
        <f>TRUNC(H14*(1+I14),2)</f>
        <v>112970.67</v>
      </c>
      <c r="K14" s="429">
        <f>IFERROR(TRUNC(G14*J14,2),"-")</f>
        <v>112970.67</v>
      </c>
      <c r="L14" s="430"/>
      <c r="M14" s="690">
        <f>IFERROR(K14/$L$11,"-")</f>
        <v>0.10500648760011051</v>
      </c>
      <c r="N14" s="397"/>
      <c r="O14" s="398"/>
      <c r="P14" s="399"/>
    </row>
    <row r="15" spans="1:17" ht="13.5" thickBot="1" x14ac:dyDescent="0.25">
      <c r="B15" s="782"/>
      <c r="C15" s="783"/>
      <c r="D15" s="783"/>
      <c r="E15" s="783"/>
      <c r="F15" s="783"/>
      <c r="G15" s="783"/>
      <c r="H15" s="783"/>
      <c r="I15" s="783"/>
      <c r="J15" s="783"/>
      <c r="K15" s="784"/>
      <c r="L15" s="431"/>
      <c r="M15" s="690"/>
      <c r="N15" s="397"/>
      <c r="O15" s="398"/>
      <c r="P15" s="399"/>
    </row>
    <row r="16" spans="1:17" ht="15" customHeight="1" thickBot="1" x14ac:dyDescent="0.25">
      <c r="B16" s="812" t="str">
        <f>E13</f>
        <v>ADMINISTRAÇÃO LOCAL DA OBRA</v>
      </c>
      <c r="C16" s="813"/>
      <c r="D16" s="813"/>
      <c r="E16" s="813"/>
      <c r="F16" s="813"/>
      <c r="G16" s="813"/>
      <c r="H16" s="813"/>
      <c r="I16" s="813"/>
      <c r="J16" s="813"/>
      <c r="K16" s="814"/>
      <c r="L16" s="432">
        <f>SUM(K14:K14)</f>
        <v>112970.67</v>
      </c>
      <c r="M16" s="691"/>
      <c r="O16" s="399"/>
      <c r="P16" s="399"/>
    </row>
    <row r="17" spans="1:16" ht="15" customHeight="1" thickBot="1" x14ac:dyDescent="0.25">
      <c r="B17" s="433" t="s">
        <v>19</v>
      </c>
      <c r="C17" s="434"/>
      <c r="D17" s="434"/>
      <c r="E17" s="781" t="s">
        <v>1693</v>
      </c>
      <c r="F17" s="781"/>
      <c r="G17" s="781"/>
      <c r="H17" s="781"/>
      <c r="I17" s="781"/>
      <c r="J17" s="781"/>
      <c r="K17" s="781"/>
      <c r="L17" s="435"/>
      <c r="M17" s="690"/>
      <c r="O17" s="399"/>
      <c r="P17" s="399"/>
    </row>
    <row r="18" spans="1:16" s="536" customFormat="1" ht="38.25" x14ac:dyDescent="0.2">
      <c r="A18" s="527"/>
      <c r="B18" s="436" t="s">
        <v>1925</v>
      </c>
      <c r="C18" s="528">
        <v>103689</v>
      </c>
      <c r="D18" s="438" t="s">
        <v>1665</v>
      </c>
      <c r="E18" s="529" t="s">
        <v>1656</v>
      </c>
      <c r="F18" s="530" t="s">
        <v>1672</v>
      </c>
      <c r="G18" s="531">
        <v>12</v>
      </c>
      <c r="H18" s="426">
        <f>VLOOKUP($C18,SINAPI!$A$2:$L$1160,6,FALSE)</f>
        <v>505.8</v>
      </c>
      <c r="I18" s="532">
        <f>IF(G18=0,"-",$I$7)</f>
        <v>0.24440000000000001</v>
      </c>
      <c r="J18" s="476">
        <f>IFERROR(TRUNC(H18*(1+I18),2),"-")</f>
        <v>629.41</v>
      </c>
      <c r="K18" s="533">
        <f>IFERROR(TRUNC(G18*J18,2),"-")</f>
        <v>7552.92</v>
      </c>
      <c r="L18" s="534"/>
      <c r="M18" s="692">
        <f>IFERROR(K18/$L$11,"-")</f>
        <v>7.0204558433142571E-3</v>
      </c>
      <c r="N18" s="535"/>
      <c r="O18" s="399"/>
      <c r="P18" s="399"/>
    </row>
    <row r="19" spans="1:16" ht="38.25" x14ac:dyDescent="0.2">
      <c r="B19" s="443" t="s">
        <v>1926</v>
      </c>
      <c r="C19" s="537">
        <v>5212560</v>
      </c>
      <c r="D19" s="422" t="s">
        <v>1689</v>
      </c>
      <c r="E19" s="423" t="s">
        <v>1691</v>
      </c>
      <c r="F19" s="424" t="s">
        <v>1657</v>
      </c>
      <c r="G19" s="440">
        <v>480</v>
      </c>
      <c r="H19" s="426">
        <f>VLOOKUP($C19,SICRO!$A$2:$L$1163,6,FALSE)</f>
        <v>4.66</v>
      </c>
      <c r="I19" s="441">
        <f>IF(G19=0,"-",$I$7)</f>
        <v>0.24440000000000001</v>
      </c>
      <c r="J19" s="428">
        <f>IFERROR(TRUNC(H19*(1+I19),2),"-")</f>
        <v>5.79</v>
      </c>
      <c r="K19" s="442">
        <f>IFERROR(TRUNC(G19*J19,2),"-")</f>
        <v>2779.2</v>
      </c>
      <c r="L19" s="430"/>
      <c r="M19" s="690">
        <f t="shared" ref="M19:M23" si="0">IFERROR(K19/$L$11,"-")</f>
        <v>2.5832725462124561E-3</v>
      </c>
      <c r="O19" s="399"/>
      <c r="P19" s="399"/>
    </row>
    <row r="20" spans="1:16" ht="34.5" customHeight="1" x14ac:dyDescent="0.2">
      <c r="B20" s="436" t="s">
        <v>1927</v>
      </c>
      <c r="C20" s="538">
        <v>5213835</v>
      </c>
      <c r="D20" s="422" t="s">
        <v>1689</v>
      </c>
      <c r="E20" s="529" t="s">
        <v>1692</v>
      </c>
      <c r="F20" s="424" t="s">
        <v>1657</v>
      </c>
      <c r="G20" s="440">
        <v>1200</v>
      </c>
      <c r="H20" s="426">
        <f>VLOOKUP($C20,SICRO!$A$2:$L$1163,6,FALSE)</f>
        <v>0.93</v>
      </c>
      <c r="I20" s="441">
        <f>IF(G20=0,"-",$I$7)</f>
        <v>0.24440000000000001</v>
      </c>
      <c r="J20" s="428">
        <f>IFERROR(TRUNC(H20*(1+I20),2),"-")</f>
        <v>1.1499999999999999</v>
      </c>
      <c r="K20" s="442">
        <f>IFERROR(TRUNC(G20*J20,2),"-")</f>
        <v>1380</v>
      </c>
      <c r="L20" s="430"/>
      <c r="M20" s="690">
        <f t="shared" si="0"/>
        <v>1.2827130518757877E-3</v>
      </c>
    </row>
    <row r="21" spans="1:16" ht="25.5" x14ac:dyDescent="0.2">
      <c r="B21" s="443" t="s">
        <v>1928</v>
      </c>
      <c r="C21" s="485">
        <v>10775</v>
      </c>
      <c r="D21" s="422" t="s">
        <v>1665</v>
      </c>
      <c r="E21" s="539" t="s">
        <v>1798</v>
      </c>
      <c r="F21" s="424" t="s">
        <v>18</v>
      </c>
      <c r="G21" s="440">
        <v>3</v>
      </c>
      <c r="H21" s="426">
        <f>VLOOKUP($C21,SINAPI!$A$2:$L$1160,6,FALSE)</f>
        <v>1000</v>
      </c>
      <c r="I21" s="441">
        <f t="shared" ref="I21:I23" si="1">IF(G21=0,"-",$I$7)</f>
        <v>0.24440000000000001</v>
      </c>
      <c r="J21" s="428">
        <f t="shared" ref="J21:J23" si="2">IFERROR(TRUNC(H21*(1+I21),2),"-")</f>
        <v>1244.4000000000001</v>
      </c>
      <c r="K21" s="442">
        <f>IFERROR(TRUNC(G21*J21,2),"-")</f>
        <v>3733.2</v>
      </c>
      <c r="L21" s="430"/>
      <c r="M21" s="690">
        <f t="shared" si="0"/>
        <v>3.4700176559874572E-3</v>
      </c>
    </row>
    <row r="22" spans="1:16" x14ac:dyDescent="0.2">
      <c r="B22" s="436" t="s">
        <v>1929</v>
      </c>
      <c r="C22" s="437" t="s">
        <v>1802</v>
      </c>
      <c r="D22" s="438" t="s">
        <v>1687</v>
      </c>
      <c r="E22" s="439" t="s">
        <v>30</v>
      </c>
      <c r="F22" s="424" t="s">
        <v>18</v>
      </c>
      <c r="G22" s="440">
        <v>3</v>
      </c>
      <c r="H22" s="426">
        <f>VLOOKUP($C22,COMPOSIÇÕES!$A$2:$L$1172,6,FALSE)</f>
        <v>797.91</v>
      </c>
      <c r="I22" s="441">
        <f t="shared" si="1"/>
        <v>0.24440000000000001</v>
      </c>
      <c r="J22" s="428">
        <f t="shared" si="2"/>
        <v>992.91</v>
      </c>
      <c r="K22" s="442">
        <f t="shared" ref="K22:K23" si="3">IFERROR(TRUNC(G22*J22,2),"-")</f>
        <v>2978.73</v>
      </c>
      <c r="L22" s="430"/>
      <c r="M22" s="690">
        <f t="shared" si="0"/>
        <v>2.7687361224738882E-3</v>
      </c>
    </row>
    <row r="23" spans="1:16" x14ac:dyDescent="0.2">
      <c r="B23" s="443" t="s">
        <v>1930</v>
      </c>
      <c r="C23" s="437" t="s">
        <v>1803</v>
      </c>
      <c r="D23" s="444" t="s">
        <v>1687</v>
      </c>
      <c r="E23" s="445" t="s">
        <v>29</v>
      </c>
      <c r="F23" s="446" t="s">
        <v>18</v>
      </c>
      <c r="G23" s="447">
        <v>3</v>
      </c>
      <c r="H23" s="426">
        <f>VLOOKUP($C23,COMPOSIÇÕES!$A$2:$L$1172,6,FALSE)</f>
        <v>384.01</v>
      </c>
      <c r="I23" s="448">
        <f t="shared" si="1"/>
        <v>0.24440000000000001</v>
      </c>
      <c r="J23" s="449">
        <f t="shared" si="2"/>
        <v>477.86</v>
      </c>
      <c r="K23" s="450">
        <f t="shared" si="3"/>
        <v>1433.58</v>
      </c>
      <c r="L23" s="431"/>
      <c r="M23" s="690">
        <f t="shared" si="0"/>
        <v>1.3325157803681824E-3</v>
      </c>
    </row>
    <row r="24" spans="1:16" ht="13.5" thickBot="1" x14ac:dyDescent="0.25">
      <c r="B24" s="782"/>
      <c r="C24" s="783"/>
      <c r="D24" s="783"/>
      <c r="E24" s="783"/>
      <c r="F24" s="783"/>
      <c r="G24" s="783"/>
      <c r="H24" s="783"/>
      <c r="I24" s="783"/>
      <c r="J24" s="783"/>
      <c r="K24" s="784"/>
      <c r="L24" s="431"/>
      <c r="M24" s="690"/>
    </row>
    <row r="25" spans="1:16" ht="13.5" thickBot="1" x14ac:dyDescent="0.25">
      <c r="B25" s="785" t="str">
        <f>E17</f>
        <v>CANTEIRO DE OBRAS E SINALIZAÇÃO</v>
      </c>
      <c r="C25" s="786"/>
      <c r="D25" s="786"/>
      <c r="E25" s="786"/>
      <c r="F25" s="786"/>
      <c r="G25" s="786"/>
      <c r="H25" s="786"/>
      <c r="I25" s="786"/>
      <c r="J25" s="786"/>
      <c r="K25" s="787"/>
      <c r="L25" s="451">
        <f>SUM(K18:K23)</f>
        <v>19857.629999999997</v>
      </c>
      <c r="M25" s="691"/>
    </row>
    <row r="26" spans="1:16" ht="13.5" thickBot="1" x14ac:dyDescent="0.25">
      <c r="B26" s="452" t="s">
        <v>20</v>
      </c>
      <c r="C26" s="434"/>
      <c r="D26" s="453"/>
      <c r="E26" s="781" t="s">
        <v>1384</v>
      </c>
      <c r="F26" s="781"/>
      <c r="G26" s="781"/>
      <c r="H26" s="781"/>
      <c r="I26" s="781"/>
      <c r="J26" s="781"/>
      <c r="K26" s="781"/>
      <c r="L26" s="454"/>
      <c r="M26" s="690"/>
    </row>
    <row r="27" spans="1:16" x14ac:dyDescent="0.2">
      <c r="B27" s="540" t="s">
        <v>1931</v>
      </c>
      <c r="C27" s="701" t="s">
        <v>34</v>
      </c>
      <c r="D27" s="422" t="s">
        <v>1687</v>
      </c>
      <c r="E27" s="423" t="s">
        <v>1919</v>
      </c>
      <c r="F27" s="424" t="s">
        <v>1988</v>
      </c>
      <c r="G27" s="425">
        <v>2</v>
      </c>
      <c r="H27" s="426">
        <f>VLOOKUP($C27,COMPOSIÇÕES!$A$2:$L$1172,6,FALSE)</f>
        <v>982.08759999999995</v>
      </c>
      <c r="I27" s="441">
        <f>IF(G27=0,"-",$I$7)</f>
        <v>0.24440000000000001</v>
      </c>
      <c r="J27" s="476">
        <f>IFERROR(TRUNC(H27*(1+I27),2),"-")</f>
        <v>1222.0999999999999</v>
      </c>
      <c r="K27" s="464">
        <f>IFERROR(TRUNC(G27*J27,2),"-")</f>
        <v>2444.1999999999998</v>
      </c>
      <c r="L27" s="430"/>
      <c r="M27" s="690">
        <f t="shared" ref="M27:M30" si="4">IFERROR(K27/$L$11,"-")</f>
        <v>2.271889305358551E-3</v>
      </c>
    </row>
    <row r="28" spans="1:16" ht="25.5" x14ac:dyDescent="0.2">
      <c r="B28" s="458" t="s">
        <v>1932</v>
      </c>
      <c r="C28" s="459" t="s">
        <v>35</v>
      </c>
      <c r="D28" s="460" t="s">
        <v>1687</v>
      </c>
      <c r="E28" s="461" t="s">
        <v>1920</v>
      </c>
      <c r="F28" s="462" t="s">
        <v>1988</v>
      </c>
      <c r="G28" s="463">
        <v>2</v>
      </c>
      <c r="H28" s="426">
        <f>VLOOKUP($C28,COMPOSIÇÕES!$A$2:$L$1172,6,FALSE)</f>
        <v>982.08759999999995</v>
      </c>
      <c r="I28" s="441">
        <f>IF(G28=0,"-",$I$7)</f>
        <v>0.24440000000000001</v>
      </c>
      <c r="J28" s="428">
        <f>IFERROR(TRUNC(H28*(1+I28),2),"-")</f>
        <v>1222.0999999999999</v>
      </c>
      <c r="K28" s="464">
        <f>IFERROR(TRUNC(G28*J28,2),"-")</f>
        <v>2444.1999999999998</v>
      </c>
      <c r="L28" s="465"/>
      <c r="M28" s="690">
        <f t="shared" ref="M28:M29" si="5">IFERROR(K28/$L$11,"-")</f>
        <v>2.271889305358551E-3</v>
      </c>
    </row>
    <row r="29" spans="1:16" ht="25.5" x14ac:dyDescent="0.2">
      <c r="B29" s="458" t="s">
        <v>1933</v>
      </c>
      <c r="C29" s="459" t="s">
        <v>40</v>
      </c>
      <c r="D29" s="460" t="s">
        <v>1687</v>
      </c>
      <c r="E29" s="461" t="s">
        <v>1994</v>
      </c>
      <c r="F29" s="462" t="s">
        <v>1988</v>
      </c>
      <c r="G29" s="463">
        <v>2</v>
      </c>
      <c r="H29" s="426">
        <f>VLOOKUP($C29,COMPOSIÇÕES!$A$2:$L$1172,6,FALSE)</f>
        <v>1093.0666000000001</v>
      </c>
      <c r="I29" s="441">
        <f>IF(G29=0,"-",$I$7)</f>
        <v>0.24440000000000001</v>
      </c>
      <c r="J29" s="428">
        <f>IFERROR(TRUNC(H29*(1+I29),2),"-")</f>
        <v>1360.21</v>
      </c>
      <c r="K29" s="464">
        <f>IFERROR(TRUNC(G29*J29,2),"-")</f>
        <v>2720.42</v>
      </c>
      <c r="L29" s="465"/>
      <c r="M29" s="690">
        <f t="shared" si="5"/>
        <v>2.5286364062202396E-3</v>
      </c>
    </row>
    <row r="30" spans="1:16" ht="18.75" customHeight="1" x14ac:dyDescent="0.2">
      <c r="B30" s="458" t="s">
        <v>1934</v>
      </c>
      <c r="C30" s="459" t="s">
        <v>41</v>
      </c>
      <c r="D30" s="460" t="s">
        <v>1687</v>
      </c>
      <c r="E30" s="461" t="s">
        <v>2017</v>
      </c>
      <c r="F30" s="462" t="s">
        <v>1988</v>
      </c>
      <c r="G30" s="463">
        <v>2</v>
      </c>
      <c r="H30" s="426">
        <f>VLOOKUP($C30,COMPOSIÇÕES!$A$2:$L$1172,6,FALSE)</f>
        <v>739.05</v>
      </c>
      <c r="I30" s="441">
        <f>IF(G30=0,"-",$I$7)</f>
        <v>0.24440000000000001</v>
      </c>
      <c r="J30" s="428">
        <f>IFERROR(TRUNC(H30*(1+I30),2),"-")</f>
        <v>919.67</v>
      </c>
      <c r="K30" s="464">
        <f>IFERROR(TRUNC(G30*J30,2),"-")</f>
        <v>1839.34</v>
      </c>
      <c r="L30" s="465"/>
      <c r="M30" s="690">
        <f t="shared" si="4"/>
        <v>1.7096705977081243E-3</v>
      </c>
    </row>
    <row r="31" spans="1:16" ht="13.5" thickBot="1" x14ac:dyDescent="0.25">
      <c r="B31" s="782"/>
      <c r="C31" s="783"/>
      <c r="D31" s="783"/>
      <c r="E31" s="806"/>
      <c r="F31" s="806"/>
      <c r="G31" s="806"/>
      <c r="H31" s="806"/>
      <c r="I31" s="806"/>
      <c r="J31" s="806"/>
      <c r="K31" s="806"/>
      <c r="L31" s="466"/>
      <c r="M31" s="690"/>
    </row>
    <row r="32" spans="1:16" ht="15" customHeight="1" thickBot="1" x14ac:dyDescent="0.25">
      <c r="B32" s="785" t="str">
        <f>E26</f>
        <v xml:space="preserve">MOBILIZAÇÃO E DESMOBILIZAÇÃO </v>
      </c>
      <c r="C32" s="786"/>
      <c r="D32" s="786"/>
      <c r="E32" s="786"/>
      <c r="F32" s="786"/>
      <c r="G32" s="786"/>
      <c r="H32" s="786"/>
      <c r="I32" s="786"/>
      <c r="J32" s="786"/>
      <c r="K32" s="787"/>
      <c r="L32" s="451">
        <f>SUM(K27:K30)</f>
        <v>9448.16</v>
      </c>
      <c r="M32" s="691"/>
    </row>
    <row r="33" spans="2:14" ht="15" customHeight="1" thickBot="1" x14ac:dyDescent="0.25">
      <c r="B33" s="452" t="s">
        <v>21</v>
      </c>
      <c r="C33" s="434"/>
      <c r="D33" s="453"/>
      <c r="E33" s="781" t="s">
        <v>1818</v>
      </c>
      <c r="F33" s="781"/>
      <c r="G33" s="781"/>
      <c r="H33" s="781"/>
      <c r="I33" s="781"/>
      <c r="J33" s="781"/>
      <c r="K33" s="781"/>
      <c r="L33" s="454"/>
      <c r="M33" s="690"/>
    </row>
    <row r="34" spans="2:14" ht="38.25" x14ac:dyDescent="0.2">
      <c r="B34" s="561" t="s">
        <v>1935</v>
      </c>
      <c r="C34" s="482">
        <v>99439</v>
      </c>
      <c r="D34" s="455" t="s">
        <v>1665</v>
      </c>
      <c r="E34" s="562" t="s">
        <v>1766</v>
      </c>
      <c r="F34" s="563" t="s">
        <v>25</v>
      </c>
      <c r="G34" s="564">
        <f>2.52*2</f>
        <v>5.04</v>
      </c>
      <c r="H34" s="565">
        <f>VLOOKUP($C34,SINAPI!$A$2:$L$1160,6,FALSE)</f>
        <v>675.21</v>
      </c>
      <c r="I34" s="456">
        <f t="shared" ref="I34:I43" si="6">IF(G34=0,"-",$I$7)</f>
        <v>0.24440000000000001</v>
      </c>
      <c r="J34" s="457">
        <f>IFERROR(TRUNC(H34*(1+I34),2),"-")</f>
        <v>840.23</v>
      </c>
      <c r="K34" s="570">
        <f>IFERROR(TRUNC(G34*J34,2),"-")</f>
        <v>4234.75</v>
      </c>
      <c r="L34" s="566"/>
      <c r="M34" s="693">
        <f t="shared" ref="M34:M43" si="7">IFERROR(K34/$L$11,"-")</f>
        <v>3.9362094901673854E-3</v>
      </c>
    </row>
    <row r="35" spans="2:14" ht="25.5" x14ac:dyDescent="0.2">
      <c r="B35" s="480" t="s">
        <v>1936</v>
      </c>
      <c r="C35" s="489">
        <v>96531</v>
      </c>
      <c r="D35" s="422" t="s">
        <v>1665</v>
      </c>
      <c r="E35" s="469" t="s">
        <v>1797</v>
      </c>
      <c r="F35" s="481" t="s">
        <v>1672</v>
      </c>
      <c r="G35" s="471">
        <f>5.9*2</f>
        <v>11.8</v>
      </c>
      <c r="H35" s="426">
        <f>VLOOKUP($C35,SINAPI!$A$2:$L$1160,6,FALSE)</f>
        <v>117.88</v>
      </c>
      <c r="I35" s="542">
        <f t="shared" si="6"/>
        <v>0.24440000000000001</v>
      </c>
      <c r="J35" s="428">
        <f t="shared" ref="J35:J43" si="8">IFERROR(TRUNC(H35*(1+I35),2),"-")</f>
        <v>146.68</v>
      </c>
      <c r="K35" s="571">
        <f t="shared" ref="K35:K43" si="9">IFERROR(TRUNC(G35*J35,2),"-")</f>
        <v>1730.82</v>
      </c>
      <c r="L35" s="567"/>
      <c r="M35" s="690">
        <f t="shared" si="7"/>
        <v>1.6088010177156891E-3</v>
      </c>
    </row>
    <row r="36" spans="2:14" x14ac:dyDescent="0.2">
      <c r="B36" s="480" t="s">
        <v>1937</v>
      </c>
      <c r="C36" s="489">
        <v>407819</v>
      </c>
      <c r="D36" s="422" t="s">
        <v>1767</v>
      </c>
      <c r="E36" s="469" t="s">
        <v>1800</v>
      </c>
      <c r="F36" s="481" t="s">
        <v>1764</v>
      </c>
      <c r="G36" s="471">
        <f>105.54*2</f>
        <v>211.08</v>
      </c>
      <c r="H36" s="426">
        <f>VLOOKUP($C36,SICRO!$A$2:$L$1163,6,FALSE)</f>
        <v>12.31</v>
      </c>
      <c r="I36" s="542">
        <f t="shared" si="6"/>
        <v>0.24440000000000001</v>
      </c>
      <c r="J36" s="428">
        <f t="shared" si="8"/>
        <v>15.31</v>
      </c>
      <c r="K36" s="571">
        <f t="shared" si="9"/>
        <v>3231.63</v>
      </c>
      <c r="L36" s="567"/>
      <c r="M36" s="690">
        <f t="shared" si="7"/>
        <v>3.0038072317632989E-3</v>
      </c>
    </row>
    <row r="37" spans="2:14" ht="25.5" x14ac:dyDescent="0.2">
      <c r="B37" s="473" t="s">
        <v>1938</v>
      </c>
      <c r="C37" s="489">
        <v>2003850</v>
      </c>
      <c r="D37" s="422" t="s">
        <v>1767</v>
      </c>
      <c r="E37" s="469" t="s">
        <v>1801</v>
      </c>
      <c r="F37" s="544" t="s">
        <v>25</v>
      </c>
      <c r="G37" s="471">
        <f>0.18*2</f>
        <v>0.36</v>
      </c>
      <c r="H37" s="426">
        <f>VLOOKUP($C37,SICRO!$A$2:$L$1163,6,FALSE)</f>
        <v>147.81</v>
      </c>
      <c r="I37" s="542">
        <f t="shared" si="6"/>
        <v>0.24440000000000001</v>
      </c>
      <c r="J37" s="428">
        <f t="shared" si="8"/>
        <v>183.93</v>
      </c>
      <c r="K37" s="571">
        <f t="shared" si="9"/>
        <v>66.209999999999994</v>
      </c>
      <c r="L37" s="567"/>
      <c r="M37" s="690">
        <f t="shared" si="7"/>
        <v>6.1542341423692678E-5</v>
      </c>
    </row>
    <row r="38" spans="2:14" ht="25.5" x14ac:dyDescent="0.2">
      <c r="B38" s="480" t="s">
        <v>1939</v>
      </c>
      <c r="C38" s="489">
        <v>96523</v>
      </c>
      <c r="D38" s="422" t="s">
        <v>1665</v>
      </c>
      <c r="E38" s="469" t="s">
        <v>1812</v>
      </c>
      <c r="F38" s="544" t="s">
        <v>25</v>
      </c>
      <c r="G38" s="471">
        <f>4.46*2</f>
        <v>8.92</v>
      </c>
      <c r="H38" s="426">
        <f>VLOOKUP($C38,SINAPI!$A$2:$L$1160,6,FALSE)</f>
        <v>130.04</v>
      </c>
      <c r="I38" s="542">
        <f t="shared" si="6"/>
        <v>0.24440000000000001</v>
      </c>
      <c r="J38" s="428">
        <f t="shared" si="8"/>
        <v>161.82</v>
      </c>
      <c r="K38" s="571">
        <f t="shared" si="9"/>
        <v>1443.43</v>
      </c>
      <c r="L38" s="567"/>
      <c r="M38" s="690">
        <f t="shared" si="7"/>
        <v>1.3416713771514988E-3</v>
      </c>
    </row>
    <row r="39" spans="2:14" x14ac:dyDescent="0.2">
      <c r="B39" s="480" t="s">
        <v>1940</v>
      </c>
      <c r="C39" s="489">
        <v>94319</v>
      </c>
      <c r="D39" s="438" t="s">
        <v>1665</v>
      </c>
      <c r="E39" s="469" t="s">
        <v>1809</v>
      </c>
      <c r="F39" s="544" t="s">
        <v>25</v>
      </c>
      <c r="G39" s="471">
        <f>1.49*2</f>
        <v>2.98</v>
      </c>
      <c r="H39" s="426">
        <f>VLOOKUP($C39,SINAPI!$A$2:$L$1160,6,FALSE)</f>
        <v>89.92</v>
      </c>
      <c r="I39" s="542">
        <f t="shared" si="6"/>
        <v>0.24440000000000001</v>
      </c>
      <c r="J39" s="428">
        <f t="shared" si="8"/>
        <v>111.89</v>
      </c>
      <c r="K39" s="571">
        <f t="shared" si="9"/>
        <v>333.43</v>
      </c>
      <c r="L39" s="567"/>
      <c r="M39" s="690">
        <f t="shared" si="7"/>
        <v>3.0992392238184341E-4</v>
      </c>
    </row>
    <row r="40" spans="2:14" x14ac:dyDescent="0.2">
      <c r="B40" s="473" t="s">
        <v>1941</v>
      </c>
      <c r="C40" s="489">
        <v>2306105</v>
      </c>
      <c r="D40" s="422" t="s">
        <v>1767</v>
      </c>
      <c r="E40" s="469" t="s">
        <v>1811</v>
      </c>
      <c r="F40" s="470" t="s">
        <v>1658</v>
      </c>
      <c r="G40" s="471">
        <f>36*2</f>
        <v>72</v>
      </c>
      <c r="H40" s="426">
        <f>VLOOKUP($C40,SICRO!$A$2:$L$1163,6,FALSE)</f>
        <v>123.31</v>
      </c>
      <c r="I40" s="542">
        <f t="shared" si="6"/>
        <v>0.24440000000000001</v>
      </c>
      <c r="J40" s="428">
        <f t="shared" si="8"/>
        <v>153.44</v>
      </c>
      <c r="K40" s="571">
        <f t="shared" si="9"/>
        <v>11047.68</v>
      </c>
      <c r="L40" s="567"/>
      <c r="M40" s="690">
        <f t="shared" si="7"/>
        <v>1.0268842991990655E-2</v>
      </c>
    </row>
    <row r="41" spans="2:14" x14ac:dyDescent="0.2">
      <c r="B41" s="480" t="s">
        <v>1942</v>
      </c>
      <c r="C41" s="489" t="s">
        <v>1813</v>
      </c>
      <c r="D41" s="422" t="s">
        <v>1767</v>
      </c>
      <c r="E41" s="469" t="s">
        <v>1814</v>
      </c>
      <c r="F41" s="470" t="s">
        <v>1658</v>
      </c>
      <c r="G41" s="471">
        <f>36*2</f>
        <v>72</v>
      </c>
      <c r="H41" s="426">
        <f>VLOOKUP($C41,SICRO!$A$2:$L$1163,6,FALSE)</f>
        <v>59.2</v>
      </c>
      <c r="I41" s="542">
        <f t="shared" si="6"/>
        <v>0.24440000000000001</v>
      </c>
      <c r="J41" s="428">
        <f t="shared" si="8"/>
        <v>73.66</v>
      </c>
      <c r="K41" s="571">
        <f t="shared" si="9"/>
        <v>5303.52</v>
      </c>
      <c r="L41" s="567"/>
      <c r="M41" s="690">
        <f t="shared" si="7"/>
        <v>4.9296335687567232E-3</v>
      </c>
    </row>
    <row r="42" spans="2:14" x14ac:dyDescent="0.2">
      <c r="B42" s="480" t="s">
        <v>1943</v>
      </c>
      <c r="C42" s="489">
        <v>2306247</v>
      </c>
      <c r="D42" s="485" t="s">
        <v>1767</v>
      </c>
      <c r="E42" s="469" t="s">
        <v>1815</v>
      </c>
      <c r="F42" s="544" t="s">
        <v>25</v>
      </c>
      <c r="G42" s="471">
        <f>0.32+0.38</f>
        <v>0.7</v>
      </c>
      <c r="H42" s="426">
        <f>VLOOKUP($C42,SICRO!$A$2:$L$1163,6,FALSE)</f>
        <v>301.95999999999998</v>
      </c>
      <c r="I42" s="542">
        <f t="shared" si="6"/>
        <v>0.24440000000000001</v>
      </c>
      <c r="J42" s="428">
        <f t="shared" si="8"/>
        <v>375.75</v>
      </c>
      <c r="K42" s="571">
        <f t="shared" si="9"/>
        <v>263.02</v>
      </c>
      <c r="L42" s="567"/>
      <c r="M42" s="690">
        <f t="shared" si="7"/>
        <v>2.4447767166983308E-4</v>
      </c>
      <c r="N42" s="477"/>
    </row>
    <row r="43" spans="2:14" ht="25.5" x14ac:dyDescent="0.2">
      <c r="B43" s="234" t="s">
        <v>1944</v>
      </c>
      <c r="C43" s="545">
        <v>97636</v>
      </c>
      <c r="D43" s="548" t="s">
        <v>1665</v>
      </c>
      <c r="E43" s="558" t="s">
        <v>1838</v>
      </c>
      <c r="F43" s="551" t="s">
        <v>1672</v>
      </c>
      <c r="G43" s="549">
        <v>4</v>
      </c>
      <c r="H43" s="426">
        <f>VLOOKUP($C43,SINAPI!$A$2:$L$1160,6,FALSE)</f>
        <v>26.1</v>
      </c>
      <c r="I43" s="542">
        <f t="shared" si="6"/>
        <v>0.24440000000000001</v>
      </c>
      <c r="J43" s="428">
        <f t="shared" si="8"/>
        <v>32.47</v>
      </c>
      <c r="K43" s="571">
        <f t="shared" si="9"/>
        <v>129.88</v>
      </c>
      <c r="L43" s="568"/>
      <c r="M43" s="690">
        <f t="shared" si="7"/>
        <v>1.2072374723016472E-4</v>
      </c>
    </row>
    <row r="44" spans="2:14" ht="13.5" thickBot="1" x14ac:dyDescent="0.25">
      <c r="B44" s="805"/>
      <c r="C44" s="806"/>
      <c r="D44" s="806"/>
      <c r="E44" s="806"/>
      <c r="F44" s="806"/>
      <c r="G44" s="806"/>
      <c r="H44" s="806"/>
      <c r="I44" s="806"/>
      <c r="J44" s="806"/>
      <c r="K44" s="807"/>
      <c r="L44" s="569"/>
      <c r="M44" s="693"/>
    </row>
    <row r="45" spans="2:14" ht="15" customHeight="1" thickBot="1" x14ac:dyDescent="0.25">
      <c r="B45" s="785" t="str">
        <f>E33</f>
        <v>FUNDAÇÃO PARA INSTALAÇÃO DE OBRAS DE ARTE PARA PASSAGEM DE PEDESTRES</v>
      </c>
      <c r="C45" s="786"/>
      <c r="D45" s="786"/>
      <c r="E45" s="786"/>
      <c r="F45" s="786"/>
      <c r="G45" s="786"/>
      <c r="H45" s="786"/>
      <c r="I45" s="786"/>
      <c r="J45" s="786"/>
      <c r="K45" s="787"/>
      <c r="L45" s="451">
        <f>SUM(K34:K43)</f>
        <v>27784.370000000003</v>
      </c>
      <c r="M45" s="691"/>
    </row>
    <row r="46" spans="2:14" ht="15" customHeight="1" thickBot="1" x14ac:dyDescent="0.25">
      <c r="B46" s="452" t="s">
        <v>22</v>
      </c>
      <c r="C46" s="434"/>
      <c r="D46" s="453"/>
      <c r="E46" s="781" t="s">
        <v>1857</v>
      </c>
      <c r="F46" s="781"/>
      <c r="G46" s="781"/>
      <c r="H46" s="781"/>
      <c r="I46" s="781"/>
      <c r="J46" s="781"/>
      <c r="K46" s="781"/>
      <c r="L46" s="467"/>
      <c r="M46" s="690"/>
    </row>
    <row r="47" spans="2:14" x14ac:dyDescent="0.2">
      <c r="B47" s="578" t="s">
        <v>1945</v>
      </c>
      <c r="C47" s="422" t="s">
        <v>1806</v>
      </c>
      <c r="D47" s="422" t="s">
        <v>1687</v>
      </c>
      <c r="E47" s="474" t="str">
        <f>'AUX COMPOSIÇÕES'!B64</f>
        <v>MONTAGEM DE PILARES PRÉ-FABRICADOS, INCLUSO IÇAMENTO COM GUINDASTE</v>
      </c>
      <c r="F47" s="470" t="s">
        <v>1765</v>
      </c>
      <c r="G47" s="471">
        <v>4</v>
      </c>
      <c r="H47" s="426">
        <f>VLOOKUP($C47,COMPOSIÇÕES!$A$2:$L$1172,6,FALSE)</f>
        <v>497.29999999999995</v>
      </c>
      <c r="I47" s="441">
        <f>IF(G47=0,"-",$I$7)</f>
        <v>0.24440000000000001</v>
      </c>
      <c r="J47" s="476">
        <f>IFERROR(TRUNC(H47*(1+I47),2),"-")</f>
        <v>618.84</v>
      </c>
      <c r="K47" s="464">
        <f>IFERROR(TRUNC(G47*J47,2),"-")</f>
        <v>2475.36</v>
      </c>
      <c r="L47" s="430"/>
      <c r="M47" s="690">
        <f t="shared" ref="M47:M53" si="10">IFERROR(K47/$L$11,"-")</f>
        <v>2.3008525942690219E-3</v>
      </c>
    </row>
    <row r="48" spans="2:14" x14ac:dyDescent="0.2">
      <c r="B48" s="480" t="s">
        <v>1946</v>
      </c>
      <c r="C48" s="489">
        <v>407819</v>
      </c>
      <c r="D48" s="422" t="s">
        <v>1767</v>
      </c>
      <c r="E48" s="469" t="s">
        <v>1819</v>
      </c>
      <c r="F48" s="481" t="s">
        <v>1764</v>
      </c>
      <c r="G48" s="471">
        <f>4*86.6</f>
        <v>346.4</v>
      </c>
      <c r="H48" s="426">
        <f>VLOOKUP($C48,SICRO!$A$2:$L$1163,6,FALSE)</f>
        <v>12.31</v>
      </c>
      <c r="I48" s="441">
        <f t="shared" ref="I48:I52" si="11">IF(G48=0,"-",$I$7)</f>
        <v>0.24440000000000001</v>
      </c>
      <c r="J48" s="428">
        <f t="shared" ref="J48:J52" si="12">IFERROR(TRUNC(H48*(1+I48),2),"-")</f>
        <v>15.31</v>
      </c>
      <c r="K48" s="464">
        <f t="shared" ref="K48:K52" si="13">IFERROR(TRUNC(G48*J48,2),"-")</f>
        <v>5303.38</v>
      </c>
      <c r="L48" s="430"/>
      <c r="M48" s="690">
        <f t="shared" si="10"/>
        <v>4.9295034384471128E-3</v>
      </c>
    </row>
    <row r="49" spans="1:14" x14ac:dyDescent="0.2">
      <c r="B49" s="672" t="s">
        <v>1947</v>
      </c>
      <c r="C49" s="348">
        <v>8808</v>
      </c>
      <c r="D49" s="702" t="s">
        <v>1795</v>
      </c>
      <c r="E49" s="474" t="s">
        <v>1820</v>
      </c>
      <c r="F49" s="673" t="s">
        <v>1658</v>
      </c>
      <c r="G49" s="674">
        <f>4*1.54*4</f>
        <v>24.64</v>
      </c>
      <c r="H49" s="675">
        <v>20.53</v>
      </c>
      <c r="I49" s="487">
        <f t="shared" si="11"/>
        <v>0.24440000000000001</v>
      </c>
      <c r="J49" s="676">
        <f t="shared" si="12"/>
        <v>25.54</v>
      </c>
      <c r="K49" s="677">
        <f t="shared" si="13"/>
        <v>629.29999999999995</v>
      </c>
      <c r="L49" s="430"/>
      <c r="M49" s="690">
        <f t="shared" si="10"/>
        <v>5.849357416995893E-4</v>
      </c>
    </row>
    <row r="50" spans="1:14" ht="38.25" x14ac:dyDescent="0.2">
      <c r="B50" s="234" t="s">
        <v>1948</v>
      </c>
      <c r="C50" s="489">
        <v>1525</v>
      </c>
      <c r="D50" s="460" t="s">
        <v>1665</v>
      </c>
      <c r="E50" s="469" t="s">
        <v>1822</v>
      </c>
      <c r="F50" s="470" t="s">
        <v>25</v>
      </c>
      <c r="G50" s="440">
        <f>4*0.85</f>
        <v>3.4</v>
      </c>
      <c r="H50" s="426">
        <f>VLOOKUP($C50,SINAPI!$A$2:$L$1160,6,FALSE)</f>
        <v>520.48</v>
      </c>
      <c r="I50" s="542">
        <f t="shared" si="11"/>
        <v>0.24440000000000001</v>
      </c>
      <c r="J50" s="428">
        <f t="shared" si="12"/>
        <v>647.67999999999995</v>
      </c>
      <c r="K50" s="543">
        <f t="shared" si="13"/>
        <v>2202.11</v>
      </c>
      <c r="L50" s="465"/>
      <c r="M50" s="690">
        <f t="shared" si="10"/>
        <v>2.046866114975501E-3</v>
      </c>
    </row>
    <row r="51" spans="1:14" ht="25.5" x14ac:dyDescent="0.2">
      <c r="B51" s="697" t="s">
        <v>1949</v>
      </c>
      <c r="C51" s="489">
        <v>103673</v>
      </c>
      <c r="D51" s="460" t="s">
        <v>1665</v>
      </c>
      <c r="E51" s="469" t="s">
        <v>1823</v>
      </c>
      <c r="F51" s="559" t="s">
        <v>25</v>
      </c>
      <c r="G51" s="440">
        <f>G50</f>
        <v>3.4</v>
      </c>
      <c r="H51" s="426">
        <f>VLOOKUP($C51,SINAPI!$A$2:$L$1160,6,FALSE)</f>
        <v>57.21</v>
      </c>
      <c r="I51" s="542">
        <f t="shared" si="11"/>
        <v>0.24440000000000001</v>
      </c>
      <c r="J51" s="428">
        <f t="shared" si="12"/>
        <v>71.19</v>
      </c>
      <c r="K51" s="543">
        <f t="shared" si="13"/>
        <v>242.04</v>
      </c>
      <c r="L51" s="465"/>
      <c r="M51" s="690">
        <f t="shared" si="10"/>
        <v>2.2497671527247512E-4</v>
      </c>
    </row>
    <row r="52" spans="1:14" x14ac:dyDescent="0.2">
      <c r="B52" s="473" t="s">
        <v>1950</v>
      </c>
      <c r="C52" s="422" t="s">
        <v>1804</v>
      </c>
      <c r="D52" s="422" t="s">
        <v>1687</v>
      </c>
      <c r="E52" s="474" t="s">
        <v>1816</v>
      </c>
      <c r="F52" s="475" t="s">
        <v>1672</v>
      </c>
      <c r="G52" s="471">
        <f>4*5.8</f>
        <v>23.2</v>
      </c>
      <c r="H52" s="426">
        <f>VLOOKUP($C52,COMPOSIÇÕES!$A$2:$L$1172,6,FALSE)</f>
        <v>62.5</v>
      </c>
      <c r="I52" s="441">
        <f t="shared" si="11"/>
        <v>0.24440000000000001</v>
      </c>
      <c r="J52" s="476">
        <f t="shared" si="12"/>
        <v>77.77</v>
      </c>
      <c r="K52" s="464">
        <f t="shared" si="13"/>
        <v>1804.26</v>
      </c>
      <c r="L52" s="430"/>
      <c r="M52" s="693">
        <f t="shared" si="10"/>
        <v>1.6770636601285572E-3</v>
      </c>
      <c r="N52" s="477"/>
    </row>
    <row r="53" spans="1:14" ht="13.5" thickBot="1" x14ac:dyDescent="0.25">
      <c r="B53" s="782"/>
      <c r="C53" s="783"/>
      <c r="D53" s="783"/>
      <c r="E53" s="783"/>
      <c r="F53" s="783"/>
      <c r="G53" s="783"/>
      <c r="H53" s="783"/>
      <c r="I53" s="783"/>
      <c r="J53" s="783"/>
      <c r="K53" s="783"/>
      <c r="L53" s="466"/>
      <c r="M53" s="690">
        <f t="shared" si="10"/>
        <v>0</v>
      </c>
    </row>
    <row r="54" spans="1:14" ht="15" customHeight="1" thickBot="1" x14ac:dyDescent="0.25">
      <c r="B54" s="785" t="str">
        <f>E46</f>
        <v>PILARES PRÉ-MOLDADO PARA PASSARELA DE PEDESTRES</v>
      </c>
      <c r="C54" s="786"/>
      <c r="D54" s="786"/>
      <c r="E54" s="786"/>
      <c r="F54" s="786"/>
      <c r="G54" s="786"/>
      <c r="H54" s="786"/>
      <c r="I54" s="786"/>
      <c r="J54" s="786"/>
      <c r="K54" s="787"/>
      <c r="L54" s="451">
        <f>SUM(K47:K53)</f>
        <v>12656.45</v>
      </c>
      <c r="M54" s="691"/>
    </row>
    <row r="55" spans="1:14" ht="15" customHeight="1" thickBot="1" x14ac:dyDescent="0.25">
      <c r="B55" s="452" t="s">
        <v>1769</v>
      </c>
      <c r="C55" s="434"/>
      <c r="D55" s="453"/>
      <c r="E55" s="781" t="s">
        <v>1858</v>
      </c>
      <c r="F55" s="781"/>
      <c r="G55" s="781"/>
      <c r="H55" s="781"/>
      <c r="I55" s="781"/>
      <c r="J55" s="781"/>
      <c r="K55" s="781"/>
      <c r="L55" s="479"/>
      <c r="M55" s="690"/>
    </row>
    <row r="56" spans="1:14" ht="25.5" x14ac:dyDescent="0.2">
      <c r="B56" s="560" t="s">
        <v>1951</v>
      </c>
      <c r="C56" s="557">
        <v>97721</v>
      </c>
      <c r="D56" s="422" t="s">
        <v>1665</v>
      </c>
      <c r="E56" s="474" t="s">
        <v>1864</v>
      </c>
      <c r="F56" s="481" t="s">
        <v>25</v>
      </c>
      <c r="G56" s="471">
        <f>8.18+8.47</f>
        <v>16.649999999999999</v>
      </c>
      <c r="H56" s="426">
        <f>VLOOKUP($C56,SINAPI!$A$2:$L$1160,6,FALSE)</f>
        <v>79.83</v>
      </c>
      <c r="I56" s="441">
        <f t="shared" ref="I56:I61" si="14">IF(G56=0,"-",$I$7)</f>
        <v>0.24440000000000001</v>
      </c>
      <c r="J56" s="476">
        <f t="shared" ref="J56:J61" si="15">IFERROR(TRUNC(H56*(1+I56),2),"-")</f>
        <v>99.34</v>
      </c>
      <c r="K56" s="472">
        <f t="shared" ref="K56:K61" si="16">IFERROR(TRUNC(G56*J56,2),"-")</f>
        <v>1654.01</v>
      </c>
      <c r="L56" s="430"/>
      <c r="M56" s="690">
        <f t="shared" ref="M56:M62" si="17">IFERROR(K56/$L$11,"-")</f>
        <v>1.5374059528500521E-3</v>
      </c>
    </row>
    <row r="57" spans="1:14" s="318" customFormat="1" ht="18.75" customHeight="1" x14ac:dyDescent="0.2">
      <c r="A57" s="493"/>
      <c r="B57" s="248" t="s">
        <v>1952</v>
      </c>
      <c r="C57" s="348">
        <v>88306</v>
      </c>
      <c r="D57" s="702" t="s">
        <v>1796</v>
      </c>
      <c r="E57" s="469" t="s">
        <v>1849</v>
      </c>
      <c r="F57" s="678" t="s">
        <v>1672</v>
      </c>
      <c r="G57" s="674">
        <f>31.98+30.85</f>
        <v>62.83</v>
      </c>
      <c r="H57" s="675">
        <v>384.05</v>
      </c>
      <c r="I57" s="487">
        <f t="shared" si="14"/>
        <v>0.24440000000000001</v>
      </c>
      <c r="J57" s="676">
        <f t="shared" si="15"/>
        <v>477.91</v>
      </c>
      <c r="K57" s="679">
        <f t="shared" si="16"/>
        <v>30027.08</v>
      </c>
      <c r="L57" s="680"/>
      <c r="M57" s="694">
        <f t="shared" si="17"/>
        <v>2.7910237265013356E-2</v>
      </c>
    </row>
    <row r="58" spans="1:14" ht="38.25" x14ac:dyDescent="0.2">
      <c r="B58" s="480" t="s">
        <v>1953</v>
      </c>
      <c r="C58" s="489">
        <v>34479</v>
      </c>
      <c r="D58" s="422" t="s">
        <v>1665</v>
      </c>
      <c r="E58" s="469" t="s">
        <v>1862</v>
      </c>
      <c r="F58" s="470" t="s">
        <v>25</v>
      </c>
      <c r="G58" s="471">
        <f>2.04+1.97</f>
        <v>4.01</v>
      </c>
      <c r="H58" s="426">
        <f>VLOOKUP($C58,SINAPI!$A$2:$L$1160,6,FALSE)</f>
        <v>551.55999999999995</v>
      </c>
      <c r="I58" s="441">
        <f t="shared" si="14"/>
        <v>0.24440000000000001</v>
      </c>
      <c r="J58" s="428">
        <f t="shared" si="15"/>
        <v>686.36</v>
      </c>
      <c r="K58" s="472">
        <f t="shared" si="16"/>
        <v>2752.3</v>
      </c>
      <c r="L58" s="430"/>
      <c r="M58" s="690">
        <f t="shared" si="17"/>
        <v>2.5582689367229933E-3</v>
      </c>
    </row>
    <row r="59" spans="1:14" ht="25.5" x14ac:dyDescent="0.2">
      <c r="B59" s="480" t="s">
        <v>1954</v>
      </c>
      <c r="C59" s="489">
        <v>103673</v>
      </c>
      <c r="D59" s="422" t="s">
        <v>1665</v>
      </c>
      <c r="E59" s="469" t="s">
        <v>1863</v>
      </c>
      <c r="F59" s="546" t="s">
        <v>25</v>
      </c>
      <c r="G59" s="471">
        <f>G58</f>
        <v>4.01</v>
      </c>
      <c r="H59" s="426">
        <f>VLOOKUP($C59,SINAPI!$A$2:$L$1160,6,FALSE)</f>
        <v>57.21</v>
      </c>
      <c r="I59" s="441">
        <f t="shared" si="14"/>
        <v>0.24440000000000001</v>
      </c>
      <c r="J59" s="428">
        <f t="shared" si="15"/>
        <v>71.19</v>
      </c>
      <c r="K59" s="472">
        <f t="shared" si="16"/>
        <v>285.47000000000003</v>
      </c>
      <c r="L59" s="430"/>
      <c r="M59" s="690">
        <f t="shared" si="17"/>
        <v>2.6534499631810228E-4</v>
      </c>
    </row>
    <row r="60" spans="1:14" ht="25.5" x14ac:dyDescent="0.2">
      <c r="B60" s="480" t="s">
        <v>1955</v>
      </c>
      <c r="C60" s="489">
        <v>91596</v>
      </c>
      <c r="D60" s="422" t="s">
        <v>1665</v>
      </c>
      <c r="E60" s="469" t="s">
        <v>1861</v>
      </c>
      <c r="F60" s="546" t="s">
        <v>1764</v>
      </c>
      <c r="G60" s="471">
        <f>76.93+74.47</f>
        <v>151.4</v>
      </c>
      <c r="H60" s="426">
        <f>VLOOKUP($C60,SINAPI!$A$2:$L$1160,6,FALSE)</f>
        <v>9.6300000000000008</v>
      </c>
      <c r="I60" s="441">
        <f t="shared" si="14"/>
        <v>0.24440000000000001</v>
      </c>
      <c r="J60" s="428">
        <f t="shared" si="15"/>
        <v>11.98</v>
      </c>
      <c r="K60" s="472">
        <f t="shared" si="16"/>
        <v>1813.77</v>
      </c>
      <c r="L60" s="430"/>
      <c r="M60" s="690">
        <f t="shared" si="17"/>
        <v>1.6859032261599619E-3</v>
      </c>
    </row>
    <row r="61" spans="1:14" ht="25.5" x14ac:dyDescent="0.2">
      <c r="B61" s="480" t="s">
        <v>1956</v>
      </c>
      <c r="C61" s="489">
        <v>3108004</v>
      </c>
      <c r="D61" s="422" t="s">
        <v>1767</v>
      </c>
      <c r="E61" s="469" t="s">
        <v>1840</v>
      </c>
      <c r="F61" s="544" t="s">
        <v>1672</v>
      </c>
      <c r="G61" s="471">
        <f>(10.01+9.73)/2</f>
        <v>9.870000000000001</v>
      </c>
      <c r="H61" s="426">
        <f>VLOOKUP($C61,SICRO!$A$2:$L$1163,6,FALSE)</f>
        <v>96.17</v>
      </c>
      <c r="I61" s="441">
        <f t="shared" si="14"/>
        <v>0.24440000000000001</v>
      </c>
      <c r="J61" s="428">
        <f t="shared" si="15"/>
        <v>119.67</v>
      </c>
      <c r="K61" s="472">
        <f t="shared" si="16"/>
        <v>1181.1400000000001</v>
      </c>
      <c r="L61" s="430"/>
      <c r="M61" s="690">
        <f t="shared" si="17"/>
        <v>1.0978722420960639E-3</v>
      </c>
    </row>
    <row r="62" spans="1:14" ht="13.5" thickBot="1" x14ac:dyDescent="0.25">
      <c r="B62" s="782"/>
      <c r="C62" s="783"/>
      <c r="D62" s="783"/>
      <c r="E62" s="783"/>
      <c r="F62" s="783"/>
      <c r="G62" s="783"/>
      <c r="H62" s="783"/>
      <c r="I62" s="783"/>
      <c r="J62" s="783"/>
      <c r="K62" s="784"/>
      <c r="L62" s="430"/>
      <c r="M62" s="690">
        <f t="shared" si="17"/>
        <v>0</v>
      </c>
    </row>
    <row r="63" spans="1:14" ht="15" customHeight="1" thickBot="1" x14ac:dyDescent="0.25">
      <c r="B63" s="785" t="s">
        <v>1858</v>
      </c>
      <c r="C63" s="786"/>
      <c r="D63" s="786"/>
      <c r="E63" s="786"/>
      <c r="F63" s="786"/>
      <c r="G63" s="786"/>
      <c r="H63" s="786"/>
      <c r="I63" s="786"/>
      <c r="J63" s="786"/>
      <c r="K63" s="787"/>
      <c r="L63" s="432">
        <f>SUM(K56:K62)</f>
        <v>37713.769999999997</v>
      </c>
      <c r="M63" s="690"/>
    </row>
    <row r="64" spans="1:14" ht="15" customHeight="1" thickBot="1" x14ac:dyDescent="0.25">
      <c r="B64" s="452" t="s">
        <v>1770</v>
      </c>
      <c r="C64" s="434"/>
      <c r="D64" s="453"/>
      <c r="E64" s="781" t="s">
        <v>1923</v>
      </c>
      <c r="F64" s="781"/>
      <c r="G64" s="781"/>
      <c r="H64" s="781"/>
      <c r="I64" s="781"/>
      <c r="J64" s="781"/>
      <c r="K64" s="781"/>
      <c r="L64" s="479"/>
      <c r="M64" s="690"/>
    </row>
    <row r="65" spans="2:16" ht="51" x14ac:dyDescent="0.2">
      <c r="B65" s="480" t="s">
        <v>1957</v>
      </c>
      <c r="C65" s="482">
        <v>90082</v>
      </c>
      <c r="D65" s="422" t="s">
        <v>1665</v>
      </c>
      <c r="E65" s="469" t="s">
        <v>1834</v>
      </c>
      <c r="F65" s="481" t="s">
        <v>25</v>
      </c>
      <c r="G65" s="471">
        <f>59+42.5</f>
        <v>101.5</v>
      </c>
      <c r="H65" s="426">
        <f>VLOOKUP($C65,SINAPI!$A$2:$L$1160,6,FALSE)</f>
        <v>10.54</v>
      </c>
      <c r="I65" s="441">
        <f>IF(G65=0,"-",$I$7)</f>
        <v>0.24440000000000001</v>
      </c>
      <c r="J65" s="428">
        <f>IFERROR(TRUNC(H65*(1+I65),2),"-")</f>
        <v>13.11</v>
      </c>
      <c r="K65" s="472">
        <f>IFERROR(TRUNC(G65*J65,2),"-")</f>
        <v>1330.66</v>
      </c>
      <c r="L65" s="430"/>
      <c r="M65" s="690">
        <f t="shared" ref="M65:M82" si="18">IFERROR(K65/$L$11,"-")</f>
        <v>1.2368514127601708E-3</v>
      </c>
    </row>
    <row r="66" spans="2:16" x14ac:dyDescent="0.2">
      <c r="B66" s="480" t="s">
        <v>1958</v>
      </c>
      <c r="C66" s="489">
        <v>94319</v>
      </c>
      <c r="D66" s="438" t="s">
        <v>1665</v>
      </c>
      <c r="E66" s="469" t="s">
        <v>1809</v>
      </c>
      <c r="F66" s="481" t="s">
        <v>25</v>
      </c>
      <c r="G66" s="471">
        <f>42+29.75</f>
        <v>71.75</v>
      </c>
      <c r="H66" s="426">
        <f>VLOOKUP($C66,SINAPI!$A$2:$L$1160,6,FALSE)</f>
        <v>89.92</v>
      </c>
      <c r="I66" s="441">
        <f t="shared" ref="I66:I74" si="19">IF(G66=0,"-",$I$7)</f>
        <v>0.24440000000000001</v>
      </c>
      <c r="J66" s="428">
        <f t="shared" ref="J66:J81" si="20">IFERROR(TRUNC(H66*(1+I66),2),"-")</f>
        <v>111.89</v>
      </c>
      <c r="K66" s="472">
        <f t="shared" ref="K66:K81" si="21">IFERROR(TRUNC(G66*J66,2),"-")</f>
        <v>8028.1</v>
      </c>
      <c r="L66" s="430"/>
      <c r="M66" s="690">
        <f t="shared" si="18"/>
        <v>7.4621367041768204E-3</v>
      </c>
    </row>
    <row r="67" spans="2:16" ht="25.5" x14ac:dyDescent="0.2">
      <c r="B67" s="480" t="s">
        <v>1959</v>
      </c>
      <c r="C67" s="489" t="s">
        <v>2027</v>
      </c>
      <c r="D67" s="422" t="s">
        <v>1687</v>
      </c>
      <c r="E67" s="469" t="s">
        <v>1826</v>
      </c>
      <c r="F67" s="481" t="s">
        <v>25</v>
      </c>
      <c r="G67" s="471">
        <f>110.2+(24*1.6)+(32*1.1)</f>
        <v>183.8</v>
      </c>
      <c r="H67" s="426">
        <f>VLOOKUP($C67,COMPOSIÇÕES!$A$2:$L$1172,6,FALSE)</f>
        <v>97.02</v>
      </c>
      <c r="I67" s="441">
        <f t="shared" si="19"/>
        <v>0.24440000000000001</v>
      </c>
      <c r="J67" s="428">
        <f t="shared" si="20"/>
        <v>120.73</v>
      </c>
      <c r="K67" s="472">
        <f t="shared" si="21"/>
        <v>22190.17</v>
      </c>
      <c r="L67" s="430"/>
      <c r="M67" s="690">
        <f t="shared" si="18"/>
        <v>2.0625812088654018E-2</v>
      </c>
    </row>
    <row r="68" spans="2:16" x14ac:dyDescent="0.2">
      <c r="B68" s="480" t="s">
        <v>1960</v>
      </c>
      <c r="C68" s="489">
        <v>407819</v>
      </c>
      <c r="D68" s="422" t="s">
        <v>1767</v>
      </c>
      <c r="E68" s="469" t="s">
        <v>1827</v>
      </c>
      <c r="F68" s="481" t="s">
        <v>1764</v>
      </c>
      <c r="G68" s="471">
        <f>299.16+101.76+98.72</f>
        <v>499.64</v>
      </c>
      <c r="H68" s="426">
        <f>VLOOKUP($C68,SICRO!$A$2:$L$1163,6,FALSE)</f>
        <v>12.31</v>
      </c>
      <c r="I68" s="441">
        <f t="shared" si="19"/>
        <v>0.24440000000000001</v>
      </c>
      <c r="J68" s="428">
        <f t="shared" si="20"/>
        <v>15.31</v>
      </c>
      <c r="K68" s="472">
        <f t="shared" si="21"/>
        <v>7649.48</v>
      </c>
      <c r="L68" s="430"/>
      <c r="M68" s="690">
        <f t="shared" si="18"/>
        <v>7.1102085768571018E-3</v>
      </c>
    </row>
    <row r="69" spans="2:16" x14ac:dyDescent="0.2">
      <c r="B69" s="480" t="s">
        <v>1961</v>
      </c>
      <c r="C69" s="489">
        <v>407819</v>
      </c>
      <c r="D69" s="422" t="s">
        <v>1767</v>
      </c>
      <c r="E69" s="469" t="s">
        <v>1828</v>
      </c>
      <c r="F69" s="481" t="s">
        <v>1764</v>
      </c>
      <c r="G69" s="471">
        <f>462.66+182.44+127.89+37.24</f>
        <v>810.23</v>
      </c>
      <c r="H69" s="426">
        <f>VLOOKUP($C69,SICRO!$A$2:$L$1163,6,FALSE)</f>
        <v>12.31</v>
      </c>
      <c r="I69" s="441">
        <f t="shared" si="19"/>
        <v>0.24440000000000001</v>
      </c>
      <c r="J69" s="428">
        <f t="shared" si="20"/>
        <v>15.31</v>
      </c>
      <c r="K69" s="472">
        <f t="shared" si="21"/>
        <v>12404.62</v>
      </c>
      <c r="L69" s="430"/>
      <c r="M69" s="690">
        <f t="shared" si="18"/>
        <v>1.1530121722869156E-2</v>
      </c>
    </row>
    <row r="70" spans="2:16" ht="38.25" x14ac:dyDescent="0.2">
      <c r="B70" s="480" t="s">
        <v>1962</v>
      </c>
      <c r="C70" s="489">
        <v>1527</v>
      </c>
      <c r="D70" s="422" t="s">
        <v>1665</v>
      </c>
      <c r="E70" s="469" t="s">
        <v>1824</v>
      </c>
      <c r="F70" s="481" t="s">
        <v>25</v>
      </c>
      <c r="G70" s="471">
        <f>11.67+5.64+2.68+0.76</f>
        <v>20.75</v>
      </c>
      <c r="H70" s="426">
        <f>VLOOKUP($C70,SINAPI!$A$2:$L$1160,6,FALSE)</f>
        <v>504.95</v>
      </c>
      <c r="I70" s="441">
        <f t="shared" si="19"/>
        <v>0.24440000000000001</v>
      </c>
      <c r="J70" s="428">
        <f t="shared" si="20"/>
        <v>628.35</v>
      </c>
      <c r="K70" s="472">
        <f t="shared" si="21"/>
        <v>13038.26</v>
      </c>
      <c r="L70" s="430"/>
      <c r="M70" s="690">
        <f t="shared" si="18"/>
        <v>1.2119091504166674E-2</v>
      </c>
    </row>
    <row r="71" spans="2:16" ht="25.5" x14ac:dyDescent="0.2">
      <c r="B71" s="480" t="s">
        <v>1963</v>
      </c>
      <c r="C71" s="489">
        <v>103673</v>
      </c>
      <c r="D71" s="422" t="s">
        <v>1665</v>
      </c>
      <c r="E71" s="469" t="s">
        <v>1823</v>
      </c>
      <c r="F71" s="481" t="s">
        <v>25</v>
      </c>
      <c r="G71" s="471">
        <f>G70</f>
        <v>20.75</v>
      </c>
      <c r="H71" s="426">
        <f>VLOOKUP($C71,SINAPI!$A$2:$L$1160,6,FALSE)</f>
        <v>57.21</v>
      </c>
      <c r="I71" s="441">
        <f t="shared" si="19"/>
        <v>0.24440000000000001</v>
      </c>
      <c r="J71" s="428">
        <f t="shared" si="20"/>
        <v>71.19</v>
      </c>
      <c r="K71" s="472">
        <f t="shared" si="21"/>
        <v>1477.19</v>
      </c>
      <c r="L71" s="430"/>
      <c r="M71" s="690">
        <f t="shared" si="18"/>
        <v>1.3730513718118805E-3</v>
      </c>
    </row>
    <row r="72" spans="2:16" ht="25.5" x14ac:dyDescent="0.2">
      <c r="B72" s="480" t="s">
        <v>1964</v>
      </c>
      <c r="C72" s="460" t="s">
        <v>1805</v>
      </c>
      <c r="D72" s="422" t="s">
        <v>1687</v>
      </c>
      <c r="E72" s="469" t="s">
        <v>1829</v>
      </c>
      <c r="F72" s="481" t="s">
        <v>1672</v>
      </c>
      <c r="G72" s="471">
        <f>64+54.9</f>
        <v>118.9</v>
      </c>
      <c r="H72" s="426">
        <f>VLOOKUP($C72,COMPOSIÇÕES!$A$2:$L$1172,6,FALSE)</f>
        <v>142.82</v>
      </c>
      <c r="I72" s="441">
        <f t="shared" si="19"/>
        <v>0.24440000000000001</v>
      </c>
      <c r="J72" s="428">
        <f>IFERROR(TRUNC(H72*(1+I72),2),"-")</f>
        <v>177.72</v>
      </c>
      <c r="K72" s="472">
        <f t="shared" si="21"/>
        <v>21130.9</v>
      </c>
      <c r="L72" s="430"/>
      <c r="M72" s="690">
        <f t="shared" si="18"/>
        <v>1.9641218281073975E-2</v>
      </c>
    </row>
    <row r="73" spans="2:16" ht="25.5" x14ac:dyDescent="0.2">
      <c r="B73" s="480" t="s">
        <v>1965</v>
      </c>
      <c r="C73" s="489">
        <v>91596</v>
      </c>
      <c r="D73" s="422" t="s">
        <v>1665</v>
      </c>
      <c r="E73" s="469" t="s">
        <v>1835</v>
      </c>
      <c r="F73" s="481" t="s">
        <v>1764</v>
      </c>
      <c r="G73" s="471">
        <f>131.77+94.23</f>
        <v>226</v>
      </c>
      <c r="H73" s="426">
        <f>VLOOKUP($C73,SINAPI!$A$2:$L$1160,6,FALSE)</f>
        <v>9.6300000000000008</v>
      </c>
      <c r="I73" s="441">
        <f t="shared" si="19"/>
        <v>0.24440000000000001</v>
      </c>
      <c r="J73" s="428">
        <f t="shared" si="20"/>
        <v>11.98</v>
      </c>
      <c r="K73" s="472">
        <f t="shared" si="21"/>
        <v>2707.48</v>
      </c>
      <c r="L73" s="430"/>
      <c r="M73" s="690">
        <f t="shared" si="18"/>
        <v>2.5166086476033755E-3</v>
      </c>
    </row>
    <row r="74" spans="2:16" ht="25.5" x14ac:dyDescent="0.2">
      <c r="B74" s="480" t="s">
        <v>1966</v>
      </c>
      <c r="C74" s="489">
        <v>3108004</v>
      </c>
      <c r="D74" s="422" t="s">
        <v>1767</v>
      </c>
      <c r="E74" s="469" t="s">
        <v>1840</v>
      </c>
      <c r="F74" s="544" t="s">
        <v>1672</v>
      </c>
      <c r="G74" s="471">
        <f>(13.56+17.68+37.8+47.25)/2</f>
        <v>58.144999999999996</v>
      </c>
      <c r="H74" s="426">
        <f>VLOOKUP($C74,SICRO!$A$2:$L$1163,6,FALSE)</f>
        <v>96.17</v>
      </c>
      <c r="I74" s="441">
        <f t="shared" si="19"/>
        <v>0.24440000000000001</v>
      </c>
      <c r="J74" s="428">
        <f t="shared" si="20"/>
        <v>119.67</v>
      </c>
      <c r="K74" s="472">
        <f t="shared" si="21"/>
        <v>6958.21</v>
      </c>
      <c r="L74" s="430"/>
      <c r="M74" s="690">
        <f t="shared" si="18"/>
        <v>6.4676715831105984E-3</v>
      </c>
    </row>
    <row r="75" spans="2:16" ht="25.5" x14ac:dyDescent="0.2">
      <c r="B75" s="480" t="s">
        <v>1967</v>
      </c>
      <c r="C75" s="489">
        <v>2003850</v>
      </c>
      <c r="D75" s="422" t="s">
        <v>1689</v>
      </c>
      <c r="E75" s="469" t="s">
        <v>1801</v>
      </c>
      <c r="F75" s="481" t="s">
        <v>25</v>
      </c>
      <c r="G75" s="471">
        <f>1.42+1.02</f>
        <v>2.44</v>
      </c>
      <c r="H75" s="426">
        <f>VLOOKUP($C75,SICRO!$A$2:$L$1163,6,FALSE)</f>
        <v>147.81</v>
      </c>
      <c r="I75" s="441">
        <f>IF(G75=0,"-",$I$7)</f>
        <v>0.24440000000000001</v>
      </c>
      <c r="J75" s="428">
        <f t="shared" si="20"/>
        <v>183.93</v>
      </c>
      <c r="K75" s="472">
        <f t="shared" si="21"/>
        <v>448.78</v>
      </c>
      <c r="L75" s="430"/>
      <c r="M75" s="690">
        <f t="shared" si="18"/>
        <v>4.171420024788522E-4</v>
      </c>
    </row>
    <row r="76" spans="2:16" x14ac:dyDescent="0.2">
      <c r="B76" s="480" t="s">
        <v>1968</v>
      </c>
      <c r="C76" s="460">
        <v>407819</v>
      </c>
      <c r="D76" s="422" t="s">
        <v>1767</v>
      </c>
      <c r="E76" s="469" t="s">
        <v>1878</v>
      </c>
      <c r="F76" s="481" t="s">
        <v>1764</v>
      </c>
      <c r="G76" s="471">
        <f>231*0.66</f>
        <v>152.46</v>
      </c>
      <c r="H76" s="426">
        <f>VLOOKUP($C76,SICRO!$A$2:$L$1163,6,FALSE)</f>
        <v>12.31</v>
      </c>
      <c r="I76" s="441">
        <f t="shared" ref="I76:I81" si="22">IF(G76=0,"-",$I$7)</f>
        <v>0.24440000000000001</v>
      </c>
      <c r="J76" s="428">
        <f t="shared" si="20"/>
        <v>15.31</v>
      </c>
      <c r="K76" s="472">
        <f t="shared" si="21"/>
        <v>2334.16</v>
      </c>
      <c r="L76" s="430"/>
      <c r="M76" s="690">
        <f t="shared" si="18"/>
        <v>2.1696068820046296E-3</v>
      </c>
    </row>
    <row r="77" spans="2:16" ht="38.25" x14ac:dyDescent="0.2">
      <c r="B77" s="480" t="s">
        <v>1969</v>
      </c>
      <c r="C77" s="460">
        <v>1527</v>
      </c>
      <c r="D77" s="422" t="s">
        <v>1665</v>
      </c>
      <c r="E77" s="469" t="s">
        <v>1879</v>
      </c>
      <c r="F77" s="481" t="s">
        <v>25</v>
      </c>
      <c r="G77" s="471">
        <f>231*0.025725</f>
        <v>5.942475</v>
      </c>
      <c r="H77" s="426">
        <f>VLOOKUP($C77,SINAPI!$A$2:$L$1160,6,FALSE)</f>
        <v>504.95</v>
      </c>
      <c r="I77" s="441">
        <f t="shared" si="22"/>
        <v>0.24440000000000001</v>
      </c>
      <c r="J77" s="428">
        <f t="shared" si="20"/>
        <v>628.35</v>
      </c>
      <c r="K77" s="472">
        <f t="shared" si="21"/>
        <v>3733.95</v>
      </c>
      <c r="L77" s="430"/>
      <c r="M77" s="690">
        <f t="shared" si="18"/>
        <v>3.4707147826460853E-3</v>
      </c>
    </row>
    <row r="78" spans="2:16" ht="25.5" x14ac:dyDescent="0.2">
      <c r="B78" s="480" t="s">
        <v>1970</v>
      </c>
      <c r="C78" s="460">
        <v>103673</v>
      </c>
      <c r="D78" s="422" t="s">
        <v>1665</v>
      </c>
      <c r="E78" s="469" t="s">
        <v>1880</v>
      </c>
      <c r="F78" s="481" t="s">
        <v>25</v>
      </c>
      <c r="G78" s="471">
        <f>231*0.025725</f>
        <v>5.942475</v>
      </c>
      <c r="H78" s="426">
        <f>VLOOKUP($C78,SINAPI!$A$2:$L$1160,6,FALSE)</f>
        <v>57.21</v>
      </c>
      <c r="I78" s="441">
        <f t="shared" si="22"/>
        <v>0.24440000000000001</v>
      </c>
      <c r="J78" s="428">
        <f t="shared" si="20"/>
        <v>71.19</v>
      </c>
      <c r="K78" s="472">
        <f t="shared" si="21"/>
        <v>423.04</v>
      </c>
      <c r="L78" s="430"/>
      <c r="M78" s="690">
        <f t="shared" si="18"/>
        <v>3.9321661555473424E-4</v>
      </c>
    </row>
    <row r="79" spans="2:16" x14ac:dyDescent="0.2">
      <c r="B79" s="480" t="s">
        <v>1971</v>
      </c>
      <c r="C79" s="422" t="s">
        <v>1804</v>
      </c>
      <c r="D79" s="422" t="s">
        <v>1687</v>
      </c>
      <c r="E79" s="469" t="s">
        <v>1881</v>
      </c>
      <c r="F79" s="481" t="s">
        <v>1672</v>
      </c>
      <c r="G79" s="471">
        <f>231*0.62</f>
        <v>143.22</v>
      </c>
      <c r="H79" s="426">
        <f>VLOOKUP($C79,COMPOSIÇÕES!$A$2:$L$1172,6,FALSE)</f>
        <v>62.5</v>
      </c>
      <c r="I79" s="441">
        <f t="shared" si="22"/>
        <v>0.24440000000000001</v>
      </c>
      <c r="J79" s="428">
        <f t="shared" si="20"/>
        <v>77.77</v>
      </c>
      <c r="K79" s="472">
        <f t="shared" si="21"/>
        <v>11138.21</v>
      </c>
      <c r="L79" s="430"/>
      <c r="M79" s="690">
        <f t="shared" si="18"/>
        <v>1.0352990827198129E-2</v>
      </c>
      <c r="N79" s="477"/>
    </row>
    <row r="80" spans="2:16" x14ac:dyDescent="0.2">
      <c r="B80" s="480" t="s">
        <v>1972</v>
      </c>
      <c r="C80" s="460" t="s">
        <v>1877</v>
      </c>
      <c r="D80" s="422" t="s">
        <v>1687</v>
      </c>
      <c r="E80" s="469" t="s">
        <v>1884</v>
      </c>
      <c r="F80" s="481" t="s">
        <v>1672</v>
      </c>
      <c r="G80" s="471">
        <f>G81</f>
        <v>96</v>
      </c>
      <c r="H80" s="426">
        <f>VLOOKUP($C80,COMPOSIÇÕES!$A$2:$L$1172,6,FALSE)</f>
        <v>22.919999999999998</v>
      </c>
      <c r="I80" s="441">
        <f t="shared" si="22"/>
        <v>0.24440000000000001</v>
      </c>
      <c r="J80" s="428">
        <f t="shared" si="20"/>
        <v>28.52</v>
      </c>
      <c r="K80" s="472">
        <f t="shared" si="21"/>
        <v>2737.92</v>
      </c>
      <c r="L80" s="430"/>
      <c r="M80" s="690">
        <f t="shared" si="18"/>
        <v>2.5449026949215629E-3</v>
      </c>
      <c r="N80" s="477"/>
      <c r="P80" s="572"/>
    </row>
    <row r="81" spans="2:17" x14ac:dyDescent="0.2">
      <c r="B81" s="480" t="s">
        <v>1973</v>
      </c>
      <c r="C81" s="460" t="s">
        <v>1807</v>
      </c>
      <c r="D81" s="422" t="s">
        <v>1687</v>
      </c>
      <c r="E81" s="573" t="s">
        <v>1883</v>
      </c>
      <c r="F81" s="481" t="s">
        <v>1672</v>
      </c>
      <c r="G81" s="463">
        <v>96</v>
      </c>
      <c r="H81" s="426">
        <f>VLOOKUP($C81,COMPOSIÇÕES!$A$2:$L$1172,6,FALSE)</f>
        <v>15.74</v>
      </c>
      <c r="I81" s="441">
        <f t="shared" si="22"/>
        <v>0.24440000000000001</v>
      </c>
      <c r="J81" s="428">
        <f t="shared" si="20"/>
        <v>19.579999999999998</v>
      </c>
      <c r="K81" s="472">
        <f t="shared" si="21"/>
        <v>1879.68</v>
      </c>
      <c r="L81" s="574"/>
      <c r="M81" s="695">
        <f t="shared" si="18"/>
        <v>1.7471667169202036E-3</v>
      </c>
      <c r="N81" s="477"/>
      <c r="P81" s="575"/>
    </row>
    <row r="82" spans="2:17" ht="13.5" thickBot="1" x14ac:dyDescent="0.25">
      <c r="B82" s="782"/>
      <c r="C82" s="783"/>
      <c r="D82" s="783"/>
      <c r="E82" s="783"/>
      <c r="F82" s="783"/>
      <c r="G82" s="783"/>
      <c r="H82" s="783"/>
      <c r="I82" s="783"/>
      <c r="J82" s="783"/>
      <c r="K82" s="784"/>
      <c r="L82" s="430"/>
      <c r="M82" s="690">
        <f t="shared" si="18"/>
        <v>0</v>
      </c>
    </row>
    <row r="83" spans="2:17" ht="15" customHeight="1" thickBot="1" x14ac:dyDescent="0.25">
      <c r="B83" s="785" t="s">
        <v>1923</v>
      </c>
      <c r="C83" s="786"/>
      <c r="D83" s="786"/>
      <c r="E83" s="786"/>
      <c r="F83" s="786"/>
      <c r="G83" s="786"/>
      <c r="H83" s="786"/>
      <c r="I83" s="786"/>
      <c r="J83" s="786"/>
      <c r="K83" s="787"/>
      <c r="L83" s="432">
        <f>SUM(K65:K82)</f>
        <v>119610.80999999998</v>
      </c>
      <c r="M83" s="690"/>
    </row>
    <row r="84" spans="2:17" ht="15" customHeight="1" thickBot="1" x14ac:dyDescent="0.25">
      <c r="B84" s="452" t="s">
        <v>1771</v>
      </c>
      <c r="C84" s="434"/>
      <c r="D84" s="453"/>
      <c r="E84" s="781" t="s">
        <v>1921</v>
      </c>
      <c r="F84" s="781"/>
      <c r="G84" s="781"/>
      <c r="H84" s="781"/>
      <c r="I84" s="781"/>
      <c r="J84" s="781"/>
      <c r="K84" s="781"/>
      <c r="L84" s="479"/>
      <c r="M84" s="690"/>
    </row>
    <row r="85" spans="2:17" ht="25.5" x14ac:dyDescent="0.2">
      <c r="B85" s="480" t="s">
        <v>1974</v>
      </c>
      <c r="C85" s="483" t="s">
        <v>1898</v>
      </c>
      <c r="D85" s="483" t="s">
        <v>1850</v>
      </c>
      <c r="E85" s="484" t="s">
        <v>1851</v>
      </c>
      <c r="F85" s="485" t="s">
        <v>1658</v>
      </c>
      <c r="G85" s="471">
        <f>27.05+29.2+40.15+113.8</f>
        <v>210.2</v>
      </c>
      <c r="H85" s="486">
        <f>572.2*1.0325</f>
        <v>590.79650000000004</v>
      </c>
      <c r="I85" s="487">
        <v>0.15279999999999999</v>
      </c>
      <c r="J85" s="428">
        <f t="shared" ref="J85:J87" si="23">IFERROR(TRUNC(H85*(1+I85),2),"-")</f>
        <v>681.07</v>
      </c>
      <c r="K85" s="472">
        <f t="shared" ref="K85:K87" si="24">IFERROR(TRUNC(G85*J85,2),"-")</f>
        <v>143160.91</v>
      </c>
      <c r="L85" s="430"/>
      <c r="M85" s="690">
        <f>IFERROR(K85/$L$11,"-")</f>
        <v>0.1330683824459529</v>
      </c>
      <c r="N85" s="318" t="s">
        <v>2058</v>
      </c>
      <c r="P85" s="488" t="s">
        <v>1891</v>
      </c>
    </row>
    <row r="86" spans="2:17" ht="25.5" x14ac:dyDescent="0.2">
      <c r="B86" s="480" t="s">
        <v>1975</v>
      </c>
      <c r="C86" s="483" t="s">
        <v>1899</v>
      </c>
      <c r="D86" s="483" t="s">
        <v>1850</v>
      </c>
      <c r="E86" s="484" t="s">
        <v>1852</v>
      </c>
      <c r="F86" s="485" t="s">
        <v>1658</v>
      </c>
      <c r="G86" s="471">
        <f>94.5+67.8</f>
        <v>162.30000000000001</v>
      </c>
      <c r="H86" s="486">
        <f>733.6*1.0325</f>
        <v>757.44200000000001</v>
      </c>
      <c r="I86" s="487">
        <v>0.15279999999999999</v>
      </c>
      <c r="J86" s="428">
        <f t="shared" si="23"/>
        <v>873.17</v>
      </c>
      <c r="K86" s="472">
        <f t="shared" si="24"/>
        <v>141715.49</v>
      </c>
      <c r="L86" s="430"/>
      <c r="M86" s="690">
        <f>IFERROR(K86/$L$11,"-")</f>
        <v>0.13172486135940048</v>
      </c>
      <c r="N86" s="318" t="s">
        <v>2058</v>
      </c>
      <c r="P86" s="490">
        <f>(K85+K86)*0.5</f>
        <v>142438.20000000001</v>
      </c>
      <c r="Q86" s="491" t="e">
        <f>P86/#REF!</f>
        <v>#REF!</v>
      </c>
    </row>
    <row r="87" spans="2:17" x14ac:dyDescent="0.2">
      <c r="B87" s="480" t="s">
        <v>1976</v>
      </c>
      <c r="C87" s="489">
        <v>3807862</v>
      </c>
      <c r="D87" s="459" t="s">
        <v>1767</v>
      </c>
      <c r="E87" s="484" t="s">
        <v>1853</v>
      </c>
      <c r="F87" s="470" t="s">
        <v>1765</v>
      </c>
      <c r="G87" s="471">
        <v>592</v>
      </c>
      <c r="H87" s="426">
        <f>VLOOKUP($C87,SICRO!$A$2:$L$1163,6,FALSE)</f>
        <v>4.3600000000000003</v>
      </c>
      <c r="I87" s="441">
        <f t="shared" ref="I87" si="25">IF(G87=0,"-",$I$7)</f>
        <v>0.24440000000000001</v>
      </c>
      <c r="J87" s="550">
        <f t="shared" si="23"/>
        <v>5.42</v>
      </c>
      <c r="K87" s="472">
        <f t="shared" si="24"/>
        <v>3208.64</v>
      </c>
      <c r="L87" s="430"/>
      <c r="M87" s="690">
        <f t="shared" ref="M87:M88" si="26">IFERROR(K87/$L$11,"-")</f>
        <v>2.9824379759208169E-3</v>
      </c>
      <c r="N87" s="318" t="s">
        <v>1885</v>
      </c>
    </row>
    <row r="88" spans="2:17" ht="13.5" thickBot="1" x14ac:dyDescent="0.25">
      <c r="B88" s="782"/>
      <c r="C88" s="783"/>
      <c r="D88" s="783"/>
      <c r="E88" s="783"/>
      <c r="F88" s="783"/>
      <c r="G88" s="783"/>
      <c r="H88" s="783"/>
      <c r="I88" s="783"/>
      <c r="J88" s="783"/>
      <c r="K88" s="784"/>
      <c r="L88" s="430"/>
      <c r="M88" s="690">
        <f t="shared" si="26"/>
        <v>0</v>
      </c>
    </row>
    <row r="89" spans="2:17" ht="15" customHeight="1" thickBot="1" x14ac:dyDescent="0.25">
      <c r="B89" s="785" t="s">
        <v>1921</v>
      </c>
      <c r="C89" s="786"/>
      <c r="D89" s="786"/>
      <c r="E89" s="786"/>
      <c r="F89" s="786"/>
      <c r="G89" s="786"/>
      <c r="H89" s="786"/>
      <c r="I89" s="786"/>
      <c r="J89" s="786"/>
      <c r="K89" s="787"/>
      <c r="L89" s="432">
        <f>SUM(K85:K88)</f>
        <v>288085.04000000004</v>
      </c>
      <c r="M89" s="690"/>
      <c r="N89" s="492"/>
    </row>
    <row r="90" spans="2:17" ht="15" customHeight="1" thickBot="1" x14ac:dyDescent="0.25">
      <c r="B90" s="452" t="s">
        <v>1860</v>
      </c>
      <c r="C90" s="434"/>
      <c r="D90" s="453"/>
      <c r="E90" s="781" t="s">
        <v>1922</v>
      </c>
      <c r="F90" s="781"/>
      <c r="G90" s="781"/>
      <c r="H90" s="781"/>
      <c r="I90" s="781"/>
      <c r="J90" s="781"/>
      <c r="K90" s="781"/>
      <c r="L90" s="479"/>
      <c r="M90" s="690"/>
      <c r="N90" s="493"/>
      <c r="P90" s="488"/>
    </row>
    <row r="91" spans="2:17" x14ac:dyDescent="0.2">
      <c r="B91" s="480" t="s">
        <v>1977</v>
      </c>
      <c r="C91" s="482">
        <v>407819</v>
      </c>
      <c r="D91" s="422" t="s">
        <v>1767</v>
      </c>
      <c r="E91" s="469" t="s">
        <v>1819</v>
      </c>
      <c r="F91" s="481" t="s">
        <v>1764</v>
      </c>
      <c r="G91" s="471">
        <f>1508.32+744.95+329.23+257.48+222.01+262.89+459.6+22.24</f>
        <v>3806.7199999999993</v>
      </c>
      <c r="H91" s="426">
        <f>VLOOKUP($C91,SICRO!$A$2:$L$1163,6,FALSE)</f>
        <v>12.31</v>
      </c>
      <c r="I91" s="441">
        <f t="shared" ref="I91:I98" si="27">IF(G91=0,"-",$I$7)</f>
        <v>0.24440000000000001</v>
      </c>
      <c r="J91" s="428">
        <f t="shared" ref="J91:J98" si="28">IFERROR(TRUNC(H91*(1+I91),2),"-")</f>
        <v>15.31</v>
      </c>
      <c r="K91" s="472">
        <f t="shared" ref="K91:K98" si="29">IFERROR(TRUNC(G91*J91,2),"-")</f>
        <v>58280.88</v>
      </c>
      <c r="L91" s="430"/>
      <c r="M91" s="690">
        <f t="shared" ref="M91:M99" si="30">IFERROR(K91/$L$11,"-")</f>
        <v>5.4172206848410551E-2</v>
      </c>
      <c r="N91" s="492"/>
      <c r="P91" s="490"/>
    </row>
    <row r="92" spans="2:17" ht="38.25" x14ac:dyDescent="0.2">
      <c r="B92" s="468" t="s">
        <v>1978</v>
      </c>
      <c r="C92" s="460">
        <v>1527</v>
      </c>
      <c r="D92" s="422" t="s">
        <v>1665</v>
      </c>
      <c r="E92" s="469" t="s">
        <v>1879</v>
      </c>
      <c r="F92" s="481" t="s">
        <v>25</v>
      </c>
      <c r="G92" s="471">
        <f>83.51+40.98+16.63+13.67+11.4+11.54+21.6+0.91</f>
        <v>200.23999999999998</v>
      </c>
      <c r="H92" s="426">
        <f>VLOOKUP($C92,SINAPI!$A$2:$L$1160,6,FALSE)</f>
        <v>504.95</v>
      </c>
      <c r="I92" s="441">
        <f t="shared" si="27"/>
        <v>0.24440000000000001</v>
      </c>
      <c r="J92" s="428">
        <f t="shared" si="28"/>
        <v>628.35</v>
      </c>
      <c r="K92" s="472">
        <f t="shared" si="29"/>
        <v>125820.8</v>
      </c>
      <c r="L92" s="430"/>
      <c r="M92" s="690">
        <f t="shared" si="30"/>
        <v>0.1169507118532269</v>
      </c>
      <c r="N92" s="492"/>
      <c r="P92" s="490"/>
    </row>
    <row r="93" spans="2:17" ht="25.5" x14ac:dyDescent="0.2">
      <c r="B93" s="480" t="s">
        <v>1979</v>
      </c>
      <c r="C93" s="489">
        <v>103673</v>
      </c>
      <c r="D93" s="422" t="s">
        <v>1665</v>
      </c>
      <c r="E93" s="469" t="s">
        <v>1823</v>
      </c>
      <c r="F93" s="481" t="s">
        <v>25</v>
      </c>
      <c r="G93" s="471">
        <f>G92</f>
        <v>200.23999999999998</v>
      </c>
      <c r="H93" s="426">
        <f>VLOOKUP($C93,SINAPI!$A$2:$L$1160,6,FALSE)</f>
        <v>57.21</v>
      </c>
      <c r="I93" s="441">
        <f t="shared" si="27"/>
        <v>0.24440000000000001</v>
      </c>
      <c r="J93" s="428">
        <f t="shared" si="28"/>
        <v>71.19</v>
      </c>
      <c r="K93" s="472">
        <f t="shared" si="29"/>
        <v>14255.08</v>
      </c>
      <c r="L93" s="430"/>
      <c r="M93" s="690">
        <f t="shared" si="30"/>
        <v>1.3250128385169207E-2</v>
      </c>
      <c r="N93" s="492"/>
      <c r="P93" s="490"/>
    </row>
    <row r="94" spans="2:17" ht="25.5" x14ac:dyDescent="0.2">
      <c r="B94" s="480" t="s">
        <v>1980</v>
      </c>
      <c r="C94" s="489">
        <v>3108004</v>
      </c>
      <c r="D94" s="422" t="s">
        <v>1767</v>
      </c>
      <c r="E94" s="469" t="s">
        <v>1840</v>
      </c>
      <c r="F94" s="481" t="s">
        <v>1672</v>
      </c>
      <c r="G94" s="471">
        <f>2*((1.05*189.8)+(1.09*98.5)+(0.75*59.4)+(0.9*40.2)+(0.86*35.2)+(0.55*57.7)+(0.6*98.2)+(0.5*5))/2</f>
        <v>510.81200000000007</v>
      </c>
      <c r="H94" s="426">
        <f>VLOOKUP($C94,SICRO!$A$2:$L$1163,6,FALSE)</f>
        <v>96.17</v>
      </c>
      <c r="I94" s="441">
        <f t="shared" si="27"/>
        <v>0.24440000000000001</v>
      </c>
      <c r="J94" s="428">
        <f t="shared" si="28"/>
        <v>119.67</v>
      </c>
      <c r="K94" s="472">
        <f t="shared" si="29"/>
        <v>61128.87</v>
      </c>
      <c r="L94" s="430"/>
      <c r="M94" s="690">
        <f t="shared" si="30"/>
        <v>5.6819419851752387E-2</v>
      </c>
      <c r="N94" s="492"/>
      <c r="P94" s="490"/>
    </row>
    <row r="95" spans="2:17" ht="21" customHeight="1" x14ac:dyDescent="0.2">
      <c r="B95" s="468" t="s">
        <v>1981</v>
      </c>
      <c r="C95" s="489" t="s">
        <v>1892</v>
      </c>
      <c r="D95" s="422" t="s">
        <v>1687</v>
      </c>
      <c r="E95" s="469" t="s">
        <v>1856</v>
      </c>
      <c r="F95" s="481" t="s">
        <v>1672</v>
      </c>
      <c r="G95" s="471">
        <f>0.4*(40.2+113.8+57.7+14.3+45.1+39.8+36.2+10+25.2+5+5.8+5.5+25.7+9.7+36+62.5+38.4+13.4)</f>
        <v>233.72</v>
      </c>
      <c r="H95" s="426">
        <f>VLOOKUP($C95,COMPOSIÇÕES!$A$2:$L$1172,6,FALSE)</f>
        <v>45.97</v>
      </c>
      <c r="I95" s="441">
        <f t="shared" si="27"/>
        <v>0.24440000000000001</v>
      </c>
      <c r="J95" s="428">
        <f t="shared" si="28"/>
        <v>57.2</v>
      </c>
      <c r="K95" s="472">
        <f t="shared" si="29"/>
        <v>13368.78</v>
      </c>
      <c r="L95" s="430"/>
      <c r="M95" s="690">
        <f t="shared" si="30"/>
        <v>1.242631057511304E-2</v>
      </c>
      <c r="N95" s="477"/>
      <c r="O95" s="490"/>
      <c r="P95" s="490"/>
    </row>
    <row r="96" spans="2:17" ht="25.5" x14ac:dyDescent="0.2">
      <c r="B96" s="480" t="s">
        <v>1982</v>
      </c>
      <c r="C96" s="357" t="s">
        <v>1876</v>
      </c>
      <c r="D96" s="422" t="s">
        <v>1687</v>
      </c>
      <c r="E96" s="469" t="str">
        <f>'AUX COMPOSIÇÕES'!B74</f>
        <v>FURAÇÃO PARA 10,0MM EM CONCRETO ARMADO, INCLUSIVE COLAGEM DE ARMADURA (PARA 8MM) - PROFUNDADE 13 CM</v>
      </c>
      <c r="F96" s="470" t="s">
        <v>1765</v>
      </c>
      <c r="G96" s="471">
        <f>594+402+352+577+982+50</f>
        <v>2957</v>
      </c>
      <c r="H96" s="426">
        <f>VLOOKUP($C96,COMPOSIÇÕES!$A$2:$L$1172,6,FALSE)</f>
        <v>15.46</v>
      </c>
      <c r="I96" s="441">
        <f t="shared" si="27"/>
        <v>0.24440000000000001</v>
      </c>
      <c r="J96" s="428">
        <f t="shared" si="28"/>
        <v>19.23</v>
      </c>
      <c r="K96" s="472">
        <f t="shared" si="29"/>
        <v>56863.11</v>
      </c>
      <c r="L96" s="430"/>
      <c r="M96" s="690">
        <f t="shared" si="30"/>
        <v>5.2854386498006251E-2</v>
      </c>
      <c r="P96" s="490"/>
    </row>
    <row r="97" spans="2:16" ht="25.5" x14ac:dyDescent="0.2">
      <c r="B97" s="480" t="s">
        <v>1983</v>
      </c>
      <c r="C97" s="380" t="s">
        <v>2028</v>
      </c>
      <c r="D97" s="422" t="s">
        <v>1687</v>
      </c>
      <c r="E97" s="469" t="str">
        <f>'AUX COMPOSIÇÕES'!B86</f>
        <v>FURAÇÃO PARA 10,0MM EM CONCRETO ARMADO, INCLUSIVE COLAGEM DE ARMADURA (PARA 8MM) - PROFUNDADE 15 CM</v>
      </c>
      <c r="F97" s="470" t="s">
        <v>1765</v>
      </c>
      <c r="G97" s="471">
        <v>985</v>
      </c>
      <c r="H97" s="426">
        <f>VLOOKUP($C97,COMPOSIÇÕES!$A$2:$L$1172,6,FALSE)</f>
        <v>17.880000000000003</v>
      </c>
      <c r="I97" s="441">
        <f t="shared" si="27"/>
        <v>0.24440000000000001</v>
      </c>
      <c r="J97" s="428">
        <f t="shared" si="28"/>
        <v>22.24</v>
      </c>
      <c r="K97" s="472">
        <f t="shared" si="29"/>
        <v>21906.400000000001</v>
      </c>
      <c r="L97" s="430"/>
      <c r="M97" s="690">
        <f t="shared" si="30"/>
        <v>2.0362047246095479E-2</v>
      </c>
      <c r="P97" s="490"/>
    </row>
    <row r="98" spans="2:16" ht="25.5" x14ac:dyDescent="0.2">
      <c r="B98" s="468" t="s">
        <v>1984</v>
      </c>
      <c r="C98" s="380" t="s">
        <v>2026</v>
      </c>
      <c r="D98" s="422" t="s">
        <v>1687</v>
      </c>
      <c r="E98" s="469" t="str">
        <f>'AUX COMPOSIÇÕES'!B98</f>
        <v>FURAÇÃO PARA 10,0MM EM CONCRETO ARMADO, INCLUSIVE COLAGEM DE ARMADURA (PARA 8MM) - PROFUNDADE 18 CM</v>
      </c>
      <c r="F98" s="470" t="s">
        <v>1765</v>
      </c>
      <c r="G98" s="471">
        <v>1898</v>
      </c>
      <c r="H98" s="426">
        <f>VLOOKUP($C98,COMPOSIÇÕES!$A$2:$L$1172,6,FALSE)</f>
        <v>21.5</v>
      </c>
      <c r="I98" s="441">
        <f t="shared" si="27"/>
        <v>0.24440000000000001</v>
      </c>
      <c r="J98" s="428">
        <f t="shared" si="28"/>
        <v>26.75</v>
      </c>
      <c r="K98" s="472">
        <f t="shared" si="29"/>
        <v>50771.5</v>
      </c>
      <c r="L98" s="430"/>
      <c r="M98" s="690">
        <f t="shared" si="30"/>
        <v>4.7192221531385185E-2</v>
      </c>
      <c r="O98" s="494">
        <f>SUM(K96:K98)+5389.21</f>
        <v>134930.22</v>
      </c>
      <c r="P98" s="490"/>
    </row>
    <row r="99" spans="2:16" ht="13.5" thickBot="1" x14ac:dyDescent="0.25">
      <c r="B99" s="782"/>
      <c r="C99" s="783"/>
      <c r="D99" s="783"/>
      <c r="E99" s="783"/>
      <c r="F99" s="783"/>
      <c r="G99" s="783"/>
      <c r="H99" s="783"/>
      <c r="I99" s="783"/>
      <c r="J99" s="783"/>
      <c r="K99" s="784"/>
      <c r="L99" s="430"/>
      <c r="M99" s="690">
        <f t="shared" si="30"/>
        <v>0</v>
      </c>
      <c r="O99" s="495"/>
      <c r="P99" s="490"/>
    </row>
    <row r="100" spans="2:16" ht="15" customHeight="1" thickBot="1" x14ac:dyDescent="0.25">
      <c r="B100" s="785" t="s">
        <v>1922</v>
      </c>
      <c r="C100" s="786"/>
      <c r="D100" s="786"/>
      <c r="E100" s="786"/>
      <c r="F100" s="786"/>
      <c r="G100" s="786"/>
      <c r="H100" s="786"/>
      <c r="I100" s="786"/>
      <c r="J100" s="786"/>
      <c r="K100" s="787"/>
      <c r="L100" s="432">
        <f>SUM(K91:K99)</f>
        <v>402395.42</v>
      </c>
      <c r="M100" s="690"/>
      <c r="P100" s="496"/>
    </row>
    <row r="101" spans="2:16" ht="15" customHeight="1" thickBot="1" x14ac:dyDescent="0.25">
      <c r="B101" s="478" t="s">
        <v>1901</v>
      </c>
      <c r="C101" s="541"/>
      <c r="D101" s="577"/>
      <c r="E101" s="856" t="s">
        <v>1836</v>
      </c>
      <c r="F101" s="856"/>
      <c r="G101" s="856"/>
      <c r="H101" s="856"/>
      <c r="I101" s="856"/>
      <c r="J101" s="856"/>
      <c r="K101" s="856"/>
      <c r="L101" s="479"/>
      <c r="M101" s="690"/>
      <c r="O101" s="495"/>
    </row>
    <row r="102" spans="2:16" x14ac:dyDescent="0.2">
      <c r="B102" s="468" t="s">
        <v>1985</v>
      </c>
      <c r="C102" s="460" t="s">
        <v>1807</v>
      </c>
      <c r="D102" s="460" t="s">
        <v>1687</v>
      </c>
      <c r="E102" s="573" t="s">
        <v>1886</v>
      </c>
      <c r="F102" s="470" t="s">
        <v>1672</v>
      </c>
      <c r="G102" s="463">
        <f>600.81+868.05</f>
        <v>1468.86</v>
      </c>
      <c r="H102" s="547">
        <f>VLOOKUP($C102,COMPOSIÇÕES!$A$2:$L$1172,6,FALSE)</f>
        <v>15.74</v>
      </c>
      <c r="I102" s="542">
        <f t="shared" ref="I102" si="31">IF(G102=0,"-",$I$7)</f>
        <v>0.24440000000000001</v>
      </c>
      <c r="J102" s="428">
        <f t="shared" ref="J102:J103" si="32">IFERROR(TRUNC(H102*(1+I102),2),"-")</f>
        <v>19.579999999999998</v>
      </c>
      <c r="K102" s="571">
        <f t="shared" ref="K102:K103" si="33">IFERROR(TRUNC(G102*J102,2),"-")</f>
        <v>28760.27</v>
      </c>
      <c r="L102" s="574"/>
      <c r="M102" s="695">
        <f t="shared" ref="M102:M104" si="34">IFERROR(K102/$L$11,"-")</f>
        <v>2.6732734568457726E-2</v>
      </c>
    </row>
    <row r="103" spans="2:16" x14ac:dyDescent="0.2">
      <c r="B103" s="480" t="s">
        <v>1986</v>
      </c>
      <c r="C103" s="489" t="s">
        <v>1808</v>
      </c>
      <c r="D103" s="422" t="s">
        <v>1687</v>
      </c>
      <c r="E103" s="576" t="s">
        <v>1887</v>
      </c>
      <c r="F103" s="551" t="s">
        <v>1672</v>
      </c>
      <c r="G103" s="440">
        <f>293.6+643.36</f>
        <v>936.96</v>
      </c>
      <c r="H103" s="426">
        <f>VLOOKUP($C103,COMPOSIÇÕES!$A$2:$L$1172,6,FALSE)</f>
        <v>0.43</v>
      </c>
      <c r="I103" s="441">
        <f>IF(G103=0,"-",$I$7)</f>
        <v>0.24440000000000001</v>
      </c>
      <c r="J103" s="428">
        <f t="shared" si="32"/>
        <v>0.53</v>
      </c>
      <c r="K103" s="472">
        <f t="shared" si="33"/>
        <v>496.58</v>
      </c>
      <c r="L103" s="430"/>
      <c r="M103" s="690">
        <f t="shared" si="34"/>
        <v>4.6157220818875269E-4</v>
      </c>
    </row>
    <row r="104" spans="2:16" ht="13.5" thickBot="1" x14ac:dyDescent="0.25">
      <c r="B104" s="782"/>
      <c r="C104" s="783"/>
      <c r="D104" s="783"/>
      <c r="E104" s="783"/>
      <c r="F104" s="783"/>
      <c r="G104" s="783"/>
      <c r="H104" s="783"/>
      <c r="I104" s="783"/>
      <c r="J104" s="783"/>
      <c r="K104" s="784"/>
      <c r="L104" s="430"/>
      <c r="M104" s="690">
        <f t="shared" si="34"/>
        <v>0</v>
      </c>
    </row>
    <row r="105" spans="2:16" ht="15" customHeight="1" thickBot="1" x14ac:dyDescent="0.25">
      <c r="B105" s="785" t="s">
        <v>1836</v>
      </c>
      <c r="C105" s="786"/>
      <c r="D105" s="786"/>
      <c r="E105" s="786"/>
      <c r="F105" s="786"/>
      <c r="G105" s="786"/>
      <c r="H105" s="786"/>
      <c r="I105" s="786"/>
      <c r="J105" s="786"/>
      <c r="K105" s="787"/>
      <c r="L105" s="432">
        <f>SUM(K102:K104)</f>
        <v>29256.850000000002</v>
      </c>
      <c r="M105" s="691"/>
      <c r="N105" s="492"/>
    </row>
    <row r="106" spans="2:16" ht="15" customHeight="1" thickBot="1" x14ac:dyDescent="0.25">
      <c r="B106" s="452" t="s">
        <v>2072</v>
      </c>
      <c r="C106" s="434"/>
      <c r="D106" s="453"/>
      <c r="E106" s="781" t="s">
        <v>2073</v>
      </c>
      <c r="F106" s="781"/>
      <c r="G106" s="781"/>
      <c r="H106" s="781"/>
      <c r="I106" s="781"/>
      <c r="J106" s="781"/>
      <c r="K106" s="781"/>
      <c r="L106" s="479"/>
      <c r="M106" s="690"/>
      <c r="O106" s="495"/>
    </row>
    <row r="107" spans="2:16" ht="17.25" customHeight="1" x14ac:dyDescent="0.2">
      <c r="B107" s="578" t="s">
        <v>2084</v>
      </c>
      <c r="C107" s="422" t="s">
        <v>2098</v>
      </c>
      <c r="D107" s="422" t="s">
        <v>1687</v>
      </c>
      <c r="E107" s="353" t="s">
        <v>2102</v>
      </c>
      <c r="F107" s="481" t="s">
        <v>1765</v>
      </c>
      <c r="G107" s="425">
        <v>1</v>
      </c>
      <c r="H107" s="426">
        <f>VLOOKUP($C107,COMPOSIÇÕES!$A$2:$L$1172,6,FALSE)</f>
        <v>12910.24</v>
      </c>
      <c r="I107" s="441">
        <f t="shared" ref="I107" si="35">IF(G107=0,"-",$I$7)</f>
        <v>0.24440000000000001</v>
      </c>
      <c r="J107" s="476">
        <f t="shared" ref="J107" si="36">IFERROR(TRUNC(H107*(1+I107),2),"-")</f>
        <v>16065.5</v>
      </c>
      <c r="K107" s="472">
        <f t="shared" ref="K107" si="37">IFERROR(TRUNC(G107*J107,2),"-")</f>
        <v>16065.5</v>
      </c>
      <c r="L107" s="574"/>
      <c r="M107" s="695">
        <f t="shared" ref="M107:M108" si="38">IFERROR(K107/$L$11,"-")</f>
        <v>1.493291777892063E-2</v>
      </c>
    </row>
    <row r="108" spans="2:16" ht="13.5" thickBot="1" x14ac:dyDescent="0.25">
      <c r="B108" s="782"/>
      <c r="C108" s="783"/>
      <c r="D108" s="783"/>
      <c r="E108" s="783"/>
      <c r="F108" s="783"/>
      <c r="G108" s="783"/>
      <c r="H108" s="783"/>
      <c r="I108" s="783"/>
      <c r="J108" s="783"/>
      <c r="K108" s="784"/>
      <c r="L108" s="430"/>
      <c r="M108" s="690">
        <f t="shared" si="38"/>
        <v>0</v>
      </c>
    </row>
    <row r="109" spans="2:16" ht="15" customHeight="1" thickBot="1" x14ac:dyDescent="0.25">
      <c r="B109" s="785" t="s">
        <v>2073</v>
      </c>
      <c r="C109" s="786"/>
      <c r="D109" s="786"/>
      <c r="E109" s="786"/>
      <c r="F109" s="786"/>
      <c r="G109" s="786"/>
      <c r="H109" s="786"/>
      <c r="I109" s="786"/>
      <c r="J109" s="786"/>
      <c r="K109" s="787"/>
      <c r="L109" s="432">
        <f>SUM(K107:K108)</f>
        <v>16065.5</v>
      </c>
      <c r="M109" s="691"/>
      <c r="N109" s="492"/>
    </row>
    <row r="110" spans="2:16" ht="13.5" thickBot="1" x14ac:dyDescent="0.25">
      <c r="B110" s="497"/>
      <c r="C110" s="498"/>
      <c r="D110" s="498"/>
      <c r="E110" s="499"/>
      <c r="F110" s="500"/>
      <c r="G110" s="406"/>
      <c r="H110" s="793" t="s">
        <v>23</v>
      </c>
      <c r="I110" s="793"/>
      <c r="J110" s="793"/>
      <c r="K110" s="794"/>
      <c r="L110" s="705">
        <f>SUM(L14:L109)</f>
        <v>1075844.6700000002</v>
      </c>
      <c r="M110" s="696">
        <f>SUM(M13:M109)</f>
        <v>0.99999999999999978</v>
      </c>
    </row>
    <row r="111" spans="2:16" ht="15" customHeight="1" x14ac:dyDescent="0.2">
      <c r="B111" s="790" t="s">
        <v>1</v>
      </c>
      <c r="C111" s="791"/>
      <c r="D111" s="791"/>
      <c r="E111" s="791"/>
      <c r="F111" s="791"/>
      <c r="G111" s="791"/>
      <c r="H111" s="791"/>
      <c r="I111" s="791"/>
      <c r="J111" s="791"/>
      <c r="K111" s="791"/>
      <c r="L111" s="502"/>
      <c r="M111" s="503"/>
      <c r="N111" s="505"/>
    </row>
    <row r="112" spans="2:16" ht="15" customHeight="1" x14ac:dyDescent="0.2">
      <c r="B112" s="795" t="s">
        <v>1859</v>
      </c>
      <c r="C112" s="796"/>
      <c r="D112" s="796"/>
      <c r="E112" s="796"/>
      <c r="F112" s="796"/>
      <c r="G112" s="796"/>
      <c r="H112" s="796"/>
      <c r="I112" s="796"/>
      <c r="J112" s="796"/>
      <c r="K112" s="796"/>
      <c r="L112" s="504"/>
      <c r="M112" s="503"/>
      <c r="N112" s="505"/>
    </row>
    <row r="113" spans="1:15" ht="17.25" customHeight="1" thickBot="1" x14ac:dyDescent="0.25">
      <c r="B113" s="815" t="s">
        <v>2246</v>
      </c>
      <c r="C113" s="816"/>
      <c r="D113" s="816"/>
      <c r="E113" s="816"/>
      <c r="F113" s="816"/>
      <c r="G113" s="816"/>
      <c r="H113" s="816"/>
      <c r="I113" s="816"/>
      <c r="J113" s="816"/>
      <c r="K113" s="816"/>
      <c r="L113" s="817"/>
      <c r="M113" s="506"/>
    </row>
    <row r="114" spans="1:15" ht="16.5" customHeight="1" thickBot="1" x14ac:dyDescent="0.25">
      <c r="B114" s="797" t="s">
        <v>2</v>
      </c>
      <c r="C114" s="798"/>
      <c r="D114" s="798"/>
      <c r="E114" s="798"/>
      <c r="F114" s="798"/>
      <c r="G114" s="798"/>
      <c r="H114" s="798"/>
      <c r="I114" s="798"/>
      <c r="J114" s="798"/>
      <c r="K114" s="798"/>
      <c r="L114" s="698">
        <f>SUM(K14:K108)</f>
        <v>1075844.6700000002</v>
      </c>
    </row>
    <row r="115" spans="1:15" ht="16.5" customHeight="1" x14ac:dyDescent="0.2">
      <c r="B115" s="790" t="s">
        <v>2135</v>
      </c>
      <c r="C115" s="791"/>
      <c r="D115" s="791"/>
      <c r="E115" s="792"/>
      <c r="F115" s="811" t="s">
        <v>3</v>
      </c>
      <c r="G115" s="791"/>
      <c r="H115" s="792"/>
      <c r="I115" s="808" t="s">
        <v>4</v>
      </c>
      <c r="J115" s="809"/>
      <c r="K115" s="809"/>
      <c r="L115" s="810"/>
    </row>
    <row r="116" spans="1:15" ht="11.25" customHeight="1" x14ac:dyDescent="0.2">
      <c r="B116" s="799"/>
      <c r="C116" s="800"/>
      <c r="D116" s="800"/>
      <c r="E116" s="801"/>
      <c r="F116" s="507"/>
      <c r="G116" s="508"/>
      <c r="H116" s="509"/>
      <c r="I116" s="510"/>
      <c r="J116" s="511"/>
      <c r="K116" s="511"/>
      <c r="L116" s="512"/>
    </row>
    <row r="117" spans="1:15" ht="8.25" customHeight="1" x14ac:dyDescent="0.2">
      <c r="B117" s="799"/>
      <c r="C117" s="800"/>
      <c r="D117" s="800"/>
      <c r="E117" s="801"/>
      <c r="F117" s="507"/>
      <c r="G117" s="508"/>
      <c r="H117" s="509"/>
      <c r="I117" s="510"/>
      <c r="J117" s="511"/>
      <c r="K117" s="511"/>
      <c r="L117" s="512"/>
    </row>
    <row r="118" spans="1:15" ht="15" hidden="1" customHeight="1" thickBot="1" x14ac:dyDescent="0.25">
      <c r="B118" s="799"/>
      <c r="C118" s="800"/>
      <c r="D118" s="800"/>
      <c r="E118" s="801"/>
      <c r="F118" s="552"/>
      <c r="G118" s="553"/>
      <c r="H118" s="554"/>
      <c r="I118" s="555"/>
      <c r="J118" s="556"/>
      <c r="K118" s="556"/>
      <c r="L118" s="512"/>
    </row>
    <row r="119" spans="1:15" ht="13.5" thickBot="1" x14ac:dyDescent="0.25">
      <c r="B119" s="802"/>
      <c r="C119" s="803"/>
      <c r="D119" s="803"/>
      <c r="E119" s="804"/>
      <c r="F119" s="513"/>
      <c r="G119" s="514"/>
      <c r="H119" s="515"/>
      <c r="I119" s="516"/>
      <c r="J119" s="517"/>
      <c r="K119" s="517"/>
      <c r="L119" s="518"/>
      <c r="N119" s="519"/>
      <c r="O119" s="520"/>
    </row>
    <row r="120" spans="1:15" x14ac:dyDescent="0.2">
      <c r="B120" s="312"/>
      <c r="C120" s="312"/>
      <c r="D120" s="788"/>
      <c r="E120" s="788"/>
      <c r="F120" s="312"/>
      <c r="G120" s="522"/>
      <c r="H120" s="523"/>
      <c r="I120" s="789"/>
      <c r="J120" s="789"/>
      <c r="K120" s="789"/>
      <c r="L120" s="524"/>
    </row>
    <row r="121" spans="1:15" s="524" customFormat="1" x14ac:dyDescent="0.2">
      <c r="A121" s="312"/>
      <c r="B121" s="312"/>
      <c r="C121" s="312"/>
      <c r="D121" s="788"/>
      <c r="E121" s="788"/>
      <c r="F121" s="312"/>
      <c r="G121" s="522"/>
      <c r="H121" s="523"/>
      <c r="I121" s="789"/>
      <c r="J121" s="789"/>
      <c r="K121" s="789"/>
      <c r="M121" s="525"/>
      <c r="N121" s="378"/>
    </row>
    <row r="122" spans="1:15" s="524" customFormat="1" ht="13.5" customHeight="1" x14ac:dyDescent="0.2">
      <c r="A122" s="312"/>
      <c r="B122" s="312"/>
      <c r="C122" s="312"/>
      <c r="D122" s="788"/>
      <c r="E122" s="788"/>
      <c r="F122" s="312"/>
      <c r="G122" s="522"/>
      <c r="H122" s="523"/>
      <c r="I122" s="789"/>
      <c r="J122" s="789"/>
      <c r="K122" s="789"/>
      <c r="M122" s="525"/>
      <c r="N122" s="378"/>
    </row>
    <row r="123" spans="1:15" s="524" customFormat="1" x14ac:dyDescent="0.2">
      <c r="A123" s="312"/>
      <c r="B123" s="312"/>
      <c r="C123" s="312"/>
      <c r="D123" s="788"/>
      <c r="E123" s="788"/>
      <c r="F123" s="312"/>
      <c r="G123" s="522"/>
      <c r="H123" s="523"/>
      <c r="I123" s="789"/>
      <c r="J123" s="789"/>
      <c r="K123" s="789"/>
      <c r="M123" s="525"/>
      <c r="N123" s="378"/>
    </row>
    <row r="124" spans="1:15" s="524" customFormat="1" x14ac:dyDescent="0.2">
      <c r="A124" s="312"/>
      <c r="B124" s="312"/>
      <c r="C124" s="312"/>
      <c r="D124" s="788"/>
      <c r="E124" s="788"/>
      <c r="F124" s="312"/>
      <c r="G124" s="522"/>
      <c r="H124" s="523"/>
      <c r="I124" s="789"/>
      <c r="J124" s="789"/>
      <c r="K124" s="789"/>
      <c r="M124" s="525"/>
      <c r="N124" s="378"/>
    </row>
    <row r="125" spans="1:15" s="524" customFormat="1" x14ac:dyDescent="0.2">
      <c r="A125" s="312"/>
      <c r="B125" s="312"/>
      <c r="C125" s="312"/>
      <c r="D125" s="788"/>
      <c r="E125" s="788"/>
      <c r="F125" s="312"/>
      <c r="G125" s="522"/>
      <c r="H125" s="523"/>
      <c r="I125" s="789"/>
      <c r="J125" s="789"/>
      <c r="K125" s="789"/>
      <c r="M125" s="525"/>
      <c r="N125" s="378"/>
    </row>
    <row r="126" spans="1:15" s="524" customFormat="1" x14ac:dyDescent="0.2">
      <c r="A126" s="312"/>
      <c r="B126" s="312"/>
      <c r="C126" s="312"/>
      <c r="D126" s="312"/>
      <c r="E126" s="313"/>
      <c r="F126" s="312"/>
      <c r="G126" s="522"/>
      <c r="H126" s="523"/>
      <c r="I126" s="526"/>
      <c r="J126" s="523"/>
      <c r="K126" s="523"/>
      <c r="M126" s="525"/>
      <c r="N126" s="378"/>
    </row>
  </sheetData>
  <sheetProtection selectLockedCells="1" selectUnlockedCells="1"/>
  <autoFilter ref="B12:L115" xr:uid="{00000000-0001-0000-0000-000000000000}"/>
  <mergeCells count="70">
    <mergeCell ref="B2:L2"/>
    <mergeCell ref="B3:L3"/>
    <mergeCell ref="B4:L4"/>
    <mergeCell ref="B5:D5"/>
    <mergeCell ref="F5:H5"/>
    <mergeCell ref="K5:L5"/>
    <mergeCell ref="E17:K17"/>
    <mergeCell ref="B6:D6"/>
    <mergeCell ref="F6:H6"/>
    <mergeCell ref="K6:L7"/>
    <mergeCell ref="B7:D7"/>
    <mergeCell ref="F7:H7"/>
    <mergeCell ref="B8:D8"/>
    <mergeCell ref="F8:J8"/>
    <mergeCell ref="K8:L8"/>
    <mergeCell ref="B9:L9"/>
    <mergeCell ref="B10:L10"/>
    <mergeCell ref="E13:K13"/>
    <mergeCell ref="B15:K15"/>
    <mergeCell ref="B16:K16"/>
    <mergeCell ref="E106:K106"/>
    <mergeCell ref="E55:K55"/>
    <mergeCell ref="B24:K24"/>
    <mergeCell ref="B25:K25"/>
    <mergeCell ref="E26:K26"/>
    <mergeCell ref="B31:K31"/>
    <mergeCell ref="B32:K32"/>
    <mergeCell ref="E33:K33"/>
    <mergeCell ref="B44:K44"/>
    <mergeCell ref="B45:K45"/>
    <mergeCell ref="E46:K46"/>
    <mergeCell ref="B53:K53"/>
    <mergeCell ref="B54:K54"/>
    <mergeCell ref="D120:E120"/>
    <mergeCell ref="I120:K120"/>
    <mergeCell ref="B62:K62"/>
    <mergeCell ref="B63:K63"/>
    <mergeCell ref="E64:K64"/>
    <mergeCell ref="B82:K82"/>
    <mergeCell ref="B83:K83"/>
    <mergeCell ref="E84:K84"/>
    <mergeCell ref="B88:K88"/>
    <mergeCell ref="B89:K89"/>
    <mergeCell ref="E90:K90"/>
    <mergeCell ref="B99:K99"/>
    <mergeCell ref="E101:K101"/>
    <mergeCell ref="B104:K104"/>
    <mergeCell ref="B105:K105"/>
    <mergeCell ref="B100:K100"/>
    <mergeCell ref="F115:H115"/>
    <mergeCell ref="I115:L115"/>
    <mergeCell ref="B114:K114"/>
    <mergeCell ref="B116:E119"/>
    <mergeCell ref="B112:K112"/>
    <mergeCell ref="B108:K108"/>
    <mergeCell ref="H110:K110"/>
    <mergeCell ref="B113:L113"/>
    <mergeCell ref="D125:E125"/>
    <mergeCell ref="I125:K125"/>
    <mergeCell ref="D122:E122"/>
    <mergeCell ref="I122:K122"/>
    <mergeCell ref="D123:E123"/>
    <mergeCell ref="I123:K123"/>
    <mergeCell ref="D124:E124"/>
    <mergeCell ref="I124:K124"/>
    <mergeCell ref="D121:E121"/>
    <mergeCell ref="I121:K121"/>
    <mergeCell ref="B109:K109"/>
    <mergeCell ref="B111:K111"/>
    <mergeCell ref="B115:E115"/>
  </mergeCells>
  <phoneticPr fontId="16" type="noConversion"/>
  <pageMargins left="0.25" right="0.25" top="0.75" bottom="0.75" header="0.3" footer="0.3"/>
  <pageSetup paperSize="9" scale="44" fitToHeight="0" orientation="portrait" r:id="rId1"/>
  <headerFooter alignWithMargins="0"/>
  <rowBreaks count="2" manualBreakCount="2">
    <brk id="83" min="1" max="11" man="1"/>
    <brk id="119" min="1" max="11" man="1"/>
  </rowBreaks>
  <colBreaks count="1" manualBreakCount="1">
    <brk id="12" max="124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  <pageSetUpPr fitToPage="1"/>
  </sheetPr>
  <dimension ref="A1:U179"/>
  <sheetViews>
    <sheetView showGridLines="0" view="pageBreakPreview" topLeftCell="A7" zoomScaleNormal="100" zoomScaleSheetLayoutView="100" workbookViewId="0">
      <selection activeCell="F48" sqref="F48"/>
    </sheetView>
  </sheetViews>
  <sheetFormatPr defaultColWidth="11.42578125" defaultRowHeight="12.75" outlineLevelRow="1" outlineLevelCol="1" x14ac:dyDescent="0.2"/>
  <cols>
    <col min="1" max="1" width="4.5703125" style="1" customWidth="1"/>
    <col min="2" max="2" width="11" style="1" customWidth="1"/>
    <col min="3" max="3" width="91.5703125" style="1" bestFit="1" customWidth="1"/>
    <col min="4" max="5" width="15.5703125" style="1" customWidth="1"/>
    <col min="6" max="7" width="15.5703125" style="1" customWidth="1" outlineLevel="1"/>
    <col min="8" max="15" width="15.5703125" style="1" hidden="1" customWidth="1" outlineLevel="1"/>
    <col min="16" max="16" width="19.5703125" style="1" customWidth="1"/>
    <col min="17" max="17" width="24" style="1" customWidth="1"/>
    <col min="18" max="18" width="14.42578125" style="1" bestFit="1" customWidth="1"/>
    <col min="19" max="19" width="13.42578125" style="2" customWidth="1"/>
    <col min="20" max="20" width="11.42578125" style="3"/>
    <col min="21" max="21" width="20.5703125" style="1" customWidth="1"/>
    <col min="22" max="263" width="11.42578125" style="1"/>
    <col min="264" max="264" width="6.42578125" style="1" customWidth="1"/>
    <col min="265" max="265" width="30.5703125" style="1" customWidth="1"/>
    <col min="266" max="269" width="15.5703125" style="1" customWidth="1"/>
    <col min="270" max="270" width="19" style="1" customWidth="1"/>
    <col min="271" max="271" width="0" style="1" hidden="1" customWidth="1"/>
    <col min="272" max="272" width="15.5703125" style="1" customWidth="1"/>
    <col min="273" max="519" width="11.42578125" style="1"/>
    <col min="520" max="520" width="6.42578125" style="1" customWidth="1"/>
    <col min="521" max="521" width="30.5703125" style="1" customWidth="1"/>
    <col min="522" max="525" width="15.5703125" style="1" customWidth="1"/>
    <col min="526" max="526" width="19" style="1" customWidth="1"/>
    <col min="527" max="527" width="0" style="1" hidden="1" customWidth="1"/>
    <col min="528" max="528" width="15.5703125" style="1" customWidth="1"/>
    <col min="529" max="775" width="11.42578125" style="1"/>
    <col min="776" max="776" width="6.42578125" style="1" customWidth="1"/>
    <col min="777" max="777" width="30.5703125" style="1" customWidth="1"/>
    <col min="778" max="781" width="15.5703125" style="1" customWidth="1"/>
    <col min="782" max="782" width="19" style="1" customWidth="1"/>
    <col min="783" max="783" width="0" style="1" hidden="1" customWidth="1"/>
    <col min="784" max="784" width="15.5703125" style="1" customWidth="1"/>
    <col min="785" max="1031" width="11.42578125" style="1"/>
    <col min="1032" max="1032" width="6.42578125" style="1" customWidth="1"/>
    <col min="1033" max="1033" width="30.5703125" style="1" customWidth="1"/>
    <col min="1034" max="1037" width="15.5703125" style="1" customWidth="1"/>
    <col min="1038" max="1038" width="19" style="1" customWidth="1"/>
    <col min="1039" max="1039" width="0" style="1" hidden="1" customWidth="1"/>
    <col min="1040" max="1040" width="15.5703125" style="1" customWidth="1"/>
    <col min="1041" max="1287" width="11.42578125" style="1"/>
    <col min="1288" max="1288" width="6.42578125" style="1" customWidth="1"/>
    <col min="1289" max="1289" width="30.5703125" style="1" customWidth="1"/>
    <col min="1290" max="1293" width="15.5703125" style="1" customWidth="1"/>
    <col min="1294" max="1294" width="19" style="1" customWidth="1"/>
    <col min="1295" max="1295" width="0" style="1" hidden="1" customWidth="1"/>
    <col min="1296" max="1296" width="15.5703125" style="1" customWidth="1"/>
    <col min="1297" max="1543" width="11.42578125" style="1"/>
    <col min="1544" max="1544" width="6.42578125" style="1" customWidth="1"/>
    <col min="1545" max="1545" width="30.5703125" style="1" customWidth="1"/>
    <col min="1546" max="1549" width="15.5703125" style="1" customWidth="1"/>
    <col min="1550" max="1550" width="19" style="1" customWidth="1"/>
    <col min="1551" max="1551" width="0" style="1" hidden="1" customWidth="1"/>
    <col min="1552" max="1552" width="15.5703125" style="1" customWidth="1"/>
    <col min="1553" max="1799" width="11.42578125" style="1"/>
    <col min="1800" max="1800" width="6.42578125" style="1" customWidth="1"/>
    <col min="1801" max="1801" width="30.5703125" style="1" customWidth="1"/>
    <col min="1802" max="1805" width="15.5703125" style="1" customWidth="1"/>
    <col min="1806" max="1806" width="19" style="1" customWidth="1"/>
    <col min="1807" max="1807" width="0" style="1" hidden="1" customWidth="1"/>
    <col min="1808" max="1808" width="15.5703125" style="1" customWidth="1"/>
    <col min="1809" max="2055" width="11.42578125" style="1"/>
    <col min="2056" max="2056" width="6.42578125" style="1" customWidth="1"/>
    <col min="2057" max="2057" width="30.5703125" style="1" customWidth="1"/>
    <col min="2058" max="2061" width="15.5703125" style="1" customWidth="1"/>
    <col min="2062" max="2062" width="19" style="1" customWidth="1"/>
    <col min="2063" max="2063" width="0" style="1" hidden="1" customWidth="1"/>
    <col min="2064" max="2064" width="15.5703125" style="1" customWidth="1"/>
    <col min="2065" max="2311" width="11.42578125" style="1"/>
    <col min="2312" max="2312" width="6.42578125" style="1" customWidth="1"/>
    <col min="2313" max="2313" width="30.5703125" style="1" customWidth="1"/>
    <col min="2314" max="2317" width="15.5703125" style="1" customWidth="1"/>
    <col min="2318" max="2318" width="19" style="1" customWidth="1"/>
    <col min="2319" max="2319" width="0" style="1" hidden="1" customWidth="1"/>
    <col min="2320" max="2320" width="15.5703125" style="1" customWidth="1"/>
    <col min="2321" max="2567" width="11.42578125" style="1"/>
    <col min="2568" max="2568" width="6.42578125" style="1" customWidth="1"/>
    <col min="2569" max="2569" width="30.5703125" style="1" customWidth="1"/>
    <col min="2570" max="2573" width="15.5703125" style="1" customWidth="1"/>
    <col min="2574" max="2574" width="19" style="1" customWidth="1"/>
    <col min="2575" max="2575" width="0" style="1" hidden="1" customWidth="1"/>
    <col min="2576" max="2576" width="15.5703125" style="1" customWidth="1"/>
    <col min="2577" max="2823" width="11.42578125" style="1"/>
    <col min="2824" max="2824" width="6.42578125" style="1" customWidth="1"/>
    <col min="2825" max="2825" width="30.5703125" style="1" customWidth="1"/>
    <col min="2826" max="2829" width="15.5703125" style="1" customWidth="1"/>
    <col min="2830" max="2830" width="19" style="1" customWidth="1"/>
    <col min="2831" max="2831" width="0" style="1" hidden="1" customWidth="1"/>
    <col min="2832" max="2832" width="15.5703125" style="1" customWidth="1"/>
    <col min="2833" max="3079" width="11.42578125" style="1"/>
    <col min="3080" max="3080" width="6.42578125" style="1" customWidth="1"/>
    <col min="3081" max="3081" width="30.5703125" style="1" customWidth="1"/>
    <col min="3082" max="3085" width="15.5703125" style="1" customWidth="1"/>
    <col min="3086" max="3086" width="19" style="1" customWidth="1"/>
    <col min="3087" max="3087" width="0" style="1" hidden="1" customWidth="1"/>
    <col min="3088" max="3088" width="15.5703125" style="1" customWidth="1"/>
    <col min="3089" max="3335" width="11.42578125" style="1"/>
    <col min="3336" max="3336" width="6.42578125" style="1" customWidth="1"/>
    <col min="3337" max="3337" width="30.5703125" style="1" customWidth="1"/>
    <col min="3338" max="3341" width="15.5703125" style="1" customWidth="1"/>
    <col min="3342" max="3342" width="19" style="1" customWidth="1"/>
    <col min="3343" max="3343" width="0" style="1" hidden="1" customWidth="1"/>
    <col min="3344" max="3344" width="15.5703125" style="1" customWidth="1"/>
    <col min="3345" max="3591" width="11.42578125" style="1"/>
    <col min="3592" max="3592" width="6.42578125" style="1" customWidth="1"/>
    <col min="3593" max="3593" width="30.5703125" style="1" customWidth="1"/>
    <col min="3594" max="3597" width="15.5703125" style="1" customWidth="1"/>
    <col min="3598" max="3598" width="19" style="1" customWidth="1"/>
    <col min="3599" max="3599" width="0" style="1" hidden="1" customWidth="1"/>
    <col min="3600" max="3600" width="15.5703125" style="1" customWidth="1"/>
    <col min="3601" max="3847" width="11.42578125" style="1"/>
    <col min="3848" max="3848" width="6.42578125" style="1" customWidth="1"/>
    <col min="3849" max="3849" width="30.5703125" style="1" customWidth="1"/>
    <col min="3850" max="3853" width="15.5703125" style="1" customWidth="1"/>
    <col min="3854" max="3854" width="19" style="1" customWidth="1"/>
    <col min="3855" max="3855" width="0" style="1" hidden="1" customWidth="1"/>
    <col min="3856" max="3856" width="15.5703125" style="1" customWidth="1"/>
    <col min="3857" max="4103" width="11.42578125" style="1"/>
    <col min="4104" max="4104" width="6.42578125" style="1" customWidth="1"/>
    <col min="4105" max="4105" width="30.5703125" style="1" customWidth="1"/>
    <col min="4106" max="4109" width="15.5703125" style="1" customWidth="1"/>
    <col min="4110" max="4110" width="19" style="1" customWidth="1"/>
    <col min="4111" max="4111" width="0" style="1" hidden="1" customWidth="1"/>
    <col min="4112" max="4112" width="15.5703125" style="1" customWidth="1"/>
    <col min="4113" max="4359" width="11.42578125" style="1"/>
    <col min="4360" max="4360" width="6.42578125" style="1" customWidth="1"/>
    <col min="4361" max="4361" width="30.5703125" style="1" customWidth="1"/>
    <col min="4362" max="4365" width="15.5703125" style="1" customWidth="1"/>
    <col min="4366" max="4366" width="19" style="1" customWidth="1"/>
    <col min="4367" max="4367" width="0" style="1" hidden="1" customWidth="1"/>
    <col min="4368" max="4368" width="15.5703125" style="1" customWidth="1"/>
    <col min="4369" max="4615" width="11.42578125" style="1"/>
    <col min="4616" max="4616" width="6.42578125" style="1" customWidth="1"/>
    <col min="4617" max="4617" width="30.5703125" style="1" customWidth="1"/>
    <col min="4618" max="4621" width="15.5703125" style="1" customWidth="1"/>
    <col min="4622" max="4622" width="19" style="1" customWidth="1"/>
    <col min="4623" max="4623" width="0" style="1" hidden="1" customWidth="1"/>
    <col min="4624" max="4624" width="15.5703125" style="1" customWidth="1"/>
    <col min="4625" max="4871" width="11.42578125" style="1"/>
    <col min="4872" max="4872" width="6.42578125" style="1" customWidth="1"/>
    <col min="4873" max="4873" width="30.5703125" style="1" customWidth="1"/>
    <col min="4874" max="4877" width="15.5703125" style="1" customWidth="1"/>
    <col min="4878" max="4878" width="19" style="1" customWidth="1"/>
    <col min="4879" max="4879" width="0" style="1" hidden="1" customWidth="1"/>
    <col min="4880" max="4880" width="15.5703125" style="1" customWidth="1"/>
    <col min="4881" max="5127" width="11.42578125" style="1"/>
    <col min="5128" max="5128" width="6.42578125" style="1" customWidth="1"/>
    <col min="5129" max="5129" width="30.5703125" style="1" customWidth="1"/>
    <col min="5130" max="5133" width="15.5703125" style="1" customWidth="1"/>
    <col min="5134" max="5134" width="19" style="1" customWidth="1"/>
    <col min="5135" max="5135" width="0" style="1" hidden="1" customWidth="1"/>
    <col min="5136" max="5136" width="15.5703125" style="1" customWidth="1"/>
    <col min="5137" max="5383" width="11.42578125" style="1"/>
    <col min="5384" max="5384" width="6.42578125" style="1" customWidth="1"/>
    <col min="5385" max="5385" width="30.5703125" style="1" customWidth="1"/>
    <col min="5386" max="5389" width="15.5703125" style="1" customWidth="1"/>
    <col min="5390" max="5390" width="19" style="1" customWidth="1"/>
    <col min="5391" max="5391" width="0" style="1" hidden="1" customWidth="1"/>
    <col min="5392" max="5392" width="15.5703125" style="1" customWidth="1"/>
    <col min="5393" max="5639" width="11.42578125" style="1"/>
    <col min="5640" max="5640" width="6.42578125" style="1" customWidth="1"/>
    <col min="5641" max="5641" width="30.5703125" style="1" customWidth="1"/>
    <col min="5642" max="5645" width="15.5703125" style="1" customWidth="1"/>
    <col min="5646" max="5646" width="19" style="1" customWidth="1"/>
    <col min="5647" max="5647" width="0" style="1" hidden="1" customWidth="1"/>
    <col min="5648" max="5648" width="15.5703125" style="1" customWidth="1"/>
    <col min="5649" max="5895" width="11.42578125" style="1"/>
    <col min="5896" max="5896" width="6.42578125" style="1" customWidth="1"/>
    <col min="5897" max="5897" width="30.5703125" style="1" customWidth="1"/>
    <col min="5898" max="5901" width="15.5703125" style="1" customWidth="1"/>
    <col min="5902" max="5902" width="19" style="1" customWidth="1"/>
    <col min="5903" max="5903" width="0" style="1" hidden="1" customWidth="1"/>
    <col min="5904" max="5904" width="15.5703125" style="1" customWidth="1"/>
    <col min="5905" max="6151" width="11.42578125" style="1"/>
    <col min="6152" max="6152" width="6.42578125" style="1" customWidth="1"/>
    <col min="6153" max="6153" width="30.5703125" style="1" customWidth="1"/>
    <col min="6154" max="6157" width="15.5703125" style="1" customWidth="1"/>
    <col min="6158" max="6158" width="19" style="1" customWidth="1"/>
    <col min="6159" max="6159" width="0" style="1" hidden="1" customWidth="1"/>
    <col min="6160" max="6160" width="15.5703125" style="1" customWidth="1"/>
    <col min="6161" max="6407" width="11.42578125" style="1"/>
    <col min="6408" max="6408" width="6.42578125" style="1" customWidth="1"/>
    <col min="6409" max="6409" width="30.5703125" style="1" customWidth="1"/>
    <col min="6410" max="6413" width="15.5703125" style="1" customWidth="1"/>
    <col min="6414" max="6414" width="19" style="1" customWidth="1"/>
    <col min="6415" max="6415" width="0" style="1" hidden="1" customWidth="1"/>
    <col min="6416" max="6416" width="15.5703125" style="1" customWidth="1"/>
    <col min="6417" max="6663" width="11.42578125" style="1"/>
    <col min="6664" max="6664" width="6.42578125" style="1" customWidth="1"/>
    <col min="6665" max="6665" width="30.5703125" style="1" customWidth="1"/>
    <col min="6666" max="6669" width="15.5703125" style="1" customWidth="1"/>
    <col min="6670" max="6670" width="19" style="1" customWidth="1"/>
    <col min="6671" max="6671" width="0" style="1" hidden="1" customWidth="1"/>
    <col min="6672" max="6672" width="15.5703125" style="1" customWidth="1"/>
    <col min="6673" max="6919" width="11.42578125" style="1"/>
    <col min="6920" max="6920" width="6.42578125" style="1" customWidth="1"/>
    <col min="6921" max="6921" width="30.5703125" style="1" customWidth="1"/>
    <col min="6922" max="6925" width="15.5703125" style="1" customWidth="1"/>
    <col min="6926" max="6926" width="19" style="1" customWidth="1"/>
    <col min="6927" max="6927" width="0" style="1" hidden="1" customWidth="1"/>
    <col min="6928" max="6928" width="15.5703125" style="1" customWidth="1"/>
    <col min="6929" max="7175" width="11.42578125" style="1"/>
    <col min="7176" max="7176" width="6.42578125" style="1" customWidth="1"/>
    <col min="7177" max="7177" width="30.5703125" style="1" customWidth="1"/>
    <col min="7178" max="7181" width="15.5703125" style="1" customWidth="1"/>
    <col min="7182" max="7182" width="19" style="1" customWidth="1"/>
    <col min="7183" max="7183" width="0" style="1" hidden="1" customWidth="1"/>
    <col min="7184" max="7184" width="15.5703125" style="1" customWidth="1"/>
    <col min="7185" max="7431" width="11.42578125" style="1"/>
    <col min="7432" max="7432" width="6.42578125" style="1" customWidth="1"/>
    <col min="7433" max="7433" width="30.5703125" style="1" customWidth="1"/>
    <col min="7434" max="7437" width="15.5703125" style="1" customWidth="1"/>
    <col min="7438" max="7438" width="19" style="1" customWidth="1"/>
    <col min="7439" max="7439" width="0" style="1" hidden="1" customWidth="1"/>
    <col min="7440" max="7440" width="15.5703125" style="1" customWidth="1"/>
    <col min="7441" max="7687" width="11.42578125" style="1"/>
    <col min="7688" max="7688" width="6.42578125" style="1" customWidth="1"/>
    <col min="7689" max="7689" width="30.5703125" style="1" customWidth="1"/>
    <col min="7690" max="7693" width="15.5703125" style="1" customWidth="1"/>
    <col min="7694" max="7694" width="19" style="1" customWidth="1"/>
    <col min="7695" max="7695" width="0" style="1" hidden="1" customWidth="1"/>
    <col min="7696" max="7696" width="15.5703125" style="1" customWidth="1"/>
    <col min="7697" max="7943" width="11.42578125" style="1"/>
    <col min="7944" max="7944" width="6.42578125" style="1" customWidth="1"/>
    <col min="7945" max="7945" width="30.5703125" style="1" customWidth="1"/>
    <col min="7946" max="7949" width="15.5703125" style="1" customWidth="1"/>
    <col min="7950" max="7950" width="19" style="1" customWidth="1"/>
    <col min="7951" max="7951" width="0" style="1" hidden="1" customWidth="1"/>
    <col min="7952" max="7952" width="15.5703125" style="1" customWidth="1"/>
    <col min="7953" max="8199" width="11.42578125" style="1"/>
    <col min="8200" max="8200" width="6.42578125" style="1" customWidth="1"/>
    <col min="8201" max="8201" width="30.5703125" style="1" customWidth="1"/>
    <col min="8202" max="8205" width="15.5703125" style="1" customWidth="1"/>
    <col min="8206" max="8206" width="19" style="1" customWidth="1"/>
    <col min="8207" max="8207" width="0" style="1" hidden="1" customWidth="1"/>
    <col min="8208" max="8208" width="15.5703125" style="1" customWidth="1"/>
    <col min="8209" max="8455" width="11.42578125" style="1"/>
    <col min="8456" max="8456" width="6.42578125" style="1" customWidth="1"/>
    <col min="8457" max="8457" width="30.5703125" style="1" customWidth="1"/>
    <col min="8458" max="8461" width="15.5703125" style="1" customWidth="1"/>
    <col min="8462" max="8462" width="19" style="1" customWidth="1"/>
    <col min="8463" max="8463" width="0" style="1" hidden="1" customWidth="1"/>
    <col min="8464" max="8464" width="15.5703125" style="1" customWidth="1"/>
    <col min="8465" max="8711" width="11.42578125" style="1"/>
    <col min="8712" max="8712" width="6.42578125" style="1" customWidth="1"/>
    <col min="8713" max="8713" width="30.5703125" style="1" customWidth="1"/>
    <col min="8714" max="8717" width="15.5703125" style="1" customWidth="1"/>
    <col min="8718" max="8718" width="19" style="1" customWidth="1"/>
    <col min="8719" max="8719" width="0" style="1" hidden="1" customWidth="1"/>
    <col min="8720" max="8720" width="15.5703125" style="1" customWidth="1"/>
    <col min="8721" max="8967" width="11.42578125" style="1"/>
    <col min="8968" max="8968" width="6.42578125" style="1" customWidth="1"/>
    <col min="8969" max="8969" width="30.5703125" style="1" customWidth="1"/>
    <col min="8970" max="8973" width="15.5703125" style="1" customWidth="1"/>
    <col min="8974" max="8974" width="19" style="1" customWidth="1"/>
    <col min="8975" max="8975" width="0" style="1" hidden="1" customWidth="1"/>
    <col min="8976" max="8976" width="15.5703125" style="1" customWidth="1"/>
    <col min="8977" max="9223" width="11.42578125" style="1"/>
    <col min="9224" max="9224" width="6.42578125" style="1" customWidth="1"/>
    <col min="9225" max="9225" width="30.5703125" style="1" customWidth="1"/>
    <col min="9226" max="9229" width="15.5703125" style="1" customWidth="1"/>
    <col min="9230" max="9230" width="19" style="1" customWidth="1"/>
    <col min="9231" max="9231" width="0" style="1" hidden="1" customWidth="1"/>
    <col min="9232" max="9232" width="15.5703125" style="1" customWidth="1"/>
    <col min="9233" max="9479" width="11.42578125" style="1"/>
    <col min="9480" max="9480" width="6.42578125" style="1" customWidth="1"/>
    <col min="9481" max="9481" width="30.5703125" style="1" customWidth="1"/>
    <col min="9482" max="9485" width="15.5703125" style="1" customWidth="1"/>
    <col min="9486" max="9486" width="19" style="1" customWidth="1"/>
    <col min="9487" max="9487" width="0" style="1" hidden="1" customWidth="1"/>
    <col min="9488" max="9488" width="15.5703125" style="1" customWidth="1"/>
    <col min="9489" max="9735" width="11.42578125" style="1"/>
    <col min="9736" max="9736" width="6.42578125" style="1" customWidth="1"/>
    <col min="9737" max="9737" width="30.5703125" style="1" customWidth="1"/>
    <col min="9738" max="9741" width="15.5703125" style="1" customWidth="1"/>
    <col min="9742" max="9742" width="19" style="1" customWidth="1"/>
    <col min="9743" max="9743" width="0" style="1" hidden="1" customWidth="1"/>
    <col min="9744" max="9744" width="15.5703125" style="1" customWidth="1"/>
    <col min="9745" max="9991" width="11.42578125" style="1"/>
    <col min="9992" max="9992" width="6.42578125" style="1" customWidth="1"/>
    <col min="9993" max="9993" width="30.5703125" style="1" customWidth="1"/>
    <col min="9994" max="9997" width="15.5703125" style="1" customWidth="1"/>
    <col min="9998" max="9998" width="19" style="1" customWidth="1"/>
    <col min="9999" max="9999" width="0" style="1" hidden="1" customWidth="1"/>
    <col min="10000" max="10000" width="15.5703125" style="1" customWidth="1"/>
    <col min="10001" max="10247" width="11.42578125" style="1"/>
    <col min="10248" max="10248" width="6.42578125" style="1" customWidth="1"/>
    <col min="10249" max="10249" width="30.5703125" style="1" customWidth="1"/>
    <col min="10250" max="10253" width="15.5703125" style="1" customWidth="1"/>
    <col min="10254" max="10254" width="19" style="1" customWidth="1"/>
    <col min="10255" max="10255" width="0" style="1" hidden="1" customWidth="1"/>
    <col min="10256" max="10256" width="15.5703125" style="1" customWidth="1"/>
    <col min="10257" max="10503" width="11.42578125" style="1"/>
    <col min="10504" max="10504" width="6.42578125" style="1" customWidth="1"/>
    <col min="10505" max="10505" width="30.5703125" style="1" customWidth="1"/>
    <col min="10506" max="10509" width="15.5703125" style="1" customWidth="1"/>
    <col min="10510" max="10510" width="19" style="1" customWidth="1"/>
    <col min="10511" max="10511" width="0" style="1" hidden="1" customWidth="1"/>
    <col min="10512" max="10512" width="15.5703125" style="1" customWidth="1"/>
    <col min="10513" max="10759" width="11.42578125" style="1"/>
    <col min="10760" max="10760" width="6.42578125" style="1" customWidth="1"/>
    <col min="10761" max="10761" width="30.5703125" style="1" customWidth="1"/>
    <col min="10762" max="10765" width="15.5703125" style="1" customWidth="1"/>
    <col min="10766" max="10766" width="19" style="1" customWidth="1"/>
    <col min="10767" max="10767" width="0" style="1" hidden="1" customWidth="1"/>
    <col min="10768" max="10768" width="15.5703125" style="1" customWidth="1"/>
    <col min="10769" max="11015" width="11.42578125" style="1"/>
    <col min="11016" max="11016" width="6.42578125" style="1" customWidth="1"/>
    <col min="11017" max="11017" width="30.5703125" style="1" customWidth="1"/>
    <col min="11018" max="11021" width="15.5703125" style="1" customWidth="1"/>
    <col min="11022" max="11022" width="19" style="1" customWidth="1"/>
    <col min="11023" max="11023" width="0" style="1" hidden="1" customWidth="1"/>
    <col min="11024" max="11024" width="15.5703125" style="1" customWidth="1"/>
    <col min="11025" max="11271" width="11.42578125" style="1"/>
    <col min="11272" max="11272" width="6.42578125" style="1" customWidth="1"/>
    <col min="11273" max="11273" width="30.5703125" style="1" customWidth="1"/>
    <col min="11274" max="11277" width="15.5703125" style="1" customWidth="1"/>
    <col min="11278" max="11278" width="19" style="1" customWidth="1"/>
    <col min="11279" max="11279" width="0" style="1" hidden="1" customWidth="1"/>
    <col min="11280" max="11280" width="15.5703125" style="1" customWidth="1"/>
    <col min="11281" max="11527" width="11.42578125" style="1"/>
    <col min="11528" max="11528" width="6.42578125" style="1" customWidth="1"/>
    <col min="11529" max="11529" width="30.5703125" style="1" customWidth="1"/>
    <col min="11530" max="11533" width="15.5703125" style="1" customWidth="1"/>
    <col min="11534" max="11534" width="19" style="1" customWidth="1"/>
    <col min="11535" max="11535" width="0" style="1" hidden="1" customWidth="1"/>
    <col min="11536" max="11536" width="15.5703125" style="1" customWidth="1"/>
    <col min="11537" max="11783" width="11.42578125" style="1"/>
    <col min="11784" max="11784" width="6.42578125" style="1" customWidth="1"/>
    <col min="11785" max="11785" width="30.5703125" style="1" customWidth="1"/>
    <col min="11786" max="11789" width="15.5703125" style="1" customWidth="1"/>
    <col min="11790" max="11790" width="19" style="1" customWidth="1"/>
    <col min="11791" max="11791" width="0" style="1" hidden="1" customWidth="1"/>
    <col min="11792" max="11792" width="15.5703125" style="1" customWidth="1"/>
    <col min="11793" max="12039" width="11.42578125" style="1"/>
    <col min="12040" max="12040" width="6.42578125" style="1" customWidth="1"/>
    <col min="12041" max="12041" width="30.5703125" style="1" customWidth="1"/>
    <col min="12042" max="12045" width="15.5703125" style="1" customWidth="1"/>
    <col min="12046" max="12046" width="19" style="1" customWidth="1"/>
    <col min="12047" max="12047" width="0" style="1" hidden="1" customWidth="1"/>
    <col min="12048" max="12048" width="15.5703125" style="1" customWidth="1"/>
    <col min="12049" max="12295" width="11.42578125" style="1"/>
    <col min="12296" max="12296" width="6.42578125" style="1" customWidth="1"/>
    <col min="12297" max="12297" width="30.5703125" style="1" customWidth="1"/>
    <col min="12298" max="12301" width="15.5703125" style="1" customWidth="1"/>
    <col min="12302" max="12302" width="19" style="1" customWidth="1"/>
    <col min="12303" max="12303" width="0" style="1" hidden="1" customWidth="1"/>
    <col min="12304" max="12304" width="15.5703125" style="1" customWidth="1"/>
    <col min="12305" max="12551" width="11.42578125" style="1"/>
    <col min="12552" max="12552" width="6.42578125" style="1" customWidth="1"/>
    <col min="12553" max="12553" width="30.5703125" style="1" customWidth="1"/>
    <col min="12554" max="12557" width="15.5703125" style="1" customWidth="1"/>
    <col min="12558" max="12558" width="19" style="1" customWidth="1"/>
    <col min="12559" max="12559" width="0" style="1" hidden="1" customWidth="1"/>
    <col min="12560" max="12560" width="15.5703125" style="1" customWidth="1"/>
    <col min="12561" max="12807" width="11.42578125" style="1"/>
    <col min="12808" max="12808" width="6.42578125" style="1" customWidth="1"/>
    <col min="12809" max="12809" width="30.5703125" style="1" customWidth="1"/>
    <col min="12810" max="12813" width="15.5703125" style="1" customWidth="1"/>
    <col min="12814" max="12814" width="19" style="1" customWidth="1"/>
    <col min="12815" max="12815" width="0" style="1" hidden="1" customWidth="1"/>
    <col min="12816" max="12816" width="15.5703125" style="1" customWidth="1"/>
    <col min="12817" max="13063" width="11.42578125" style="1"/>
    <col min="13064" max="13064" width="6.42578125" style="1" customWidth="1"/>
    <col min="13065" max="13065" width="30.5703125" style="1" customWidth="1"/>
    <col min="13066" max="13069" width="15.5703125" style="1" customWidth="1"/>
    <col min="13070" max="13070" width="19" style="1" customWidth="1"/>
    <col min="13071" max="13071" width="0" style="1" hidden="1" customWidth="1"/>
    <col min="13072" max="13072" width="15.5703125" style="1" customWidth="1"/>
    <col min="13073" max="13319" width="11.42578125" style="1"/>
    <col min="13320" max="13320" width="6.42578125" style="1" customWidth="1"/>
    <col min="13321" max="13321" width="30.5703125" style="1" customWidth="1"/>
    <col min="13322" max="13325" width="15.5703125" style="1" customWidth="1"/>
    <col min="13326" max="13326" width="19" style="1" customWidth="1"/>
    <col min="13327" max="13327" width="0" style="1" hidden="1" customWidth="1"/>
    <col min="13328" max="13328" width="15.5703125" style="1" customWidth="1"/>
    <col min="13329" max="13575" width="11.42578125" style="1"/>
    <col min="13576" max="13576" width="6.42578125" style="1" customWidth="1"/>
    <col min="13577" max="13577" width="30.5703125" style="1" customWidth="1"/>
    <col min="13578" max="13581" width="15.5703125" style="1" customWidth="1"/>
    <col min="13582" max="13582" width="19" style="1" customWidth="1"/>
    <col min="13583" max="13583" width="0" style="1" hidden="1" customWidth="1"/>
    <col min="13584" max="13584" width="15.5703125" style="1" customWidth="1"/>
    <col min="13585" max="13831" width="11.42578125" style="1"/>
    <col min="13832" max="13832" width="6.42578125" style="1" customWidth="1"/>
    <col min="13833" max="13833" width="30.5703125" style="1" customWidth="1"/>
    <col min="13834" max="13837" width="15.5703125" style="1" customWidth="1"/>
    <col min="13838" max="13838" width="19" style="1" customWidth="1"/>
    <col min="13839" max="13839" width="0" style="1" hidden="1" customWidth="1"/>
    <col min="13840" max="13840" width="15.5703125" style="1" customWidth="1"/>
    <col min="13841" max="14087" width="11.42578125" style="1"/>
    <col min="14088" max="14088" width="6.42578125" style="1" customWidth="1"/>
    <col min="14089" max="14089" width="30.5703125" style="1" customWidth="1"/>
    <col min="14090" max="14093" width="15.5703125" style="1" customWidth="1"/>
    <col min="14094" max="14094" width="19" style="1" customWidth="1"/>
    <col min="14095" max="14095" width="0" style="1" hidden="1" customWidth="1"/>
    <col min="14096" max="14096" width="15.5703125" style="1" customWidth="1"/>
    <col min="14097" max="14343" width="11.42578125" style="1"/>
    <col min="14344" max="14344" width="6.42578125" style="1" customWidth="1"/>
    <col min="14345" max="14345" width="30.5703125" style="1" customWidth="1"/>
    <col min="14346" max="14349" width="15.5703125" style="1" customWidth="1"/>
    <col min="14350" max="14350" width="19" style="1" customWidth="1"/>
    <col min="14351" max="14351" width="0" style="1" hidden="1" customWidth="1"/>
    <col min="14352" max="14352" width="15.5703125" style="1" customWidth="1"/>
    <col min="14353" max="14599" width="11.42578125" style="1"/>
    <col min="14600" max="14600" width="6.42578125" style="1" customWidth="1"/>
    <col min="14601" max="14601" width="30.5703125" style="1" customWidth="1"/>
    <col min="14602" max="14605" width="15.5703125" style="1" customWidth="1"/>
    <col min="14606" max="14606" width="19" style="1" customWidth="1"/>
    <col min="14607" max="14607" width="0" style="1" hidden="1" customWidth="1"/>
    <col min="14608" max="14608" width="15.5703125" style="1" customWidth="1"/>
    <col min="14609" max="14855" width="11.42578125" style="1"/>
    <col min="14856" max="14856" width="6.42578125" style="1" customWidth="1"/>
    <col min="14857" max="14857" width="30.5703125" style="1" customWidth="1"/>
    <col min="14858" max="14861" width="15.5703125" style="1" customWidth="1"/>
    <col min="14862" max="14862" width="19" style="1" customWidth="1"/>
    <col min="14863" max="14863" width="0" style="1" hidden="1" customWidth="1"/>
    <col min="14864" max="14864" width="15.5703125" style="1" customWidth="1"/>
    <col min="14865" max="15111" width="11.42578125" style="1"/>
    <col min="15112" max="15112" width="6.42578125" style="1" customWidth="1"/>
    <col min="15113" max="15113" width="30.5703125" style="1" customWidth="1"/>
    <col min="15114" max="15117" width="15.5703125" style="1" customWidth="1"/>
    <col min="15118" max="15118" width="19" style="1" customWidth="1"/>
    <col min="15119" max="15119" width="0" style="1" hidden="1" customWidth="1"/>
    <col min="15120" max="15120" width="15.5703125" style="1" customWidth="1"/>
    <col min="15121" max="15367" width="11.42578125" style="1"/>
    <col min="15368" max="15368" width="6.42578125" style="1" customWidth="1"/>
    <col min="15369" max="15369" width="30.5703125" style="1" customWidth="1"/>
    <col min="15370" max="15373" width="15.5703125" style="1" customWidth="1"/>
    <col min="15374" max="15374" width="19" style="1" customWidth="1"/>
    <col min="15375" max="15375" width="0" style="1" hidden="1" customWidth="1"/>
    <col min="15376" max="15376" width="15.5703125" style="1" customWidth="1"/>
    <col min="15377" max="15623" width="11.42578125" style="1"/>
    <col min="15624" max="15624" width="6.42578125" style="1" customWidth="1"/>
    <col min="15625" max="15625" width="30.5703125" style="1" customWidth="1"/>
    <col min="15626" max="15629" width="15.5703125" style="1" customWidth="1"/>
    <col min="15630" max="15630" width="19" style="1" customWidth="1"/>
    <col min="15631" max="15631" width="0" style="1" hidden="1" customWidth="1"/>
    <col min="15632" max="15632" width="15.5703125" style="1" customWidth="1"/>
    <col min="15633" max="15879" width="11.42578125" style="1"/>
    <col min="15880" max="15880" width="6.42578125" style="1" customWidth="1"/>
    <col min="15881" max="15881" width="30.5703125" style="1" customWidth="1"/>
    <col min="15882" max="15885" width="15.5703125" style="1" customWidth="1"/>
    <col min="15886" max="15886" width="19" style="1" customWidth="1"/>
    <col min="15887" max="15887" width="0" style="1" hidden="1" customWidth="1"/>
    <col min="15888" max="15888" width="15.5703125" style="1" customWidth="1"/>
    <col min="15889" max="16135" width="11.42578125" style="1"/>
    <col min="16136" max="16136" width="6.42578125" style="1" customWidth="1"/>
    <col min="16137" max="16137" width="30.5703125" style="1" customWidth="1"/>
    <col min="16138" max="16141" width="15.5703125" style="1" customWidth="1"/>
    <col min="16142" max="16142" width="19" style="1" customWidth="1"/>
    <col min="16143" max="16143" width="0" style="1" hidden="1" customWidth="1"/>
    <col min="16144" max="16144" width="15.5703125" style="1" customWidth="1"/>
    <col min="16145" max="16384" width="11.42578125" style="1"/>
  </cols>
  <sheetData>
    <row r="1" spans="2:20" ht="13.5" thickBot="1" x14ac:dyDescent="0.25"/>
    <row r="2" spans="2:20" ht="21.75" customHeight="1" x14ac:dyDescent="0.2">
      <c r="B2" s="893" t="s">
        <v>12</v>
      </c>
      <c r="C2" s="894"/>
      <c r="D2" s="894"/>
      <c r="E2" s="894"/>
      <c r="F2" s="894"/>
      <c r="G2" s="894"/>
      <c r="H2" s="894"/>
      <c r="I2" s="894"/>
      <c r="J2" s="894"/>
      <c r="K2" s="894"/>
      <c r="L2" s="894"/>
      <c r="M2" s="894"/>
      <c r="N2" s="894"/>
      <c r="O2" s="894"/>
      <c r="P2" s="894"/>
      <c r="Q2" s="895"/>
    </row>
    <row r="3" spans="2:20" ht="21.75" customHeight="1" x14ac:dyDescent="0.2">
      <c r="B3" s="896" t="s">
        <v>13</v>
      </c>
      <c r="C3" s="897"/>
      <c r="D3" s="897"/>
      <c r="E3" s="897"/>
      <c r="F3" s="897"/>
      <c r="G3" s="898"/>
      <c r="H3" s="898"/>
      <c r="I3" s="898"/>
      <c r="J3" s="897"/>
      <c r="K3" s="897"/>
      <c r="L3" s="897"/>
      <c r="M3" s="897"/>
      <c r="N3" s="897"/>
      <c r="O3" s="897"/>
      <c r="P3" s="897"/>
      <c r="Q3" s="899"/>
    </row>
    <row r="4" spans="2:20" ht="21.75" customHeight="1" thickBot="1" x14ac:dyDescent="0.25">
      <c r="B4" s="900" t="s">
        <v>15</v>
      </c>
      <c r="C4" s="901"/>
      <c r="D4" s="901"/>
      <c r="E4" s="901"/>
      <c r="F4" s="901"/>
      <c r="G4" s="901"/>
      <c r="H4" s="901"/>
      <c r="I4" s="901"/>
      <c r="J4" s="901"/>
      <c r="K4" s="901"/>
      <c r="L4" s="901"/>
      <c r="M4" s="901"/>
      <c r="N4" s="901"/>
      <c r="O4" s="901"/>
      <c r="P4" s="901"/>
      <c r="Q4" s="902"/>
    </row>
    <row r="5" spans="2:20" ht="13.5" thickBot="1" x14ac:dyDescent="0.25">
      <c r="B5" s="4"/>
      <c r="C5" s="4"/>
      <c r="D5" s="4"/>
      <c r="E5" s="5"/>
      <c r="F5" s="5"/>
      <c r="G5" s="4"/>
      <c r="H5" s="4"/>
      <c r="I5" s="4"/>
      <c r="J5" s="4"/>
      <c r="K5" s="4"/>
      <c r="L5" s="4"/>
      <c r="M5" s="4"/>
      <c r="N5" s="4"/>
      <c r="O5" s="4"/>
      <c r="P5" s="4"/>
      <c r="Q5" s="4"/>
    </row>
    <row r="6" spans="2:20" ht="16.5" thickBot="1" x14ac:dyDescent="0.25">
      <c r="B6" s="6" t="s">
        <v>1338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</row>
    <row r="7" spans="2:20" ht="13.5" thickBot="1" x14ac:dyDescent="0.25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</row>
    <row r="8" spans="2:20" x14ac:dyDescent="0.2">
      <c r="B8" s="9" t="s">
        <v>1312</v>
      </c>
      <c r="C8" s="10">
        <f>'DADOS GERAIS'!C21</f>
        <v>5385</v>
      </c>
      <c r="D8" s="10"/>
      <c r="E8" s="10"/>
      <c r="F8" s="10"/>
      <c r="G8" s="10"/>
      <c r="H8" s="65"/>
      <c r="I8" s="65"/>
      <c r="J8" s="41"/>
      <c r="K8" s="65"/>
      <c r="L8" s="65"/>
      <c r="M8" s="65"/>
      <c r="N8" s="65"/>
      <c r="O8" s="65"/>
      <c r="P8" s="903" t="s">
        <v>1324</v>
      </c>
      <c r="Q8" s="905">
        <f>'DADOS GERAIS'!C13</f>
        <v>0</v>
      </c>
      <c r="T8" s="42"/>
    </row>
    <row r="9" spans="2:20" x14ac:dyDescent="0.2">
      <c r="B9" s="12" t="s">
        <v>43</v>
      </c>
      <c r="C9" s="43" t="str">
        <f>'DADOS GERAIS'!C11</f>
        <v>PAROLIN</v>
      </c>
      <c r="D9" s="43"/>
      <c r="E9" s="44"/>
      <c r="F9" s="45"/>
      <c r="G9" s="44"/>
      <c r="H9" s="45"/>
      <c r="I9" s="45"/>
      <c r="J9" s="45"/>
      <c r="K9" s="44"/>
      <c r="L9" s="44"/>
      <c r="M9" s="44"/>
      <c r="N9" s="44"/>
      <c r="O9" s="44"/>
      <c r="P9" s="904"/>
      <c r="Q9" s="906"/>
      <c r="T9" s="42"/>
    </row>
    <row r="10" spans="2:20" x14ac:dyDescent="0.2">
      <c r="B10" s="12" t="s">
        <v>11</v>
      </c>
      <c r="C10" s="43" t="str">
        <f>'DADOS GERAIS'!C12</f>
        <v>Rua Vila Guaíra / altura das ruas Chanceler Lauro Müller e Antônio Parolin Júnior</v>
      </c>
      <c r="D10" s="43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11"/>
      <c r="T10" s="42"/>
    </row>
    <row r="11" spans="2:20" ht="13.5" thickBot="1" x14ac:dyDescent="0.25">
      <c r="B11" s="13" t="s">
        <v>68</v>
      </c>
      <c r="C11" s="46" t="str">
        <f>'DADOS GERAIS'!C22</f>
        <v>PASSARELAS VILA GUAÍRA</v>
      </c>
      <c r="D11" s="46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5"/>
      <c r="T11" s="42"/>
    </row>
    <row r="12" spans="2:20" x14ac:dyDescent="0.2"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</row>
    <row r="13" spans="2:20" s="16" customFormat="1" ht="14.25" x14ac:dyDescent="0.2">
      <c r="B13" s="909" t="s">
        <v>6</v>
      </c>
      <c r="C13" s="909" t="s">
        <v>7</v>
      </c>
      <c r="D13" s="912" t="s">
        <v>44</v>
      </c>
      <c r="E13" s="912"/>
      <c r="F13" s="912"/>
      <c r="G13" s="912"/>
      <c r="H13" s="912"/>
      <c r="I13" s="912"/>
      <c r="J13" s="912"/>
      <c r="K13" s="912"/>
      <c r="L13" s="912"/>
      <c r="M13" s="912"/>
      <c r="N13" s="912"/>
      <c r="O13" s="912"/>
      <c r="P13" s="327" t="s">
        <v>45</v>
      </c>
      <c r="Q13" s="328" t="s">
        <v>46</v>
      </c>
      <c r="R13" s="911" t="s">
        <v>1386</v>
      </c>
      <c r="S13" s="17"/>
      <c r="T13" s="18"/>
    </row>
    <row r="14" spans="2:20" s="16" customFormat="1" ht="14.25" x14ac:dyDescent="0.2">
      <c r="B14" s="910"/>
      <c r="C14" s="910"/>
      <c r="D14" s="345" t="s">
        <v>47</v>
      </c>
      <c r="E14" s="345" t="s">
        <v>48</v>
      </c>
      <c r="F14" s="345" t="s">
        <v>49</v>
      </c>
      <c r="G14" s="345" t="s">
        <v>50</v>
      </c>
      <c r="H14" s="345" t="s">
        <v>51</v>
      </c>
      <c r="I14" s="345" t="s">
        <v>52</v>
      </c>
      <c r="J14" s="345" t="s">
        <v>1322</v>
      </c>
      <c r="K14" s="326" t="s">
        <v>1323</v>
      </c>
      <c r="L14" s="326" t="s">
        <v>1325</v>
      </c>
      <c r="M14" s="326" t="s">
        <v>1326</v>
      </c>
      <c r="N14" s="326" t="s">
        <v>1327</v>
      </c>
      <c r="O14" s="326" t="s">
        <v>1328</v>
      </c>
      <c r="P14" s="346" t="s">
        <v>53</v>
      </c>
      <c r="Q14" s="347" t="s">
        <v>54</v>
      </c>
      <c r="R14" s="911"/>
      <c r="S14" s="17"/>
      <c r="T14" s="18"/>
    </row>
    <row r="15" spans="2:20" ht="12.75" customHeight="1" x14ac:dyDescent="0.2">
      <c r="B15" s="329"/>
      <c r="C15" s="67"/>
      <c r="D15" s="66"/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280"/>
      <c r="Q15" s="330"/>
      <c r="R15" s="322"/>
    </row>
    <row r="16" spans="2:20" s="19" customFormat="1" ht="12.75" customHeight="1" x14ac:dyDescent="0.2">
      <c r="B16" s="348" t="s">
        <v>16</v>
      </c>
      <c r="C16" s="60" t="str">
        <f>'ORÇAMENTO S.D.'!E13</f>
        <v>ADMINISTRAÇÃO LOCAL DA OBRA</v>
      </c>
      <c r="D16" s="61">
        <f>$P16*D17</f>
        <v>29226.884999999998</v>
      </c>
      <c r="E16" s="61">
        <f>$P16*E17</f>
        <v>29226.884999999998</v>
      </c>
      <c r="F16" s="61">
        <f t="shared" ref="F16:G36" si="0">$P16*F17</f>
        <v>29226.884999999998</v>
      </c>
      <c r="G16" s="61">
        <f t="shared" ref="G16:G36" si="1">$P16*G17</f>
        <v>29226.884999999998</v>
      </c>
      <c r="H16" s="61">
        <f t="shared" ref="H16:H36" si="2">$P16*H17</f>
        <v>0</v>
      </c>
      <c r="I16" s="61">
        <f t="shared" ref="I16:I36" si="3">$P16*I17</f>
        <v>0</v>
      </c>
      <c r="J16" s="61">
        <f t="shared" ref="J16:J36" si="4">$P16*J17</f>
        <v>0</v>
      </c>
      <c r="K16" s="61">
        <f t="shared" ref="K16:K36" si="5">$P16*K17</f>
        <v>0</v>
      </c>
      <c r="L16" s="61">
        <f t="shared" ref="L16:L36" si="6">$P16*L17</f>
        <v>0</v>
      </c>
      <c r="M16" s="61">
        <f t="shared" ref="M16:M36" si="7">$P16*M17</f>
        <v>0</v>
      </c>
      <c r="N16" s="61">
        <f t="shared" ref="N16:N36" si="8">$P16*N17</f>
        <v>0</v>
      </c>
      <c r="O16" s="61">
        <f t="shared" ref="O16:O36" si="9">$P16*O17</f>
        <v>0</v>
      </c>
      <c r="P16" s="281">
        <f>'ORÇAMENTO S.D.'!L16</f>
        <v>116907.54</v>
      </c>
      <c r="Q16" s="24"/>
      <c r="R16" s="323">
        <f t="shared" ref="R16:R35" si="10">SUM(D16:O16)</f>
        <v>116907.54</v>
      </c>
      <c r="S16" s="20"/>
      <c r="T16" s="21"/>
    </row>
    <row r="17" spans="2:20" s="19" customFormat="1" ht="12.75" customHeight="1" x14ac:dyDescent="0.2">
      <c r="B17" s="349"/>
      <c r="C17" s="62"/>
      <c r="D17" s="63">
        <v>0.25</v>
      </c>
      <c r="E17" s="63">
        <v>0.25</v>
      </c>
      <c r="F17" s="63">
        <v>0.25</v>
      </c>
      <c r="G17" s="63">
        <v>0.25</v>
      </c>
      <c r="H17" s="68">
        <f t="shared" ref="H17:O17" si="11">H46</f>
        <v>0</v>
      </c>
      <c r="I17" s="68">
        <f t="shared" si="11"/>
        <v>0</v>
      </c>
      <c r="J17" s="68">
        <f t="shared" si="11"/>
        <v>0</v>
      </c>
      <c r="K17" s="68">
        <f t="shared" si="11"/>
        <v>0</v>
      </c>
      <c r="L17" s="68">
        <f t="shared" si="11"/>
        <v>0</v>
      </c>
      <c r="M17" s="68">
        <f t="shared" si="11"/>
        <v>0</v>
      </c>
      <c r="N17" s="68">
        <f t="shared" si="11"/>
        <v>0</v>
      </c>
      <c r="O17" s="68">
        <f t="shared" si="11"/>
        <v>0</v>
      </c>
      <c r="P17" s="281"/>
      <c r="Q17" s="331">
        <f>IFERROR(P16/$P$38,"-")</f>
        <v>0.10971002067614291</v>
      </c>
      <c r="R17" s="324">
        <f t="shared" si="10"/>
        <v>1</v>
      </c>
      <c r="S17" s="20"/>
      <c r="T17" s="21"/>
    </row>
    <row r="18" spans="2:20" s="19" customFormat="1" ht="12.75" customHeight="1" x14ac:dyDescent="0.2">
      <c r="B18" s="348" t="s">
        <v>19</v>
      </c>
      <c r="C18" s="60" t="str">
        <f>'ORÇAMENTO S.D.'!E17</f>
        <v>CANTEIRO DE OBRAS E SINALIZAÇÃO</v>
      </c>
      <c r="D18" s="61">
        <f>$P18*D19</f>
        <v>7760.4840000000004</v>
      </c>
      <c r="E18" s="61">
        <f>$P18*E19</f>
        <v>5820.3629999999994</v>
      </c>
      <c r="F18" s="61">
        <f t="shared" si="0"/>
        <v>5820.3629999999994</v>
      </c>
      <c r="G18" s="61">
        <f t="shared" si="1"/>
        <v>0</v>
      </c>
      <c r="H18" s="61">
        <f t="shared" si="2"/>
        <v>0</v>
      </c>
      <c r="I18" s="61">
        <f t="shared" si="3"/>
        <v>0</v>
      </c>
      <c r="J18" s="61">
        <f t="shared" si="4"/>
        <v>0</v>
      </c>
      <c r="K18" s="61">
        <f t="shared" si="5"/>
        <v>0</v>
      </c>
      <c r="L18" s="61">
        <f t="shared" si="6"/>
        <v>0</v>
      </c>
      <c r="M18" s="61">
        <f t="shared" si="7"/>
        <v>0</v>
      </c>
      <c r="N18" s="61">
        <f t="shared" si="8"/>
        <v>0</v>
      </c>
      <c r="O18" s="61">
        <f t="shared" si="9"/>
        <v>0</v>
      </c>
      <c r="P18" s="281">
        <f>'ORÇAMENTO S.D.'!L25</f>
        <v>19401.21</v>
      </c>
      <c r="Q18" s="24"/>
      <c r="R18" s="323">
        <f t="shared" si="10"/>
        <v>19401.21</v>
      </c>
      <c r="S18" s="20"/>
      <c r="T18" s="21"/>
    </row>
    <row r="19" spans="2:20" s="19" customFormat="1" ht="12.75" customHeight="1" x14ac:dyDescent="0.2">
      <c r="B19" s="349"/>
      <c r="C19" s="62"/>
      <c r="D19" s="63">
        <v>0.4</v>
      </c>
      <c r="E19" s="63">
        <v>0.3</v>
      </c>
      <c r="F19" s="63">
        <v>0.3</v>
      </c>
      <c r="G19" s="63"/>
      <c r="H19" s="63"/>
      <c r="I19" s="63"/>
      <c r="J19" s="63"/>
      <c r="K19" s="63"/>
      <c r="L19" s="63"/>
      <c r="M19" s="63"/>
      <c r="N19" s="63"/>
      <c r="O19" s="63"/>
      <c r="P19" s="281"/>
      <c r="Q19" s="331">
        <f>IFERROR(P18/$P$38,"-")</f>
        <v>1.8206756811769288E-2</v>
      </c>
      <c r="R19" s="324">
        <f t="shared" si="10"/>
        <v>1</v>
      </c>
      <c r="S19" s="20"/>
      <c r="T19" s="21"/>
    </row>
    <row r="20" spans="2:20" s="19" customFormat="1" ht="12.75" customHeight="1" x14ac:dyDescent="0.2">
      <c r="B20" s="348" t="s">
        <v>20</v>
      </c>
      <c r="C20" s="60" t="str">
        <f>'ORÇAMENTO S.D.'!E26</f>
        <v xml:space="preserve">MOBILIZAÇÃO E DESMOBILIZAÇÃO </v>
      </c>
      <c r="D20" s="61">
        <f>$P20*D21</f>
        <v>4614.2</v>
      </c>
      <c r="E20" s="61">
        <f>$P20*E21</f>
        <v>0</v>
      </c>
      <c r="F20" s="61">
        <f t="shared" si="0"/>
        <v>0</v>
      </c>
      <c r="G20" s="61">
        <f t="shared" si="0"/>
        <v>4614.2</v>
      </c>
      <c r="H20" s="309">
        <f t="shared" si="2"/>
        <v>0</v>
      </c>
      <c r="I20" s="309">
        <f t="shared" si="3"/>
        <v>0</v>
      </c>
      <c r="J20" s="61">
        <f t="shared" si="4"/>
        <v>0</v>
      </c>
      <c r="K20" s="61">
        <f t="shared" si="5"/>
        <v>0</v>
      </c>
      <c r="L20" s="61">
        <f t="shared" si="6"/>
        <v>0</v>
      </c>
      <c r="M20" s="61">
        <f t="shared" si="7"/>
        <v>0</v>
      </c>
      <c r="N20" s="61">
        <f t="shared" si="8"/>
        <v>0</v>
      </c>
      <c r="O20" s="61">
        <f t="shared" si="9"/>
        <v>0</v>
      </c>
      <c r="P20" s="281">
        <f>'ORÇAMENTO S.D.'!L32</f>
        <v>9228.4</v>
      </c>
      <c r="Q20" s="24"/>
      <c r="R20" s="323">
        <f t="shared" si="10"/>
        <v>9228.4</v>
      </c>
      <c r="S20" s="20"/>
      <c r="T20" s="21"/>
    </row>
    <row r="21" spans="2:20" s="19" customFormat="1" ht="12.75" customHeight="1" x14ac:dyDescent="0.2">
      <c r="B21" s="349"/>
      <c r="C21" s="62"/>
      <c r="D21" s="63">
        <v>0.5</v>
      </c>
      <c r="E21" s="63">
        <v>0</v>
      </c>
      <c r="F21" s="63">
        <v>0</v>
      </c>
      <c r="G21" s="63">
        <v>0.5</v>
      </c>
      <c r="H21" s="63"/>
      <c r="I21" s="63"/>
      <c r="J21" s="63"/>
      <c r="K21" s="63"/>
      <c r="L21" s="63"/>
      <c r="M21" s="63"/>
      <c r="N21" s="63"/>
      <c r="O21" s="63"/>
      <c r="P21" s="281"/>
      <c r="Q21" s="331">
        <f>IFERROR(P20/$P$38,"-")</f>
        <v>8.6602451373770858E-3</v>
      </c>
      <c r="R21" s="324">
        <f t="shared" si="10"/>
        <v>1</v>
      </c>
      <c r="S21" s="20"/>
      <c r="T21" s="21"/>
    </row>
    <row r="22" spans="2:20" s="19" customFormat="1" ht="12.75" customHeight="1" x14ac:dyDescent="0.2">
      <c r="B22" s="348" t="s">
        <v>21</v>
      </c>
      <c r="C22" s="60" t="str">
        <f>'ORÇAMENTO S.D.'!E33</f>
        <v>FUNDAÇÃO PARA INSTALAÇÃO DE OBRAS DE ARTE PARA PASSAGEM DE PEDESTRES</v>
      </c>
      <c r="D22" s="61">
        <f>$P22*D23</f>
        <v>27404.94</v>
      </c>
      <c r="E22" s="61">
        <f>$P22*E23</f>
        <v>0</v>
      </c>
      <c r="F22" s="61">
        <f t="shared" si="0"/>
        <v>0</v>
      </c>
      <c r="G22" s="61">
        <f t="shared" si="1"/>
        <v>0</v>
      </c>
      <c r="H22" s="61">
        <f t="shared" si="2"/>
        <v>0</v>
      </c>
      <c r="I22" s="61">
        <f t="shared" si="3"/>
        <v>0</v>
      </c>
      <c r="J22" s="61">
        <f t="shared" si="4"/>
        <v>0</v>
      </c>
      <c r="K22" s="61">
        <f t="shared" si="5"/>
        <v>0</v>
      </c>
      <c r="L22" s="61">
        <f t="shared" si="6"/>
        <v>0</v>
      </c>
      <c r="M22" s="61">
        <f t="shared" si="7"/>
        <v>0</v>
      </c>
      <c r="N22" s="61">
        <f t="shared" si="8"/>
        <v>0</v>
      </c>
      <c r="O22" s="61">
        <f t="shared" si="9"/>
        <v>0</v>
      </c>
      <c r="P22" s="281">
        <f>'ORÇAMENTO S.D.'!L45</f>
        <v>27404.94</v>
      </c>
      <c r="Q22" s="24"/>
      <c r="R22" s="323">
        <f t="shared" si="10"/>
        <v>27404.94</v>
      </c>
      <c r="S22" s="20"/>
      <c r="T22" s="21"/>
    </row>
    <row r="23" spans="2:20" s="19" customFormat="1" ht="12.75" customHeight="1" x14ac:dyDescent="0.2">
      <c r="B23" s="349"/>
      <c r="C23" s="62"/>
      <c r="D23" s="63">
        <v>1</v>
      </c>
      <c r="E23" s="63">
        <v>0</v>
      </c>
      <c r="F23" s="63">
        <v>0</v>
      </c>
      <c r="G23" s="63"/>
      <c r="H23" s="63"/>
      <c r="I23" s="63"/>
      <c r="J23" s="63"/>
      <c r="K23" s="63"/>
      <c r="L23" s="63"/>
      <c r="M23" s="63"/>
      <c r="N23" s="63"/>
      <c r="O23" s="63"/>
      <c r="P23" s="281"/>
      <c r="Q23" s="331">
        <f>IFERROR(P22/$P$38,"-")</f>
        <v>2.5717729874638162E-2</v>
      </c>
      <c r="R23" s="324">
        <f t="shared" si="10"/>
        <v>1</v>
      </c>
      <c r="S23" s="20"/>
      <c r="T23" s="21"/>
    </row>
    <row r="24" spans="2:20" s="19" customFormat="1" x14ac:dyDescent="0.2">
      <c r="B24" s="332" t="s">
        <v>22</v>
      </c>
      <c r="C24" s="305" t="str">
        <f>'ORÇAMENTO S.D.'!E46</f>
        <v>PILARES PRÉ-MOLDADO PARA PASSARELA DE PEDESTRES</v>
      </c>
      <c r="D24" s="61">
        <f>$P24*D25</f>
        <v>10076.464</v>
      </c>
      <c r="E24" s="61">
        <f>$P24*E25</f>
        <v>2519.116</v>
      </c>
      <c r="F24" s="61">
        <f t="shared" si="0"/>
        <v>0</v>
      </c>
      <c r="G24" s="61">
        <f t="shared" si="1"/>
        <v>0</v>
      </c>
      <c r="H24" s="61">
        <f t="shared" si="2"/>
        <v>0</v>
      </c>
      <c r="I24" s="61">
        <f t="shared" si="3"/>
        <v>0</v>
      </c>
      <c r="J24" s="61">
        <f t="shared" si="4"/>
        <v>0</v>
      </c>
      <c r="K24" s="61">
        <f t="shared" si="5"/>
        <v>0</v>
      </c>
      <c r="L24" s="61">
        <f t="shared" si="6"/>
        <v>0</v>
      </c>
      <c r="M24" s="61">
        <f t="shared" si="7"/>
        <v>0</v>
      </c>
      <c r="N24" s="61">
        <f t="shared" si="8"/>
        <v>0</v>
      </c>
      <c r="O24" s="61">
        <f t="shared" si="9"/>
        <v>0</v>
      </c>
      <c r="P24" s="281">
        <f>'ORÇAMENTO S.D.'!L54</f>
        <v>12595.58</v>
      </c>
      <c r="Q24" s="24"/>
      <c r="R24" s="323">
        <f t="shared" si="10"/>
        <v>12595.58</v>
      </c>
      <c r="S24" s="20"/>
      <c r="T24" s="21"/>
    </row>
    <row r="25" spans="2:20" s="19" customFormat="1" ht="12.75" customHeight="1" x14ac:dyDescent="0.2">
      <c r="B25" s="332"/>
      <c r="C25" s="64"/>
      <c r="D25" s="63">
        <v>0.8</v>
      </c>
      <c r="E25" s="63">
        <v>0.2</v>
      </c>
      <c r="F25" s="63">
        <v>0</v>
      </c>
      <c r="G25" s="63"/>
      <c r="H25" s="63"/>
      <c r="I25" s="63"/>
      <c r="J25" s="63"/>
      <c r="K25" s="63"/>
      <c r="L25" s="63"/>
      <c r="M25" s="63"/>
      <c r="N25" s="63"/>
      <c r="O25" s="63"/>
      <c r="P25" s="28"/>
      <c r="Q25" s="331">
        <f>IFERROR(P24/$P$38,"-")</f>
        <v>1.1820121629691397E-2</v>
      </c>
      <c r="R25" s="324">
        <f t="shared" si="10"/>
        <v>1</v>
      </c>
      <c r="S25" s="20"/>
      <c r="T25" s="21"/>
    </row>
    <row r="26" spans="2:20" s="19" customFormat="1" ht="12.75" customHeight="1" x14ac:dyDescent="0.2">
      <c r="B26" s="332" t="s">
        <v>1769</v>
      </c>
      <c r="C26" s="305" t="str">
        <f>'ORÇAMENTO S.D.'!E64</f>
        <v>RAMPAS DE ACESSO ÀS PASSARELAS</v>
      </c>
      <c r="D26" s="61">
        <f>$P26*D27</f>
        <v>0</v>
      </c>
      <c r="E26" s="61">
        <f>$P26*E27</f>
        <v>59577.1</v>
      </c>
      <c r="F26" s="61">
        <f t="shared" si="0"/>
        <v>59577.1</v>
      </c>
      <c r="G26" s="61">
        <f t="shared" si="1"/>
        <v>0</v>
      </c>
      <c r="H26" s="61">
        <f t="shared" si="2"/>
        <v>0</v>
      </c>
      <c r="I26" s="61">
        <f t="shared" si="3"/>
        <v>0</v>
      </c>
      <c r="J26" s="61">
        <f t="shared" si="4"/>
        <v>0</v>
      </c>
      <c r="K26" s="61">
        <f t="shared" si="5"/>
        <v>0</v>
      </c>
      <c r="L26" s="61">
        <f t="shared" si="6"/>
        <v>0</v>
      </c>
      <c r="M26" s="61">
        <f t="shared" si="7"/>
        <v>0</v>
      </c>
      <c r="N26" s="61">
        <f t="shared" si="8"/>
        <v>0</v>
      </c>
      <c r="O26" s="61">
        <f t="shared" si="9"/>
        <v>0</v>
      </c>
      <c r="P26" s="281">
        <f>'ORÇAMENTO S.D.'!L83</f>
        <v>119154.2</v>
      </c>
      <c r="Q26" s="24"/>
      <c r="R26" s="323">
        <f t="shared" si="10"/>
        <v>119154.2</v>
      </c>
      <c r="S26" s="20"/>
      <c r="T26" s="21"/>
    </row>
    <row r="27" spans="2:20" s="19" customFormat="1" ht="12.75" customHeight="1" x14ac:dyDescent="0.2">
      <c r="B27" s="332"/>
      <c r="C27" s="64"/>
      <c r="D27" s="63">
        <v>0</v>
      </c>
      <c r="E27" s="63">
        <v>0.5</v>
      </c>
      <c r="F27" s="63">
        <v>0.5</v>
      </c>
      <c r="G27" s="63"/>
      <c r="H27" s="63"/>
      <c r="I27" s="63"/>
      <c r="J27" s="63"/>
      <c r="K27" s="63"/>
      <c r="L27" s="63"/>
      <c r="M27" s="63"/>
      <c r="N27" s="63"/>
      <c r="O27" s="63"/>
      <c r="P27" s="28"/>
      <c r="Q27" s="331">
        <f>IFERROR(P26/$P$38,"-")</f>
        <v>0.11181836300421058</v>
      </c>
      <c r="R27" s="324">
        <f t="shared" si="10"/>
        <v>1</v>
      </c>
      <c r="S27" s="20"/>
      <c r="T27" s="21"/>
    </row>
    <row r="28" spans="2:20" s="19" customFormat="1" ht="12.75" customHeight="1" x14ac:dyDescent="0.2">
      <c r="B28" s="332" t="s">
        <v>1770</v>
      </c>
      <c r="C28" s="305" t="str">
        <f>'ORÇAMENTO S.D.'!E55</f>
        <v>SUPERESTRUTURA PASSARELAS DE PEDESTRES</v>
      </c>
      <c r="D28" s="61">
        <f>$P28*D29</f>
        <v>18375.944999999996</v>
      </c>
      <c r="E28" s="61">
        <f>$P28*E29</f>
        <v>18375.944999999996</v>
      </c>
      <c r="F28" s="61">
        <f t="shared" si="0"/>
        <v>0</v>
      </c>
      <c r="G28" s="61">
        <f t="shared" si="1"/>
        <v>0</v>
      </c>
      <c r="H28" s="61">
        <f t="shared" si="2"/>
        <v>0</v>
      </c>
      <c r="I28" s="61">
        <f t="shared" si="3"/>
        <v>0</v>
      </c>
      <c r="J28" s="61">
        <f t="shared" si="4"/>
        <v>0</v>
      </c>
      <c r="K28" s="61">
        <f t="shared" si="5"/>
        <v>0</v>
      </c>
      <c r="L28" s="61">
        <f t="shared" si="6"/>
        <v>0</v>
      </c>
      <c r="M28" s="61">
        <f t="shared" si="7"/>
        <v>0</v>
      </c>
      <c r="N28" s="61">
        <f t="shared" si="8"/>
        <v>0</v>
      </c>
      <c r="O28" s="61">
        <f t="shared" si="9"/>
        <v>0</v>
      </c>
      <c r="P28" s="281">
        <f>'ORÇAMENTO S.D.'!L63</f>
        <v>36751.889999999992</v>
      </c>
      <c r="Q28" s="24"/>
      <c r="R28" s="323">
        <f t="shared" si="10"/>
        <v>36751.889999999992</v>
      </c>
      <c r="S28" s="20"/>
      <c r="T28" s="21"/>
    </row>
    <row r="29" spans="2:20" s="19" customFormat="1" ht="12.75" customHeight="1" x14ac:dyDescent="0.2">
      <c r="B29" s="332"/>
      <c r="C29" s="64"/>
      <c r="D29" s="63">
        <v>0.5</v>
      </c>
      <c r="E29" s="63">
        <v>0.5</v>
      </c>
      <c r="F29" s="63">
        <v>0</v>
      </c>
      <c r="G29" s="308"/>
      <c r="H29" s="308"/>
      <c r="I29" s="308"/>
      <c r="J29" s="63"/>
      <c r="K29" s="63"/>
      <c r="L29" s="63"/>
      <c r="M29" s="63"/>
      <c r="N29" s="63"/>
      <c r="O29" s="63"/>
      <c r="P29" s="28"/>
      <c r="Q29" s="331">
        <f>IFERROR(P28/$P$38,"-")</f>
        <v>3.4489226373143507E-2</v>
      </c>
      <c r="R29" s="324">
        <f t="shared" si="10"/>
        <v>1</v>
      </c>
      <c r="S29" s="20"/>
      <c r="T29" s="21"/>
    </row>
    <row r="30" spans="2:20" s="19" customFormat="1" ht="12.75" customHeight="1" x14ac:dyDescent="0.2">
      <c r="B30" s="332" t="s">
        <v>1771</v>
      </c>
      <c r="C30" s="64" t="str">
        <f>'ORÇAMENTO S.D.'!E84</f>
        <v>GUARDA-CORPO PARA PASSARELA DE PEDESTRES - FORNECIMENTO E INSTALAÇÃO</v>
      </c>
      <c r="D30" s="61">
        <f>$P30*D31</f>
        <v>138049.00293199997</v>
      </c>
      <c r="E30" s="61">
        <f>$P30*E31</f>
        <v>0</v>
      </c>
      <c r="F30" s="61">
        <f t="shared" si="0"/>
        <v>141063.41706799998</v>
      </c>
      <c r="G30" s="61">
        <f t="shared" si="1"/>
        <v>0</v>
      </c>
      <c r="H30" s="308"/>
      <c r="I30" s="308"/>
      <c r="J30" s="63"/>
      <c r="K30" s="63"/>
      <c r="L30" s="63"/>
      <c r="M30" s="63"/>
      <c r="N30" s="63"/>
      <c r="O30" s="63"/>
      <c r="P30" s="61">
        <f>'ORÇAMENTO S.D.'!L89</f>
        <v>279112.42</v>
      </c>
      <c r="Q30" s="331"/>
      <c r="R30" s="323">
        <f t="shared" si="10"/>
        <v>279112.41999999993</v>
      </c>
      <c r="S30" s="20"/>
      <c r="T30" s="21"/>
    </row>
    <row r="31" spans="2:20" s="19" customFormat="1" ht="12.75" customHeight="1" x14ac:dyDescent="0.2">
      <c r="B31" s="332"/>
      <c r="C31" s="64"/>
      <c r="D31" s="63">
        <v>0.49459999999999998</v>
      </c>
      <c r="E31" s="63">
        <v>0</v>
      </c>
      <c r="F31" s="63">
        <v>0.50539999999999996</v>
      </c>
      <c r="G31" s="308"/>
      <c r="H31" s="308"/>
      <c r="I31" s="308"/>
      <c r="J31" s="63"/>
      <c r="K31" s="63"/>
      <c r="L31" s="63"/>
      <c r="M31" s="63"/>
      <c r="N31" s="63"/>
      <c r="O31" s="63"/>
      <c r="P31" s="28"/>
      <c r="Q31" s="331">
        <f>IFERROR(P30/$P$38,"-")</f>
        <v>0.26192860930243067</v>
      </c>
      <c r="R31" s="324">
        <f t="shared" si="10"/>
        <v>1</v>
      </c>
      <c r="S31" s="20"/>
      <c r="T31" s="21"/>
    </row>
    <row r="32" spans="2:20" s="19" customFormat="1" ht="12.75" customHeight="1" x14ac:dyDescent="0.2">
      <c r="B32" s="332" t="s">
        <v>1860</v>
      </c>
      <c r="C32" s="64" t="str">
        <f>'ORÇAMENTO S.D.'!E90</f>
        <v>ESTACA BARRETE - ADEQUAÇÃO DE ALTURA</v>
      </c>
      <c r="D32" s="61">
        <f>$P32*D33</f>
        <v>140014.15749999997</v>
      </c>
      <c r="E32" s="61">
        <f>$P32*E33</f>
        <v>140014.15749999997</v>
      </c>
      <c r="F32" s="61">
        <f t="shared" si="0"/>
        <v>120012.13499999998</v>
      </c>
      <c r="G32" s="61">
        <f t="shared" si="1"/>
        <v>0</v>
      </c>
      <c r="H32" s="308"/>
      <c r="I32" s="308"/>
      <c r="J32" s="63"/>
      <c r="K32" s="63"/>
      <c r="L32" s="63"/>
      <c r="M32" s="63"/>
      <c r="N32" s="63"/>
      <c r="O32" s="63"/>
      <c r="P32" s="61">
        <f>'ORÇAMENTO S.D.'!L100</f>
        <v>400040.44999999995</v>
      </c>
      <c r="Q32" s="331"/>
      <c r="R32" s="323">
        <f t="shared" si="10"/>
        <v>400040.44999999995</v>
      </c>
      <c r="S32" s="20"/>
      <c r="T32" s="21"/>
    </row>
    <row r="33" spans="2:21" s="19" customFormat="1" ht="12.75" customHeight="1" x14ac:dyDescent="0.2">
      <c r="B33" s="332"/>
      <c r="C33" s="64"/>
      <c r="D33" s="63">
        <v>0.35</v>
      </c>
      <c r="E33" s="63">
        <v>0.35</v>
      </c>
      <c r="F33" s="63">
        <v>0.3</v>
      </c>
      <c r="G33" s="308"/>
      <c r="H33" s="308"/>
      <c r="I33" s="308"/>
      <c r="J33" s="63"/>
      <c r="K33" s="63"/>
      <c r="L33" s="63"/>
      <c r="M33" s="63"/>
      <c r="N33" s="63"/>
      <c r="O33" s="63"/>
      <c r="P33" s="28"/>
      <c r="Q33" s="331">
        <f>IFERROR(P32/$P$38,"-")</f>
        <v>0.37541159484489633</v>
      </c>
      <c r="R33" s="324">
        <f t="shared" si="10"/>
        <v>1</v>
      </c>
      <c r="S33" s="20"/>
      <c r="T33" s="21"/>
    </row>
    <row r="34" spans="2:21" s="19" customFormat="1" ht="12.75" customHeight="1" x14ac:dyDescent="0.2">
      <c r="B34" s="332" t="s">
        <v>1901</v>
      </c>
      <c r="C34" s="305" t="str">
        <f>'ORÇAMENTO S.D.'!E101</f>
        <v>URBANIZAÇÃO</v>
      </c>
      <c r="D34" s="61">
        <f>$P34*D35</f>
        <v>0</v>
      </c>
      <c r="E34" s="61">
        <f>$P34*E35</f>
        <v>0</v>
      </c>
      <c r="F34" s="61">
        <f t="shared" si="0"/>
        <v>0</v>
      </c>
      <c r="G34" s="61">
        <f t="shared" si="1"/>
        <v>29339.670000000002</v>
      </c>
      <c r="H34" s="61">
        <f t="shared" si="2"/>
        <v>0</v>
      </c>
      <c r="I34" s="61">
        <f t="shared" si="3"/>
        <v>0</v>
      </c>
      <c r="J34" s="61">
        <f t="shared" si="4"/>
        <v>0</v>
      </c>
      <c r="K34" s="61">
        <f t="shared" si="5"/>
        <v>0</v>
      </c>
      <c r="L34" s="61">
        <f t="shared" si="6"/>
        <v>0</v>
      </c>
      <c r="M34" s="61">
        <f t="shared" si="7"/>
        <v>0</v>
      </c>
      <c r="N34" s="61">
        <f t="shared" si="8"/>
        <v>0</v>
      </c>
      <c r="O34" s="61">
        <f t="shared" si="9"/>
        <v>0</v>
      </c>
      <c r="P34" s="281">
        <f>'ORÇAMENTO S.D.'!L105</f>
        <v>29339.670000000002</v>
      </c>
      <c r="Q34" s="24"/>
      <c r="R34" s="323">
        <f t="shared" si="10"/>
        <v>29339.670000000002</v>
      </c>
      <c r="S34" s="20"/>
      <c r="T34" s="21"/>
    </row>
    <row r="35" spans="2:21" s="19" customFormat="1" ht="12.75" customHeight="1" x14ac:dyDescent="0.2">
      <c r="B35" s="332"/>
      <c r="C35" s="64"/>
      <c r="D35" s="63">
        <v>0</v>
      </c>
      <c r="E35" s="63">
        <v>0</v>
      </c>
      <c r="F35" s="63"/>
      <c r="G35" s="63">
        <v>1</v>
      </c>
      <c r="H35" s="63"/>
      <c r="I35" s="63"/>
      <c r="J35" s="63"/>
      <c r="K35" s="63"/>
      <c r="L35" s="63"/>
      <c r="M35" s="63"/>
      <c r="N35" s="63"/>
      <c r="O35" s="63"/>
      <c r="P35" s="28"/>
      <c r="Q35" s="331">
        <f>IFERROR(P34/$P$38,"-")</f>
        <v>2.7533346457646875E-2</v>
      </c>
      <c r="R35" s="324">
        <f t="shared" si="10"/>
        <v>1</v>
      </c>
      <c r="S35" s="20"/>
      <c r="T35" s="21"/>
    </row>
    <row r="36" spans="2:21" s="19" customFormat="1" ht="12.75" customHeight="1" x14ac:dyDescent="0.2">
      <c r="B36" s="332" t="s">
        <v>2072</v>
      </c>
      <c r="C36" s="64" t="s">
        <v>2073</v>
      </c>
      <c r="D36" s="61">
        <f>$P36*D37</f>
        <v>0</v>
      </c>
      <c r="E36" s="61">
        <f>$P36*E37</f>
        <v>0</v>
      </c>
      <c r="F36" s="61">
        <f t="shared" si="0"/>
        <v>0</v>
      </c>
      <c r="G36" s="61">
        <f t="shared" si="1"/>
        <v>15668.64</v>
      </c>
      <c r="H36" s="61">
        <f t="shared" si="2"/>
        <v>0</v>
      </c>
      <c r="I36" s="61">
        <f t="shared" si="3"/>
        <v>0</v>
      </c>
      <c r="J36" s="61">
        <f t="shared" si="4"/>
        <v>0</v>
      </c>
      <c r="K36" s="61">
        <f t="shared" si="5"/>
        <v>0</v>
      </c>
      <c r="L36" s="61">
        <f t="shared" si="6"/>
        <v>0</v>
      </c>
      <c r="M36" s="61">
        <f t="shared" si="7"/>
        <v>0</v>
      </c>
      <c r="N36" s="61">
        <f t="shared" si="8"/>
        <v>0</v>
      </c>
      <c r="O36" s="61">
        <f t="shared" si="9"/>
        <v>0</v>
      </c>
      <c r="P36" s="281">
        <f>'ORÇAMENTO S.D.'!L109</f>
        <v>15668.64</v>
      </c>
      <c r="Q36" s="333"/>
      <c r="R36" s="324"/>
      <c r="S36" s="20"/>
      <c r="T36" s="21"/>
    </row>
    <row r="37" spans="2:21" ht="12.75" customHeight="1" x14ac:dyDescent="0.2">
      <c r="B37" s="332"/>
      <c r="C37" s="64"/>
      <c r="D37" s="63">
        <v>0</v>
      </c>
      <c r="E37" s="63">
        <v>0</v>
      </c>
      <c r="F37" s="63"/>
      <c r="G37" s="63">
        <v>1</v>
      </c>
      <c r="H37" s="63"/>
      <c r="I37" s="63"/>
      <c r="J37" s="63"/>
      <c r="K37" s="63"/>
      <c r="L37" s="63"/>
      <c r="M37" s="63"/>
      <c r="N37" s="63"/>
      <c r="O37" s="63"/>
      <c r="P37" s="28"/>
      <c r="Q37" s="331">
        <f>IFERROR(P36/$P$38,"-")</f>
        <v>1.4703985888053413E-2</v>
      </c>
      <c r="R37" s="324"/>
    </row>
    <row r="38" spans="2:21" ht="12.75" customHeight="1" x14ac:dyDescent="0.2">
      <c r="B38" s="60" t="s">
        <v>55</v>
      </c>
      <c r="C38" s="23"/>
      <c r="D38" s="24">
        <f>SUM(D16,D18,D20,D22,D24,D26,D28,D34,D30,D32,D36)</f>
        <v>375522.07843199995</v>
      </c>
      <c r="E38" s="24">
        <f>SUM(E16,E18,E20,E22,E24,E26,E28,E34,E30,E32,E36)</f>
        <v>255533.56649999996</v>
      </c>
      <c r="F38" s="24">
        <f>SUM(F16,F18,F20,F22,F24,F26,F28,F34,F30,F32,F36)</f>
        <v>355699.90006799996</v>
      </c>
      <c r="G38" s="24">
        <f>SUM(G16,G18,G20,G22,G24,G26,G28,G34,G30,G32,G36)</f>
        <v>78849.395000000004</v>
      </c>
      <c r="H38" s="24" t="e">
        <f>SUM(H16,H18,H20,H22,#REF!,H24)</f>
        <v>#REF!</v>
      </c>
      <c r="I38" s="24" t="e">
        <f>SUM(I16,I18,I20,I22,#REF!,I24)</f>
        <v>#REF!</v>
      </c>
      <c r="J38" s="24" t="e">
        <f>SUM(J16,J18,J20,J22,#REF!,J24)</f>
        <v>#REF!</v>
      </c>
      <c r="K38" s="24" t="e">
        <f>SUM(K16,K18,K20,K22,#REF!,K24)</f>
        <v>#REF!</v>
      </c>
      <c r="L38" s="24" t="e">
        <f>SUM(L16,L18,L20,L22,#REF!,L24)</f>
        <v>#REF!</v>
      </c>
      <c r="M38" s="24" t="e">
        <f>SUM(M16,M18,M20,M22,#REF!,M24)</f>
        <v>#REF!</v>
      </c>
      <c r="N38" s="24" t="e">
        <f>SUM(N16,N18,N20,N22,#REF!,N24)</f>
        <v>#REF!</v>
      </c>
      <c r="O38" s="24" t="e">
        <f>SUM(O16,O18,O20,O22,#REF!,O24)</f>
        <v>#REF!</v>
      </c>
      <c r="P38" s="340">
        <f>SUM(P15:P37)</f>
        <v>1065604.9399999997</v>
      </c>
      <c r="Q38" s="341">
        <f>SUM(Q15:Q37)</f>
        <v>1.0000000000000002</v>
      </c>
    </row>
    <row r="39" spans="2:21" ht="12.75" customHeight="1" x14ac:dyDescent="0.2">
      <c r="B39" s="334" t="s">
        <v>56</v>
      </c>
      <c r="C39" s="325"/>
      <c r="D39" s="22">
        <f>IFERROR(D38/$P$38,"-")</f>
        <v>0.35240271918409094</v>
      </c>
      <c r="E39" s="22">
        <f>IFERROR(E38/$P$38,"-")</f>
        <v>0.23980140942289552</v>
      </c>
      <c r="F39" s="22">
        <f t="shared" ref="F39:O39" si="12">IFERROR(F38/$P$38,"-")</f>
        <v>0.33380091130958917</v>
      </c>
      <c r="G39" s="22">
        <f t="shared" si="12"/>
        <v>7.3994960083424557E-2</v>
      </c>
      <c r="H39" s="22" t="str">
        <f t="shared" si="12"/>
        <v>-</v>
      </c>
      <c r="I39" s="22" t="str">
        <f t="shared" si="12"/>
        <v>-</v>
      </c>
      <c r="J39" s="22" t="str">
        <f t="shared" si="12"/>
        <v>-</v>
      </c>
      <c r="K39" s="22" t="str">
        <f t="shared" si="12"/>
        <v>-</v>
      </c>
      <c r="L39" s="22" t="str">
        <f t="shared" si="12"/>
        <v>-</v>
      </c>
      <c r="M39" s="22" t="str">
        <f t="shared" si="12"/>
        <v>-</v>
      </c>
      <c r="N39" s="22" t="str">
        <f t="shared" si="12"/>
        <v>-</v>
      </c>
      <c r="O39" s="22" t="str">
        <f t="shared" si="12"/>
        <v>-</v>
      </c>
      <c r="P39" s="59"/>
      <c r="Q39" s="59"/>
    </row>
    <row r="40" spans="2:21" ht="12.75" customHeight="1" x14ac:dyDescent="0.2">
      <c r="B40" s="60" t="s">
        <v>57</v>
      </c>
      <c r="C40" s="23"/>
      <c r="D40" s="24">
        <f>D38</f>
        <v>375522.07843199995</v>
      </c>
      <c r="E40" s="24">
        <f>SUM(D40,E38)</f>
        <v>631055.64493199997</v>
      </c>
      <c r="F40" s="24">
        <f t="shared" ref="F40:O40" si="13">SUM(E40,F38)</f>
        <v>986755.54499999993</v>
      </c>
      <c r="G40" s="24">
        <f t="shared" si="13"/>
        <v>1065604.94</v>
      </c>
      <c r="H40" s="24" t="e">
        <f t="shared" si="13"/>
        <v>#REF!</v>
      </c>
      <c r="I40" s="24" t="e">
        <f t="shared" si="13"/>
        <v>#REF!</v>
      </c>
      <c r="J40" s="24" t="e">
        <f t="shared" si="13"/>
        <v>#REF!</v>
      </c>
      <c r="K40" s="24" t="e">
        <f t="shared" si="13"/>
        <v>#REF!</v>
      </c>
      <c r="L40" s="24" t="e">
        <f t="shared" si="13"/>
        <v>#REF!</v>
      </c>
      <c r="M40" s="24" t="e">
        <f t="shared" si="13"/>
        <v>#REF!</v>
      </c>
      <c r="N40" s="24" t="e">
        <f t="shared" si="13"/>
        <v>#REF!</v>
      </c>
      <c r="O40" s="24" t="e">
        <f t="shared" si="13"/>
        <v>#REF!</v>
      </c>
      <c r="P40" s="25"/>
      <c r="Q40" s="335"/>
      <c r="U40" s="26"/>
    </row>
    <row r="41" spans="2:21" ht="12.75" customHeight="1" x14ac:dyDescent="0.2">
      <c r="B41" s="334" t="s">
        <v>58</v>
      </c>
      <c r="C41" s="342"/>
      <c r="D41" s="331">
        <f>D39</f>
        <v>0.35240271918409094</v>
      </c>
      <c r="E41" s="331">
        <f>SUM(D41,E39)</f>
        <v>0.59220412860698646</v>
      </c>
      <c r="F41" s="331">
        <f t="shared" ref="F41:O41" si="14">SUM(E41,F39)</f>
        <v>0.92600503991657557</v>
      </c>
      <c r="G41" s="331">
        <f t="shared" si="14"/>
        <v>1.0000000000000002</v>
      </c>
      <c r="H41" s="331">
        <f t="shared" si="14"/>
        <v>1.0000000000000002</v>
      </c>
      <c r="I41" s="331">
        <f t="shared" si="14"/>
        <v>1.0000000000000002</v>
      </c>
      <c r="J41" s="331">
        <f t="shared" si="14"/>
        <v>1.0000000000000002</v>
      </c>
      <c r="K41" s="331">
        <f t="shared" si="14"/>
        <v>1.0000000000000002</v>
      </c>
      <c r="L41" s="331">
        <f t="shared" si="14"/>
        <v>1.0000000000000002</v>
      </c>
      <c r="M41" s="331">
        <f t="shared" si="14"/>
        <v>1.0000000000000002</v>
      </c>
      <c r="N41" s="331">
        <f t="shared" si="14"/>
        <v>1.0000000000000002</v>
      </c>
      <c r="O41" s="331">
        <f t="shared" si="14"/>
        <v>1.0000000000000002</v>
      </c>
      <c r="P41" s="343"/>
      <c r="Q41" s="344"/>
    </row>
    <row r="42" spans="2:21" ht="12.75" customHeight="1" x14ac:dyDescent="0.2">
      <c r="B42" s="336" t="s">
        <v>59</v>
      </c>
      <c r="C42" s="310"/>
      <c r="D42" s="337"/>
      <c r="E42" s="337"/>
      <c r="F42" s="337"/>
      <c r="G42" s="338"/>
      <c r="H42" s="338"/>
      <c r="I42" s="338"/>
      <c r="J42" s="337"/>
      <c r="K42" s="337"/>
      <c r="L42" s="337"/>
      <c r="M42" s="337"/>
      <c r="N42" s="337"/>
      <c r="O42" s="337"/>
      <c r="P42" s="337"/>
      <c r="Q42" s="339"/>
    </row>
    <row r="44" spans="2:21" outlineLevel="1" x14ac:dyDescent="0.2">
      <c r="B44" s="913" t="s">
        <v>2053</v>
      </c>
      <c r="C44" s="913"/>
      <c r="D44" s="913"/>
      <c r="E44" s="913"/>
      <c r="F44" s="913"/>
      <c r="G44" s="913"/>
      <c r="H44" s="913"/>
      <c r="I44" s="913"/>
      <c r="J44" s="913"/>
      <c r="K44" s="913"/>
      <c r="L44" s="913"/>
      <c r="M44" s="913"/>
      <c r="N44" s="913"/>
      <c r="O44" s="913"/>
      <c r="P44" s="913"/>
    </row>
    <row r="45" spans="2:21" outlineLevel="1" x14ac:dyDescent="0.2">
      <c r="B45" s="914" t="s">
        <v>1329</v>
      </c>
      <c r="C45" s="914"/>
      <c r="D45" s="69">
        <f>+D16</f>
        <v>29226.884999999998</v>
      </c>
      <c r="E45" s="69">
        <f>+E16</f>
        <v>29226.884999999998</v>
      </c>
      <c r="F45" s="69">
        <f>+F16</f>
        <v>29226.884999999998</v>
      </c>
      <c r="G45" s="69">
        <f>G16</f>
        <v>29226.884999999998</v>
      </c>
      <c r="H45" s="69" t="e">
        <f>SUM(H18,H20,H22,#REF!,H24)</f>
        <v>#REF!</v>
      </c>
      <c r="I45" s="69" t="e">
        <f>SUM(I18,I20,I22,#REF!,I24)</f>
        <v>#REF!</v>
      </c>
      <c r="J45" s="69" t="e">
        <f>SUM(J18,J20,J22,#REF!,J24)</f>
        <v>#REF!</v>
      </c>
      <c r="K45" s="69" t="e">
        <f>SUM(K18,K20,K22,#REF!,K24)</f>
        <v>#REF!</v>
      </c>
      <c r="L45" s="69" t="e">
        <f>SUM(L18,L20,L22,#REF!,L24)</f>
        <v>#REF!</v>
      </c>
      <c r="M45" s="69" t="e">
        <f>SUM(M18,M20,M22,#REF!,M24)</f>
        <v>#REF!</v>
      </c>
      <c r="N45" s="69" t="e">
        <f>SUM(N18,N20,N22,#REF!,N24)</f>
        <v>#REF!</v>
      </c>
      <c r="O45" s="69" t="e">
        <f>SUM(O18,O20,O22,#REF!,O24)</f>
        <v>#REF!</v>
      </c>
      <c r="P45" s="71">
        <f>+D45+E45+F45+G45</f>
        <v>116907.54</v>
      </c>
      <c r="Q45" s="27"/>
    </row>
    <row r="46" spans="2:21" outlineLevel="1" x14ac:dyDescent="0.2">
      <c r="B46" s="914" t="s">
        <v>1330</v>
      </c>
      <c r="C46" s="914"/>
      <c r="D46" s="70">
        <f>IFERROR(D45/$P$45,0)</f>
        <v>0.25</v>
      </c>
      <c r="E46" s="70">
        <f t="shared" ref="E46:O46" si="15">IFERROR(E45/$P$45,0)</f>
        <v>0.25</v>
      </c>
      <c r="F46" s="70">
        <f t="shared" si="15"/>
        <v>0.25</v>
      </c>
      <c r="G46" s="70">
        <f t="shared" si="15"/>
        <v>0.25</v>
      </c>
      <c r="H46" s="70">
        <f t="shared" si="15"/>
        <v>0</v>
      </c>
      <c r="I46" s="70">
        <f t="shared" si="15"/>
        <v>0</v>
      </c>
      <c r="J46" s="70">
        <f t="shared" si="15"/>
        <v>0</v>
      </c>
      <c r="K46" s="70">
        <f t="shared" si="15"/>
        <v>0</v>
      </c>
      <c r="L46" s="70">
        <f t="shared" si="15"/>
        <v>0</v>
      </c>
      <c r="M46" s="70">
        <f t="shared" si="15"/>
        <v>0</v>
      </c>
      <c r="N46" s="70">
        <f t="shared" si="15"/>
        <v>0</v>
      </c>
      <c r="O46" s="70">
        <f t="shared" si="15"/>
        <v>0</v>
      </c>
      <c r="P46" s="70"/>
    </row>
    <row r="48" spans="2:21" x14ac:dyDescent="0.2">
      <c r="G48" s="306"/>
      <c r="H48" s="306"/>
      <c r="I48" s="306"/>
    </row>
    <row r="49" spans="2:16" x14ac:dyDescent="0.2">
      <c r="G49" s="306"/>
      <c r="H49" s="306"/>
      <c r="I49" s="306"/>
    </row>
    <row r="50" spans="2:16" ht="12.75" customHeight="1" x14ac:dyDescent="0.2">
      <c r="B50" s="310"/>
      <c r="C50" s="310"/>
      <c r="E50" s="907"/>
      <c r="F50" s="907"/>
      <c r="G50" s="907"/>
      <c r="H50" s="907"/>
      <c r="I50" s="907"/>
      <c r="J50" s="907"/>
      <c r="K50" s="907"/>
      <c r="L50" s="907"/>
      <c r="M50" s="907"/>
      <c r="N50" s="907"/>
      <c r="O50" s="907"/>
      <c r="P50" s="907"/>
    </row>
    <row r="51" spans="2:16" ht="12.75" customHeight="1" x14ac:dyDescent="0.2">
      <c r="B51" s="788"/>
      <c r="C51" s="788"/>
      <c r="E51" s="908"/>
      <c r="F51" s="908"/>
      <c r="G51" s="908"/>
      <c r="H51" s="908"/>
      <c r="I51" s="908"/>
      <c r="J51" s="908"/>
      <c r="K51" s="908"/>
      <c r="L51" s="908"/>
      <c r="M51" s="908"/>
      <c r="N51" s="908"/>
      <c r="O51" s="908"/>
      <c r="P51" s="908"/>
    </row>
    <row r="52" spans="2:16" ht="12.75" customHeight="1" x14ac:dyDescent="0.2">
      <c r="B52" s="788"/>
      <c r="C52" s="788"/>
      <c r="E52" s="908"/>
      <c r="F52" s="908"/>
      <c r="G52" s="908"/>
      <c r="H52" s="908"/>
      <c r="I52" s="908"/>
      <c r="J52" s="908"/>
      <c r="K52" s="908"/>
      <c r="L52" s="908"/>
      <c r="M52" s="908"/>
      <c r="N52" s="908"/>
      <c r="O52" s="908"/>
      <c r="P52" s="908"/>
    </row>
    <row r="53" spans="2:16" ht="12.75" customHeight="1" x14ac:dyDescent="0.2">
      <c r="B53" s="788"/>
      <c r="C53" s="788"/>
      <c r="E53" s="908"/>
      <c r="F53" s="908"/>
      <c r="G53" s="908"/>
      <c r="H53" s="908"/>
      <c r="I53" s="908"/>
      <c r="J53" s="908"/>
      <c r="K53" s="908"/>
      <c r="L53" s="908"/>
      <c r="M53" s="908"/>
      <c r="N53" s="908"/>
      <c r="O53" s="908"/>
      <c r="P53" s="908"/>
    </row>
    <row r="54" spans="2:16" ht="12.75" customHeight="1" x14ac:dyDescent="0.2">
      <c r="B54" s="788"/>
      <c r="C54" s="788"/>
      <c r="E54" s="908"/>
      <c r="F54" s="908"/>
      <c r="G54" s="908"/>
      <c r="H54" s="908"/>
      <c r="I54" s="908"/>
      <c r="J54" s="908"/>
      <c r="K54" s="908"/>
      <c r="L54" s="908"/>
      <c r="M54" s="908"/>
      <c r="N54" s="908"/>
      <c r="O54" s="908"/>
      <c r="P54" s="908"/>
    </row>
    <row r="55" spans="2:16" x14ac:dyDescent="0.2">
      <c r="B55" s="312"/>
      <c r="C55" s="313"/>
    </row>
    <row r="66" spans="2:9" x14ac:dyDescent="0.2">
      <c r="G66" s="306"/>
      <c r="H66" s="306"/>
      <c r="I66" s="306"/>
    </row>
    <row r="71" spans="2:9" x14ac:dyDescent="0.2">
      <c r="G71" s="307"/>
      <c r="H71" s="307"/>
      <c r="I71" s="307"/>
    </row>
    <row r="72" spans="2:9" x14ac:dyDescent="0.2">
      <c r="D72" s="320"/>
      <c r="E72" s="321"/>
    </row>
    <row r="73" spans="2:9" x14ac:dyDescent="0.2">
      <c r="C73" s="319"/>
      <c r="D73" s="320"/>
      <c r="E73" s="321"/>
    </row>
    <row r="74" spans="2:9" x14ac:dyDescent="0.2">
      <c r="C74" s="319"/>
      <c r="D74" s="320"/>
      <c r="E74" s="321"/>
    </row>
    <row r="75" spans="2:9" x14ac:dyDescent="0.2">
      <c r="C75" s="319"/>
      <c r="D75" s="320"/>
      <c r="E75" s="321"/>
    </row>
    <row r="76" spans="2:9" x14ac:dyDescent="0.2">
      <c r="B76" s="316"/>
      <c r="C76" s="319"/>
      <c r="D76" s="320"/>
      <c r="E76" s="321"/>
      <c r="G76" s="317"/>
    </row>
    <row r="77" spans="2:9" x14ac:dyDescent="0.2">
      <c r="B77" s="316"/>
      <c r="C77" s="319"/>
      <c r="D77" s="320"/>
      <c r="E77" s="321"/>
    </row>
    <row r="78" spans="2:9" x14ac:dyDescent="0.2">
      <c r="C78" s="319"/>
      <c r="D78" s="320"/>
      <c r="E78" s="321"/>
    </row>
    <row r="79" spans="2:9" x14ac:dyDescent="0.2">
      <c r="C79" s="319"/>
      <c r="D79" s="320"/>
      <c r="E79" s="321"/>
    </row>
    <row r="80" spans="2:9" x14ac:dyDescent="0.2">
      <c r="C80" s="319"/>
      <c r="D80" s="320"/>
      <c r="E80" s="321"/>
    </row>
    <row r="81" spans="3:5" x14ac:dyDescent="0.2">
      <c r="C81" s="319"/>
      <c r="D81" s="320"/>
      <c r="E81" s="321"/>
    </row>
    <row r="82" spans="3:5" x14ac:dyDescent="0.2">
      <c r="C82" s="319"/>
      <c r="D82" s="320"/>
      <c r="E82" s="321"/>
    </row>
    <row r="83" spans="3:5" x14ac:dyDescent="0.2">
      <c r="C83" s="319"/>
      <c r="D83" s="320"/>
      <c r="E83" s="321"/>
    </row>
    <row r="84" spans="3:5" x14ac:dyDescent="0.2">
      <c r="C84" s="319"/>
      <c r="D84" s="320"/>
      <c r="E84" s="321"/>
    </row>
    <row r="85" spans="3:5" x14ac:dyDescent="0.2">
      <c r="C85" s="319"/>
      <c r="D85" s="320"/>
      <c r="E85" s="321"/>
    </row>
    <row r="86" spans="3:5" x14ac:dyDescent="0.2">
      <c r="C86" s="319"/>
      <c r="D86" s="320"/>
      <c r="E86" s="321"/>
    </row>
    <row r="87" spans="3:5" x14ac:dyDescent="0.2">
      <c r="C87" s="319"/>
      <c r="D87" s="320"/>
      <c r="E87" s="321"/>
    </row>
    <row r="88" spans="3:5" x14ac:dyDescent="0.2">
      <c r="C88" s="319"/>
      <c r="D88" s="320"/>
      <c r="E88" s="321"/>
    </row>
    <row r="89" spans="3:5" x14ac:dyDescent="0.2">
      <c r="C89" s="319"/>
      <c r="D89" s="320"/>
      <c r="E89" s="321"/>
    </row>
    <row r="90" spans="3:5" x14ac:dyDescent="0.2">
      <c r="C90" s="319"/>
      <c r="D90" s="320"/>
      <c r="E90" s="321"/>
    </row>
    <row r="91" spans="3:5" x14ac:dyDescent="0.2">
      <c r="C91" s="319"/>
      <c r="D91" s="320"/>
      <c r="E91" s="321"/>
    </row>
    <row r="92" spans="3:5" hidden="1" x14ac:dyDescent="0.2">
      <c r="C92" s="319"/>
      <c r="D92" s="320"/>
      <c r="E92" s="321"/>
    </row>
    <row r="93" spans="3:5" x14ac:dyDescent="0.2">
      <c r="C93" s="319"/>
      <c r="D93" s="320"/>
      <c r="E93" s="321"/>
    </row>
    <row r="94" spans="3:5" x14ac:dyDescent="0.2">
      <c r="C94" s="319"/>
      <c r="D94" s="320"/>
      <c r="E94" s="321"/>
    </row>
    <row r="95" spans="3:5" x14ac:dyDescent="0.2">
      <c r="C95" s="319"/>
      <c r="D95" s="320"/>
      <c r="E95" s="321"/>
    </row>
    <row r="96" spans="3:5" x14ac:dyDescent="0.2">
      <c r="C96" s="319"/>
      <c r="D96" s="320"/>
      <c r="E96" s="321"/>
    </row>
    <row r="97" spans="3:3" x14ac:dyDescent="0.2">
      <c r="C97" s="319"/>
    </row>
    <row r="98" spans="3:3" x14ac:dyDescent="0.2">
      <c r="C98" s="319"/>
    </row>
    <row r="99" spans="3:3" x14ac:dyDescent="0.2">
      <c r="C99" s="319"/>
    </row>
    <row r="119" spans="7:9" x14ac:dyDescent="0.2">
      <c r="G119" s="306" t="s">
        <v>1773</v>
      </c>
      <c r="H119" s="306"/>
      <c r="I119" s="306" t="s">
        <v>1774</v>
      </c>
    </row>
    <row r="133" spans="7:9" x14ac:dyDescent="0.2">
      <c r="G133" s="306"/>
      <c r="H133" s="306"/>
      <c r="I133" s="306"/>
    </row>
    <row r="139" spans="7:9" x14ac:dyDescent="0.2">
      <c r="G139" s="306"/>
      <c r="H139" s="306"/>
      <c r="I139" s="306"/>
    </row>
    <row r="149" spans="1:9" x14ac:dyDescent="0.2">
      <c r="A149" s="1" t="s">
        <v>1775</v>
      </c>
      <c r="B149" s="1" t="s">
        <v>1776</v>
      </c>
      <c r="G149" s="306"/>
      <c r="H149" s="306"/>
      <c r="I149" s="306"/>
    </row>
    <row r="151" spans="1:9" x14ac:dyDescent="0.2">
      <c r="C151" s="311" t="s">
        <v>1791</v>
      </c>
      <c r="D151" s="1" t="s">
        <v>1768</v>
      </c>
    </row>
    <row r="152" spans="1:9" x14ac:dyDescent="0.2">
      <c r="C152" s="311" t="s">
        <v>1792</v>
      </c>
      <c r="D152" s="1" t="s">
        <v>1768</v>
      </c>
    </row>
    <row r="153" spans="1:9" x14ac:dyDescent="0.2">
      <c r="C153" s="1" t="s">
        <v>1777</v>
      </c>
      <c r="D153" s="1" t="s">
        <v>1659</v>
      </c>
      <c r="E153" s="1">
        <v>12</v>
      </c>
    </row>
    <row r="154" spans="1:9" x14ac:dyDescent="0.2">
      <c r="C154" s="1" t="s">
        <v>1778</v>
      </c>
      <c r="D154" s="1" t="s">
        <v>1658</v>
      </c>
      <c r="E154" s="1">
        <v>12</v>
      </c>
    </row>
    <row r="155" spans="1:9" x14ac:dyDescent="0.2">
      <c r="C155" s="1" t="s">
        <v>1779</v>
      </c>
      <c r="D155" s="1" t="s">
        <v>1658</v>
      </c>
      <c r="E155" s="1">
        <v>5</v>
      </c>
    </row>
    <row r="156" spans="1:9" x14ac:dyDescent="0.2">
      <c r="C156" s="1" t="s">
        <v>1780</v>
      </c>
      <c r="D156" s="1" t="s">
        <v>1765</v>
      </c>
      <c r="E156" s="1">
        <v>6</v>
      </c>
    </row>
    <row r="157" spans="1:9" x14ac:dyDescent="0.2">
      <c r="C157" s="1" t="s">
        <v>1781</v>
      </c>
      <c r="D157" s="1" t="s">
        <v>1765</v>
      </c>
      <c r="E157" s="1">
        <v>3</v>
      </c>
    </row>
    <row r="158" spans="1:9" x14ac:dyDescent="0.2">
      <c r="C158" s="1" t="s">
        <v>1782</v>
      </c>
      <c r="D158" s="1" t="s">
        <v>1765</v>
      </c>
      <c r="E158" s="1">
        <v>6</v>
      </c>
    </row>
    <row r="159" spans="1:9" x14ac:dyDescent="0.2">
      <c r="C159" s="1" t="s">
        <v>1783</v>
      </c>
      <c r="D159" s="1" t="s">
        <v>1765</v>
      </c>
      <c r="E159" s="1">
        <v>2</v>
      </c>
    </row>
    <row r="160" spans="1:9" x14ac:dyDescent="0.2">
      <c r="C160" s="1" t="s">
        <v>1776</v>
      </c>
      <c r="D160" s="1" t="s">
        <v>1658</v>
      </c>
      <c r="E160" s="1">
        <v>12</v>
      </c>
    </row>
    <row r="164" spans="1:20" x14ac:dyDescent="0.2">
      <c r="A164" s="1" t="s">
        <v>1772</v>
      </c>
      <c r="B164" s="1" t="s">
        <v>1793</v>
      </c>
      <c r="G164" s="306"/>
      <c r="H164" s="306"/>
      <c r="I164" s="306"/>
    </row>
    <row r="166" spans="1:20" x14ac:dyDescent="0.2">
      <c r="A166" s="1" t="s">
        <v>1795</v>
      </c>
      <c r="B166" s="1">
        <v>1858</v>
      </c>
      <c r="C166" s="1" t="s">
        <v>1784</v>
      </c>
      <c r="D166" s="1" t="s">
        <v>1765</v>
      </c>
      <c r="E166" s="1">
        <v>1</v>
      </c>
      <c r="F166" s="1">
        <v>946.24</v>
      </c>
      <c r="H166" s="1">
        <v>946.24</v>
      </c>
    </row>
    <row r="167" spans="1:20" ht="38.25" x14ac:dyDescent="0.2">
      <c r="A167" s="1" t="s">
        <v>1665</v>
      </c>
      <c r="B167" s="1">
        <v>100600</v>
      </c>
      <c r="C167" s="311" t="s">
        <v>1794</v>
      </c>
      <c r="D167" s="1" t="s">
        <v>1765</v>
      </c>
      <c r="E167" s="1">
        <v>1</v>
      </c>
      <c r="F167" s="1">
        <v>758.37</v>
      </c>
      <c r="H167" s="1">
        <v>737.13</v>
      </c>
    </row>
    <row r="168" spans="1:20" x14ac:dyDescent="0.2">
      <c r="C168" s="311"/>
    </row>
    <row r="169" spans="1:20" x14ac:dyDescent="0.2">
      <c r="G169" s="1">
        <f>SUM(G166:G168)</f>
        <v>0</v>
      </c>
      <c r="I169" s="1">
        <f>SUM(I166:I168)</f>
        <v>0</v>
      </c>
    </row>
    <row r="172" spans="1:20" ht="30" customHeight="1" x14ac:dyDescent="0.2">
      <c r="A172" s="1" t="s">
        <v>1785</v>
      </c>
      <c r="B172" s="311" t="s">
        <v>1786</v>
      </c>
      <c r="C172" s="311"/>
      <c r="D172" s="311"/>
      <c r="E172" s="311"/>
      <c r="F172" s="311"/>
      <c r="G172" s="306"/>
      <c r="H172" s="306"/>
      <c r="I172" s="306"/>
    </row>
    <row r="174" spans="1:20" s="311" customFormat="1" ht="27" x14ac:dyDescent="0.2">
      <c r="C174" s="311" t="s">
        <v>1787</v>
      </c>
      <c r="D174" s="311" t="s">
        <v>1765</v>
      </c>
      <c r="E174" s="311">
        <v>2</v>
      </c>
      <c r="S174" s="314"/>
      <c r="T174" s="315"/>
    </row>
    <row r="175" spans="1:20" s="311" customFormat="1" x14ac:dyDescent="0.2">
      <c r="C175" s="311" t="s">
        <v>1788</v>
      </c>
      <c r="D175" s="311" t="s">
        <v>1765</v>
      </c>
      <c r="E175" s="311">
        <v>6</v>
      </c>
      <c r="S175" s="314"/>
      <c r="T175" s="315"/>
    </row>
    <row r="176" spans="1:20" s="311" customFormat="1" x14ac:dyDescent="0.2">
      <c r="C176" s="311" t="s">
        <v>1789</v>
      </c>
      <c r="D176" s="311" t="s">
        <v>1765</v>
      </c>
      <c r="E176" s="311">
        <v>2</v>
      </c>
      <c r="S176" s="314"/>
      <c r="T176" s="315"/>
    </row>
    <row r="177" spans="3:20" s="311" customFormat="1" ht="25.5" x14ac:dyDescent="0.2">
      <c r="C177" s="311" t="s">
        <v>1790</v>
      </c>
      <c r="D177" s="311" t="s">
        <v>1765</v>
      </c>
      <c r="E177" s="311">
        <v>2</v>
      </c>
      <c r="S177" s="314"/>
      <c r="T177" s="315"/>
    </row>
    <row r="178" spans="3:20" s="311" customFormat="1" x14ac:dyDescent="0.2">
      <c r="C178" s="311" t="s">
        <v>1791</v>
      </c>
      <c r="D178" s="311" t="s">
        <v>1768</v>
      </c>
      <c r="S178" s="314"/>
      <c r="T178" s="315"/>
    </row>
    <row r="179" spans="3:20" s="311" customFormat="1" x14ac:dyDescent="0.2">
      <c r="C179" s="311" t="s">
        <v>1792</v>
      </c>
      <c r="D179" s="311" t="s">
        <v>1768</v>
      </c>
      <c r="S179" s="314"/>
      <c r="T179" s="315"/>
    </row>
  </sheetData>
  <mergeCells count="21">
    <mergeCell ref="R13:R14"/>
    <mergeCell ref="D13:O13"/>
    <mergeCell ref="B44:P44"/>
    <mergeCell ref="B45:C45"/>
    <mergeCell ref="B46:C46"/>
    <mergeCell ref="B51:C51"/>
    <mergeCell ref="B52:C52"/>
    <mergeCell ref="B53:C53"/>
    <mergeCell ref="B54:C54"/>
    <mergeCell ref="B2:Q2"/>
    <mergeCell ref="B3:Q3"/>
    <mergeCell ref="B4:Q4"/>
    <mergeCell ref="P8:P9"/>
    <mergeCell ref="Q8:Q9"/>
    <mergeCell ref="E50:P50"/>
    <mergeCell ref="E51:P51"/>
    <mergeCell ref="E52:P52"/>
    <mergeCell ref="E53:P53"/>
    <mergeCell ref="E54:P54"/>
    <mergeCell ref="B13:B14"/>
    <mergeCell ref="C13:C14"/>
  </mergeCells>
  <phoneticPr fontId="16" type="noConversion"/>
  <pageMargins left="0.25" right="0.25" top="0.75" bottom="0.75" header="0.3" footer="0.3"/>
  <pageSetup paperSize="9" scale="6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80493D-7351-41B9-87B3-767659027F6F}">
  <sheetPr>
    <pageSetUpPr fitToPage="1"/>
  </sheetPr>
  <dimension ref="A1:U179"/>
  <sheetViews>
    <sheetView showGridLines="0" view="pageBreakPreview" topLeftCell="A10" zoomScaleNormal="100" zoomScaleSheetLayoutView="100" workbookViewId="0">
      <selection activeCell="P12" sqref="P12"/>
    </sheetView>
  </sheetViews>
  <sheetFormatPr defaultColWidth="11.42578125" defaultRowHeight="12.75" outlineLevelRow="1" outlineLevelCol="1" x14ac:dyDescent="0.2"/>
  <cols>
    <col min="1" max="1" width="4.5703125" style="1" customWidth="1"/>
    <col min="2" max="2" width="11" style="1" customWidth="1"/>
    <col min="3" max="3" width="91.5703125" style="1" bestFit="1" customWidth="1"/>
    <col min="4" max="5" width="15.5703125" style="1" customWidth="1"/>
    <col min="6" max="7" width="15.5703125" style="1" customWidth="1" outlineLevel="1"/>
    <col min="8" max="15" width="15.5703125" style="1" hidden="1" customWidth="1" outlineLevel="1"/>
    <col min="16" max="16" width="19.5703125" style="1" customWidth="1"/>
    <col min="17" max="17" width="24" style="1" customWidth="1"/>
    <col min="18" max="18" width="14.42578125" style="1" bestFit="1" customWidth="1"/>
    <col min="19" max="19" width="13.42578125" style="2" customWidth="1"/>
    <col min="20" max="20" width="11.42578125" style="3"/>
    <col min="21" max="21" width="20.5703125" style="1" customWidth="1"/>
    <col min="22" max="263" width="11.42578125" style="1"/>
    <col min="264" max="264" width="6.42578125" style="1" customWidth="1"/>
    <col min="265" max="265" width="30.5703125" style="1" customWidth="1"/>
    <col min="266" max="269" width="15.5703125" style="1" customWidth="1"/>
    <col min="270" max="270" width="19" style="1" customWidth="1"/>
    <col min="271" max="271" width="0" style="1" hidden="1" customWidth="1"/>
    <col min="272" max="272" width="15.5703125" style="1" customWidth="1"/>
    <col min="273" max="519" width="11.42578125" style="1"/>
    <col min="520" max="520" width="6.42578125" style="1" customWidth="1"/>
    <col min="521" max="521" width="30.5703125" style="1" customWidth="1"/>
    <col min="522" max="525" width="15.5703125" style="1" customWidth="1"/>
    <col min="526" max="526" width="19" style="1" customWidth="1"/>
    <col min="527" max="527" width="0" style="1" hidden="1" customWidth="1"/>
    <col min="528" max="528" width="15.5703125" style="1" customWidth="1"/>
    <col min="529" max="775" width="11.42578125" style="1"/>
    <col min="776" max="776" width="6.42578125" style="1" customWidth="1"/>
    <col min="777" max="777" width="30.5703125" style="1" customWidth="1"/>
    <col min="778" max="781" width="15.5703125" style="1" customWidth="1"/>
    <col min="782" max="782" width="19" style="1" customWidth="1"/>
    <col min="783" max="783" width="0" style="1" hidden="1" customWidth="1"/>
    <col min="784" max="784" width="15.5703125" style="1" customWidth="1"/>
    <col min="785" max="1031" width="11.42578125" style="1"/>
    <col min="1032" max="1032" width="6.42578125" style="1" customWidth="1"/>
    <col min="1033" max="1033" width="30.5703125" style="1" customWidth="1"/>
    <col min="1034" max="1037" width="15.5703125" style="1" customWidth="1"/>
    <col min="1038" max="1038" width="19" style="1" customWidth="1"/>
    <col min="1039" max="1039" width="0" style="1" hidden="1" customWidth="1"/>
    <col min="1040" max="1040" width="15.5703125" style="1" customWidth="1"/>
    <col min="1041" max="1287" width="11.42578125" style="1"/>
    <col min="1288" max="1288" width="6.42578125" style="1" customWidth="1"/>
    <col min="1289" max="1289" width="30.5703125" style="1" customWidth="1"/>
    <col min="1290" max="1293" width="15.5703125" style="1" customWidth="1"/>
    <col min="1294" max="1294" width="19" style="1" customWidth="1"/>
    <col min="1295" max="1295" width="0" style="1" hidden="1" customWidth="1"/>
    <col min="1296" max="1296" width="15.5703125" style="1" customWidth="1"/>
    <col min="1297" max="1543" width="11.42578125" style="1"/>
    <col min="1544" max="1544" width="6.42578125" style="1" customWidth="1"/>
    <col min="1545" max="1545" width="30.5703125" style="1" customWidth="1"/>
    <col min="1546" max="1549" width="15.5703125" style="1" customWidth="1"/>
    <col min="1550" max="1550" width="19" style="1" customWidth="1"/>
    <col min="1551" max="1551" width="0" style="1" hidden="1" customWidth="1"/>
    <col min="1552" max="1552" width="15.5703125" style="1" customWidth="1"/>
    <col min="1553" max="1799" width="11.42578125" style="1"/>
    <col min="1800" max="1800" width="6.42578125" style="1" customWidth="1"/>
    <col min="1801" max="1801" width="30.5703125" style="1" customWidth="1"/>
    <col min="1802" max="1805" width="15.5703125" style="1" customWidth="1"/>
    <col min="1806" max="1806" width="19" style="1" customWidth="1"/>
    <col min="1807" max="1807" width="0" style="1" hidden="1" customWidth="1"/>
    <col min="1808" max="1808" width="15.5703125" style="1" customWidth="1"/>
    <col min="1809" max="2055" width="11.42578125" style="1"/>
    <col min="2056" max="2056" width="6.42578125" style="1" customWidth="1"/>
    <col min="2057" max="2057" width="30.5703125" style="1" customWidth="1"/>
    <col min="2058" max="2061" width="15.5703125" style="1" customWidth="1"/>
    <col min="2062" max="2062" width="19" style="1" customWidth="1"/>
    <col min="2063" max="2063" width="0" style="1" hidden="1" customWidth="1"/>
    <col min="2064" max="2064" width="15.5703125" style="1" customWidth="1"/>
    <col min="2065" max="2311" width="11.42578125" style="1"/>
    <col min="2312" max="2312" width="6.42578125" style="1" customWidth="1"/>
    <col min="2313" max="2313" width="30.5703125" style="1" customWidth="1"/>
    <col min="2314" max="2317" width="15.5703125" style="1" customWidth="1"/>
    <col min="2318" max="2318" width="19" style="1" customWidth="1"/>
    <col min="2319" max="2319" width="0" style="1" hidden="1" customWidth="1"/>
    <col min="2320" max="2320" width="15.5703125" style="1" customWidth="1"/>
    <col min="2321" max="2567" width="11.42578125" style="1"/>
    <col min="2568" max="2568" width="6.42578125" style="1" customWidth="1"/>
    <col min="2569" max="2569" width="30.5703125" style="1" customWidth="1"/>
    <col min="2570" max="2573" width="15.5703125" style="1" customWidth="1"/>
    <col min="2574" max="2574" width="19" style="1" customWidth="1"/>
    <col min="2575" max="2575" width="0" style="1" hidden="1" customWidth="1"/>
    <col min="2576" max="2576" width="15.5703125" style="1" customWidth="1"/>
    <col min="2577" max="2823" width="11.42578125" style="1"/>
    <col min="2824" max="2824" width="6.42578125" style="1" customWidth="1"/>
    <col min="2825" max="2825" width="30.5703125" style="1" customWidth="1"/>
    <col min="2826" max="2829" width="15.5703125" style="1" customWidth="1"/>
    <col min="2830" max="2830" width="19" style="1" customWidth="1"/>
    <col min="2831" max="2831" width="0" style="1" hidden="1" customWidth="1"/>
    <col min="2832" max="2832" width="15.5703125" style="1" customWidth="1"/>
    <col min="2833" max="3079" width="11.42578125" style="1"/>
    <col min="3080" max="3080" width="6.42578125" style="1" customWidth="1"/>
    <col min="3081" max="3081" width="30.5703125" style="1" customWidth="1"/>
    <col min="3082" max="3085" width="15.5703125" style="1" customWidth="1"/>
    <col min="3086" max="3086" width="19" style="1" customWidth="1"/>
    <col min="3087" max="3087" width="0" style="1" hidden="1" customWidth="1"/>
    <col min="3088" max="3088" width="15.5703125" style="1" customWidth="1"/>
    <col min="3089" max="3335" width="11.42578125" style="1"/>
    <col min="3336" max="3336" width="6.42578125" style="1" customWidth="1"/>
    <col min="3337" max="3337" width="30.5703125" style="1" customWidth="1"/>
    <col min="3338" max="3341" width="15.5703125" style="1" customWidth="1"/>
    <col min="3342" max="3342" width="19" style="1" customWidth="1"/>
    <col min="3343" max="3343" width="0" style="1" hidden="1" customWidth="1"/>
    <col min="3344" max="3344" width="15.5703125" style="1" customWidth="1"/>
    <col min="3345" max="3591" width="11.42578125" style="1"/>
    <col min="3592" max="3592" width="6.42578125" style="1" customWidth="1"/>
    <col min="3593" max="3593" width="30.5703125" style="1" customWidth="1"/>
    <col min="3594" max="3597" width="15.5703125" style="1" customWidth="1"/>
    <col min="3598" max="3598" width="19" style="1" customWidth="1"/>
    <col min="3599" max="3599" width="0" style="1" hidden="1" customWidth="1"/>
    <col min="3600" max="3600" width="15.5703125" style="1" customWidth="1"/>
    <col min="3601" max="3847" width="11.42578125" style="1"/>
    <col min="3848" max="3848" width="6.42578125" style="1" customWidth="1"/>
    <col min="3849" max="3849" width="30.5703125" style="1" customWidth="1"/>
    <col min="3850" max="3853" width="15.5703125" style="1" customWidth="1"/>
    <col min="3854" max="3854" width="19" style="1" customWidth="1"/>
    <col min="3855" max="3855" width="0" style="1" hidden="1" customWidth="1"/>
    <col min="3856" max="3856" width="15.5703125" style="1" customWidth="1"/>
    <col min="3857" max="4103" width="11.42578125" style="1"/>
    <col min="4104" max="4104" width="6.42578125" style="1" customWidth="1"/>
    <col min="4105" max="4105" width="30.5703125" style="1" customWidth="1"/>
    <col min="4106" max="4109" width="15.5703125" style="1" customWidth="1"/>
    <col min="4110" max="4110" width="19" style="1" customWidth="1"/>
    <col min="4111" max="4111" width="0" style="1" hidden="1" customWidth="1"/>
    <col min="4112" max="4112" width="15.5703125" style="1" customWidth="1"/>
    <col min="4113" max="4359" width="11.42578125" style="1"/>
    <col min="4360" max="4360" width="6.42578125" style="1" customWidth="1"/>
    <col min="4361" max="4361" width="30.5703125" style="1" customWidth="1"/>
    <col min="4362" max="4365" width="15.5703125" style="1" customWidth="1"/>
    <col min="4366" max="4366" width="19" style="1" customWidth="1"/>
    <col min="4367" max="4367" width="0" style="1" hidden="1" customWidth="1"/>
    <col min="4368" max="4368" width="15.5703125" style="1" customWidth="1"/>
    <col min="4369" max="4615" width="11.42578125" style="1"/>
    <col min="4616" max="4616" width="6.42578125" style="1" customWidth="1"/>
    <col min="4617" max="4617" width="30.5703125" style="1" customWidth="1"/>
    <col min="4618" max="4621" width="15.5703125" style="1" customWidth="1"/>
    <col min="4622" max="4622" width="19" style="1" customWidth="1"/>
    <col min="4623" max="4623" width="0" style="1" hidden="1" customWidth="1"/>
    <col min="4624" max="4624" width="15.5703125" style="1" customWidth="1"/>
    <col min="4625" max="4871" width="11.42578125" style="1"/>
    <col min="4872" max="4872" width="6.42578125" style="1" customWidth="1"/>
    <col min="4873" max="4873" width="30.5703125" style="1" customWidth="1"/>
    <col min="4874" max="4877" width="15.5703125" style="1" customWidth="1"/>
    <col min="4878" max="4878" width="19" style="1" customWidth="1"/>
    <col min="4879" max="4879" width="0" style="1" hidden="1" customWidth="1"/>
    <col min="4880" max="4880" width="15.5703125" style="1" customWidth="1"/>
    <col min="4881" max="5127" width="11.42578125" style="1"/>
    <col min="5128" max="5128" width="6.42578125" style="1" customWidth="1"/>
    <col min="5129" max="5129" width="30.5703125" style="1" customWidth="1"/>
    <col min="5130" max="5133" width="15.5703125" style="1" customWidth="1"/>
    <col min="5134" max="5134" width="19" style="1" customWidth="1"/>
    <col min="5135" max="5135" width="0" style="1" hidden="1" customWidth="1"/>
    <col min="5136" max="5136" width="15.5703125" style="1" customWidth="1"/>
    <col min="5137" max="5383" width="11.42578125" style="1"/>
    <col min="5384" max="5384" width="6.42578125" style="1" customWidth="1"/>
    <col min="5385" max="5385" width="30.5703125" style="1" customWidth="1"/>
    <col min="5386" max="5389" width="15.5703125" style="1" customWidth="1"/>
    <col min="5390" max="5390" width="19" style="1" customWidth="1"/>
    <col min="5391" max="5391" width="0" style="1" hidden="1" customWidth="1"/>
    <col min="5392" max="5392" width="15.5703125" style="1" customWidth="1"/>
    <col min="5393" max="5639" width="11.42578125" style="1"/>
    <col min="5640" max="5640" width="6.42578125" style="1" customWidth="1"/>
    <col min="5641" max="5641" width="30.5703125" style="1" customWidth="1"/>
    <col min="5642" max="5645" width="15.5703125" style="1" customWidth="1"/>
    <col min="5646" max="5646" width="19" style="1" customWidth="1"/>
    <col min="5647" max="5647" width="0" style="1" hidden="1" customWidth="1"/>
    <col min="5648" max="5648" width="15.5703125" style="1" customWidth="1"/>
    <col min="5649" max="5895" width="11.42578125" style="1"/>
    <col min="5896" max="5896" width="6.42578125" style="1" customWidth="1"/>
    <col min="5897" max="5897" width="30.5703125" style="1" customWidth="1"/>
    <col min="5898" max="5901" width="15.5703125" style="1" customWidth="1"/>
    <col min="5902" max="5902" width="19" style="1" customWidth="1"/>
    <col min="5903" max="5903" width="0" style="1" hidden="1" customWidth="1"/>
    <col min="5904" max="5904" width="15.5703125" style="1" customWidth="1"/>
    <col min="5905" max="6151" width="11.42578125" style="1"/>
    <col min="6152" max="6152" width="6.42578125" style="1" customWidth="1"/>
    <col min="6153" max="6153" width="30.5703125" style="1" customWidth="1"/>
    <col min="6154" max="6157" width="15.5703125" style="1" customWidth="1"/>
    <col min="6158" max="6158" width="19" style="1" customWidth="1"/>
    <col min="6159" max="6159" width="0" style="1" hidden="1" customWidth="1"/>
    <col min="6160" max="6160" width="15.5703125" style="1" customWidth="1"/>
    <col min="6161" max="6407" width="11.42578125" style="1"/>
    <col min="6408" max="6408" width="6.42578125" style="1" customWidth="1"/>
    <col min="6409" max="6409" width="30.5703125" style="1" customWidth="1"/>
    <col min="6410" max="6413" width="15.5703125" style="1" customWidth="1"/>
    <col min="6414" max="6414" width="19" style="1" customWidth="1"/>
    <col min="6415" max="6415" width="0" style="1" hidden="1" customWidth="1"/>
    <col min="6416" max="6416" width="15.5703125" style="1" customWidth="1"/>
    <col min="6417" max="6663" width="11.42578125" style="1"/>
    <col min="6664" max="6664" width="6.42578125" style="1" customWidth="1"/>
    <col min="6665" max="6665" width="30.5703125" style="1" customWidth="1"/>
    <col min="6666" max="6669" width="15.5703125" style="1" customWidth="1"/>
    <col min="6670" max="6670" width="19" style="1" customWidth="1"/>
    <col min="6671" max="6671" width="0" style="1" hidden="1" customWidth="1"/>
    <col min="6672" max="6672" width="15.5703125" style="1" customWidth="1"/>
    <col min="6673" max="6919" width="11.42578125" style="1"/>
    <col min="6920" max="6920" width="6.42578125" style="1" customWidth="1"/>
    <col min="6921" max="6921" width="30.5703125" style="1" customWidth="1"/>
    <col min="6922" max="6925" width="15.5703125" style="1" customWidth="1"/>
    <col min="6926" max="6926" width="19" style="1" customWidth="1"/>
    <col min="6927" max="6927" width="0" style="1" hidden="1" customWidth="1"/>
    <col min="6928" max="6928" width="15.5703125" style="1" customWidth="1"/>
    <col min="6929" max="7175" width="11.42578125" style="1"/>
    <col min="7176" max="7176" width="6.42578125" style="1" customWidth="1"/>
    <col min="7177" max="7177" width="30.5703125" style="1" customWidth="1"/>
    <col min="7178" max="7181" width="15.5703125" style="1" customWidth="1"/>
    <col min="7182" max="7182" width="19" style="1" customWidth="1"/>
    <col min="7183" max="7183" width="0" style="1" hidden="1" customWidth="1"/>
    <col min="7184" max="7184" width="15.5703125" style="1" customWidth="1"/>
    <col min="7185" max="7431" width="11.42578125" style="1"/>
    <col min="7432" max="7432" width="6.42578125" style="1" customWidth="1"/>
    <col min="7433" max="7433" width="30.5703125" style="1" customWidth="1"/>
    <col min="7434" max="7437" width="15.5703125" style="1" customWidth="1"/>
    <col min="7438" max="7438" width="19" style="1" customWidth="1"/>
    <col min="7439" max="7439" width="0" style="1" hidden="1" customWidth="1"/>
    <col min="7440" max="7440" width="15.5703125" style="1" customWidth="1"/>
    <col min="7441" max="7687" width="11.42578125" style="1"/>
    <col min="7688" max="7688" width="6.42578125" style="1" customWidth="1"/>
    <col min="7689" max="7689" width="30.5703125" style="1" customWidth="1"/>
    <col min="7690" max="7693" width="15.5703125" style="1" customWidth="1"/>
    <col min="7694" max="7694" width="19" style="1" customWidth="1"/>
    <col min="7695" max="7695" width="0" style="1" hidden="1" customWidth="1"/>
    <col min="7696" max="7696" width="15.5703125" style="1" customWidth="1"/>
    <col min="7697" max="7943" width="11.42578125" style="1"/>
    <col min="7944" max="7944" width="6.42578125" style="1" customWidth="1"/>
    <col min="7945" max="7945" width="30.5703125" style="1" customWidth="1"/>
    <col min="7946" max="7949" width="15.5703125" style="1" customWidth="1"/>
    <col min="7950" max="7950" width="19" style="1" customWidth="1"/>
    <col min="7951" max="7951" width="0" style="1" hidden="1" customWidth="1"/>
    <col min="7952" max="7952" width="15.5703125" style="1" customWidth="1"/>
    <col min="7953" max="8199" width="11.42578125" style="1"/>
    <col min="8200" max="8200" width="6.42578125" style="1" customWidth="1"/>
    <col min="8201" max="8201" width="30.5703125" style="1" customWidth="1"/>
    <col min="8202" max="8205" width="15.5703125" style="1" customWidth="1"/>
    <col min="8206" max="8206" width="19" style="1" customWidth="1"/>
    <col min="8207" max="8207" width="0" style="1" hidden="1" customWidth="1"/>
    <col min="8208" max="8208" width="15.5703125" style="1" customWidth="1"/>
    <col min="8209" max="8455" width="11.42578125" style="1"/>
    <col min="8456" max="8456" width="6.42578125" style="1" customWidth="1"/>
    <col min="8457" max="8457" width="30.5703125" style="1" customWidth="1"/>
    <col min="8458" max="8461" width="15.5703125" style="1" customWidth="1"/>
    <col min="8462" max="8462" width="19" style="1" customWidth="1"/>
    <col min="8463" max="8463" width="0" style="1" hidden="1" customWidth="1"/>
    <col min="8464" max="8464" width="15.5703125" style="1" customWidth="1"/>
    <col min="8465" max="8711" width="11.42578125" style="1"/>
    <col min="8712" max="8712" width="6.42578125" style="1" customWidth="1"/>
    <col min="8713" max="8713" width="30.5703125" style="1" customWidth="1"/>
    <col min="8714" max="8717" width="15.5703125" style="1" customWidth="1"/>
    <col min="8718" max="8718" width="19" style="1" customWidth="1"/>
    <col min="8719" max="8719" width="0" style="1" hidden="1" customWidth="1"/>
    <col min="8720" max="8720" width="15.5703125" style="1" customWidth="1"/>
    <col min="8721" max="8967" width="11.42578125" style="1"/>
    <col min="8968" max="8968" width="6.42578125" style="1" customWidth="1"/>
    <col min="8969" max="8969" width="30.5703125" style="1" customWidth="1"/>
    <col min="8970" max="8973" width="15.5703125" style="1" customWidth="1"/>
    <col min="8974" max="8974" width="19" style="1" customWidth="1"/>
    <col min="8975" max="8975" width="0" style="1" hidden="1" customWidth="1"/>
    <col min="8976" max="8976" width="15.5703125" style="1" customWidth="1"/>
    <col min="8977" max="9223" width="11.42578125" style="1"/>
    <col min="9224" max="9224" width="6.42578125" style="1" customWidth="1"/>
    <col min="9225" max="9225" width="30.5703125" style="1" customWidth="1"/>
    <col min="9226" max="9229" width="15.5703125" style="1" customWidth="1"/>
    <col min="9230" max="9230" width="19" style="1" customWidth="1"/>
    <col min="9231" max="9231" width="0" style="1" hidden="1" customWidth="1"/>
    <col min="9232" max="9232" width="15.5703125" style="1" customWidth="1"/>
    <col min="9233" max="9479" width="11.42578125" style="1"/>
    <col min="9480" max="9480" width="6.42578125" style="1" customWidth="1"/>
    <col min="9481" max="9481" width="30.5703125" style="1" customWidth="1"/>
    <col min="9482" max="9485" width="15.5703125" style="1" customWidth="1"/>
    <col min="9486" max="9486" width="19" style="1" customWidth="1"/>
    <col min="9487" max="9487" width="0" style="1" hidden="1" customWidth="1"/>
    <col min="9488" max="9488" width="15.5703125" style="1" customWidth="1"/>
    <col min="9489" max="9735" width="11.42578125" style="1"/>
    <col min="9736" max="9736" width="6.42578125" style="1" customWidth="1"/>
    <col min="9737" max="9737" width="30.5703125" style="1" customWidth="1"/>
    <col min="9738" max="9741" width="15.5703125" style="1" customWidth="1"/>
    <col min="9742" max="9742" width="19" style="1" customWidth="1"/>
    <col min="9743" max="9743" width="0" style="1" hidden="1" customWidth="1"/>
    <col min="9744" max="9744" width="15.5703125" style="1" customWidth="1"/>
    <col min="9745" max="9991" width="11.42578125" style="1"/>
    <col min="9992" max="9992" width="6.42578125" style="1" customWidth="1"/>
    <col min="9993" max="9993" width="30.5703125" style="1" customWidth="1"/>
    <col min="9994" max="9997" width="15.5703125" style="1" customWidth="1"/>
    <col min="9998" max="9998" width="19" style="1" customWidth="1"/>
    <col min="9999" max="9999" width="0" style="1" hidden="1" customWidth="1"/>
    <col min="10000" max="10000" width="15.5703125" style="1" customWidth="1"/>
    <col min="10001" max="10247" width="11.42578125" style="1"/>
    <col min="10248" max="10248" width="6.42578125" style="1" customWidth="1"/>
    <col min="10249" max="10249" width="30.5703125" style="1" customWidth="1"/>
    <col min="10250" max="10253" width="15.5703125" style="1" customWidth="1"/>
    <col min="10254" max="10254" width="19" style="1" customWidth="1"/>
    <col min="10255" max="10255" width="0" style="1" hidden="1" customWidth="1"/>
    <col min="10256" max="10256" width="15.5703125" style="1" customWidth="1"/>
    <col min="10257" max="10503" width="11.42578125" style="1"/>
    <col min="10504" max="10504" width="6.42578125" style="1" customWidth="1"/>
    <col min="10505" max="10505" width="30.5703125" style="1" customWidth="1"/>
    <col min="10506" max="10509" width="15.5703125" style="1" customWidth="1"/>
    <col min="10510" max="10510" width="19" style="1" customWidth="1"/>
    <col min="10511" max="10511" width="0" style="1" hidden="1" customWidth="1"/>
    <col min="10512" max="10512" width="15.5703125" style="1" customWidth="1"/>
    <col min="10513" max="10759" width="11.42578125" style="1"/>
    <col min="10760" max="10760" width="6.42578125" style="1" customWidth="1"/>
    <col min="10761" max="10761" width="30.5703125" style="1" customWidth="1"/>
    <col min="10762" max="10765" width="15.5703125" style="1" customWidth="1"/>
    <col min="10766" max="10766" width="19" style="1" customWidth="1"/>
    <col min="10767" max="10767" width="0" style="1" hidden="1" customWidth="1"/>
    <col min="10768" max="10768" width="15.5703125" style="1" customWidth="1"/>
    <col min="10769" max="11015" width="11.42578125" style="1"/>
    <col min="11016" max="11016" width="6.42578125" style="1" customWidth="1"/>
    <col min="11017" max="11017" width="30.5703125" style="1" customWidth="1"/>
    <col min="11018" max="11021" width="15.5703125" style="1" customWidth="1"/>
    <col min="11022" max="11022" width="19" style="1" customWidth="1"/>
    <col min="11023" max="11023" width="0" style="1" hidden="1" customWidth="1"/>
    <col min="11024" max="11024" width="15.5703125" style="1" customWidth="1"/>
    <col min="11025" max="11271" width="11.42578125" style="1"/>
    <col min="11272" max="11272" width="6.42578125" style="1" customWidth="1"/>
    <col min="11273" max="11273" width="30.5703125" style="1" customWidth="1"/>
    <col min="11274" max="11277" width="15.5703125" style="1" customWidth="1"/>
    <col min="11278" max="11278" width="19" style="1" customWidth="1"/>
    <col min="11279" max="11279" width="0" style="1" hidden="1" customWidth="1"/>
    <col min="11280" max="11280" width="15.5703125" style="1" customWidth="1"/>
    <col min="11281" max="11527" width="11.42578125" style="1"/>
    <col min="11528" max="11528" width="6.42578125" style="1" customWidth="1"/>
    <col min="11529" max="11529" width="30.5703125" style="1" customWidth="1"/>
    <col min="11530" max="11533" width="15.5703125" style="1" customWidth="1"/>
    <col min="11534" max="11534" width="19" style="1" customWidth="1"/>
    <col min="11535" max="11535" width="0" style="1" hidden="1" customWidth="1"/>
    <col min="11536" max="11536" width="15.5703125" style="1" customWidth="1"/>
    <col min="11537" max="11783" width="11.42578125" style="1"/>
    <col min="11784" max="11784" width="6.42578125" style="1" customWidth="1"/>
    <col min="11785" max="11785" width="30.5703125" style="1" customWidth="1"/>
    <col min="11786" max="11789" width="15.5703125" style="1" customWidth="1"/>
    <col min="11790" max="11790" width="19" style="1" customWidth="1"/>
    <col min="11791" max="11791" width="0" style="1" hidden="1" customWidth="1"/>
    <col min="11792" max="11792" width="15.5703125" style="1" customWidth="1"/>
    <col min="11793" max="12039" width="11.42578125" style="1"/>
    <col min="12040" max="12040" width="6.42578125" style="1" customWidth="1"/>
    <col min="12041" max="12041" width="30.5703125" style="1" customWidth="1"/>
    <col min="12042" max="12045" width="15.5703125" style="1" customWidth="1"/>
    <col min="12046" max="12046" width="19" style="1" customWidth="1"/>
    <col min="12047" max="12047" width="0" style="1" hidden="1" customWidth="1"/>
    <col min="12048" max="12048" width="15.5703125" style="1" customWidth="1"/>
    <col min="12049" max="12295" width="11.42578125" style="1"/>
    <col min="12296" max="12296" width="6.42578125" style="1" customWidth="1"/>
    <col min="12297" max="12297" width="30.5703125" style="1" customWidth="1"/>
    <col min="12298" max="12301" width="15.5703125" style="1" customWidth="1"/>
    <col min="12302" max="12302" width="19" style="1" customWidth="1"/>
    <col min="12303" max="12303" width="0" style="1" hidden="1" customWidth="1"/>
    <col min="12304" max="12304" width="15.5703125" style="1" customWidth="1"/>
    <col min="12305" max="12551" width="11.42578125" style="1"/>
    <col min="12552" max="12552" width="6.42578125" style="1" customWidth="1"/>
    <col min="12553" max="12553" width="30.5703125" style="1" customWidth="1"/>
    <col min="12554" max="12557" width="15.5703125" style="1" customWidth="1"/>
    <col min="12558" max="12558" width="19" style="1" customWidth="1"/>
    <col min="12559" max="12559" width="0" style="1" hidden="1" customWidth="1"/>
    <col min="12560" max="12560" width="15.5703125" style="1" customWidth="1"/>
    <col min="12561" max="12807" width="11.42578125" style="1"/>
    <col min="12808" max="12808" width="6.42578125" style="1" customWidth="1"/>
    <col min="12809" max="12809" width="30.5703125" style="1" customWidth="1"/>
    <col min="12810" max="12813" width="15.5703125" style="1" customWidth="1"/>
    <col min="12814" max="12814" width="19" style="1" customWidth="1"/>
    <col min="12815" max="12815" width="0" style="1" hidden="1" customWidth="1"/>
    <col min="12816" max="12816" width="15.5703125" style="1" customWidth="1"/>
    <col min="12817" max="13063" width="11.42578125" style="1"/>
    <col min="13064" max="13064" width="6.42578125" style="1" customWidth="1"/>
    <col min="13065" max="13065" width="30.5703125" style="1" customWidth="1"/>
    <col min="13066" max="13069" width="15.5703125" style="1" customWidth="1"/>
    <col min="13070" max="13070" width="19" style="1" customWidth="1"/>
    <col min="13071" max="13071" width="0" style="1" hidden="1" customWidth="1"/>
    <col min="13072" max="13072" width="15.5703125" style="1" customWidth="1"/>
    <col min="13073" max="13319" width="11.42578125" style="1"/>
    <col min="13320" max="13320" width="6.42578125" style="1" customWidth="1"/>
    <col min="13321" max="13321" width="30.5703125" style="1" customWidth="1"/>
    <col min="13322" max="13325" width="15.5703125" style="1" customWidth="1"/>
    <col min="13326" max="13326" width="19" style="1" customWidth="1"/>
    <col min="13327" max="13327" width="0" style="1" hidden="1" customWidth="1"/>
    <col min="13328" max="13328" width="15.5703125" style="1" customWidth="1"/>
    <col min="13329" max="13575" width="11.42578125" style="1"/>
    <col min="13576" max="13576" width="6.42578125" style="1" customWidth="1"/>
    <col min="13577" max="13577" width="30.5703125" style="1" customWidth="1"/>
    <col min="13578" max="13581" width="15.5703125" style="1" customWidth="1"/>
    <col min="13582" max="13582" width="19" style="1" customWidth="1"/>
    <col min="13583" max="13583" width="0" style="1" hidden="1" customWidth="1"/>
    <col min="13584" max="13584" width="15.5703125" style="1" customWidth="1"/>
    <col min="13585" max="13831" width="11.42578125" style="1"/>
    <col min="13832" max="13832" width="6.42578125" style="1" customWidth="1"/>
    <col min="13833" max="13833" width="30.5703125" style="1" customWidth="1"/>
    <col min="13834" max="13837" width="15.5703125" style="1" customWidth="1"/>
    <col min="13838" max="13838" width="19" style="1" customWidth="1"/>
    <col min="13839" max="13839" width="0" style="1" hidden="1" customWidth="1"/>
    <col min="13840" max="13840" width="15.5703125" style="1" customWidth="1"/>
    <col min="13841" max="14087" width="11.42578125" style="1"/>
    <col min="14088" max="14088" width="6.42578125" style="1" customWidth="1"/>
    <col min="14089" max="14089" width="30.5703125" style="1" customWidth="1"/>
    <col min="14090" max="14093" width="15.5703125" style="1" customWidth="1"/>
    <col min="14094" max="14094" width="19" style="1" customWidth="1"/>
    <col min="14095" max="14095" width="0" style="1" hidden="1" customWidth="1"/>
    <col min="14096" max="14096" width="15.5703125" style="1" customWidth="1"/>
    <col min="14097" max="14343" width="11.42578125" style="1"/>
    <col min="14344" max="14344" width="6.42578125" style="1" customWidth="1"/>
    <col min="14345" max="14345" width="30.5703125" style="1" customWidth="1"/>
    <col min="14346" max="14349" width="15.5703125" style="1" customWidth="1"/>
    <col min="14350" max="14350" width="19" style="1" customWidth="1"/>
    <col min="14351" max="14351" width="0" style="1" hidden="1" customWidth="1"/>
    <col min="14352" max="14352" width="15.5703125" style="1" customWidth="1"/>
    <col min="14353" max="14599" width="11.42578125" style="1"/>
    <col min="14600" max="14600" width="6.42578125" style="1" customWidth="1"/>
    <col min="14601" max="14601" width="30.5703125" style="1" customWidth="1"/>
    <col min="14602" max="14605" width="15.5703125" style="1" customWidth="1"/>
    <col min="14606" max="14606" width="19" style="1" customWidth="1"/>
    <col min="14607" max="14607" width="0" style="1" hidden="1" customWidth="1"/>
    <col min="14608" max="14608" width="15.5703125" style="1" customWidth="1"/>
    <col min="14609" max="14855" width="11.42578125" style="1"/>
    <col min="14856" max="14856" width="6.42578125" style="1" customWidth="1"/>
    <col min="14857" max="14857" width="30.5703125" style="1" customWidth="1"/>
    <col min="14858" max="14861" width="15.5703125" style="1" customWidth="1"/>
    <col min="14862" max="14862" width="19" style="1" customWidth="1"/>
    <col min="14863" max="14863" width="0" style="1" hidden="1" customWidth="1"/>
    <col min="14864" max="14864" width="15.5703125" style="1" customWidth="1"/>
    <col min="14865" max="15111" width="11.42578125" style="1"/>
    <col min="15112" max="15112" width="6.42578125" style="1" customWidth="1"/>
    <col min="15113" max="15113" width="30.5703125" style="1" customWidth="1"/>
    <col min="15114" max="15117" width="15.5703125" style="1" customWidth="1"/>
    <col min="15118" max="15118" width="19" style="1" customWidth="1"/>
    <col min="15119" max="15119" width="0" style="1" hidden="1" customWidth="1"/>
    <col min="15120" max="15120" width="15.5703125" style="1" customWidth="1"/>
    <col min="15121" max="15367" width="11.42578125" style="1"/>
    <col min="15368" max="15368" width="6.42578125" style="1" customWidth="1"/>
    <col min="15369" max="15369" width="30.5703125" style="1" customWidth="1"/>
    <col min="15370" max="15373" width="15.5703125" style="1" customWidth="1"/>
    <col min="15374" max="15374" width="19" style="1" customWidth="1"/>
    <col min="15375" max="15375" width="0" style="1" hidden="1" customWidth="1"/>
    <col min="15376" max="15376" width="15.5703125" style="1" customWidth="1"/>
    <col min="15377" max="15623" width="11.42578125" style="1"/>
    <col min="15624" max="15624" width="6.42578125" style="1" customWidth="1"/>
    <col min="15625" max="15625" width="30.5703125" style="1" customWidth="1"/>
    <col min="15626" max="15629" width="15.5703125" style="1" customWidth="1"/>
    <col min="15630" max="15630" width="19" style="1" customWidth="1"/>
    <col min="15631" max="15631" width="0" style="1" hidden="1" customWidth="1"/>
    <col min="15632" max="15632" width="15.5703125" style="1" customWidth="1"/>
    <col min="15633" max="15879" width="11.42578125" style="1"/>
    <col min="15880" max="15880" width="6.42578125" style="1" customWidth="1"/>
    <col min="15881" max="15881" width="30.5703125" style="1" customWidth="1"/>
    <col min="15882" max="15885" width="15.5703125" style="1" customWidth="1"/>
    <col min="15886" max="15886" width="19" style="1" customWidth="1"/>
    <col min="15887" max="15887" width="0" style="1" hidden="1" customWidth="1"/>
    <col min="15888" max="15888" width="15.5703125" style="1" customWidth="1"/>
    <col min="15889" max="16135" width="11.42578125" style="1"/>
    <col min="16136" max="16136" width="6.42578125" style="1" customWidth="1"/>
    <col min="16137" max="16137" width="30.5703125" style="1" customWidth="1"/>
    <col min="16138" max="16141" width="15.5703125" style="1" customWidth="1"/>
    <col min="16142" max="16142" width="19" style="1" customWidth="1"/>
    <col min="16143" max="16143" width="0" style="1" hidden="1" customWidth="1"/>
    <col min="16144" max="16144" width="15.5703125" style="1" customWidth="1"/>
    <col min="16145" max="16384" width="11.42578125" style="1"/>
  </cols>
  <sheetData>
    <row r="1" spans="2:20" ht="13.5" thickBot="1" x14ac:dyDescent="0.25"/>
    <row r="2" spans="2:20" ht="21.75" customHeight="1" x14ac:dyDescent="0.2">
      <c r="B2" s="893" t="s">
        <v>12</v>
      </c>
      <c r="C2" s="894"/>
      <c r="D2" s="894"/>
      <c r="E2" s="894"/>
      <c r="F2" s="894"/>
      <c r="G2" s="894"/>
      <c r="H2" s="894"/>
      <c r="I2" s="894"/>
      <c r="J2" s="894"/>
      <c r="K2" s="894"/>
      <c r="L2" s="894"/>
      <c r="M2" s="894"/>
      <c r="N2" s="894"/>
      <c r="O2" s="894"/>
      <c r="P2" s="894"/>
      <c r="Q2" s="895"/>
    </row>
    <row r="3" spans="2:20" ht="21.75" customHeight="1" x14ac:dyDescent="0.2">
      <c r="B3" s="896" t="s">
        <v>13</v>
      </c>
      <c r="C3" s="897"/>
      <c r="D3" s="897"/>
      <c r="E3" s="897"/>
      <c r="F3" s="897"/>
      <c r="G3" s="898"/>
      <c r="H3" s="898"/>
      <c r="I3" s="898"/>
      <c r="J3" s="897"/>
      <c r="K3" s="897"/>
      <c r="L3" s="897"/>
      <c r="M3" s="897"/>
      <c r="N3" s="897"/>
      <c r="O3" s="897"/>
      <c r="P3" s="897"/>
      <c r="Q3" s="899"/>
    </row>
    <row r="4" spans="2:20" ht="21.75" customHeight="1" thickBot="1" x14ac:dyDescent="0.25">
      <c r="B4" s="900" t="s">
        <v>15</v>
      </c>
      <c r="C4" s="901"/>
      <c r="D4" s="901"/>
      <c r="E4" s="901"/>
      <c r="F4" s="901"/>
      <c r="G4" s="901"/>
      <c r="H4" s="901"/>
      <c r="I4" s="901"/>
      <c r="J4" s="901"/>
      <c r="K4" s="901"/>
      <c r="L4" s="901"/>
      <c r="M4" s="901"/>
      <c r="N4" s="901"/>
      <c r="O4" s="901"/>
      <c r="P4" s="901"/>
      <c r="Q4" s="902"/>
    </row>
    <row r="5" spans="2:20" ht="13.5" thickBot="1" x14ac:dyDescent="0.25">
      <c r="B5" s="4"/>
      <c r="C5" s="4"/>
      <c r="D5" s="4"/>
      <c r="E5" s="5"/>
      <c r="F5" s="5"/>
      <c r="G5" s="4"/>
      <c r="H5" s="4"/>
      <c r="I5" s="4"/>
      <c r="J5" s="4"/>
      <c r="K5" s="4"/>
      <c r="L5" s="4"/>
      <c r="M5" s="4"/>
      <c r="N5" s="4"/>
      <c r="O5" s="4"/>
      <c r="P5" s="4"/>
      <c r="Q5" s="4"/>
    </row>
    <row r="6" spans="2:20" ht="16.5" thickBot="1" x14ac:dyDescent="0.25">
      <c r="B6" s="6" t="s">
        <v>2141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</row>
    <row r="7" spans="2:20" ht="13.5" thickBot="1" x14ac:dyDescent="0.25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</row>
    <row r="8" spans="2:20" x14ac:dyDescent="0.2">
      <c r="B8" s="9" t="s">
        <v>1312</v>
      </c>
      <c r="C8" s="10">
        <f>'DADOS GERAIS'!C21</f>
        <v>5385</v>
      </c>
      <c r="D8" s="10"/>
      <c r="E8" s="10"/>
      <c r="F8" s="10"/>
      <c r="G8" s="10"/>
      <c r="H8" s="65"/>
      <c r="I8" s="65"/>
      <c r="J8" s="41"/>
      <c r="K8" s="65"/>
      <c r="L8" s="65"/>
      <c r="M8" s="65"/>
      <c r="N8" s="65"/>
      <c r="O8" s="65"/>
      <c r="P8" s="903" t="s">
        <v>1324</v>
      </c>
      <c r="Q8" s="905">
        <f>'DADOS GERAIS'!C13</f>
        <v>0</v>
      </c>
      <c r="T8" s="42"/>
    </row>
    <row r="9" spans="2:20" x14ac:dyDescent="0.2">
      <c r="B9" s="12" t="s">
        <v>43</v>
      </c>
      <c r="C9" s="43" t="str">
        <f>'DADOS GERAIS'!C11</f>
        <v>PAROLIN</v>
      </c>
      <c r="D9" s="43"/>
      <c r="E9" s="44"/>
      <c r="F9" s="45"/>
      <c r="G9" s="44"/>
      <c r="H9" s="45"/>
      <c r="I9" s="45"/>
      <c r="J9" s="45"/>
      <c r="K9" s="44"/>
      <c r="L9" s="44"/>
      <c r="M9" s="44"/>
      <c r="N9" s="44"/>
      <c r="O9" s="44"/>
      <c r="P9" s="904"/>
      <c r="Q9" s="906"/>
      <c r="T9" s="42"/>
    </row>
    <row r="10" spans="2:20" x14ac:dyDescent="0.2">
      <c r="B10" s="12" t="s">
        <v>11</v>
      </c>
      <c r="C10" s="43" t="str">
        <f>'DADOS GERAIS'!C12</f>
        <v>Rua Vila Guaíra / altura das ruas Chanceler Lauro Müller e Antônio Parolin Júnior</v>
      </c>
      <c r="D10" s="43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11"/>
      <c r="T10" s="42"/>
    </row>
    <row r="11" spans="2:20" ht="13.5" thickBot="1" x14ac:dyDescent="0.25">
      <c r="B11" s="13" t="s">
        <v>68</v>
      </c>
      <c r="C11" s="46" t="str">
        <f>'DADOS GERAIS'!C22</f>
        <v>PASSARELAS VILA GUAÍRA</v>
      </c>
      <c r="D11" s="46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5"/>
      <c r="T11" s="42"/>
    </row>
    <row r="12" spans="2:20" x14ac:dyDescent="0.2"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</row>
    <row r="13" spans="2:20" s="16" customFormat="1" ht="14.25" x14ac:dyDescent="0.2">
      <c r="B13" s="909" t="s">
        <v>6</v>
      </c>
      <c r="C13" s="909" t="s">
        <v>7</v>
      </c>
      <c r="D13" s="912" t="s">
        <v>44</v>
      </c>
      <c r="E13" s="912"/>
      <c r="F13" s="912"/>
      <c r="G13" s="912"/>
      <c r="H13" s="912"/>
      <c r="I13" s="912"/>
      <c r="J13" s="912"/>
      <c r="K13" s="912"/>
      <c r="L13" s="912"/>
      <c r="M13" s="912"/>
      <c r="N13" s="912"/>
      <c r="O13" s="912"/>
      <c r="P13" s="327" t="s">
        <v>45</v>
      </c>
      <c r="Q13" s="328" t="s">
        <v>46</v>
      </c>
      <c r="R13" s="911" t="s">
        <v>1386</v>
      </c>
      <c r="S13" s="17"/>
      <c r="T13" s="18"/>
    </row>
    <row r="14" spans="2:20" s="16" customFormat="1" ht="14.25" x14ac:dyDescent="0.2">
      <c r="B14" s="910"/>
      <c r="C14" s="910"/>
      <c r="D14" s="345" t="s">
        <v>47</v>
      </c>
      <c r="E14" s="345" t="s">
        <v>48</v>
      </c>
      <c r="F14" s="345" t="s">
        <v>49</v>
      </c>
      <c r="G14" s="345" t="s">
        <v>50</v>
      </c>
      <c r="H14" s="345" t="s">
        <v>51</v>
      </c>
      <c r="I14" s="345" t="s">
        <v>52</v>
      </c>
      <c r="J14" s="345" t="s">
        <v>1322</v>
      </c>
      <c r="K14" s="326" t="s">
        <v>1323</v>
      </c>
      <c r="L14" s="326" t="s">
        <v>1325</v>
      </c>
      <c r="M14" s="326" t="s">
        <v>1326</v>
      </c>
      <c r="N14" s="326" t="s">
        <v>1327</v>
      </c>
      <c r="O14" s="326" t="s">
        <v>1328</v>
      </c>
      <c r="P14" s="346" t="s">
        <v>53</v>
      </c>
      <c r="Q14" s="347" t="s">
        <v>54</v>
      </c>
      <c r="R14" s="911"/>
      <c r="S14" s="17"/>
      <c r="T14" s="18"/>
    </row>
    <row r="15" spans="2:20" ht="12.75" customHeight="1" x14ac:dyDescent="0.2">
      <c r="B15" s="329"/>
      <c r="C15" s="67"/>
      <c r="D15" s="66"/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280"/>
      <c r="Q15" s="330"/>
      <c r="R15" s="322"/>
    </row>
    <row r="16" spans="2:20" s="19" customFormat="1" ht="12.75" customHeight="1" x14ac:dyDescent="0.2">
      <c r="B16" s="348" t="s">
        <v>16</v>
      </c>
      <c r="C16" s="60" t="str">
        <f>'ORÇAMENTO S.D.'!E13</f>
        <v>ADMINISTRAÇÃO LOCAL DA OBRA</v>
      </c>
      <c r="D16" s="61">
        <f>$P16*D17</f>
        <v>28242.6675</v>
      </c>
      <c r="E16" s="61">
        <f>$P16*E17</f>
        <v>28242.6675</v>
      </c>
      <c r="F16" s="61">
        <f t="shared" ref="F16:O36" si="0">$P16*F17</f>
        <v>28242.6675</v>
      </c>
      <c r="G16" s="61">
        <f t="shared" si="0"/>
        <v>28242.6675</v>
      </c>
      <c r="H16" s="61">
        <f t="shared" si="0"/>
        <v>0</v>
      </c>
      <c r="I16" s="61">
        <f t="shared" si="0"/>
        <v>0</v>
      </c>
      <c r="J16" s="61">
        <f t="shared" si="0"/>
        <v>0</v>
      </c>
      <c r="K16" s="61">
        <f t="shared" si="0"/>
        <v>0</v>
      </c>
      <c r="L16" s="61">
        <f t="shared" si="0"/>
        <v>0</v>
      </c>
      <c r="M16" s="61">
        <f t="shared" si="0"/>
        <v>0</v>
      </c>
      <c r="N16" s="61">
        <f t="shared" si="0"/>
        <v>0</v>
      </c>
      <c r="O16" s="61">
        <f t="shared" si="0"/>
        <v>0</v>
      </c>
      <c r="P16" s="281">
        <f>'ORÇAMENTO C.D.'!L16</f>
        <v>112970.67</v>
      </c>
      <c r="Q16" s="24"/>
      <c r="R16" s="323">
        <f t="shared" ref="R16:R35" si="1">SUM(D16:O16)</f>
        <v>112970.67</v>
      </c>
      <c r="S16" s="20"/>
      <c r="T16" s="21"/>
    </row>
    <row r="17" spans="2:20" s="19" customFormat="1" ht="12.75" customHeight="1" x14ac:dyDescent="0.2">
      <c r="B17" s="349"/>
      <c r="C17" s="62"/>
      <c r="D17" s="63">
        <v>0.25</v>
      </c>
      <c r="E17" s="63">
        <v>0.25</v>
      </c>
      <c r="F17" s="63">
        <v>0.25</v>
      </c>
      <c r="G17" s="63">
        <v>0.25</v>
      </c>
      <c r="H17" s="68">
        <f t="shared" ref="H17:O17" si="2">H46</f>
        <v>0</v>
      </c>
      <c r="I17" s="68">
        <f t="shared" si="2"/>
        <v>0</v>
      </c>
      <c r="J17" s="68">
        <f t="shared" si="2"/>
        <v>0</v>
      </c>
      <c r="K17" s="68">
        <f t="shared" si="2"/>
        <v>0</v>
      </c>
      <c r="L17" s="68">
        <f t="shared" si="2"/>
        <v>0</v>
      </c>
      <c r="M17" s="68">
        <f t="shared" si="2"/>
        <v>0</v>
      </c>
      <c r="N17" s="68">
        <f t="shared" si="2"/>
        <v>0</v>
      </c>
      <c r="O17" s="68">
        <f t="shared" si="2"/>
        <v>0</v>
      </c>
      <c r="P17" s="281"/>
      <c r="Q17" s="331">
        <f>IFERROR(P16/$P$38,"-")</f>
        <v>0.10500648760011051</v>
      </c>
      <c r="R17" s="324">
        <f t="shared" si="1"/>
        <v>1</v>
      </c>
      <c r="S17" s="20"/>
      <c r="T17" s="21"/>
    </row>
    <row r="18" spans="2:20" s="19" customFormat="1" ht="12.75" customHeight="1" x14ac:dyDescent="0.2">
      <c r="B18" s="348" t="s">
        <v>19</v>
      </c>
      <c r="C18" s="60" t="str">
        <f>'ORÇAMENTO S.D.'!E17</f>
        <v>CANTEIRO DE OBRAS E SINALIZAÇÃO</v>
      </c>
      <c r="D18" s="61">
        <f>$P18*D19</f>
        <v>7943.0519999999997</v>
      </c>
      <c r="E18" s="61">
        <f>$P18*E19</f>
        <v>5957.2889999999989</v>
      </c>
      <c r="F18" s="61">
        <f t="shared" si="0"/>
        <v>5957.2889999999989</v>
      </c>
      <c r="G18" s="61">
        <f t="shared" si="0"/>
        <v>0</v>
      </c>
      <c r="H18" s="61">
        <f t="shared" si="0"/>
        <v>0</v>
      </c>
      <c r="I18" s="61">
        <f t="shared" si="0"/>
        <v>0</v>
      </c>
      <c r="J18" s="61">
        <f t="shared" si="0"/>
        <v>0</v>
      </c>
      <c r="K18" s="61">
        <f t="shared" si="0"/>
        <v>0</v>
      </c>
      <c r="L18" s="61">
        <f t="shared" si="0"/>
        <v>0</v>
      </c>
      <c r="M18" s="61">
        <f t="shared" si="0"/>
        <v>0</v>
      </c>
      <c r="N18" s="61">
        <f t="shared" si="0"/>
        <v>0</v>
      </c>
      <c r="O18" s="61">
        <f t="shared" si="0"/>
        <v>0</v>
      </c>
      <c r="P18" s="281">
        <f>'ORÇAMENTO C.D.'!L25</f>
        <v>19857.629999999997</v>
      </c>
      <c r="Q18" s="24"/>
      <c r="R18" s="323">
        <f t="shared" si="1"/>
        <v>19857.629999999997</v>
      </c>
      <c r="S18" s="20"/>
      <c r="T18" s="21"/>
    </row>
    <row r="19" spans="2:20" s="19" customFormat="1" ht="12.75" customHeight="1" x14ac:dyDescent="0.2">
      <c r="B19" s="349"/>
      <c r="C19" s="62"/>
      <c r="D19" s="63">
        <v>0.4</v>
      </c>
      <c r="E19" s="63">
        <v>0.3</v>
      </c>
      <c r="F19" s="63">
        <v>0.3</v>
      </c>
      <c r="G19" s="63"/>
      <c r="H19" s="63"/>
      <c r="I19" s="63"/>
      <c r="J19" s="63"/>
      <c r="K19" s="63"/>
      <c r="L19" s="63"/>
      <c r="M19" s="63"/>
      <c r="N19" s="63"/>
      <c r="O19" s="63"/>
      <c r="P19" s="281"/>
      <c r="Q19" s="331">
        <f>IFERROR(P18/$P$38,"-")</f>
        <v>1.8457711000232028E-2</v>
      </c>
      <c r="R19" s="324">
        <f t="shared" si="1"/>
        <v>1</v>
      </c>
      <c r="S19" s="20"/>
      <c r="T19" s="21"/>
    </row>
    <row r="20" spans="2:20" s="19" customFormat="1" ht="12.75" customHeight="1" x14ac:dyDescent="0.2">
      <c r="B20" s="348" t="s">
        <v>20</v>
      </c>
      <c r="C20" s="60" t="str">
        <f>'ORÇAMENTO S.D.'!E26</f>
        <v xml:space="preserve">MOBILIZAÇÃO E DESMOBILIZAÇÃO </v>
      </c>
      <c r="D20" s="61">
        <f>$P20*D21</f>
        <v>4724.08</v>
      </c>
      <c r="E20" s="61">
        <f>$P20*E21</f>
        <v>0</v>
      </c>
      <c r="F20" s="61">
        <f t="shared" si="0"/>
        <v>0</v>
      </c>
      <c r="G20" s="61">
        <f t="shared" si="0"/>
        <v>4724.08</v>
      </c>
      <c r="H20" s="309">
        <f t="shared" si="0"/>
        <v>0</v>
      </c>
      <c r="I20" s="309">
        <f t="shared" si="0"/>
        <v>0</v>
      </c>
      <c r="J20" s="61">
        <f t="shared" si="0"/>
        <v>0</v>
      </c>
      <c r="K20" s="61">
        <f t="shared" si="0"/>
        <v>0</v>
      </c>
      <c r="L20" s="61">
        <f t="shared" si="0"/>
        <v>0</v>
      </c>
      <c r="M20" s="61">
        <f t="shared" si="0"/>
        <v>0</v>
      </c>
      <c r="N20" s="61">
        <f t="shared" si="0"/>
        <v>0</v>
      </c>
      <c r="O20" s="61">
        <f t="shared" si="0"/>
        <v>0</v>
      </c>
      <c r="P20" s="281">
        <f>'ORÇAMENTO C.D.'!L32</f>
        <v>9448.16</v>
      </c>
      <c r="Q20" s="24"/>
      <c r="R20" s="323">
        <f t="shared" si="1"/>
        <v>9448.16</v>
      </c>
      <c r="S20" s="20"/>
      <c r="T20" s="21"/>
    </row>
    <row r="21" spans="2:20" s="19" customFormat="1" ht="12.75" customHeight="1" x14ac:dyDescent="0.2">
      <c r="B21" s="349"/>
      <c r="C21" s="62"/>
      <c r="D21" s="63">
        <v>0.5</v>
      </c>
      <c r="E21" s="63">
        <v>0</v>
      </c>
      <c r="F21" s="63">
        <v>0</v>
      </c>
      <c r="G21" s="63">
        <v>0.5</v>
      </c>
      <c r="H21" s="63"/>
      <c r="I21" s="63"/>
      <c r="J21" s="63"/>
      <c r="K21" s="63"/>
      <c r="L21" s="63"/>
      <c r="M21" s="63"/>
      <c r="N21" s="63"/>
      <c r="O21" s="63"/>
      <c r="P21" s="281"/>
      <c r="Q21" s="331">
        <f>IFERROR(P20/$P$38,"-")</f>
        <v>8.7820856146454667E-3</v>
      </c>
      <c r="R21" s="324">
        <f t="shared" si="1"/>
        <v>1</v>
      </c>
      <c r="S21" s="20"/>
      <c r="T21" s="21"/>
    </row>
    <row r="22" spans="2:20" s="19" customFormat="1" ht="12.75" customHeight="1" x14ac:dyDescent="0.2">
      <c r="B22" s="348" t="s">
        <v>21</v>
      </c>
      <c r="C22" s="60" t="str">
        <f>'ORÇAMENTO S.D.'!E33</f>
        <v>FUNDAÇÃO PARA INSTALAÇÃO DE OBRAS DE ARTE PARA PASSAGEM DE PEDESTRES</v>
      </c>
      <c r="D22" s="61">
        <f>$P22*D23</f>
        <v>27784.370000000003</v>
      </c>
      <c r="E22" s="61">
        <f>$P22*E23</f>
        <v>0</v>
      </c>
      <c r="F22" s="61">
        <f t="shared" si="0"/>
        <v>0</v>
      </c>
      <c r="G22" s="61">
        <f t="shared" si="0"/>
        <v>0</v>
      </c>
      <c r="H22" s="61">
        <f t="shared" si="0"/>
        <v>0</v>
      </c>
      <c r="I22" s="61">
        <f t="shared" si="0"/>
        <v>0</v>
      </c>
      <c r="J22" s="61">
        <f t="shared" si="0"/>
        <v>0</v>
      </c>
      <c r="K22" s="61">
        <f t="shared" si="0"/>
        <v>0</v>
      </c>
      <c r="L22" s="61">
        <f t="shared" si="0"/>
        <v>0</v>
      </c>
      <c r="M22" s="61">
        <f t="shared" si="0"/>
        <v>0</v>
      </c>
      <c r="N22" s="61">
        <f t="shared" si="0"/>
        <v>0</v>
      </c>
      <c r="O22" s="61">
        <f t="shared" si="0"/>
        <v>0</v>
      </c>
      <c r="P22" s="281">
        <f>'ORÇAMENTO C.D.'!L45</f>
        <v>27784.370000000003</v>
      </c>
      <c r="Q22" s="24"/>
      <c r="R22" s="323">
        <f t="shared" si="1"/>
        <v>27784.370000000003</v>
      </c>
      <c r="S22" s="20"/>
      <c r="T22" s="21"/>
    </row>
    <row r="23" spans="2:20" s="19" customFormat="1" ht="12.75" customHeight="1" x14ac:dyDescent="0.2">
      <c r="B23" s="349"/>
      <c r="C23" s="62"/>
      <c r="D23" s="63">
        <v>1</v>
      </c>
      <c r="E23" s="63">
        <v>0</v>
      </c>
      <c r="F23" s="63">
        <v>0</v>
      </c>
      <c r="G23" s="63"/>
      <c r="H23" s="63"/>
      <c r="I23" s="63"/>
      <c r="J23" s="63"/>
      <c r="K23" s="63"/>
      <c r="L23" s="63"/>
      <c r="M23" s="63"/>
      <c r="N23" s="63"/>
      <c r="O23" s="63"/>
      <c r="P23" s="281"/>
      <c r="Q23" s="331">
        <f>IFERROR(P22/$P$38,"-")</f>
        <v>2.5825633360250788E-2</v>
      </c>
      <c r="R23" s="324">
        <f t="shared" si="1"/>
        <v>1</v>
      </c>
      <c r="S23" s="20"/>
      <c r="T23" s="21"/>
    </row>
    <row r="24" spans="2:20" s="19" customFormat="1" x14ac:dyDescent="0.2">
      <c r="B24" s="332" t="s">
        <v>22</v>
      </c>
      <c r="C24" s="305" t="str">
        <f>'ORÇAMENTO S.D.'!E46</f>
        <v>PILARES PRÉ-MOLDADO PARA PASSARELA DE PEDESTRES</v>
      </c>
      <c r="D24" s="61">
        <f>$P24*D25</f>
        <v>10125.160000000002</v>
      </c>
      <c r="E24" s="61">
        <f>$P24*E25</f>
        <v>2531.2900000000004</v>
      </c>
      <c r="F24" s="61">
        <f t="shared" si="0"/>
        <v>0</v>
      </c>
      <c r="G24" s="61">
        <f t="shared" si="0"/>
        <v>0</v>
      </c>
      <c r="H24" s="61">
        <f t="shared" si="0"/>
        <v>0</v>
      </c>
      <c r="I24" s="61">
        <f t="shared" si="0"/>
        <v>0</v>
      </c>
      <c r="J24" s="61">
        <f t="shared" si="0"/>
        <v>0</v>
      </c>
      <c r="K24" s="61">
        <f t="shared" si="0"/>
        <v>0</v>
      </c>
      <c r="L24" s="61">
        <f t="shared" si="0"/>
        <v>0</v>
      </c>
      <c r="M24" s="61">
        <f t="shared" si="0"/>
        <v>0</v>
      </c>
      <c r="N24" s="61">
        <f t="shared" si="0"/>
        <v>0</v>
      </c>
      <c r="O24" s="61">
        <f t="shared" si="0"/>
        <v>0</v>
      </c>
      <c r="P24" s="281">
        <f>'ORÇAMENTO C.D.'!L54</f>
        <v>12656.45</v>
      </c>
      <c r="Q24" s="24"/>
      <c r="R24" s="323">
        <f t="shared" si="1"/>
        <v>12656.450000000003</v>
      </c>
      <c r="S24" s="20"/>
      <c r="T24" s="21"/>
    </row>
    <row r="25" spans="2:20" s="19" customFormat="1" ht="12.75" customHeight="1" x14ac:dyDescent="0.2">
      <c r="B25" s="332"/>
      <c r="C25" s="64"/>
      <c r="D25" s="63">
        <v>0.8</v>
      </c>
      <c r="E25" s="63">
        <v>0.2</v>
      </c>
      <c r="F25" s="63">
        <v>0</v>
      </c>
      <c r="G25" s="63"/>
      <c r="H25" s="63"/>
      <c r="I25" s="63"/>
      <c r="J25" s="63"/>
      <c r="K25" s="63"/>
      <c r="L25" s="63"/>
      <c r="M25" s="63"/>
      <c r="N25" s="63"/>
      <c r="O25" s="63"/>
      <c r="P25" s="28"/>
      <c r="Q25" s="331">
        <f>IFERROR(P24/$P$38,"-")</f>
        <v>1.1764198264792258E-2</v>
      </c>
      <c r="R25" s="324">
        <f t="shared" si="1"/>
        <v>1</v>
      </c>
      <c r="S25" s="20"/>
      <c r="T25" s="21"/>
    </row>
    <row r="26" spans="2:20" s="19" customFormat="1" ht="12.75" customHeight="1" x14ac:dyDescent="0.2">
      <c r="B26" s="332" t="s">
        <v>1769</v>
      </c>
      <c r="C26" s="305" t="str">
        <f>'ORÇAMENTO S.D.'!E64</f>
        <v>RAMPAS DE ACESSO ÀS PASSARELAS</v>
      </c>
      <c r="D26" s="61">
        <f>$P26*D27</f>
        <v>0</v>
      </c>
      <c r="E26" s="61">
        <f>$P26*E27</f>
        <v>59805.404999999992</v>
      </c>
      <c r="F26" s="61">
        <f t="shared" si="0"/>
        <v>59805.404999999992</v>
      </c>
      <c r="G26" s="61">
        <f t="shared" si="0"/>
        <v>0</v>
      </c>
      <c r="H26" s="61">
        <f t="shared" si="0"/>
        <v>0</v>
      </c>
      <c r="I26" s="61">
        <f t="shared" si="0"/>
        <v>0</v>
      </c>
      <c r="J26" s="61">
        <f t="shared" si="0"/>
        <v>0</v>
      </c>
      <c r="K26" s="61">
        <f t="shared" si="0"/>
        <v>0</v>
      </c>
      <c r="L26" s="61">
        <f t="shared" si="0"/>
        <v>0</v>
      </c>
      <c r="M26" s="61">
        <f t="shared" si="0"/>
        <v>0</v>
      </c>
      <c r="N26" s="61">
        <f t="shared" si="0"/>
        <v>0</v>
      </c>
      <c r="O26" s="61">
        <f t="shared" si="0"/>
        <v>0</v>
      </c>
      <c r="P26" s="281">
        <f>'ORÇAMENTO C.D.'!L83</f>
        <v>119610.80999999998</v>
      </c>
      <c r="Q26" s="24"/>
      <c r="R26" s="323">
        <f t="shared" si="1"/>
        <v>119610.80999999998</v>
      </c>
      <c r="S26" s="20"/>
      <c r="T26" s="21"/>
    </row>
    <row r="27" spans="2:20" s="19" customFormat="1" ht="12.75" customHeight="1" x14ac:dyDescent="0.2">
      <c r="B27" s="332"/>
      <c r="C27" s="64"/>
      <c r="D27" s="63">
        <v>0</v>
      </c>
      <c r="E27" s="63">
        <v>0.5</v>
      </c>
      <c r="F27" s="63">
        <v>0.5</v>
      </c>
      <c r="G27" s="63"/>
      <c r="H27" s="63"/>
      <c r="I27" s="63"/>
      <c r="J27" s="63"/>
      <c r="K27" s="63"/>
      <c r="L27" s="63"/>
      <c r="M27" s="63"/>
      <c r="N27" s="63"/>
      <c r="O27" s="63"/>
      <c r="P27" s="28"/>
      <c r="Q27" s="331">
        <f>IFERROR(P26/$P$38,"-")</f>
        <v>0.11117851241480796</v>
      </c>
      <c r="R27" s="324">
        <f t="shared" si="1"/>
        <v>1</v>
      </c>
      <c r="S27" s="20"/>
      <c r="T27" s="21"/>
    </row>
    <row r="28" spans="2:20" s="19" customFormat="1" ht="12.75" customHeight="1" x14ac:dyDescent="0.2">
      <c r="B28" s="332" t="s">
        <v>1770</v>
      </c>
      <c r="C28" s="305" t="str">
        <f>'ORÇAMENTO S.D.'!E55</f>
        <v>SUPERESTRUTURA PASSARELAS DE PEDESTRES</v>
      </c>
      <c r="D28" s="61">
        <f>$P28*D29</f>
        <v>18856.884999999998</v>
      </c>
      <c r="E28" s="61">
        <f>$P28*E29</f>
        <v>18856.884999999998</v>
      </c>
      <c r="F28" s="61">
        <f t="shared" si="0"/>
        <v>0</v>
      </c>
      <c r="G28" s="61">
        <f t="shared" si="0"/>
        <v>0</v>
      </c>
      <c r="H28" s="61">
        <f t="shared" si="0"/>
        <v>0</v>
      </c>
      <c r="I28" s="61">
        <f t="shared" si="0"/>
        <v>0</v>
      </c>
      <c r="J28" s="61">
        <f t="shared" si="0"/>
        <v>0</v>
      </c>
      <c r="K28" s="61">
        <f t="shared" si="0"/>
        <v>0</v>
      </c>
      <c r="L28" s="61">
        <f t="shared" si="0"/>
        <v>0</v>
      </c>
      <c r="M28" s="61">
        <f t="shared" si="0"/>
        <v>0</v>
      </c>
      <c r="N28" s="61">
        <f t="shared" si="0"/>
        <v>0</v>
      </c>
      <c r="O28" s="61">
        <f t="shared" si="0"/>
        <v>0</v>
      </c>
      <c r="P28" s="281">
        <f>'ORÇAMENTO C.D.'!L63</f>
        <v>37713.769999999997</v>
      </c>
      <c r="Q28" s="24"/>
      <c r="R28" s="323">
        <f t="shared" si="1"/>
        <v>37713.769999999997</v>
      </c>
      <c r="S28" s="20"/>
      <c r="T28" s="21"/>
    </row>
    <row r="29" spans="2:20" s="19" customFormat="1" ht="12.75" customHeight="1" x14ac:dyDescent="0.2">
      <c r="B29" s="332"/>
      <c r="C29" s="64"/>
      <c r="D29" s="63">
        <v>0.5</v>
      </c>
      <c r="E29" s="63">
        <v>0.5</v>
      </c>
      <c r="F29" s="63">
        <v>0</v>
      </c>
      <c r="G29" s="308"/>
      <c r="H29" s="308"/>
      <c r="I29" s="308"/>
      <c r="J29" s="63"/>
      <c r="K29" s="63"/>
      <c r="L29" s="63"/>
      <c r="M29" s="63"/>
      <c r="N29" s="63"/>
      <c r="O29" s="63"/>
      <c r="P29" s="28"/>
      <c r="Q29" s="331">
        <f>IFERROR(P28/$P$38,"-")</f>
        <v>3.5055032619160528E-2</v>
      </c>
      <c r="R29" s="324">
        <f t="shared" si="1"/>
        <v>1</v>
      </c>
      <c r="S29" s="20"/>
      <c r="T29" s="21"/>
    </row>
    <row r="30" spans="2:20" s="19" customFormat="1" ht="12.75" customHeight="1" x14ac:dyDescent="0.2">
      <c r="B30" s="332" t="s">
        <v>1771</v>
      </c>
      <c r="C30" s="64" t="str">
        <f>'ORÇAMENTO S.D.'!E84</f>
        <v>GUARDA-CORPO PARA PASSARELA DE PEDESTRES - FORNECIMENTO E INSTALAÇÃO</v>
      </c>
      <c r="D30" s="61">
        <f>$P30*D31</f>
        <v>142486.86078400002</v>
      </c>
      <c r="E30" s="61">
        <f>$P30*E31</f>
        <v>0</v>
      </c>
      <c r="F30" s="61">
        <f t="shared" si="0"/>
        <v>145598.17921600002</v>
      </c>
      <c r="G30" s="61">
        <f t="shared" si="0"/>
        <v>0</v>
      </c>
      <c r="H30" s="308"/>
      <c r="I30" s="308"/>
      <c r="J30" s="63"/>
      <c r="K30" s="63"/>
      <c r="L30" s="63"/>
      <c r="M30" s="63"/>
      <c r="N30" s="63"/>
      <c r="O30" s="63"/>
      <c r="P30" s="61">
        <f>'ORÇAMENTO C.D.'!L89</f>
        <v>288085.04000000004</v>
      </c>
      <c r="Q30" s="331"/>
      <c r="R30" s="323">
        <f t="shared" si="1"/>
        <v>288085.04000000004</v>
      </c>
      <c r="S30" s="20"/>
      <c r="T30" s="21"/>
    </row>
    <row r="31" spans="2:20" s="19" customFormat="1" ht="12.75" customHeight="1" x14ac:dyDescent="0.2">
      <c r="B31" s="332"/>
      <c r="C31" s="64"/>
      <c r="D31" s="63">
        <v>0.49459999999999998</v>
      </c>
      <c r="E31" s="63">
        <v>0</v>
      </c>
      <c r="F31" s="63">
        <v>0.50539999999999996</v>
      </c>
      <c r="G31" s="308"/>
      <c r="H31" s="308"/>
      <c r="I31" s="308"/>
      <c r="J31" s="63"/>
      <c r="K31" s="63"/>
      <c r="L31" s="63"/>
      <c r="M31" s="63"/>
      <c r="N31" s="63"/>
      <c r="O31" s="63"/>
      <c r="P31" s="28"/>
      <c r="Q31" s="331">
        <f>IFERROR(P30/$P$38,"-")</f>
        <v>0.26777568178127426</v>
      </c>
      <c r="R31" s="324">
        <f t="shared" si="1"/>
        <v>1</v>
      </c>
      <c r="S31" s="20"/>
      <c r="T31" s="21"/>
    </row>
    <row r="32" spans="2:20" s="19" customFormat="1" ht="12.75" customHeight="1" x14ac:dyDescent="0.2">
      <c r="B32" s="332" t="s">
        <v>1860</v>
      </c>
      <c r="C32" s="64" t="str">
        <f>'ORÇAMENTO S.D.'!E90</f>
        <v>ESTACA BARRETE - ADEQUAÇÃO DE ALTURA</v>
      </c>
      <c r="D32" s="61">
        <f>$P32*D33</f>
        <v>140838.397</v>
      </c>
      <c r="E32" s="61">
        <f>$P32*E33</f>
        <v>140838.397</v>
      </c>
      <c r="F32" s="61">
        <f t="shared" si="0"/>
        <v>120718.62599999999</v>
      </c>
      <c r="G32" s="61">
        <f t="shared" si="0"/>
        <v>0</v>
      </c>
      <c r="H32" s="308"/>
      <c r="I32" s="308"/>
      <c r="J32" s="63"/>
      <c r="K32" s="63"/>
      <c r="L32" s="63"/>
      <c r="M32" s="63"/>
      <c r="N32" s="63"/>
      <c r="O32" s="63"/>
      <c r="P32" s="61">
        <f>'ORÇAMENTO C.D.'!L100</f>
        <v>402395.42</v>
      </c>
      <c r="Q32" s="331"/>
      <c r="R32" s="323">
        <f t="shared" si="1"/>
        <v>402395.42</v>
      </c>
      <c r="S32" s="20"/>
      <c r="T32" s="21"/>
    </row>
    <row r="33" spans="2:21" s="19" customFormat="1" ht="12.75" customHeight="1" x14ac:dyDescent="0.2">
      <c r="B33" s="332"/>
      <c r="C33" s="64"/>
      <c r="D33" s="63">
        <v>0.35</v>
      </c>
      <c r="E33" s="63">
        <v>0.35</v>
      </c>
      <c r="F33" s="63">
        <v>0.3</v>
      </c>
      <c r="G33" s="308"/>
      <c r="H33" s="308"/>
      <c r="I33" s="308"/>
      <c r="J33" s="63"/>
      <c r="K33" s="63"/>
      <c r="L33" s="63"/>
      <c r="M33" s="63"/>
      <c r="N33" s="63"/>
      <c r="O33" s="63"/>
      <c r="P33" s="28"/>
      <c r="Q33" s="331">
        <f>IFERROR(P32/$P$38,"-")</f>
        <v>0.37402743278915901</v>
      </c>
      <c r="R33" s="324">
        <f t="shared" si="1"/>
        <v>1</v>
      </c>
      <c r="S33" s="20"/>
      <c r="T33" s="21"/>
    </row>
    <row r="34" spans="2:21" s="19" customFormat="1" ht="12.75" customHeight="1" x14ac:dyDescent="0.2">
      <c r="B34" s="332" t="s">
        <v>1901</v>
      </c>
      <c r="C34" s="305" t="str">
        <f>'ORÇAMENTO S.D.'!E101</f>
        <v>URBANIZAÇÃO</v>
      </c>
      <c r="D34" s="61">
        <f>$P34*D35</f>
        <v>0</v>
      </c>
      <c r="E34" s="61">
        <f>$P34*E35</f>
        <v>0</v>
      </c>
      <c r="F34" s="61">
        <f t="shared" si="0"/>
        <v>0</v>
      </c>
      <c r="G34" s="61">
        <f t="shared" si="0"/>
        <v>29256.850000000002</v>
      </c>
      <c r="H34" s="61">
        <f t="shared" si="0"/>
        <v>0</v>
      </c>
      <c r="I34" s="61">
        <f t="shared" si="0"/>
        <v>0</v>
      </c>
      <c r="J34" s="61">
        <f t="shared" si="0"/>
        <v>0</v>
      </c>
      <c r="K34" s="61">
        <f t="shared" si="0"/>
        <v>0</v>
      </c>
      <c r="L34" s="61">
        <f t="shared" si="0"/>
        <v>0</v>
      </c>
      <c r="M34" s="61">
        <f t="shared" si="0"/>
        <v>0</v>
      </c>
      <c r="N34" s="61">
        <f t="shared" si="0"/>
        <v>0</v>
      </c>
      <c r="O34" s="61">
        <f t="shared" si="0"/>
        <v>0</v>
      </c>
      <c r="P34" s="281">
        <f>'ORÇAMENTO C.D.'!L105</f>
        <v>29256.850000000002</v>
      </c>
      <c r="Q34" s="24"/>
      <c r="R34" s="323">
        <f t="shared" si="1"/>
        <v>29256.850000000002</v>
      </c>
      <c r="S34" s="20"/>
      <c r="T34" s="21"/>
    </row>
    <row r="35" spans="2:21" s="19" customFormat="1" ht="12.75" customHeight="1" x14ac:dyDescent="0.2">
      <c r="B35" s="332"/>
      <c r="C35" s="64"/>
      <c r="D35" s="63">
        <v>0</v>
      </c>
      <c r="E35" s="63">
        <v>0</v>
      </c>
      <c r="F35" s="63"/>
      <c r="G35" s="63">
        <v>1</v>
      </c>
      <c r="H35" s="63"/>
      <c r="I35" s="63"/>
      <c r="J35" s="63"/>
      <c r="K35" s="63"/>
      <c r="L35" s="63"/>
      <c r="M35" s="63"/>
      <c r="N35" s="63"/>
      <c r="O35" s="63"/>
      <c r="P35" s="28"/>
      <c r="Q35" s="331">
        <f>IFERROR(P34/$P$38,"-")</f>
        <v>2.7194306776646481E-2</v>
      </c>
      <c r="R35" s="324">
        <f t="shared" si="1"/>
        <v>1</v>
      </c>
      <c r="S35" s="20"/>
      <c r="T35" s="21"/>
    </row>
    <row r="36" spans="2:21" s="19" customFormat="1" ht="12.75" customHeight="1" x14ac:dyDescent="0.2">
      <c r="B36" s="332" t="s">
        <v>2072</v>
      </c>
      <c r="C36" s="64" t="s">
        <v>2073</v>
      </c>
      <c r="D36" s="61">
        <f>$P36*D37</f>
        <v>0</v>
      </c>
      <c r="E36" s="61">
        <f>$P36*E37</f>
        <v>0</v>
      </c>
      <c r="F36" s="61">
        <f t="shared" si="0"/>
        <v>0</v>
      </c>
      <c r="G36" s="61">
        <f t="shared" si="0"/>
        <v>16065.5</v>
      </c>
      <c r="H36" s="61">
        <f t="shared" si="0"/>
        <v>0</v>
      </c>
      <c r="I36" s="61">
        <f t="shared" si="0"/>
        <v>0</v>
      </c>
      <c r="J36" s="61">
        <f t="shared" si="0"/>
        <v>0</v>
      </c>
      <c r="K36" s="61">
        <f t="shared" si="0"/>
        <v>0</v>
      </c>
      <c r="L36" s="61">
        <f t="shared" si="0"/>
        <v>0</v>
      </c>
      <c r="M36" s="61">
        <f t="shared" si="0"/>
        <v>0</v>
      </c>
      <c r="N36" s="61">
        <f t="shared" si="0"/>
        <v>0</v>
      </c>
      <c r="O36" s="61">
        <f t="shared" si="0"/>
        <v>0</v>
      </c>
      <c r="P36" s="281">
        <f>'ORÇAMENTO C.D.'!L109</f>
        <v>16065.5</v>
      </c>
      <c r="Q36" s="333"/>
      <c r="R36" s="324"/>
      <c r="S36" s="20"/>
      <c r="T36" s="21"/>
    </row>
    <row r="37" spans="2:21" ht="12.75" customHeight="1" x14ac:dyDescent="0.2">
      <c r="B37" s="332"/>
      <c r="C37" s="64"/>
      <c r="D37" s="63">
        <v>0</v>
      </c>
      <c r="E37" s="63">
        <v>0</v>
      </c>
      <c r="F37" s="63"/>
      <c r="G37" s="63">
        <v>1</v>
      </c>
      <c r="H37" s="63"/>
      <c r="I37" s="63"/>
      <c r="J37" s="63"/>
      <c r="K37" s="63"/>
      <c r="L37" s="63"/>
      <c r="M37" s="63"/>
      <c r="N37" s="63"/>
      <c r="O37" s="63"/>
      <c r="P37" s="28"/>
      <c r="Q37" s="331">
        <f>IFERROR(P36/$P$38,"-")</f>
        <v>1.493291777892063E-2</v>
      </c>
      <c r="R37" s="324"/>
    </row>
    <row r="38" spans="2:21" ht="12.75" customHeight="1" x14ac:dyDescent="0.2">
      <c r="B38" s="60" t="s">
        <v>55</v>
      </c>
      <c r="C38" s="23"/>
      <c r="D38" s="24">
        <f>SUM(D16,D18,D20,D22,D24,D26,D28,D34,D30,D32,D36)</f>
        <v>381001.47228400002</v>
      </c>
      <c r="E38" s="24">
        <f>SUM(E16,E18,E20,E22,E24,E26,E28,E34,E30,E32,E36)</f>
        <v>256231.93349999998</v>
      </c>
      <c r="F38" s="24">
        <f>SUM(F16,F18,F20,F22,F24,F26,F28,F34,F30,F32,F36)</f>
        <v>360322.16671600001</v>
      </c>
      <c r="G38" s="24">
        <f>SUM(G16,G18,G20,G22,G24,G26,G28,G34,G30,G32,G36)</f>
        <v>78289.097500000003</v>
      </c>
      <c r="H38" s="24" t="e">
        <f>SUM(H16,H18,H20,H22,#REF!,H24)</f>
        <v>#REF!</v>
      </c>
      <c r="I38" s="24" t="e">
        <f>SUM(I16,I18,I20,I22,#REF!,I24)</f>
        <v>#REF!</v>
      </c>
      <c r="J38" s="24" t="e">
        <f>SUM(J16,J18,J20,J22,#REF!,J24)</f>
        <v>#REF!</v>
      </c>
      <c r="K38" s="24" t="e">
        <f>SUM(K16,K18,K20,K22,#REF!,K24)</f>
        <v>#REF!</v>
      </c>
      <c r="L38" s="24" t="e">
        <f>SUM(L16,L18,L20,L22,#REF!,L24)</f>
        <v>#REF!</v>
      </c>
      <c r="M38" s="24" t="e">
        <f>SUM(M16,M18,M20,M22,#REF!,M24)</f>
        <v>#REF!</v>
      </c>
      <c r="N38" s="24" t="e">
        <f>SUM(N16,N18,N20,N22,#REF!,N24)</f>
        <v>#REF!</v>
      </c>
      <c r="O38" s="24" t="e">
        <f>SUM(O16,O18,O20,O22,#REF!,O24)</f>
        <v>#REF!</v>
      </c>
      <c r="P38" s="340">
        <f>SUM(P15:P37)</f>
        <v>1075844.6700000002</v>
      </c>
      <c r="Q38" s="341">
        <f>SUM(Q15:Q37)</f>
        <v>0.99999999999999978</v>
      </c>
    </row>
    <row r="39" spans="2:21" ht="12.75" customHeight="1" x14ac:dyDescent="0.2">
      <c r="B39" s="334" t="s">
        <v>56</v>
      </c>
      <c r="C39" s="325"/>
      <c r="D39" s="22">
        <f>IFERROR(D38/$P$38,"-")</f>
        <v>0.3541417110743319</v>
      </c>
      <c r="E39" s="22">
        <f>IFERROR(E38/$P$38,"-")</f>
        <v>0.23816814884624557</v>
      </c>
      <c r="F39" s="22">
        <f t="shared" ref="F39:O39" si="3">IFERROR(F38/$P$38,"-")</f>
        <v>0.33492025081650489</v>
      </c>
      <c r="G39" s="22">
        <f t="shared" si="3"/>
        <v>7.276988926291747E-2</v>
      </c>
      <c r="H39" s="22" t="str">
        <f t="shared" si="3"/>
        <v>-</v>
      </c>
      <c r="I39" s="22" t="str">
        <f t="shared" si="3"/>
        <v>-</v>
      </c>
      <c r="J39" s="22" t="str">
        <f t="shared" si="3"/>
        <v>-</v>
      </c>
      <c r="K39" s="22" t="str">
        <f t="shared" si="3"/>
        <v>-</v>
      </c>
      <c r="L39" s="22" t="str">
        <f t="shared" si="3"/>
        <v>-</v>
      </c>
      <c r="M39" s="22" t="str">
        <f t="shared" si="3"/>
        <v>-</v>
      </c>
      <c r="N39" s="22" t="str">
        <f t="shared" si="3"/>
        <v>-</v>
      </c>
      <c r="O39" s="22" t="str">
        <f t="shared" si="3"/>
        <v>-</v>
      </c>
      <c r="P39" s="59"/>
      <c r="Q39" s="59"/>
    </row>
    <row r="40" spans="2:21" ht="12.75" customHeight="1" x14ac:dyDescent="0.2">
      <c r="B40" s="60" t="s">
        <v>57</v>
      </c>
      <c r="C40" s="23"/>
      <c r="D40" s="24">
        <f>D38</f>
        <v>381001.47228400002</v>
      </c>
      <c r="E40" s="24">
        <f>SUM(D40,E38)</f>
        <v>637233.40578399994</v>
      </c>
      <c r="F40" s="24">
        <f t="shared" ref="F40:O41" si="4">SUM(E40,F38)</f>
        <v>997555.57250000001</v>
      </c>
      <c r="G40" s="24">
        <f t="shared" si="4"/>
        <v>1075844.67</v>
      </c>
      <c r="H40" s="24" t="e">
        <f t="shared" si="4"/>
        <v>#REF!</v>
      </c>
      <c r="I40" s="24" t="e">
        <f t="shared" si="4"/>
        <v>#REF!</v>
      </c>
      <c r="J40" s="24" t="e">
        <f t="shared" si="4"/>
        <v>#REF!</v>
      </c>
      <c r="K40" s="24" t="e">
        <f t="shared" si="4"/>
        <v>#REF!</v>
      </c>
      <c r="L40" s="24" t="e">
        <f t="shared" si="4"/>
        <v>#REF!</v>
      </c>
      <c r="M40" s="24" t="e">
        <f t="shared" si="4"/>
        <v>#REF!</v>
      </c>
      <c r="N40" s="24" t="e">
        <f t="shared" si="4"/>
        <v>#REF!</v>
      </c>
      <c r="O40" s="24" t="e">
        <f t="shared" si="4"/>
        <v>#REF!</v>
      </c>
      <c r="P40" s="25"/>
      <c r="Q40" s="335"/>
      <c r="U40" s="26"/>
    </row>
    <row r="41" spans="2:21" ht="12.75" customHeight="1" x14ac:dyDescent="0.2">
      <c r="B41" s="334" t="s">
        <v>58</v>
      </c>
      <c r="C41" s="342"/>
      <c r="D41" s="331">
        <f>D39</f>
        <v>0.3541417110743319</v>
      </c>
      <c r="E41" s="331">
        <f>SUM(D41,E39)</f>
        <v>0.5923098599205775</v>
      </c>
      <c r="F41" s="331">
        <f t="shared" si="4"/>
        <v>0.92723011073708239</v>
      </c>
      <c r="G41" s="331">
        <f t="shared" si="4"/>
        <v>0.99999999999999989</v>
      </c>
      <c r="H41" s="331">
        <f t="shared" si="4"/>
        <v>0.99999999999999989</v>
      </c>
      <c r="I41" s="331">
        <f t="shared" si="4"/>
        <v>0.99999999999999989</v>
      </c>
      <c r="J41" s="331">
        <f t="shared" si="4"/>
        <v>0.99999999999999989</v>
      </c>
      <c r="K41" s="331">
        <f t="shared" si="4"/>
        <v>0.99999999999999989</v>
      </c>
      <c r="L41" s="331">
        <f t="shared" si="4"/>
        <v>0.99999999999999989</v>
      </c>
      <c r="M41" s="331">
        <f t="shared" si="4"/>
        <v>0.99999999999999989</v>
      </c>
      <c r="N41" s="331">
        <f t="shared" si="4"/>
        <v>0.99999999999999989</v>
      </c>
      <c r="O41" s="331">
        <f t="shared" si="4"/>
        <v>0.99999999999999989</v>
      </c>
      <c r="P41" s="343"/>
      <c r="Q41" s="344"/>
    </row>
    <row r="42" spans="2:21" ht="12.75" customHeight="1" x14ac:dyDescent="0.2">
      <c r="B42" s="336" t="s">
        <v>59</v>
      </c>
      <c r="C42" s="310"/>
      <c r="D42" s="337"/>
      <c r="E42" s="337"/>
      <c r="F42" s="337"/>
      <c r="G42" s="338"/>
      <c r="H42" s="338"/>
      <c r="I42" s="338"/>
      <c r="J42" s="337"/>
      <c r="K42" s="337"/>
      <c r="L42" s="337"/>
      <c r="M42" s="337"/>
      <c r="N42" s="337"/>
      <c r="O42" s="337"/>
      <c r="P42" s="337"/>
      <c r="Q42" s="339"/>
    </row>
    <row r="44" spans="2:21" outlineLevel="1" x14ac:dyDescent="0.2">
      <c r="B44" s="913" t="s">
        <v>2053</v>
      </c>
      <c r="C44" s="913"/>
      <c r="D44" s="913"/>
      <c r="E44" s="913"/>
      <c r="F44" s="913"/>
      <c r="G44" s="913"/>
      <c r="H44" s="913"/>
      <c r="I44" s="913"/>
      <c r="J44" s="913"/>
      <c r="K44" s="913"/>
      <c r="L44" s="913"/>
      <c r="M44" s="913"/>
      <c r="N44" s="913"/>
      <c r="O44" s="913"/>
      <c r="P44" s="913"/>
    </row>
    <row r="45" spans="2:21" outlineLevel="1" x14ac:dyDescent="0.2">
      <c r="B45" s="914" t="s">
        <v>1329</v>
      </c>
      <c r="C45" s="914"/>
      <c r="D45" s="69">
        <f>+D16</f>
        <v>28242.6675</v>
      </c>
      <c r="E45" s="69">
        <f>+E16</f>
        <v>28242.6675</v>
      </c>
      <c r="F45" s="69">
        <f>+F16</f>
        <v>28242.6675</v>
      </c>
      <c r="G45" s="69">
        <f>G16</f>
        <v>28242.6675</v>
      </c>
      <c r="H45" s="69" t="e">
        <f>SUM(H18,H20,H22,#REF!,H24)</f>
        <v>#REF!</v>
      </c>
      <c r="I45" s="69" t="e">
        <f>SUM(I18,I20,I22,#REF!,I24)</f>
        <v>#REF!</v>
      </c>
      <c r="J45" s="69" t="e">
        <f>SUM(J18,J20,J22,#REF!,J24)</f>
        <v>#REF!</v>
      </c>
      <c r="K45" s="69" t="e">
        <f>SUM(K18,K20,K22,#REF!,K24)</f>
        <v>#REF!</v>
      </c>
      <c r="L45" s="69" t="e">
        <f>SUM(L18,L20,L22,#REF!,L24)</f>
        <v>#REF!</v>
      </c>
      <c r="M45" s="69" t="e">
        <f>SUM(M18,M20,M22,#REF!,M24)</f>
        <v>#REF!</v>
      </c>
      <c r="N45" s="69" t="e">
        <f>SUM(N18,N20,N22,#REF!,N24)</f>
        <v>#REF!</v>
      </c>
      <c r="O45" s="69" t="e">
        <f>SUM(O18,O20,O22,#REF!,O24)</f>
        <v>#REF!</v>
      </c>
      <c r="P45" s="71">
        <f>+D45+E45+F45+G45</f>
        <v>112970.67</v>
      </c>
      <c r="Q45" s="27"/>
    </row>
    <row r="46" spans="2:21" outlineLevel="1" x14ac:dyDescent="0.2">
      <c r="B46" s="914" t="s">
        <v>1330</v>
      </c>
      <c r="C46" s="914"/>
      <c r="D46" s="70">
        <f>IFERROR(D45/$P$45,0)</f>
        <v>0.25</v>
      </c>
      <c r="E46" s="70">
        <f t="shared" ref="E46:O46" si="5">IFERROR(E45/$P$45,0)</f>
        <v>0.25</v>
      </c>
      <c r="F46" s="70">
        <f t="shared" si="5"/>
        <v>0.25</v>
      </c>
      <c r="G46" s="70">
        <f t="shared" si="5"/>
        <v>0.25</v>
      </c>
      <c r="H46" s="70">
        <f t="shared" si="5"/>
        <v>0</v>
      </c>
      <c r="I46" s="70">
        <f t="shared" si="5"/>
        <v>0</v>
      </c>
      <c r="J46" s="70">
        <f t="shared" si="5"/>
        <v>0</v>
      </c>
      <c r="K46" s="70">
        <f t="shared" si="5"/>
        <v>0</v>
      </c>
      <c r="L46" s="70">
        <f t="shared" si="5"/>
        <v>0</v>
      </c>
      <c r="M46" s="70">
        <f t="shared" si="5"/>
        <v>0</v>
      </c>
      <c r="N46" s="70">
        <f t="shared" si="5"/>
        <v>0</v>
      </c>
      <c r="O46" s="70">
        <f t="shared" si="5"/>
        <v>0</v>
      </c>
      <c r="P46" s="70"/>
    </row>
    <row r="48" spans="2:21" x14ac:dyDescent="0.2">
      <c r="G48" s="306"/>
      <c r="H48" s="306"/>
      <c r="I48" s="306"/>
    </row>
    <row r="49" spans="2:16" x14ac:dyDescent="0.2">
      <c r="G49" s="306"/>
      <c r="H49" s="306"/>
      <c r="I49" s="306"/>
    </row>
    <row r="50" spans="2:16" ht="12.75" customHeight="1" x14ac:dyDescent="0.2">
      <c r="B50" s="310"/>
      <c r="C50" s="310"/>
      <c r="E50" s="907"/>
      <c r="F50" s="907"/>
      <c r="G50" s="907"/>
      <c r="H50" s="907"/>
      <c r="I50" s="907"/>
      <c r="J50" s="907"/>
      <c r="K50" s="907"/>
      <c r="L50" s="907"/>
      <c r="M50" s="907"/>
      <c r="N50" s="907"/>
      <c r="O50" s="907"/>
      <c r="P50" s="907"/>
    </row>
    <row r="51" spans="2:16" ht="12.75" customHeight="1" x14ac:dyDescent="0.2">
      <c r="B51" s="788"/>
      <c r="C51" s="788"/>
      <c r="E51" s="908"/>
      <c r="F51" s="908"/>
      <c r="G51" s="908"/>
      <c r="H51" s="908"/>
      <c r="I51" s="908"/>
      <c r="J51" s="908"/>
      <c r="K51" s="908"/>
      <c r="L51" s="908"/>
      <c r="M51" s="908"/>
      <c r="N51" s="908"/>
      <c r="O51" s="908"/>
      <c r="P51" s="908"/>
    </row>
    <row r="52" spans="2:16" ht="12.75" customHeight="1" x14ac:dyDescent="0.2">
      <c r="B52" s="788"/>
      <c r="C52" s="788"/>
      <c r="E52" s="908"/>
      <c r="F52" s="908"/>
      <c r="G52" s="908"/>
      <c r="H52" s="908"/>
      <c r="I52" s="908"/>
      <c r="J52" s="908"/>
      <c r="K52" s="908"/>
      <c r="L52" s="908"/>
      <c r="M52" s="908"/>
      <c r="N52" s="908"/>
      <c r="O52" s="908"/>
      <c r="P52" s="908"/>
    </row>
    <row r="53" spans="2:16" ht="12.75" customHeight="1" x14ac:dyDescent="0.2">
      <c r="B53" s="788"/>
      <c r="C53" s="788"/>
      <c r="E53" s="908"/>
      <c r="F53" s="908"/>
      <c r="G53" s="908"/>
      <c r="H53" s="908"/>
      <c r="I53" s="908"/>
      <c r="J53" s="908"/>
      <c r="K53" s="908"/>
      <c r="L53" s="908"/>
      <c r="M53" s="908"/>
      <c r="N53" s="908"/>
      <c r="O53" s="908"/>
      <c r="P53" s="908"/>
    </row>
    <row r="54" spans="2:16" ht="12.75" customHeight="1" x14ac:dyDescent="0.2">
      <c r="B54" s="788"/>
      <c r="C54" s="788"/>
      <c r="E54" s="908"/>
      <c r="F54" s="908"/>
      <c r="G54" s="908"/>
      <c r="H54" s="908"/>
      <c r="I54" s="908"/>
      <c r="J54" s="908"/>
      <c r="K54" s="908"/>
      <c r="L54" s="908"/>
      <c r="M54" s="908"/>
      <c r="N54" s="908"/>
      <c r="O54" s="908"/>
      <c r="P54" s="908"/>
    </row>
    <row r="55" spans="2:16" x14ac:dyDescent="0.2">
      <c r="B55" s="312"/>
      <c r="C55" s="313"/>
    </row>
    <row r="66" spans="2:9" x14ac:dyDescent="0.2">
      <c r="G66" s="306"/>
      <c r="H66" s="306"/>
      <c r="I66" s="306"/>
    </row>
    <row r="71" spans="2:9" x14ac:dyDescent="0.2">
      <c r="G71" s="307"/>
      <c r="H71" s="307"/>
      <c r="I71" s="307"/>
    </row>
    <row r="72" spans="2:9" x14ac:dyDescent="0.2">
      <c r="D72" s="320"/>
      <c r="E72" s="321"/>
    </row>
    <row r="73" spans="2:9" x14ac:dyDescent="0.2">
      <c r="C73" s="319"/>
      <c r="D73" s="320"/>
      <c r="E73" s="321"/>
    </row>
    <row r="74" spans="2:9" x14ac:dyDescent="0.2">
      <c r="C74" s="319"/>
      <c r="D74" s="320"/>
      <c r="E74" s="321"/>
    </row>
    <row r="75" spans="2:9" x14ac:dyDescent="0.2">
      <c r="C75" s="319"/>
      <c r="D75" s="320"/>
      <c r="E75" s="321"/>
    </row>
    <row r="76" spans="2:9" x14ac:dyDescent="0.2">
      <c r="B76" s="316"/>
      <c r="C76" s="319"/>
      <c r="D76" s="320"/>
      <c r="E76" s="321"/>
      <c r="G76" s="317"/>
    </row>
    <row r="77" spans="2:9" x14ac:dyDescent="0.2">
      <c r="B77" s="316"/>
      <c r="C77" s="319"/>
      <c r="D77" s="320"/>
      <c r="E77" s="321"/>
    </row>
    <row r="78" spans="2:9" x14ac:dyDescent="0.2">
      <c r="C78" s="319"/>
      <c r="D78" s="320"/>
      <c r="E78" s="321"/>
    </row>
    <row r="79" spans="2:9" x14ac:dyDescent="0.2">
      <c r="C79" s="319"/>
      <c r="D79" s="320"/>
      <c r="E79" s="321"/>
    </row>
    <row r="80" spans="2:9" x14ac:dyDescent="0.2">
      <c r="C80" s="319"/>
      <c r="D80" s="320"/>
      <c r="E80" s="321"/>
    </row>
    <row r="81" spans="3:5" x14ac:dyDescent="0.2">
      <c r="C81" s="319"/>
      <c r="D81" s="320"/>
      <c r="E81" s="321"/>
    </row>
    <row r="82" spans="3:5" x14ac:dyDescent="0.2">
      <c r="C82" s="319"/>
      <c r="D82" s="320"/>
      <c r="E82" s="321"/>
    </row>
    <row r="83" spans="3:5" x14ac:dyDescent="0.2">
      <c r="C83" s="319"/>
      <c r="D83" s="320"/>
      <c r="E83" s="321"/>
    </row>
    <row r="84" spans="3:5" x14ac:dyDescent="0.2">
      <c r="C84" s="319"/>
      <c r="D84" s="320"/>
      <c r="E84" s="321"/>
    </row>
    <row r="85" spans="3:5" x14ac:dyDescent="0.2">
      <c r="C85" s="319"/>
      <c r="D85" s="320"/>
      <c r="E85" s="321"/>
    </row>
    <row r="86" spans="3:5" x14ac:dyDescent="0.2">
      <c r="C86" s="319"/>
      <c r="D86" s="320"/>
      <c r="E86" s="321"/>
    </row>
    <row r="87" spans="3:5" x14ac:dyDescent="0.2">
      <c r="C87" s="319"/>
      <c r="D87" s="320"/>
      <c r="E87" s="321"/>
    </row>
    <row r="88" spans="3:5" x14ac:dyDescent="0.2">
      <c r="C88" s="319"/>
      <c r="D88" s="320"/>
      <c r="E88" s="321"/>
    </row>
    <row r="89" spans="3:5" x14ac:dyDescent="0.2">
      <c r="C89" s="319"/>
      <c r="D89" s="320"/>
      <c r="E89" s="321"/>
    </row>
    <row r="90" spans="3:5" x14ac:dyDescent="0.2">
      <c r="C90" s="319"/>
      <c r="D90" s="320"/>
      <c r="E90" s="321"/>
    </row>
    <row r="91" spans="3:5" x14ac:dyDescent="0.2">
      <c r="C91" s="319"/>
      <c r="D91" s="320"/>
      <c r="E91" s="321"/>
    </row>
    <row r="92" spans="3:5" hidden="1" x14ac:dyDescent="0.2">
      <c r="C92" s="319"/>
      <c r="D92" s="320"/>
      <c r="E92" s="321"/>
    </row>
    <row r="93" spans="3:5" x14ac:dyDescent="0.2">
      <c r="C93" s="319"/>
      <c r="D93" s="320"/>
      <c r="E93" s="321"/>
    </row>
    <row r="94" spans="3:5" x14ac:dyDescent="0.2">
      <c r="C94" s="319"/>
      <c r="D94" s="320"/>
      <c r="E94" s="321"/>
    </row>
    <row r="95" spans="3:5" x14ac:dyDescent="0.2">
      <c r="C95" s="319"/>
      <c r="D95" s="320"/>
      <c r="E95" s="321"/>
    </row>
    <row r="96" spans="3:5" x14ac:dyDescent="0.2">
      <c r="C96" s="319"/>
      <c r="D96" s="320"/>
      <c r="E96" s="321"/>
    </row>
    <row r="97" spans="3:3" x14ac:dyDescent="0.2">
      <c r="C97" s="319"/>
    </row>
    <row r="98" spans="3:3" x14ac:dyDescent="0.2">
      <c r="C98" s="319"/>
    </row>
    <row r="99" spans="3:3" x14ac:dyDescent="0.2">
      <c r="C99" s="319"/>
    </row>
    <row r="119" spans="7:9" x14ac:dyDescent="0.2">
      <c r="G119" s="306" t="s">
        <v>1773</v>
      </c>
      <c r="H119" s="306"/>
      <c r="I119" s="306" t="s">
        <v>1774</v>
      </c>
    </row>
    <row r="133" spans="7:9" x14ac:dyDescent="0.2">
      <c r="G133" s="306"/>
      <c r="H133" s="306"/>
      <c r="I133" s="306"/>
    </row>
    <row r="139" spans="7:9" x14ac:dyDescent="0.2">
      <c r="G139" s="306"/>
      <c r="H139" s="306"/>
      <c r="I139" s="306"/>
    </row>
    <row r="149" spans="1:9" x14ac:dyDescent="0.2">
      <c r="A149" s="1" t="s">
        <v>1775</v>
      </c>
      <c r="B149" s="1" t="s">
        <v>1776</v>
      </c>
      <c r="G149" s="306"/>
      <c r="H149" s="306"/>
      <c r="I149" s="306"/>
    </row>
    <row r="151" spans="1:9" x14ac:dyDescent="0.2">
      <c r="C151" s="311" t="s">
        <v>1791</v>
      </c>
      <c r="D151" s="1" t="s">
        <v>1768</v>
      </c>
    </row>
    <row r="152" spans="1:9" x14ac:dyDescent="0.2">
      <c r="C152" s="311" t="s">
        <v>1792</v>
      </c>
      <c r="D152" s="1" t="s">
        <v>1768</v>
      </c>
    </row>
    <row r="153" spans="1:9" x14ac:dyDescent="0.2">
      <c r="C153" s="1" t="s">
        <v>1777</v>
      </c>
      <c r="D153" s="1" t="s">
        <v>1659</v>
      </c>
      <c r="E153" s="1">
        <v>12</v>
      </c>
    </row>
    <row r="154" spans="1:9" x14ac:dyDescent="0.2">
      <c r="C154" s="1" t="s">
        <v>1778</v>
      </c>
      <c r="D154" s="1" t="s">
        <v>1658</v>
      </c>
      <c r="E154" s="1">
        <v>12</v>
      </c>
    </row>
    <row r="155" spans="1:9" x14ac:dyDescent="0.2">
      <c r="C155" s="1" t="s">
        <v>1779</v>
      </c>
      <c r="D155" s="1" t="s">
        <v>1658</v>
      </c>
      <c r="E155" s="1">
        <v>5</v>
      </c>
    </row>
    <row r="156" spans="1:9" x14ac:dyDescent="0.2">
      <c r="C156" s="1" t="s">
        <v>1780</v>
      </c>
      <c r="D156" s="1" t="s">
        <v>1765</v>
      </c>
      <c r="E156" s="1">
        <v>6</v>
      </c>
    </row>
    <row r="157" spans="1:9" x14ac:dyDescent="0.2">
      <c r="C157" s="1" t="s">
        <v>1781</v>
      </c>
      <c r="D157" s="1" t="s">
        <v>1765</v>
      </c>
      <c r="E157" s="1">
        <v>3</v>
      </c>
    </row>
    <row r="158" spans="1:9" x14ac:dyDescent="0.2">
      <c r="C158" s="1" t="s">
        <v>1782</v>
      </c>
      <c r="D158" s="1" t="s">
        <v>1765</v>
      </c>
      <c r="E158" s="1">
        <v>6</v>
      </c>
    </row>
    <row r="159" spans="1:9" x14ac:dyDescent="0.2">
      <c r="C159" s="1" t="s">
        <v>1783</v>
      </c>
      <c r="D159" s="1" t="s">
        <v>1765</v>
      </c>
      <c r="E159" s="1">
        <v>2</v>
      </c>
    </row>
    <row r="160" spans="1:9" x14ac:dyDescent="0.2">
      <c r="C160" s="1" t="s">
        <v>1776</v>
      </c>
      <c r="D160" s="1" t="s">
        <v>1658</v>
      </c>
      <c r="E160" s="1">
        <v>12</v>
      </c>
    </row>
    <row r="164" spans="1:20" x14ac:dyDescent="0.2">
      <c r="A164" s="1" t="s">
        <v>1772</v>
      </c>
      <c r="B164" s="1" t="s">
        <v>1793</v>
      </c>
      <c r="G164" s="306"/>
      <c r="H164" s="306"/>
      <c r="I164" s="306"/>
    </row>
    <row r="166" spans="1:20" x14ac:dyDescent="0.2">
      <c r="A166" s="1" t="s">
        <v>1795</v>
      </c>
      <c r="B166" s="1">
        <v>1858</v>
      </c>
      <c r="C166" s="1" t="s">
        <v>1784</v>
      </c>
      <c r="D166" s="1" t="s">
        <v>1765</v>
      </c>
      <c r="E166" s="1">
        <v>1</v>
      </c>
      <c r="F166" s="1">
        <v>946.24</v>
      </c>
      <c r="H166" s="1">
        <v>946.24</v>
      </c>
    </row>
    <row r="167" spans="1:20" ht="38.25" x14ac:dyDescent="0.2">
      <c r="A167" s="1" t="s">
        <v>1665</v>
      </c>
      <c r="B167" s="1">
        <v>100600</v>
      </c>
      <c r="C167" s="311" t="s">
        <v>1794</v>
      </c>
      <c r="D167" s="1" t="s">
        <v>1765</v>
      </c>
      <c r="E167" s="1">
        <v>1</v>
      </c>
      <c r="F167" s="1">
        <v>758.37</v>
      </c>
      <c r="H167" s="1">
        <v>737.13</v>
      </c>
    </row>
    <row r="168" spans="1:20" x14ac:dyDescent="0.2">
      <c r="C168" s="311"/>
    </row>
    <row r="169" spans="1:20" x14ac:dyDescent="0.2">
      <c r="G169" s="1">
        <f>SUM(G166:G168)</f>
        <v>0</v>
      </c>
      <c r="I169" s="1">
        <f>SUM(I166:I168)</f>
        <v>0</v>
      </c>
    </row>
    <row r="172" spans="1:20" ht="30" customHeight="1" x14ac:dyDescent="0.2">
      <c r="A172" s="1" t="s">
        <v>1785</v>
      </c>
      <c r="B172" s="311" t="s">
        <v>1786</v>
      </c>
      <c r="C172" s="311"/>
      <c r="D172" s="311"/>
      <c r="E172" s="311"/>
      <c r="F172" s="311"/>
      <c r="G172" s="306"/>
      <c r="H172" s="306"/>
      <c r="I172" s="306"/>
    </row>
    <row r="174" spans="1:20" s="311" customFormat="1" ht="27" x14ac:dyDescent="0.2">
      <c r="C174" s="311" t="s">
        <v>1787</v>
      </c>
      <c r="D174" s="311" t="s">
        <v>1765</v>
      </c>
      <c r="E174" s="311">
        <v>2</v>
      </c>
      <c r="S174" s="314"/>
      <c r="T174" s="315"/>
    </row>
    <row r="175" spans="1:20" s="311" customFormat="1" x14ac:dyDescent="0.2">
      <c r="C175" s="311" t="s">
        <v>1788</v>
      </c>
      <c r="D175" s="311" t="s">
        <v>1765</v>
      </c>
      <c r="E175" s="311">
        <v>6</v>
      </c>
      <c r="S175" s="314"/>
      <c r="T175" s="315"/>
    </row>
    <row r="176" spans="1:20" s="311" customFormat="1" x14ac:dyDescent="0.2">
      <c r="C176" s="311" t="s">
        <v>1789</v>
      </c>
      <c r="D176" s="311" t="s">
        <v>1765</v>
      </c>
      <c r="E176" s="311">
        <v>2</v>
      </c>
      <c r="S176" s="314"/>
      <c r="T176" s="315"/>
    </row>
    <row r="177" spans="3:20" s="311" customFormat="1" ht="25.5" x14ac:dyDescent="0.2">
      <c r="C177" s="311" t="s">
        <v>1790</v>
      </c>
      <c r="D177" s="311" t="s">
        <v>1765</v>
      </c>
      <c r="E177" s="311">
        <v>2</v>
      </c>
      <c r="S177" s="314"/>
      <c r="T177" s="315"/>
    </row>
    <row r="178" spans="3:20" s="311" customFormat="1" x14ac:dyDescent="0.2">
      <c r="C178" s="311" t="s">
        <v>1791</v>
      </c>
      <c r="D178" s="311" t="s">
        <v>1768</v>
      </c>
      <c r="S178" s="314"/>
      <c r="T178" s="315"/>
    </row>
    <row r="179" spans="3:20" s="311" customFormat="1" x14ac:dyDescent="0.2">
      <c r="C179" s="311" t="s">
        <v>1792</v>
      </c>
      <c r="D179" s="311" t="s">
        <v>1768</v>
      </c>
      <c r="S179" s="314"/>
      <c r="T179" s="315"/>
    </row>
  </sheetData>
  <mergeCells count="21">
    <mergeCell ref="B52:C52"/>
    <mergeCell ref="E52:P52"/>
    <mergeCell ref="B53:C53"/>
    <mergeCell ref="E53:P53"/>
    <mergeCell ref="B54:C54"/>
    <mergeCell ref="E54:P54"/>
    <mergeCell ref="R13:R14"/>
    <mergeCell ref="B44:P44"/>
    <mergeCell ref="B45:C45"/>
    <mergeCell ref="B46:C46"/>
    <mergeCell ref="E50:P50"/>
    <mergeCell ref="B51:C51"/>
    <mergeCell ref="E51:P51"/>
    <mergeCell ref="B2:Q2"/>
    <mergeCell ref="B3:Q3"/>
    <mergeCell ref="B4:Q4"/>
    <mergeCell ref="P8:P9"/>
    <mergeCell ref="Q8:Q9"/>
    <mergeCell ref="B13:B14"/>
    <mergeCell ref="C13:C14"/>
    <mergeCell ref="D13:O13"/>
  </mergeCells>
  <pageMargins left="0.25" right="0.25" top="0.75" bottom="0.75" header="0.3" footer="0.3"/>
  <pageSetup paperSize="9" scale="69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C116F6-2065-411C-9F15-22B20BD50627}">
  <sheetPr>
    <tabColor rgb="FFC00000"/>
    <pageSetUpPr fitToPage="1"/>
  </sheetPr>
  <dimension ref="A1:I28"/>
  <sheetViews>
    <sheetView view="pageBreakPreview" zoomScaleNormal="100" zoomScaleSheetLayoutView="100" workbookViewId="0">
      <selection activeCell="D31" sqref="D31"/>
    </sheetView>
  </sheetViews>
  <sheetFormatPr defaultColWidth="9.140625" defaultRowHeight="12.75" x14ac:dyDescent="0.2"/>
  <cols>
    <col min="1" max="1" width="10.42578125" style="376" customWidth="1"/>
    <col min="2" max="2" width="17.7109375" style="376" bestFit="1" customWidth="1"/>
    <col min="3" max="3" width="135.7109375" style="376" customWidth="1"/>
    <col min="4" max="4" width="16.85546875" style="375" customWidth="1"/>
    <col min="5" max="5" width="13.7109375" style="376" customWidth="1"/>
    <col min="6" max="6" width="15.42578125" style="376" customWidth="1"/>
    <col min="7" max="16384" width="9.140625" style="58"/>
  </cols>
  <sheetData>
    <row r="1" spans="1:9" ht="25.5" customHeight="1" x14ac:dyDescent="0.2">
      <c r="A1" s="915" t="s">
        <v>1660</v>
      </c>
      <c r="B1" s="915"/>
      <c r="C1" s="915"/>
      <c r="D1" s="915"/>
      <c r="E1" s="915"/>
      <c r="F1" s="915"/>
    </row>
    <row r="2" spans="1:9" ht="37.5" customHeight="1" x14ac:dyDescent="0.2">
      <c r="A2" s="916" t="s">
        <v>2104</v>
      </c>
      <c r="B2" s="916"/>
      <c r="C2" s="916"/>
      <c r="D2" s="916"/>
      <c r="E2" s="916"/>
      <c r="F2" s="916"/>
      <c r="G2" s="732"/>
      <c r="H2" s="732"/>
      <c r="I2" s="732"/>
    </row>
    <row r="3" spans="1:9" x14ac:dyDescent="0.2">
      <c r="A3" s="377"/>
    </row>
    <row r="4" spans="1:9" ht="25.5" x14ac:dyDescent="0.2">
      <c r="A4" s="362" t="s">
        <v>2021</v>
      </c>
      <c r="B4" s="362" t="s">
        <v>2022</v>
      </c>
      <c r="C4" s="362" t="s">
        <v>1335</v>
      </c>
      <c r="D4" s="362" t="s">
        <v>1661</v>
      </c>
      <c r="E4" s="362" t="s">
        <v>2024</v>
      </c>
      <c r="F4" s="362" t="s">
        <v>2025</v>
      </c>
    </row>
    <row r="5" spans="1:9" ht="24" customHeight="1" x14ac:dyDescent="0.2">
      <c r="A5" s="354" t="s">
        <v>186</v>
      </c>
      <c r="B5" s="354" t="s">
        <v>1687</v>
      </c>
      <c r="C5" s="353" t="s">
        <v>60</v>
      </c>
      <c r="D5" s="353" t="str">
        <f>VLOOKUP($A5,'AUX COMPOSIÇÕES'!$A$3:$L$1130,4,FALSE)</f>
        <v>%</v>
      </c>
      <c r="E5" s="379">
        <f>VLOOKUP($A5,'AUX COMPOSIÇÕES'!$A$3:$L$1130,7,FALSE)</f>
        <v>96657.75</v>
      </c>
      <c r="F5" s="379">
        <f>VLOOKUP($A5,'AUX COMPOSIÇÕES'!$A$3:$L$1130,9,FALSE)</f>
        <v>90783.25</v>
      </c>
    </row>
    <row r="6" spans="1:9" ht="24" customHeight="1" x14ac:dyDescent="0.2">
      <c r="A6" s="354" t="s">
        <v>188</v>
      </c>
      <c r="B6" s="354" t="s">
        <v>1687</v>
      </c>
      <c r="C6" s="353" t="s">
        <v>1673</v>
      </c>
      <c r="D6" s="353" t="str">
        <f>VLOOKUP($A6,'AUX COMPOSIÇÕES'!$A$3:$L$1130,4,FALSE)</f>
        <v>%</v>
      </c>
      <c r="E6" s="379">
        <f>VLOOKUP($A6,'AUX COMPOSIÇÕES'!$A$3:$L$1130,7,FALSE)</f>
        <v>6730.13</v>
      </c>
      <c r="F6" s="379">
        <f>VLOOKUP($A6,'AUX COMPOSIÇÕES'!$A$3:$L$1130,9,FALSE)</f>
        <v>6327.5700000000006</v>
      </c>
    </row>
    <row r="7" spans="1:9" ht="24" customHeight="1" x14ac:dyDescent="0.2">
      <c r="A7" s="354" t="s">
        <v>1802</v>
      </c>
      <c r="B7" s="354" t="s">
        <v>1687</v>
      </c>
      <c r="C7" s="353" t="s">
        <v>30</v>
      </c>
      <c r="D7" s="353" t="str">
        <f>VLOOKUP($A7,'AUX COMPOSIÇÕES'!$A$3:$L$1130,4,FALSE)</f>
        <v>mês</v>
      </c>
      <c r="E7" s="379">
        <f>VLOOKUP($A7,'AUX COMPOSIÇÕES'!$A$3:$L$1130,7,FALSE)</f>
        <v>797.91</v>
      </c>
      <c r="F7" s="379">
        <f>VLOOKUP($A7,'AUX COMPOSIÇÕES'!$A$3:$L$1130,9,FALSE)</f>
        <v>797.91</v>
      </c>
    </row>
    <row r="8" spans="1:9" ht="24" customHeight="1" x14ac:dyDescent="0.2">
      <c r="A8" s="354" t="s">
        <v>1803</v>
      </c>
      <c r="B8" s="354" t="s">
        <v>1687</v>
      </c>
      <c r="C8" s="353" t="s">
        <v>29</v>
      </c>
      <c r="D8" s="353" t="str">
        <f>VLOOKUP($A8,'AUX COMPOSIÇÕES'!$A$3:$L$1130,4,FALSE)</f>
        <v>mês</v>
      </c>
      <c r="E8" s="379">
        <f>VLOOKUP($A8,'AUX COMPOSIÇÕES'!$A$3:$L$1130,7,FALSE)</f>
        <v>384.01</v>
      </c>
      <c r="F8" s="379">
        <f>VLOOKUP($A8,'AUX COMPOSIÇÕES'!$A$3:$L$1130,9,FALSE)</f>
        <v>384.01</v>
      </c>
    </row>
    <row r="9" spans="1:9" ht="24" customHeight="1" x14ac:dyDescent="0.2">
      <c r="A9" s="354" t="s">
        <v>1804</v>
      </c>
      <c r="B9" s="354" t="s">
        <v>1687</v>
      </c>
      <c r="C9" s="353" t="s">
        <v>1816</v>
      </c>
      <c r="D9" s="353" t="str">
        <f>VLOOKUP($A9,'AUX COMPOSIÇÕES'!$A$3:$L$1130,4,FALSE)</f>
        <v>m²</v>
      </c>
      <c r="E9" s="379">
        <f>VLOOKUP($A9,'AUX COMPOSIÇÕES'!$A$3:$L$1130,7,FALSE)</f>
        <v>64.55</v>
      </c>
      <c r="F9" s="379">
        <f>VLOOKUP($A9,'AUX COMPOSIÇÕES'!$A$3:$L$1130,9,FALSE)</f>
        <v>62.5</v>
      </c>
    </row>
    <row r="10" spans="1:9" ht="24" customHeight="1" x14ac:dyDescent="0.2">
      <c r="A10" s="354" t="s">
        <v>1805</v>
      </c>
      <c r="B10" s="354" t="s">
        <v>1687</v>
      </c>
      <c r="C10" s="353" t="s">
        <v>1829</v>
      </c>
      <c r="D10" s="353" t="str">
        <f>VLOOKUP($A10,'AUX COMPOSIÇÕES'!$A$3:$L$1130,4,FALSE)</f>
        <v>m²</v>
      </c>
      <c r="E10" s="379">
        <f>VLOOKUP($A10,'AUX COMPOSIÇÕES'!$A$3:$L$1130,7,FALSE)</f>
        <v>145.77000000000001</v>
      </c>
      <c r="F10" s="379">
        <f>VLOOKUP($A10,'AUX COMPOSIÇÕES'!$A$3:$L$1130,9,FALSE)</f>
        <v>142.82</v>
      </c>
    </row>
    <row r="11" spans="1:9" ht="24" customHeight="1" x14ac:dyDescent="0.2">
      <c r="A11" s="354" t="s">
        <v>1806</v>
      </c>
      <c r="B11" s="354" t="s">
        <v>1687</v>
      </c>
      <c r="C11" s="353" t="s">
        <v>1843</v>
      </c>
      <c r="D11" s="353" t="str">
        <f>VLOOKUP($A11,'AUX COMPOSIÇÕES'!$A$3:$L$1130,4,FALSE)</f>
        <v>un</v>
      </c>
      <c r="E11" s="379">
        <f>VLOOKUP($A11,'AUX COMPOSIÇÕES'!$A$3:$L$1130,7,FALSE)</f>
        <v>513.54000000000008</v>
      </c>
      <c r="F11" s="379">
        <f>VLOOKUP($A11,'AUX COMPOSIÇÕES'!$A$3:$L$1130,9,FALSE)</f>
        <v>497.29999999999995</v>
      </c>
    </row>
    <row r="12" spans="1:9" ht="24" customHeight="1" x14ac:dyDescent="0.2">
      <c r="A12" s="354" t="s">
        <v>1876</v>
      </c>
      <c r="B12" s="354" t="s">
        <v>1687</v>
      </c>
      <c r="C12" s="353" t="s">
        <v>1873</v>
      </c>
      <c r="D12" s="353" t="str">
        <f>VLOOKUP($A12,'AUX COMPOSIÇÕES'!$A$3:$L$1130,4,FALSE)</f>
        <v>un</v>
      </c>
      <c r="E12" s="379">
        <f>VLOOKUP($A12,'AUX COMPOSIÇÕES'!$A$3:$L$1130,7,FALSE)</f>
        <v>15.980000000000002</v>
      </c>
      <c r="F12" s="379">
        <f>VLOOKUP($A12,'AUX COMPOSIÇÕES'!$A$3:$L$1130,9,FALSE)</f>
        <v>15.46</v>
      </c>
    </row>
    <row r="13" spans="1:9" ht="24" customHeight="1" x14ac:dyDescent="0.2">
      <c r="A13" s="354" t="s">
        <v>2028</v>
      </c>
      <c r="B13" s="354" t="s">
        <v>1687</v>
      </c>
      <c r="C13" s="353" t="s">
        <v>1895</v>
      </c>
      <c r="D13" s="353" t="str">
        <f>VLOOKUP($A13,'AUX COMPOSIÇÕES'!$A$3:$L$1130,4,FALSE)</f>
        <v>un</v>
      </c>
      <c r="E13" s="379">
        <f>VLOOKUP($A13,'AUX COMPOSIÇÕES'!$A$3:$L$1130,7,FALSE)</f>
        <v>18.490000000000006</v>
      </c>
      <c r="F13" s="379">
        <f>VLOOKUP($A13,'AUX COMPOSIÇÕES'!$A$3:$L$1130,9,FALSE)</f>
        <v>17.880000000000003</v>
      </c>
    </row>
    <row r="14" spans="1:9" ht="24" customHeight="1" x14ac:dyDescent="0.2">
      <c r="A14" s="354" t="s">
        <v>2026</v>
      </c>
      <c r="B14" s="354" t="s">
        <v>1687</v>
      </c>
      <c r="C14" s="353" t="s">
        <v>1893</v>
      </c>
      <c r="D14" s="353" t="str">
        <f>VLOOKUP($A14,'AUX COMPOSIÇÕES'!$A$3:$L$1130,4,FALSE)</f>
        <v>un</v>
      </c>
      <c r="E14" s="379">
        <f>VLOOKUP($A14,'AUX COMPOSIÇÕES'!$A$3:$L$1130,7,FALSE)</f>
        <v>22.240000000000002</v>
      </c>
      <c r="F14" s="379">
        <f>VLOOKUP($A14,'AUX COMPOSIÇÕES'!$A$3:$L$1130,9,FALSE)</f>
        <v>21.5</v>
      </c>
    </row>
    <row r="15" spans="1:9" ht="24" customHeight="1" x14ac:dyDescent="0.2">
      <c r="A15" s="354" t="s">
        <v>2027</v>
      </c>
      <c r="B15" s="354" t="s">
        <v>1687</v>
      </c>
      <c r="C15" s="373" t="s">
        <v>1826</v>
      </c>
      <c r="D15" s="353" t="str">
        <f>VLOOKUP($A15,'AUX COMPOSIÇÕES'!$A$3:$L$1130,4,FALSE)</f>
        <v>M</v>
      </c>
      <c r="E15" s="379">
        <f>VLOOKUP($A15,'AUX COMPOSIÇÕES'!$A$3:$L$1130,7,FALSE)</f>
        <v>100.88</v>
      </c>
      <c r="F15" s="379">
        <f>VLOOKUP($A15,'AUX COMPOSIÇÕES'!$A$3:$L$1130,9,FALSE)</f>
        <v>97.02</v>
      </c>
    </row>
    <row r="16" spans="1:9" ht="24" customHeight="1" x14ac:dyDescent="0.2">
      <c r="A16" s="354" t="s">
        <v>1877</v>
      </c>
      <c r="B16" s="354" t="s">
        <v>1687</v>
      </c>
      <c r="C16" s="373" t="s">
        <v>1884</v>
      </c>
      <c r="D16" s="353" t="str">
        <f>VLOOKUP($A16,'AUX COMPOSIÇÕES'!$A$3:$L$1130,4,FALSE)</f>
        <v>m³</v>
      </c>
      <c r="E16" s="379">
        <f>VLOOKUP($A16,'AUX COMPOSIÇÕES'!$A$3:$L$1130,7,FALSE)</f>
        <v>24.07</v>
      </c>
      <c r="F16" s="379">
        <f>VLOOKUP($A16,'AUX COMPOSIÇÕES'!$A$3:$L$1130,9,FALSE)</f>
        <v>22.919999999999998</v>
      </c>
    </row>
    <row r="17" spans="1:6" ht="24" customHeight="1" x14ac:dyDescent="0.2">
      <c r="A17" s="354" t="s">
        <v>1892</v>
      </c>
      <c r="B17" s="354" t="s">
        <v>1687</v>
      </c>
      <c r="C17" s="353" t="s">
        <v>1856</v>
      </c>
      <c r="D17" s="353" t="str">
        <f>VLOOKUP($A17,'AUX COMPOSIÇÕES'!$A$3:$L$1130,4,FALSE)</f>
        <v>m²</v>
      </c>
      <c r="E17" s="379">
        <f>VLOOKUP($A17,'AUX COMPOSIÇÕES'!$A$3:$L$1130,7,FALSE)</f>
        <v>48.54</v>
      </c>
      <c r="F17" s="379">
        <f>VLOOKUP($A17,'AUX COMPOSIÇÕES'!$A$3:$L$1130,9,FALSE)</f>
        <v>45.97</v>
      </c>
    </row>
    <row r="18" spans="1:6" ht="24" customHeight="1" x14ac:dyDescent="0.2">
      <c r="A18" s="354" t="s">
        <v>1807</v>
      </c>
      <c r="B18" s="354" t="s">
        <v>1687</v>
      </c>
      <c r="C18" s="353" t="s">
        <v>2037</v>
      </c>
      <c r="D18" s="353" t="str">
        <f>VLOOKUP($A18,'AUX COMPOSIÇÕES'!$A$3:$L$1130,4,FALSE)</f>
        <v>m³</v>
      </c>
      <c r="E18" s="379">
        <f>VLOOKUP($A18,'AUX COMPOSIÇÕES'!$A$3:$L$1130,7,FALSE)</f>
        <v>16.23</v>
      </c>
      <c r="F18" s="379">
        <f>VLOOKUP($A18,'AUX COMPOSIÇÕES'!$A$3:$L$1130,9,FALSE)</f>
        <v>15.74</v>
      </c>
    </row>
    <row r="19" spans="1:6" ht="24" customHeight="1" x14ac:dyDescent="0.2">
      <c r="A19" s="354" t="s">
        <v>1808</v>
      </c>
      <c r="B19" s="354" t="s">
        <v>1687</v>
      </c>
      <c r="C19" s="353" t="s">
        <v>2031</v>
      </c>
      <c r="D19" s="353" t="str">
        <f>VLOOKUP($A19,'AUX COMPOSIÇÕES'!$A$3:$L$1130,4,FALSE)</f>
        <v>m²</v>
      </c>
      <c r="E19" s="379">
        <f>VLOOKUP($A19,'AUX COMPOSIÇÕES'!$A$3:$L$1130,7,FALSE)</f>
        <v>0.45</v>
      </c>
      <c r="F19" s="379">
        <f>VLOOKUP($A19,'AUX COMPOSIÇÕES'!$A$3:$L$1130,9,FALSE)</f>
        <v>0.43</v>
      </c>
    </row>
    <row r="20" spans="1:6" ht="24" customHeight="1" x14ac:dyDescent="0.2">
      <c r="A20" s="354" t="s">
        <v>2059</v>
      </c>
      <c r="B20" s="354" t="s">
        <v>1687</v>
      </c>
      <c r="C20" s="353" t="s">
        <v>2060</v>
      </c>
      <c r="D20" s="353" t="str">
        <f>VLOOKUP($A20,'AUX COMPOSIÇÕES'!$A$3:$L$1130,4,FALSE)</f>
        <v>un</v>
      </c>
      <c r="E20" s="379">
        <f>VLOOKUP($A20,'AUX COMPOSIÇÕES'!$A$3:$L$1130,7,FALSE)</f>
        <v>1781.53</v>
      </c>
      <c r="F20" s="379">
        <f>VLOOKUP($A20,'AUX COMPOSIÇÕES'!$A$3:$L$1130,9,FALSE)</f>
        <v>1765.6100000000001</v>
      </c>
    </row>
    <row r="21" spans="1:6" ht="24" customHeight="1" x14ac:dyDescent="0.2">
      <c r="A21" s="354" t="s">
        <v>2064</v>
      </c>
      <c r="B21" s="354" t="s">
        <v>1687</v>
      </c>
      <c r="C21" s="353" t="s">
        <v>2063</v>
      </c>
      <c r="D21" s="353" t="str">
        <f>VLOOKUP($A21,'AUX COMPOSIÇÕES'!$A$3:$L$1130,4,FALSE)</f>
        <v>un</v>
      </c>
      <c r="E21" s="379">
        <f>VLOOKUP($A21,'AUX COMPOSIÇÕES'!$A$3:$L$1130,7,FALSE)</f>
        <v>8584.7999999999993</v>
      </c>
      <c r="F21" s="379">
        <f>VLOOKUP($A21,'AUX COMPOSIÇÕES'!$A$3:$L$1130,9,FALSE)</f>
        <v>8565.06</v>
      </c>
    </row>
    <row r="22" spans="1:6" ht="24" customHeight="1" x14ac:dyDescent="0.2">
      <c r="A22" s="354" t="s">
        <v>2069</v>
      </c>
      <c r="B22" s="354" t="s">
        <v>1687</v>
      </c>
      <c r="C22" s="353" t="s">
        <v>2080</v>
      </c>
      <c r="D22" s="353" t="str">
        <f>VLOOKUP($A22,'AUX COMPOSIÇÕES'!$A$3:$L$1130,4,FALSE)</f>
        <v>m</v>
      </c>
      <c r="E22" s="379">
        <f>VLOOKUP($A22,'AUX COMPOSIÇÕES'!$A$3:$L$1130,7,FALSE)</f>
        <v>13.03</v>
      </c>
      <c r="F22" s="379">
        <f>VLOOKUP($A22,'AUX COMPOSIÇÕES'!$A$3:$L$1130,9,FALSE)</f>
        <v>13.02</v>
      </c>
    </row>
    <row r="23" spans="1:6" ht="24" customHeight="1" x14ac:dyDescent="0.2">
      <c r="A23" s="354" t="s">
        <v>2091</v>
      </c>
      <c r="B23" s="354" t="s">
        <v>1687</v>
      </c>
      <c r="C23" s="353" t="s">
        <v>2139</v>
      </c>
      <c r="D23" s="353" t="str">
        <f>VLOOKUP($A23,'AUX COMPOSIÇÕES'!$A$3:$L$1130,4,FALSE)</f>
        <v>un</v>
      </c>
      <c r="E23" s="379">
        <f>VLOOKUP($A23,'AUX COMPOSIÇÕES'!$A$3:$L$1130,7,FALSE)</f>
        <v>276.14</v>
      </c>
      <c r="F23" s="379">
        <f>VLOOKUP($A23,'AUX COMPOSIÇÕES'!$A$3:$L$1130,9,FALSE)</f>
        <v>273.25</v>
      </c>
    </row>
    <row r="24" spans="1:6" ht="24" customHeight="1" x14ac:dyDescent="0.2">
      <c r="A24" s="354" t="s">
        <v>2098</v>
      </c>
      <c r="B24" s="354" t="s">
        <v>1687</v>
      </c>
      <c r="C24" s="353" t="s">
        <v>2102</v>
      </c>
      <c r="D24" s="353" t="str">
        <f>VLOOKUP($A24,'AUX COMPOSIÇÕES'!$A$3:$L$1130,4,FALSE)</f>
        <v>un</v>
      </c>
      <c r="E24" s="379">
        <f>VLOOKUP($A24,'AUX COMPOSIÇÕES'!$A$3:$L$1130,7,FALSE)</f>
        <v>12954.649999999998</v>
      </c>
      <c r="F24" s="379">
        <f>VLOOKUP($A24,'AUX COMPOSIÇÕES'!$A$3:$L$1130,9,FALSE)</f>
        <v>12910.24</v>
      </c>
    </row>
    <row r="25" spans="1:6" ht="24" customHeight="1" x14ac:dyDescent="0.2">
      <c r="A25" s="354" t="s">
        <v>34</v>
      </c>
      <c r="B25" s="354" t="s">
        <v>1687</v>
      </c>
      <c r="C25" s="353" t="s">
        <v>1919</v>
      </c>
      <c r="D25" s="353" t="str">
        <f>VLOOKUP($A25,MOBILIZAÇÃO!$A$2:$M$1163,4,FALSE)</f>
        <v>Serviço</v>
      </c>
      <c r="E25" s="379">
        <f>VLOOKUP($A25,MOBILIZAÇÃO!$A$2:$M$1163,13,FALSE)</f>
        <v>986.75980000000004</v>
      </c>
      <c r="F25" s="379">
        <f>VLOOKUP($A25,MOBILIZAÇÃO!$A$2:$O$1163,14,FALSE)</f>
        <v>982.08759999999995</v>
      </c>
    </row>
    <row r="26" spans="1:6" ht="24" customHeight="1" x14ac:dyDescent="0.2">
      <c r="A26" s="354" t="s">
        <v>35</v>
      </c>
      <c r="B26" s="354" t="s">
        <v>1687</v>
      </c>
      <c r="C26" s="353" t="s">
        <v>1920</v>
      </c>
      <c r="D26" s="353" t="str">
        <f>VLOOKUP($A26,MOBILIZAÇÃO!$A$2:$M$1163,4,FALSE)</f>
        <v>Serviço</v>
      </c>
      <c r="E26" s="379">
        <f>VLOOKUP($A26,MOBILIZAÇÃO!$A$2:$M$1163,13,FALSE)</f>
        <v>986.75980000000004</v>
      </c>
      <c r="F26" s="379">
        <f>VLOOKUP($A26,MOBILIZAÇÃO!$A$2:$O$1163,14,FALSE)</f>
        <v>982.08759999999995</v>
      </c>
    </row>
    <row r="27" spans="1:6" ht="24" customHeight="1" x14ac:dyDescent="0.2">
      <c r="A27" s="354" t="s">
        <v>40</v>
      </c>
      <c r="B27" s="354" t="s">
        <v>1687</v>
      </c>
      <c r="C27" s="353" t="s">
        <v>1994</v>
      </c>
      <c r="D27" s="353" t="str">
        <f>VLOOKUP($A27,MOBILIZAÇÃO!$A$2:$M$1163,4,FALSE)</f>
        <v>Serviço</v>
      </c>
      <c r="E27" s="379">
        <f>VLOOKUP($A27,MOBILIZAÇÃO!$A$2:$M$1163,13,FALSE)</f>
        <v>1097.7388000000001</v>
      </c>
      <c r="F27" s="379">
        <f>VLOOKUP($A27,MOBILIZAÇÃO!$A$2:$O$1163,14,FALSE)</f>
        <v>1093.0666000000001</v>
      </c>
    </row>
    <row r="28" spans="1:6" ht="24" customHeight="1" x14ac:dyDescent="0.2">
      <c r="A28" s="354" t="s">
        <v>41</v>
      </c>
      <c r="B28" s="354" t="s">
        <v>1687</v>
      </c>
      <c r="C28" s="353" t="s">
        <v>2017</v>
      </c>
      <c r="D28" s="353" t="str">
        <f>VLOOKUP($A28,MOBILIZAÇÃO!$A$2:$M$1163,4,FALSE)</f>
        <v>Serviço</v>
      </c>
      <c r="E28" s="379">
        <f>VLOOKUP($A28,MOBILIZAÇÃO!$A$2:$M$1163,13,FALSE)</f>
        <v>743.72220000000004</v>
      </c>
      <c r="F28" s="379">
        <f>VLOOKUP($A28,MOBILIZAÇÃO!$A$2:$O$1163,14,FALSE)</f>
        <v>739.05</v>
      </c>
    </row>
  </sheetData>
  <autoFilter ref="A4:F4" xr:uid="{28C116F6-2065-411C-9F15-22B20BD50627}"/>
  <mergeCells count="2">
    <mergeCell ref="A1:F1"/>
    <mergeCell ref="A2:F2"/>
  </mergeCells>
  <phoneticPr fontId="16" type="noConversion"/>
  <pageMargins left="0.25" right="0.25" top="0.75" bottom="0.75" header="0.3" footer="0.3"/>
  <pageSetup paperSize="9" scale="48" fitToHeight="0" orientation="portrait" r:id="rId1"/>
  <colBreaks count="1" manualBreakCount="1">
    <brk id="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51EF51-90F2-4481-ABA6-4C6AF6BFC19C}">
  <sheetPr>
    <pageSetUpPr fitToPage="1"/>
  </sheetPr>
  <dimension ref="A1:M711"/>
  <sheetViews>
    <sheetView showGridLines="0" view="pageBreakPreview" topLeftCell="A34" zoomScaleNormal="100" zoomScaleSheetLayoutView="100" workbookViewId="0">
      <selection activeCell="H59" sqref="H59"/>
    </sheetView>
  </sheetViews>
  <sheetFormatPr defaultColWidth="10.85546875" defaultRowHeight="12.75" x14ac:dyDescent="0.2"/>
  <cols>
    <col min="1" max="1" width="15.7109375" style="282" customWidth="1"/>
    <col min="2" max="2" width="15.140625" style="282" customWidth="1"/>
    <col min="3" max="3" width="75.85546875" style="687" customWidth="1"/>
    <col min="4" max="4" width="10.85546875" style="282"/>
    <col min="5" max="5" width="16.28515625" style="282" bestFit="1" customWidth="1"/>
    <col min="6" max="6" width="18.85546875" style="670" bestFit="1" customWidth="1"/>
    <col min="7" max="7" width="20.140625" style="670" bestFit="1" customWidth="1"/>
    <col min="8" max="8" width="19" style="670" bestFit="1" customWidth="1"/>
    <col min="9" max="9" width="21" style="670" customWidth="1"/>
    <col min="10" max="10" width="52.5703125" style="727" customWidth="1"/>
    <col min="11" max="11" width="16.5703125" style="282" customWidth="1"/>
    <col min="12" max="12" width="10.5703125" style="282" bestFit="1" customWidth="1"/>
    <col min="13" max="13" width="9.42578125" style="282" bestFit="1" customWidth="1"/>
    <col min="14" max="14" width="12.5703125" style="282" customWidth="1"/>
    <col min="15" max="15" width="16.5703125" style="282" customWidth="1"/>
    <col min="16" max="16" width="14.85546875" style="282" customWidth="1"/>
    <col min="17" max="16384" width="10.85546875" style="282"/>
  </cols>
  <sheetData>
    <row r="1" spans="1:13" ht="24" customHeight="1" x14ac:dyDescent="0.2">
      <c r="A1" s="915" t="s">
        <v>2047</v>
      </c>
      <c r="B1" s="915"/>
      <c r="C1" s="915"/>
      <c r="D1" s="915"/>
      <c r="E1" s="915"/>
      <c r="F1" s="915"/>
      <c r="G1" s="915"/>
      <c r="H1" s="915"/>
      <c r="I1" s="915"/>
    </row>
    <row r="2" spans="1:13" ht="36" customHeight="1" x14ac:dyDescent="0.2">
      <c r="A2" s="916" t="s">
        <v>2233</v>
      </c>
      <c r="B2" s="916"/>
      <c r="C2" s="916"/>
      <c r="D2" s="916"/>
      <c r="E2" s="916"/>
      <c r="F2" s="916"/>
      <c r="G2" s="916"/>
      <c r="H2" s="916"/>
      <c r="I2" s="916"/>
    </row>
    <row r="3" spans="1:13" x14ac:dyDescent="0.2">
      <c r="A3" s="580"/>
      <c r="B3" s="580"/>
      <c r="C3" s="684"/>
      <c r="D3" s="580"/>
      <c r="E3" s="580"/>
      <c r="F3" s="581"/>
      <c r="G3" s="581"/>
      <c r="H3" s="581"/>
      <c r="I3" s="581"/>
    </row>
    <row r="4" spans="1:13" s="587" customFormat="1" ht="14.25" customHeight="1" x14ac:dyDescent="0.2">
      <c r="A4" s="582" t="s">
        <v>186</v>
      </c>
      <c r="B4" s="918" t="s">
        <v>60</v>
      </c>
      <c r="C4" s="920"/>
      <c r="D4" s="583" t="s">
        <v>1600</v>
      </c>
      <c r="E4" s="584"/>
      <c r="F4" s="585"/>
      <c r="G4" s="586">
        <f>G9</f>
        <v>96657.75</v>
      </c>
      <c r="H4" s="583"/>
      <c r="I4" s="583">
        <f>I9</f>
        <v>90783.25</v>
      </c>
      <c r="J4" s="727"/>
    </row>
    <row r="5" spans="1:13" x14ac:dyDescent="0.2">
      <c r="A5" s="588" t="s">
        <v>27</v>
      </c>
      <c r="B5" s="588" t="s">
        <v>28</v>
      </c>
      <c r="C5" s="598" t="s">
        <v>1335</v>
      </c>
      <c r="D5" s="588" t="s">
        <v>1661</v>
      </c>
      <c r="E5" s="588" t="s">
        <v>1662</v>
      </c>
      <c r="F5" s="590" t="s">
        <v>1663</v>
      </c>
      <c r="G5" s="591" t="s">
        <v>1664</v>
      </c>
      <c r="H5" s="592" t="s">
        <v>2002</v>
      </c>
      <c r="I5" s="591" t="s">
        <v>2003</v>
      </c>
    </row>
    <row r="6" spans="1:13" ht="18" customHeight="1" x14ac:dyDescent="0.2">
      <c r="A6" s="593" t="s">
        <v>1665</v>
      </c>
      <c r="B6" s="483" t="s">
        <v>1670</v>
      </c>
      <c r="C6" s="594" t="s">
        <v>1668</v>
      </c>
      <c r="D6" s="593" t="s">
        <v>1667</v>
      </c>
      <c r="E6" s="595">
        <v>0.3</v>
      </c>
      <c r="F6" s="596">
        <v>25185.040000000001</v>
      </c>
      <c r="G6" s="597">
        <f>TRUNC(F6*$E6,2)</f>
        <v>7555.51</v>
      </c>
      <c r="H6" s="733">
        <v>23425.51</v>
      </c>
      <c r="I6" s="597">
        <f>TRUNC(H6*$E6,2)</f>
        <v>7027.65</v>
      </c>
    </row>
    <row r="7" spans="1:13" ht="18" customHeight="1" x14ac:dyDescent="0.2">
      <c r="A7" s="593" t="s">
        <v>1665</v>
      </c>
      <c r="B7" s="483" t="s">
        <v>1671</v>
      </c>
      <c r="C7" s="594" t="s">
        <v>1669</v>
      </c>
      <c r="D7" s="593" t="s">
        <v>1667</v>
      </c>
      <c r="E7" s="595">
        <v>4</v>
      </c>
      <c r="F7" s="596">
        <v>8815.2999999999993</v>
      </c>
      <c r="G7" s="597">
        <f>TRUNC(F7*$E7,2)</f>
        <v>35261.199999999997</v>
      </c>
      <c r="H7" s="733">
        <v>8283.76</v>
      </c>
      <c r="I7" s="597">
        <f>TRUNC(H7*$E7,2)</f>
        <v>33135.040000000001</v>
      </c>
    </row>
    <row r="8" spans="1:13" ht="18" customHeight="1" x14ac:dyDescent="0.2">
      <c r="A8" s="593" t="s">
        <v>1687</v>
      </c>
      <c r="B8" s="483" t="s">
        <v>188</v>
      </c>
      <c r="C8" s="469" t="s">
        <v>1673</v>
      </c>
      <c r="D8" s="593" t="s">
        <v>1667</v>
      </c>
      <c r="E8" s="595">
        <v>8</v>
      </c>
      <c r="F8" s="596">
        <f>G25</f>
        <v>6730.13</v>
      </c>
      <c r="G8" s="597">
        <f>TRUNC(F8*$E8,2)</f>
        <v>53841.04</v>
      </c>
      <c r="H8" s="733">
        <f>I25</f>
        <v>6327.5700000000006</v>
      </c>
      <c r="I8" s="597">
        <f>TRUNC(H8*$E8,2)</f>
        <v>50620.56</v>
      </c>
      <c r="J8" s="726" t="s">
        <v>2133</v>
      </c>
    </row>
    <row r="9" spans="1:13" ht="22.5" customHeight="1" x14ac:dyDescent="0.2">
      <c r="A9" s="589"/>
      <c r="B9" s="589"/>
      <c r="C9" s="598" t="s">
        <v>1666</v>
      </c>
      <c r="D9" s="588"/>
      <c r="E9" s="599"/>
      <c r="F9" s="600"/>
      <c r="G9" s="601">
        <f>SUM(G6:G8)</f>
        <v>96657.75</v>
      </c>
      <c r="H9" s="601"/>
      <c r="I9" s="601">
        <f>SUM(I6:I8)</f>
        <v>90783.25</v>
      </c>
    </row>
    <row r="10" spans="1:13" x14ac:dyDescent="0.2">
      <c r="A10" s="602"/>
      <c r="B10" s="603"/>
      <c r="C10" s="625"/>
      <c r="D10" s="579"/>
      <c r="E10" s="604"/>
      <c r="F10" s="605"/>
      <c r="G10" s="605"/>
      <c r="H10" s="605"/>
      <c r="I10" s="605"/>
    </row>
    <row r="11" spans="1:13" s="587" customFormat="1" ht="13.35" customHeight="1" x14ac:dyDescent="0.2">
      <c r="A11" s="606" t="s">
        <v>188</v>
      </c>
      <c r="B11" s="918" t="s">
        <v>1673</v>
      </c>
      <c r="C11" s="919"/>
      <c r="D11" s="583" t="s">
        <v>1600</v>
      </c>
      <c r="E11" s="584"/>
      <c r="F11" s="607"/>
      <c r="G11" s="583">
        <f>G25</f>
        <v>6730.13</v>
      </c>
      <c r="H11" s="583"/>
      <c r="I11" s="583">
        <f>I25</f>
        <v>6327.5700000000006</v>
      </c>
      <c r="J11" s="727"/>
    </row>
    <row r="12" spans="1:13" x14ac:dyDescent="0.2">
      <c r="A12" s="608" t="s">
        <v>27</v>
      </c>
      <c r="B12" s="608" t="s">
        <v>28</v>
      </c>
      <c r="C12" s="622" t="s">
        <v>1335</v>
      </c>
      <c r="D12" s="608" t="s">
        <v>1661</v>
      </c>
      <c r="E12" s="608" t="s">
        <v>1662</v>
      </c>
      <c r="F12" s="591" t="s">
        <v>1663</v>
      </c>
      <c r="G12" s="591" t="s">
        <v>1664</v>
      </c>
      <c r="H12" s="592" t="s">
        <v>2002</v>
      </c>
      <c r="I12" s="591" t="s">
        <v>2003</v>
      </c>
    </row>
    <row r="13" spans="1:13" ht="18" customHeight="1" x14ac:dyDescent="0.2">
      <c r="A13" s="485" t="s">
        <v>1674</v>
      </c>
      <c r="B13" s="610" t="s">
        <v>2005</v>
      </c>
      <c r="C13" s="611" t="s">
        <v>1675</v>
      </c>
      <c r="D13" s="610" t="s">
        <v>691</v>
      </c>
      <c r="E13" s="612">
        <v>220</v>
      </c>
      <c r="F13" s="613">
        <v>10.72</v>
      </c>
      <c r="G13" s="597">
        <f>TRUNC(F13*$E13,2)</f>
        <v>2358.4</v>
      </c>
      <c r="H13" s="735">
        <v>10.72</v>
      </c>
      <c r="I13" s="597">
        <f>TRUNC(H13*$E13,2)</f>
        <v>2358.4</v>
      </c>
      <c r="J13" s="726" t="s">
        <v>2056</v>
      </c>
    </row>
    <row r="14" spans="1:13" ht="18" customHeight="1" x14ac:dyDescent="0.2">
      <c r="A14" s="610" t="s">
        <v>1676</v>
      </c>
      <c r="B14" s="610" t="s">
        <v>2005</v>
      </c>
      <c r="C14" s="611" t="s">
        <v>1677</v>
      </c>
      <c r="D14" s="610" t="s">
        <v>691</v>
      </c>
      <c r="E14" s="612">
        <f>0.2*(7/12)</f>
        <v>0.11666666666666668</v>
      </c>
      <c r="F14" s="613">
        <f>G13</f>
        <v>2358.4</v>
      </c>
      <c r="G14" s="597">
        <f>TRUNC(F14*$E14,2)</f>
        <v>275.14</v>
      </c>
      <c r="H14" s="614">
        <f>I13</f>
        <v>2358.4</v>
      </c>
      <c r="I14" s="597">
        <f>TRUNC(H14*$E14,2)</f>
        <v>275.14</v>
      </c>
      <c r="J14" s="726"/>
    </row>
    <row r="15" spans="1:13" ht="18" customHeight="1" x14ac:dyDescent="0.2">
      <c r="A15" s="610" t="s">
        <v>1676</v>
      </c>
      <c r="B15" s="610" t="s">
        <v>2005</v>
      </c>
      <c r="C15" s="611" t="s">
        <v>1678</v>
      </c>
      <c r="D15" s="610" t="s">
        <v>691</v>
      </c>
      <c r="E15" s="612">
        <f>(60/52.5)-1</f>
        <v>0.14285714285714279</v>
      </c>
      <c r="F15" s="613">
        <f>G13+G14</f>
        <v>2633.54</v>
      </c>
      <c r="G15" s="597">
        <f>TRUNC(F15*$E15,2)</f>
        <v>376.22</v>
      </c>
      <c r="H15" s="614">
        <f>I13+I14</f>
        <v>2633.54</v>
      </c>
      <c r="I15" s="597">
        <f>TRUNC(H15*$E15,2)</f>
        <v>376.22</v>
      </c>
      <c r="J15" s="726"/>
      <c r="L15" s="615"/>
      <c r="M15" s="616"/>
    </row>
    <row r="16" spans="1:13" ht="18" customHeight="1" x14ac:dyDescent="0.2">
      <c r="A16" s="610" t="s">
        <v>1676</v>
      </c>
      <c r="B16" s="610" t="s">
        <v>2005</v>
      </c>
      <c r="C16" s="611" t="s">
        <v>1679</v>
      </c>
      <c r="D16" s="610" t="s">
        <v>691</v>
      </c>
      <c r="E16" s="612">
        <f>50%/12</f>
        <v>4.1666666666666664E-2</v>
      </c>
      <c r="F16" s="613">
        <f>(G13+G14+G15)</f>
        <v>3009.76</v>
      </c>
      <c r="G16" s="597">
        <f>TRUNC(F16*$E16,2)</f>
        <v>125.4</v>
      </c>
      <c r="H16" s="614">
        <f>(I13+I14+I15)</f>
        <v>3009.76</v>
      </c>
      <c r="I16" s="597">
        <f>TRUNC(H16*$E16,2)</f>
        <v>125.4</v>
      </c>
      <c r="J16" s="726"/>
      <c r="L16" s="616"/>
      <c r="M16" s="616"/>
    </row>
    <row r="17" spans="1:13" ht="18" customHeight="1" x14ac:dyDescent="0.2">
      <c r="A17" s="485" t="s">
        <v>1665</v>
      </c>
      <c r="B17" s="610" t="s">
        <v>2005</v>
      </c>
      <c r="C17" s="611" t="s">
        <v>2144</v>
      </c>
      <c r="D17" s="610" t="s">
        <v>1600</v>
      </c>
      <c r="E17" s="739">
        <v>0.71230000000000004</v>
      </c>
      <c r="F17" s="613">
        <f>(G13+G14+G15+G16)</f>
        <v>3135.1600000000003</v>
      </c>
      <c r="G17" s="428">
        <f>TRUNC(F17*E17,2)</f>
        <v>2233.17</v>
      </c>
      <c r="H17" s="614">
        <f>(I13+I14+I15+I16)</f>
        <v>3135.1600000000003</v>
      </c>
      <c r="I17" s="733">
        <f>TRUNC(H17*0.5846,2)</f>
        <v>1832.81</v>
      </c>
      <c r="J17" s="726" t="s">
        <v>2057</v>
      </c>
      <c r="L17" s="616"/>
      <c r="M17" s="616"/>
    </row>
    <row r="18" spans="1:13" ht="18" customHeight="1" x14ac:dyDescent="0.2">
      <c r="A18" s="485" t="s">
        <v>1665</v>
      </c>
      <c r="B18" s="610">
        <v>37370</v>
      </c>
      <c r="C18" s="611" t="s">
        <v>1680</v>
      </c>
      <c r="D18" s="610" t="s">
        <v>691</v>
      </c>
      <c r="E18" s="617">
        <v>110</v>
      </c>
      <c r="F18" s="486">
        <v>5.96</v>
      </c>
      <c r="G18" s="597">
        <f>TRUNC(F18*$E18,2)</f>
        <v>655.6</v>
      </c>
      <c r="H18" s="733">
        <v>5.96</v>
      </c>
      <c r="I18" s="597">
        <f t="shared" ref="I18:I24" si="0">TRUNC(H18*$E18,2)</f>
        <v>655.6</v>
      </c>
      <c r="L18" s="616"/>
      <c r="M18" s="616"/>
    </row>
    <row r="19" spans="1:13" ht="18" customHeight="1" x14ac:dyDescent="0.2">
      <c r="A19" s="485" t="s">
        <v>1665</v>
      </c>
      <c r="B19" s="610">
        <v>37371</v>
      </c>
      <c r="C19" s="611" t="s">
        <v>1681</v>
      </c>
      <c r="D19" s="610" t="s">
        <v>691</v>
      </c>
      <c r="E19" s="617">
        <v>110</v>
      </c>
      <c r="F19" s="486">
        <v>0.79</v>
      </c>
      <c r="G19" s="597">
        <f t="shared" ref="G19:G24" si="1">TRUNC(F19*$E19,2)</f>
        <v>86.9</v>
      </c>
      <c r="H19" s="733">
        <v>0.79</v>
      </c>
      <c r="I19" s="597">
        <f t="shared" si="0"/>
        <v>86.9</v>
      </c>
      <c r="L19" s="615"/>
      <c r="M19" s="615"/>
    </row>
    <row r="20" spans="1:13" ht="18" customHeight="1" x14ac:dyDescent="0.2">
      <c r="A20" s="485" t="s">
        <v>1665</v>
      </c>
      <c r="B20" s="610">
        <v>37372</v>
      </c>
      <c r="C20" s="611" t="s">
        <v>1682</v>
      </c>
      <c r="D20" s="610" t="s">
        <v>691</v>
      </c>
      <c r="E20" s="617">
        <v>220</v>
      </c>
      <c r="F20" s="486">
        <v>1.58</v>
      </c>
      <c r="G20" s="597">
        <f t="shared" si="1"/>
        <v>347.6</v>
      </c>
      <c r="H20" s="733">
        <v>1.58</v>
      </c>
      <c r="I20" s="597">
        <f t="shared" si="0"/>
        <v>347.6</v>
      </c>
    </row>
    <row r="21" spans="1:13" ht="18" customHeight="1" x14ac:dyDescent="0.2">
      <c r="A21" s="485" t="s">
        <v>1665</v>
      </c>
      <c r="B21" s="610">
        <v>37373</v>
      </c>
      <c r="C21" s="611" t="s">
        <v>1683</v>
      </c>
      <c r="D21" s="610" t="s">
        <v>691</v>
      </c>
      <c r="E21" s="617">
        <v>220</v>
      </c>
      <c r="F21" s="486">
        <v>0.06</v>
      </c>
      <c r="G21" s="597">
        <f t="shared" si="1"/>
        <v>13.2</v>
      </c>
      <c r="H21" s="733">
        <v>0.06</v>
      </c>
      <c r="I21" s="597">
        <f t="shared" si="0"/>
        <v>13.2</v>
      </c>
    </row>
    <row r="22" spans="1:13" ht="29.25" customHeight="1" x14ac:dyDescent="0.2">
      <c r="A22" s="485" t="s">
        <v>1665</v>
      </c>
      <c r="B22" s="610">
        <v>43467</v>
      </c>
      <c r="C22" s="611" t="s">
        <v>1684</v>
      </c>
      <c r="D22" s="610" t="s">
        <v>691</v>
      </c>
      <c r="E22" s="617">
        <v>110</v>
      </c>
      <c r="F22" s="486">
        <v>0.42</v>
      </c>
      <c r="G22" s="597">
        <f t="shared" si="1"/>
        <v>46.2</v>
      </c>
      <c r="H22" s="733">
        <v>0.42</v>
      </c>
      <c r="I22" s="597">
        <f t="shared" si="0"/>
        <v>46.2</v>
      </c>
    </row>
    <row r="23" spans="1:13" ht="25.5" customHeight="1" x14ac:dyDescent="0.2">
      <c r="A23" s="459" t="s">
        <v>1665</v>
      </c>
      <c r="B23" s="610">
        <v>43491</v>
      </c>
      <c r="C23" s="611" t="s">
        <v>1685</v>
      </c>
      <c r="D23" s="618" t="s">
        <v>691</v>
      </c>
      <c r="E23" s="617">
        <v>110</v>
      </c>
      <c r="F23" s="486">
        <v>1.71</v>
      </c>
      <c r="G23" s="597">
        <f t="shared" si="1"/>
        <v>188.1</v>
      </c>
      <c r="H23" s="733">
        <v>1.71</v>
      </c>
      <c r="I23" s="597">
        <f t="shared" si="0"/>
        <v>188.1</v>
      </c>
    </row>
    <row r="24" spans="1:13" ht="24" customHeight="1" x14ac:dyDescent="0.2">
      <c r="A24" s="459" t="s">
        <v>1665</v>
      </c>
      <c r="B24" s="619">
        <v>100288</v>
      </c>
      <c r="C24" s="620" t="s">
        <v>1686</v>
      </c>
      <c r="D24" s="621" t="s">
        <v>691</v>
      </c>
      <c r="E24" s="617">
        <v>220</v>
      </c>
      <c r="F24" s="486">
        <v>0.11</v>
      </c>
      <c r="G24" s="597">
        <f t="shared" si="1"/>
        <v>24.2</v>
      </c>
      <c r="H24" s="733">
        <v>0.1</v>
      </c>
      <c r="I24" s="597">
        <f t="shared" si="0"/>
        <v>22</v>
      </c>
    </row>
    <row r="25" spans="1:13" ht="24" customHeight="1" x14ac:dyDescent="0.2">
      <c r="A25" s="609"/>
      <c r="B25" s="609"/>
      <c r="C25" s="622" t="s">
        <v>1666</v>
      </c>
      <c r="D25" s="608"/>
      <c r="E25" s="623"/>
      <c r="F25" s="601"/>
      <c r="G25" s="601">
        <f>SUM(G13:G24)</f>
        <v>6730.13</v>
      </c>
      <c r="H25" s="601"/>
      <c r="I25" s="601">
        <f>SUM(I13:I24)</f>
        <v>6327.5700000000006</v>
      </c>
    </row>
    <row r="26" spans="1:13" x14ac:dyDescent="0.2">
      <c r="A26" s="603"/>
      <c r="B26" s="603"/>
      <c r="C26" s="625"/>
      <c r="D26" s="579"/>
      <c r="E26" s="626"/>
      <c r="F26" s="605"/>
      <c r="G26" s="624"/>
      <c r="H26" s="624"/>
      <c r="I26" s="624"/>
    </row>
    <row r="27" spans="1:13" s="587" customFormat="1" ht="15" customHeight="1" x14ac:dyDescent="0.2">
      <c r="A27" s="582" t="s">
        <v>1802</v>
      </c>
      <c r="B27" s="918" t="s">
        <v>30</v>
      </c>
      <c r="C27" s="919"/>
      <c r="D27" s="583" t="s">
        <v>18</v>
      </c>
      <c r="E27" s="584"/>
      <c r="F27" s="585"/>
      <c r="G27" s="583">
        <f>G35</f>
        <v>797.91</v>
      </c>
      <c r="H27" s="583"/>
      <c r="I27" s="583">
        <f>I35</f>
        <v>797.91</v>
      </c>
      <c r="J27" s="727"/>
    </row>
    <row r="28" spans="1:13" x14ac:dyDescent="0.2">
      <c r="A28" s="588" t="s">
        <v>27</v>
      </c>
      <c r="B28" s="588" t="s">
        <v>28</v>
      </c>
      <c r="C28" s="598" t="s">
        <v>1335</v>
      </c>
      <c r="D28" s="588" t="s">
        <v>1661</v>
      </c>
      <c r="E28" s="588" t="s">
        <v>1662</v>
      </c>
      <c r="F28" s="590" t="s">
        <v>1663</v>
      </c>
      <c r="G28" s="591" t="s">
        <v>1664</v>
      </c>
      <c r="H28" s="592" t="s">
        <v>2002</v>
      </c>
      <c r="I28" s="591" t="s">
        <v>2003</v>
      </c>
    </row>
    <row r="29" spans="1:13" ht="21" customHeight="1" x14ac:dyDescent="0.2">
      <c r="A29" s="485" t="s">
        <v>1700</v>
      </c>
      <c r="B29" s="485" t="s">
        <v>1694</v>
      </c>
      <c r="C29" s="539" t="s">
        <v>2006</v>
      </c>
      <c r="D29" s="485" t="s">
        <v>1659</v>
      </c>
      <c r="E29" s="627">
        <v>1</v>
      </c>
      <c r="F29" s="613">
        <v>183.46</v>
      </c>
      <c r="G29" s="614">
        <f t="shared" ref="G29:G34" si="2">TRUNC($E29*F29,2)</f>
        <v>183.46</v>
      </c>
      <c r="H29" s="736">
        <v>183.46</v>
      </c>
      <c r="I29" s="614">
        <f t="shared" ref="I29:I34" si="3">TRUNC($E29*H29,2)</f>
        <v>183.46</v>
      </c>
    </row>
    <row r="30" spans="1:13" ht="21" customHeight="1" x14ac:dyDescent="0.2">
      <c r="A30" s="485" t="s">
        <v>1700</v>
      </c>
      <c r="B30" s="485" t="s">
        <v>1695</v>
      </c>
      <c r="C30" s="539" t="s">
        <v>2007</v>
      </c>
      <c r="D30" s="485" t="s">
        <v>25</v>
      </c>
      <c r="E30" s="627">
        <v>5</v>
      </c>
      <c r="F30" s="613">
        <v>4.72</v>
      </c>
      <c r="G30" s="614">
        <f t="shared" si="2"/>
        <v>23.6</v>
      </c>
      <c r="H30" s="736">
        <v>4.72</v>
      </c>
      <c r="I30" s="614">
        <f t="shared" si="3"/>
        <v>23.6</v>
      </c>
    </row>
    <row r="31" spans="1:13" ht="21" customHeight="1" x14ac:dyDescent="0.2">
      <c r="A31" s="485" t="s">
        <v>1700</v>
      </c>
      <c r="B31" s="485" t="s">
        <v>1696</v>
      </c>
      <c r="C31" s="539" t="s">
        <v>2008</v>
      </c>
      <c r="D31" s="485" t="s">
        <v>25</v>
      </c>
      <c r="E31" s="627">
        <v>5</v>
      </c>
      <c r="F31" s="613">
        <v>23.37</v>
      </c>
      <c r="G31" s="614">
        <f t="shared" si="2"/>
        <v>116.85</v>
      </c>
      <c r="H31" s="736">
        <v>23.37</v>
      </c>
      <c r="I31" s="614">
        <f t="shared" si="3"/>
        <v>116.85</v>
      </c>
    </row>
    <row r="32" spans="1:13" ht="21" customHeight="1" x14ac:dyDescent="0.2">
      <c r="A32" s="485" t="s">
        <v>1700</v>
      </c>
      <c r="B32" s="485" t="s">
        <v>1697</v>
      </c>
      <c r="C32" s="539" t="s">
        <v>2009</v>
      </c>
      <c r="D32" s="485" t="s">
        <v>25</v>
      </c>
      <c r="E32" s="627">
        <v>5</v>
      </c>
      <c r="F32" s="613">
        <v>23.55</v>
      </c>
      <c r="G32" s="614">
        <f t="shared" si="2"/>
        <v>117.75</v>
      </c>
      <c r="H32" s="736">
        <v>23.55</v>
      </c>
      <c r="I32" s="614">
        <f t="shared" si="3"/>
        <v>117.75</v>
      </c>
    </row>
    <row r="33" spans="1:11" ht="21" customHeight="1" x14ac:dyDescent="0.2">
      <c r="A33" s="485" t="s">
        <v>1700</v>
      </c>
      <c r="B33" s="485" t="s">
        <v>1698</v>
      </c>
      <c r="C33" s="539" t="s">
        <v>2010</v>
      </c>
      <c r="D33" s="485" t="s">
        <v>25</v>
      </c>
      <c r="E33" s="627">
        <v>10</v>
      </c>
      <c r="F33" s="613">
        <v>23.69</v>
      </c>
      <c r="G33" s="614">
        <f t="shared" si="2"/>
        <v>236.9</v>
      </c>
      <c r="H33" s="736">
        <v>23.69</v>
      </c>
      <c r="I33" s="614">
        <f t="shared" si="3"/>
        <v>236.9</v>
      </c>
    </row>
    <row r="34" spans="1:11" ht="21" customHeight="1" x14ac:dyDescent="0.2">
      <c r="A34" s="485" t="s">
        <v>1700</v>
      </c>
      <c r="B34" s="485" t="s">
        <v>1699</v>
      </c>
      <c r="C34" s="539" t="s">
        <v>2011</v>
      </c>
      <c r="D34" s="485" t="s">
        <v>25</v>
      </c>
      <c r="E34" s="627">
        <v>5</v>
      </c>
      <c r="F34" s="613">
        <v>23.87</v>
      </c>
      <c r="G34" s="614">
        <f t="shared" si="2"/>
        <v>119.35</v>
      </c>
      <c r="H34" s="736">
        <v>23.87</v>
      </c>
      <c r="I34" s="614">
        <f t="shared" si="3"/>
        <v>119.35</v>
      </c>
    </row>
    <row r="35" spans="1:11" ht="24" customHeight="1" x14ac:dyDescent="0.2">
      <c r="A35" s="628"/>
      <c r="B35" s="628"/>
      <c r="C35" s="629" t="s">
        <v>1666</v>
      </c>
      <c r="D35" s="630"/>
      <c r="E35" s="631"/>
      <c r="F35" s="632"/>
      <c r="G35" s="601">
        <f>SUM(G29:G34)</f>
        <v>797.91</v>
      </c>
      <c r="H35" s="601"/>
      <c r="I35" s="601">
        <f>SUM(I29:I34)</f>
        <v>797.91</v>
      </c>
    </row>
    <row r="36" spans="1:11" x14ac:dyDescent="0.2">
      <c r="A36" s="921" t="s">
        <v>1704</v>
      </c>
      <c r="B36" s="921"/>
      <c r="C36" s="921"/>
      <c r="D36" s="921"/>
      <c r="E36" s="921"/>
      <c r="F36" s="921"/>
      <c r="G36" s="921"/>
      <c r="H36" s="921"/>
      <c r="I36" s="921"/>
    </row>
    <row r="37" spans="1:11" x14ac:dyDescent="0.2">
      <c r="A37" s="633"/>
      <c r="B37" s="633"/>
      <c r="C37" s="685"/>
      <c r="D37" s="634"/>
      <c r="E37" s="635"/>
      <c r="F37" s="624"/>
      <c r="G37" s="624"/>
      <c r="H37" s="624"/>
      <c r="I37" s="624"/>
    </row>
    <row r="38" spans="1:11" s="587" customFormat="1" ht="15" customHeight="1" x14ac:dyDescent="0.2">
      <c r="A38" s="582" t="s">
        <v>1803</v>
      </c>
      <c r="B38" s="918" t="s">
        <v>29</v>
      </c>
      <c r="C38" s="920"/>
      <c r="D38" s="583" t="s">
        <v>18</v>
      </c>
      <c r="E38" s="584"/>
      <c r="F38" s="585"/>
      <c r="G38" s="583">
        <f>G41</f>
        <v>384.01</v>
      </c>
      <c r="H38" s="583"/>
      <c r="I38" s="583">
        <f>I41</f>
        <v>384.01</v>
      </c>
      <c r="J38" s="727"/>
    </row>
    <row r="39" spans="1:11" x14ac:dyDescent="0.2">
      <c r="A39" s="588" t="s">
        <v>27</v>
      </c>
      <c r="B39" s="588" t="s">
        <v>28</v>
      </c>
      <c r="C39" s="598" t="s">
        <v>1335</v>
      </c>
      <c r="D39" s="588" t="s">
        <v>1661</v>
      </c>
      <c r="E39" s="588" t="s">
        <v>1662</v>
      </c>
      <c r="F39" s="590" t="s">
        <v>1663</v>
      </c>
      <c r="G39" s="591" t="s">
        <v>1664</v>
      </c>
      <c r="H39" s="592" t="s">
        <v>2002</v>
      </c>
      <c r="I39" s="591" t="s">
        <v>2003</v>
      </c>
    </row>
    <row r="40" spans="1:11" ht="24.75" customHeight="1" x14ac:dyDescent="0.2">
      <c r="A40" s="485" t="s">
        <v>1702</v>
      </c>
      <c r="B40" s="485" t="s">
        <v>1703</v>
      </c>
      <c r="C40" s="636" t="s">
        <v>1799</v>
      </c>
      <c r="D40" s="485" t="s">
        <v>1701</v>
      </c>
      <c r="E40" s="637">
        <v>500</v>
      </c>
      <c r="F40" s="613">
        <f>0.31085+0.45717</f>
        <v>0.76802000000000004</v>
      </c>
      <c r="G40" s="614">
        <f>TRUNC($E40*F40,2)</f>
        <v>384.01</v>
      </c>
      <c r="H40" s="736">
        <f>0.31085+0.45717</f>
        <v>0.76802000000000004</v>
      </c>
      <c r="I40" s="614">
        <f>TRUNC($E40*H40,2)</f>
        <v>384.01</v>
      </c>
    </row>
    <row r="41" spans="1:11" ht="20.25" customHeight="1" x14ac:dyDescent="0.2">
      <c r="A41" s="628"/>
      <c r="B41" s="628"/>
      <c r="C41" s="629" t="s">
        <v>1666</v>
      </c>
      <c r="D41" s="630"/>
      <c r="E41" s="631"/>
      <c r="F41" s="632"/>
      <c r="G41" s="601">
        <f>SUM(G40:G40)</f>
        <v>384.01</v>
      </c>
      <c r="H41" s="601"/>
      <c r="I41" s="601">
        <f>SUM(I40:I40)</f>
        <v>384.01</v>
      </c>
    </row>
    <row r="42" spans="1:11" x14ac:dyDescent="0.2">
      <c r="A42" s="921" t="s">
        <v>2012</v>
      </c>
      <c r="B42" s="921"/>
      <c r="C42" s="921"/>
      <c r="D42" s="921"/>
      <c r="E42" s="921"/>
      <c r="F42" s="921"/>
      <c r="G42" s="921"/>
      <c r="H42" s="921"/>
      <c r="I42" s="921"/>
    </row>
    <row r="43" spans="1:11" x14ac:dyDescent="0.2">
      <c r="A43" s="633"/>
      <c r="B43" s="633"/>
      <c r="C43" s="685"/>
      <c r="D43" s="634"/>
      <c r="E43" s="635"/>
      <c r="F43" s="624"/>
      <c r="G43" s="624"/>
      <c r="H43" s="624"/>
      <c r="I43" s="624"/>
    </row>
    <row r="44" spans="1:11" s="587" customFormat="1" ht="12.95" customHeight="1" x14ac:dyDescent="0.2">
      <c r="A44" s="582" t="s">
        <v>1804</v>
      </c>
      <c r="B44" s="918" t="s">
        <v>1816</v>
      </c>
      <c r="C44" s="920"/>
      <c r="D44" s="638" t="s">
        <v>1672</v>
      </c>
      <c r="E44" s="584"/>
      <c r="F44" s="639"/>
      <c r="G44" s="638">
        <f>G51</f>
        <v>64.55</v>
      </c>
      <c r="H44" s="638"/>
      <c r="I44" s="638">
        <f>I51</f>
        <v>62.5</v>
      </c>
      <c r="J44" s="728"/>
      <c r="K44" s="640"/>
    </row>
    <row r="45" spans="1:11" x14ac:dyDescent="0.2">
      <c r="A45" s="608" t="s">
        <v>27</v>
      </c>
      <c r="B45" s="608" t="s">
        <v>28</v>
      </c>
      <c r="C45" s="686" t="s">
        <v>1335</v>
      </c>
      <c r="D45" s="608" t="s">
        <v>1661</v>
      </c>
      <c r="E45" s="608" t="s">
        <v>1662</v>
      </c>
      <c r="F45" s="592" t="s">
        <v>1663</v>
      </c>
      <c r="G45" s="591" t="s">
        <v>1664</v>
      </c>
      <c r="H45" s="592" t="s">
        <v>2002</v>
      </c>
      <c r="I45" s="591" t="s">
        <v>2003</v>
      </c>
      <c r="K45" s="633"/>
    </row>
    <row r="46" spans="1:11" ht="30" customHeight="1" x14ac:dyDescent="0.2">
      <c r="A46" s="641" t="s">
        <v>1767</v>
      </c>
      <c r="B46" s="489">
        <v>3108004</v>
      </c>
      <c r="C46" s="474" t="s">
        <v>1840</v>
      </c>
      <c r="D46" s="481" t="s">
        <v>1672</v>
      </c>
      <c r="E46" s="642">
        <f>1/2</f>
        <v>0.5</v>
      </c>
      <c r="F46" s="547">
        <v>98.74</v>
      </c>
      <c r="G46" s="643">
        <f>TRUNC($E46*F46,2)</f>
        <v>49.37</v>
      </c>
      <c r="H46" s="736">
        <v>96.17</v>
      </c>
      <c r="I46" s="643">
        <f>TRUNC($E46*H46,2)</f>
        <v>48.08</v>
      </c>
      <c r="K46" s="633"/>
    </row>
    <row r="47" spans="1:11" ht="23.25" customHeight="1" x14ac:dyDescent="0.2">
      <c r="A47" s="641" t="s">
        <v>1665</v>
      </c>
      <c r="B47" s="489">
        <v>88239</v>
      </c>
      <c r="C47" s="469" t="s">
        <v>1841</v>
      </c>
      <c r="D47" s="481" t="s">
        <v>1768</v>
      </c>
      <c r="E47" s="642">
        <v>0.24</v>
      </c>
      <c r="F47" s="547">
        <v>32.700000000000003</v>
      </c>
      <c r="G47" s="614">
        <f>TRUNC($E47*F47,2)</f>
        <v>7.84</v>
      </c>
      <c r="H47" s="736">
        <v>31.04</v>
      </c>
      <c r="I47" s="614">
        <f>TRUNC($E47*H47,2)</f>
        <v>7.44</v>
      </c>
      <c r="K47" s="633"/>
    </row>
    <row r="48" spans="1:11" ht="23.25" customHeight="1" x14ac:dyDescent="0.2">
      <c r="A48" s="641" t="s">
        <v>2048</v>
      </c>
      <c r="B48" s="489">
        <v>11004000</v>
      </c>
      <c r="C48" s="469" t="s">
        <v>1848</v>
      </c>
      <c r="D48" s="481" t="s">
        <v>1768</v>
      </c>
      <c r="E48" s="644">
        <v>3.0000000000000001E-3</v>
      </c>
      <c r="F48" s="547">
        <v>237.83</v>
      </c>
      <c r="G48" s="614">
        <f>TRUNC($E48*F48,2)</f>
        <v>0.71</v>
      </c>
      <c r="H48" s="736">
        <v>235.66</v>
      </c>
      <c r="I48" s="614">
        <f>TRUNC($E48*H48,2)</f>
        <v>0.7</v>
      </c>
      <c r="K48" s="633"/>
    </row>
    <row r="49" spans="1:11" ht="23.25" customHeight="1" x14ac:dyDescent="0.2">
      <c r="A49" s="641" t="s">
        <v>1665</v>
      </c>
      <c r="B49" s="489">
        <v>88262</v>
      </c>
      <c r="C49" s="469" t="s">
        <v>1842</v>
      </c>
      <c r="D49" s="544" t="s">
        <v>1768</v>
      </c>
      <c r="E49" s="642">
        <v>0.16</v>
      </c>
      <c r="F49" s="547">
        <v>39.5</v>
      </c>
      <c r="G49" s="614">
        <f>TRUNC($E49*F49,2)</f>
        <v>6.32</v>
      </c>
      <c r="H49" s="736">
        <v>37.33</v>
      </c>
      <c r="I49" s="614">
        <f>TRUNC($E49*H49,2)</f>
        <v>5.97</v>
      </c>
      <c r="K49" s="633"/>
    </row>
    <row r="50" spans="1:11" ht="30" customHeight="1" x14ac:dyDescent="0.2">
      <c r="A50" s="641" t="s">
        <v>1767</v>
      </c>
      <c r="B50" s="489" t="s">
        <v>1537</v>
      </c>
      <c r="C50" s="469" t="s">
        <v>2049</v>
      </c>
      <c r="D50" s="544" t="s">
        <v>1768</v>
      </c>
      <c r="E50" s="644">
        <v>3.0000000000000001E-3</v>
      </c>
      <c r="F50" s="547">
        <v>106.41</v>
      </c>
      <c r="G50" s="614">
        <f>TRUNC($E50*F50,2)</f>
        <v>0.31</v>
      </c>
      <c r="H50" s="736">
        <v>104.62</v>
      </c>
      <c r="I50" s="614">
        <f>TRUNC($E50*H50,2)</f>
        <v>0.31</v>
      </c>
      <c r="K50" s="633"/>
    </row>
    <row r="51" spans="1:11" x14ac:dyDescent="0.2">
      <c r="A51" s="645"/>
      <c r="B51" s="646"/>
      <c r="C51" s="647" t="s">
        <v>1666</v>
      </c>
      <c r="D51" s="648"/>
      <c r="E51" s="649"/>
      <c r="F51" s="650"/>
      <c r="G51" s="601">
        <f>SUM(G46:G50)</f>
        <v>64.55</v>
      </c>
      <c r="H51" s="601"/>
      <c r="I51" s="601">
        <f>SUM(I46:I50)</f>
        <v>62.5</v>
      </c>
    </row>
    <row r="52" spans="1:11" x14ac:dyDescent="0.2">
      <c r="A52" s="917" t="s">
        <v>1882</v>
      </c>
      <c r="B52" s="917"/>
      <c r="C52" s="917"/>
      <c r="D52" s="917"/>
      <c r="E52" s="917"/>
      <c r="F52" s="917"/>
      <c r="G52" s="917"/>
      <c r="H52" s="660"/>
      <c r="I52" s="660"/>
    </row>
    <row r="53" spans="1:11" x14ac:dyDescent="0.2">
      <c r="A53" s="633"/>
      <c r="F53" s="282"/>
      <c r="G53" s="282"/>
      <c r="H53" s="282"/>
      <c r="I53" s="282"/>
      <c r="J53" s="729"/>
    </row>
    <row r="54" spans="1:11" s="587" customFormat="1" ht="35.25" customHeight="1" x14ac:dyDescent="0.2">
      <c r="A54" s="582" t="s">
        <v>1805</v>
      </c>
      <c r="B54" s="918" t="s">
        <v>1829</v>
      </c>
      <c r="C54" s="920"/>
      <c r="D54" s="583" t="s">
        <v>1672</v>
      </c>
      <c r="E54" s="584"/>
      <c r="F54" s="585"/>
      <c r="G54" s="583">
        <f>G61</f>
        <v>145.77000000000001</v>
      </c>
      <c r="H54" s="583"/>
      <c r="I54" s="583">
        <f>I61</f>
        <v>142.82</v>
      </c>
      <c r="J54" s="727"/>
    </row>
    <row r="55" spans="1:11" x14ac:dyDescent="0.2">
      <c r="A55" s="608" t="s">
        <v>27</v>
      </c>
      <c r="B55" s="608" t="s">
        <v>28</v>
      </c>
      <c r="C55" s="686" t="s">
        <v>1335</v>
      </c>
      <c r="D55" s="608" t="s">
        <v>1661</v>
      </c>
      <c r="E55" s="608" t="s">
        <v>9</v>
      </c>
      <c r="F55" s="592" t="s">
        <v>1663</v>
      </c>
      <c r="G55" s="591" t="s">
        <v>1664</v>
      </c>
      <c r="H55" s="592" t="s">
        <v>2002</v>
      </c>
      <c r="I55" s="591" t="s">
        <v>2003</v>
      </c>
      <c r="K55" s="633"/>
    </row>
    <row r="56" spans="1:11" ht="38.25" x14ac:dyDescent="0.2">
      <c r="A56" s="422" t="s">
        <v>1665</v>
      </c>
      <c r="B56" s="485">
        <v>88715</v>
      </c>
      <c r="C56" s="539" t="s">
        <v>1830</v>
      </c>
      <c r="D56" s="485" t="s">
        <v>25</v>
      </c>
      <c r="E56" s="654">
        <v>1.2500000000000001E-2</v>
      </c>
      <c r="F56" s="486">
        <v>686.09</v>
      </c>
      <c r="G56" s="597">
        <f>TRUNC($E56*F56,2)</f>
        <v>8.57</v>
      </c>
      <c r="H56" s="733">
        <v>671.35</v>
      </c>
      <c r="I56" s="597">
        <f>TRUNC($E56*H56,2)</f>
        <v>8.39</v>
      </c>
      <c r="K56" s="633"/>
    </row>
    <row r="57" spans="1:11" ht="18.75" customHeight="1" x14ac:dyDescent="0.2">
      <c r="A57" s="422" t="s">
        <v>1665</v>
      </c>
      <c r="B57" s="485">
        <v>88316</v>
      </c>
      <c r="C57" s="539" t="s">
        <v>1831</v>
      </c>
      <c r="D57" s="485" t="s">
        <v>691</v>
      </c>
      <c r="E57" s="654">
        <v>0.74</v>
      </c>
      <c r="F57" s="486">
        <v>31.41</v>
      </c>
      <c r="G57" s="597">
        <f>TRUNC($E57*F57,2)</f>
        <v>23.24</v>
      </c>
      <c r="H57" s="733">
        <v>29.86</v>
      </c>
      <c r="I57" s="597">
        <f>TRUNC($E57*H57,2)</f>
        <v>22.09</v>
      </c>
      <c r="K57" s="633"/>
    </row>
    <row r="58" spans="1:11" ht="20.25" customHeight="1" x14ac:dyDescent="0.2">
      <c r="A58" s="422" t="s">
        <v>1665</v>
      </c>
      <c r="B58" s="485">
        <v>88309</v>
      </c>
      <c r="C58" s="539" t="s">
        <v>1832</v>
      </c>
      <c r="D58" s="485" t="s">
        <v>691</v>
      </c>
      <c r="E58" s="654">
        <v>0.74</v>
      </c>
      <c r="F58" s="486">
        <v>40.19</v>
      </c>
      <c r="G58" s="597">
        <f>TRUNC($E58*F58,2)</f>
        <v>29.74</v>
      </c>
      <c r="H58" s="733">
        <v>38</v>
      </c>
      <c r="I58" s="597">
        <f>TRUNC($E58*H58,2)</f>
        <v>28.12</v>
      </c>
      <c r="K58" s="633"/>
    </row>
    <row r="59" spans="1:11" ht="19.5" customHeight="1" x14ac:dyDescent="0.2">
      <c r="A59" s="422" t="s">
        <v>1665</v>
      </c>
      <c r="B59" s="485">
        <v>25067</v>
      </c>
      <c r="C59" s="539" t="s">
        <v>1821</v>
      </c>
      <c r="D59" s="485" t="s">
        <v>184</v>
      </c>
      <c r="E59" s="654">
        <v>15.51</v>
      </c>
      <c r="F59" s="486">
        <v>5.17</v>
      </c>
      <c r="G59" s="597">
        <f>TRUNC($E59*F59,2)</f>
        <v>80.180000000000007</v>
      </c>
      <c r="H59" s="733">
        <v>5.17</v>
      </c>
      <c r="I59" s="597">
        <f>TRUNC($E59*H59,2)</f>
        <v>80.180000000000007</v>
      </c>
      <c r="J59" s="770"/>
      <c r="K59" s="633"/>
    </row>
    <row r="60" spans="1:11" ht="25.5" x14ac:dyDescent="0.2">
      <c r="A60" s="422" t="s">
        <v>1825</v>
      </c>
      <c r="B60" s="459" t="s">
        <v>1855</v>
      </c>
      <c r="C60" s="539" t="s">
        <v>1854</v>
      </c>
      <c r="D60" s="485" t="s">
        <v>184</v>
      </c>
      <c r="E60" s="654">
        <v>1.55</v>
      </c>
      <c r="F60" s="486">
        <v>2.61</v>
      </c>
      <c r="G60" s="597">
        <f>TRUNC(F60*$E60,2)</f>
        <v>4.04</v>
      </c>
      <c r="H60" s="733">
        <v>2.61</v>
      </c>
      <c r="I60" s="597">
        <f>TRUNC(H60*$E60,2)</f>
        <v>4.04</v>
      </c>
      <c r="K60" s="633"/>
    </row>
    <row r="61" spans="1:11" x14ac:dyDescent="0.2">
      <c r="A61" s="655"/>
      <c r="B61" s="655"/>
      <c r="C61" s="656" t="s">
        <v>1666</v>
      </c>
      <c r="D61" s="657"/>
      <c r="E61" s="658"/>
      <c r="F61" s="659"/>
      <c r="G61" s="659">
        <f>SUM(G56:G60)</f>
        <v>145.77000000000001</v>
      </c>
      <c r="H61" s="659"/>
      <c r="I61" s="659">
        <f>SUM(I56:I60)</f>
        <v>142.82</v>
      </c>
    </row>
    <row r="62" spans="1:11" x14ac:dyDescent="0.2">
      <c r="A62" s="917" t="s">
        <v>1833</v>
      </c>
      <c r="B62" s="917"/>
      <c r="C62" s="917"/>
      <c r="D62" s="917"/>
      <c r="E62" s="917"/>
      <c r="F62" s="917"/>
      <c r="G62" s="917"/>
      <c r="H62" s="660"/>
      <c r="I62" s="660"/>
    </row>
    <row r="63" spans="1:11" x14ac:dyDescent="0.2">
      <c r="A63" s="633"/>
      <c r="F63" s="282"/>
      <c r="G63" s="282"/>
      <c r="H63" s="282"/>
      <c r="I63" s="282"/>
      <c r="J63" s="729"/>
    </row>
    <row r="64" spans="1:11" ht="33" customHeight="1" x14ac:dyDescent="0.2">
      <c r="A64" s="582" t="s">
        <v>1806</v>
      </c>
      <c r="B64" s="918" t="s">
        <v>1843</v>
      </c>
      <c r="C64" s="920"/>
      <c r="D64" s="583" t="s">
        <v>1765</v>
      </c>
      <c r="E64" s="584"/>
      <c r="F64" s="585"/>
      <c r="G64" s="583">
        <f>G71</f>
        <v>513.54000000000008</v>
      </c>
      <c r="H64" s="583"/>
      <c r="I64" s="583">
        <f>I71</f>
        <v>497.29999999999995</v>
      </c>
      <c r="J64" s="726" t="s">
        <v>1896</v>
      </c>
    </row>
    <row r="65" spans="1:10" x14ac:dyDescent="0.2">
      <c r="A65" s="657" t="s">
        <v>27</v>
      </c>
      <c r="B65" s="657" t="s">
        <v>28</v>
      </c>
      <c r="C65" s="656" t="s">
        <v>1335</v>
      </c>
      <c r="D65" s="657" t="s">
        <v>1661</v>
      </c>
      <c r="E65" s="657" t="s">
        <v>1662</v>
      </c>
      <c r="F65" s="661" t="s">
        <v>1663</v>
      </c>
      <c r="G65" s="661" t="s">
        <v>1664</v>
      </c>
      <c r="H65" s="592" t="s">
        <v>2002</v>
      </c>
      <c r="I65" s="591" t="s">
        <v>2003</v>
      </c>
      <c r="J65" s="726">
        <v>0.85250000000000004</v>
      </c>
    </row>
    <row r="66" spans="1:10" ht="25.5" x14ac:dyDescent="0.2">
      <c r="A66" s="459" t="s">
        <v>1665</v>
      </c>
      <c r="B66" s="485">
        <v>89994</v>
      </c>
      <c r="C66" s="484" t="s">
        <v>1844</v>
      </c>
      <c r="D66" s="485" t="s">
        <v>25</v>
      </c>
      <c r="E66" s="662">
        <v>0.1207</v>
      </c>
      <c r="F66" s="486">
        <v>1843.23</v>
      </c>
      <c r="G66" s="597">
        <f>TRUNC(F66*$E66,2)</f>
        <v>222.47</v>
      </c>
      <c r="H66" s="733">
        <v>1777.29</v>
      </c>
      <c r="I66" s="597">
        <f>TRUNC(H66*$E66,2)</f>
        <v>214.51</v>
      </c>
      <c r="J66" s="726"/>
    </row>
    <row r="67" spans="1:10" ht="38.25" x14ac:dyDescent="0.2">
      <c r="A67" s="459" t="s">
        <v>1665</v>
      </c>
      <c r="B67" s="485">
        <v>89273</v>
      </c>
      <c r="C67" s="484" t="s">
        <v>1845</v>
      </c>
      <c r="D67" s="485" t="s">
        <v>1390</v>
      </c>
      <c r="E67" s="662">
        <f>0.2813*J65</f>
        <v>0.23980825</v>
      </c>
      <c r="F67" s="486">
        <v>128.52000000000001</v>
      </c>
      <c r="G67" s="597">
        <f>TRUNC(F67*$E67,2)</f>
        <v>30.82</v>
      </c>
      <c r="H67" s="733">
        <v>125.43</v>
      </c>
      <c r="I67" s="597">
        <f>TRUNC(H67*$E67,2)</f>
        <v>30.07</v>
      </c>
      <c r="J67" s="726"/>
    </row>
    <row r="68" spans="1:10" ht="38.25" x14ac:dyDescent="0.2">
      <c r="A68" s="459" t="s">
        <v>1665</v>
      </c>
      <c r="B68" s="485">
        <v>89272</v>
      </c>
      <c r="C68" s="484" t="s">
        <v>1846</v>
      </c>
      <c r="D68" s="485" t="s">
        <v>1389</v>
      </c>
      <c r="E68" s="662">
        <f>0.7417*J65</f>
        <v>0.63229925000000009</v>
      </c>
      <c r="F68" s="486">
        <v>241.83</v>
      </c>
      <c r="G68" s="597">
        <f>TRUNC(F68*$E68,2)</f>
        <v>152.9</v>
      </c>
      <c r="H68" s="733">
        <v>238.74</v>
      </c>
      <c r="I68" s="597">
        <f>TRUNC(H68*$E68,2)</f>
        <v>150.94999999999999</v>
      </c>
      <c r="J68" s="726"/>
    </row>
    <row r="69" spans="1:10" ht="23.25" customHeight="1" x14ac:dyDescent="0.2">
      <c r="A69" s="459" t="s">
        <v>1665</v>
      </c>
      <c r="B69" s="485">
        <v>88316</v>
      </c>
      <c r="C69" s="484" t="s">
        <v>1831</v>
      </c>
      <c r="D69" s="485" t="s">
        <v>691</v>
      </c>
      <c r="E69" s="662">
        <f>2.0459*J65</f>
        <v>1.7441297500000001</v>
      </c>
      <c r="F69" s="486">
        <v>31.41</v>
      </c>
      <c r="G69" s="597">
        <f>TRUNC(F69*$E69,2)</f>
        <v>54.78</v>
      </c>
      <c r="H69" s="733">
        <v>29.86</v>
      </c>
      <c r="I69" s="597">
        <f>TRUNC(H69*$E69,2)</f>
        <v>52.07</v>
      </c>
      <c r="J69" s="726"/>
    </row>
    <row r="70" spans="1:10" ht="23.25" customHeight="1" x14ac:dyDescent="0.2">
      <c r="A70" s="459" t="s">
        <v>1665</v>
      </c>
      <c r="B70" s="485">
        <v>88309</v>
      </c>
      <c r="C70" s="484" t="s">
        <v>1832</v>
      </c>
      <c r="D70" s="485" t="s">
        <v>691</v>
      </c>
      <c r="E70" s="662">
        <f>1.5344*J65</f>
        <v>1.308076</v>
      </c>
      <c r="F70" s="486">
        <v>40.19</v>
      </c>
      <c r="G70" s="597">
        <f>TRUNC(F70*$E70,2)</f>
        <v>52.57</v>
      </c>
      <c r="H70" s="733">
        <v>38</v>
      </c>
      <c r="I70" s="597">
        <f>TRUNC(H70*$E70,2)</f>
        <v>49.7</v>
      </c>
      <c r="J70" s="726"/>
    </row>
    <row r="71" spans="1:10" x14ac:dyDescent="0.2">
      <c r="A71" s="663"/>
      <c r="B71" s="663"/>
      <c r="C71" s="664" t="s">
        <v>1666</v>
      </c>
      <c r="D71" s="665"/>
      <c r="E71" s="666"/>
      <c r="F71" s="667"/>
      <c r="G71" s="667">
        <f>SUM(G66:G70)</f>
        <v>513.54000000000008</v>
      </c>
      <c r="H71" s="667"/>
      <c r="I71" s="667">
        <f>SUM(I66:I70)</f>
        <v>497.29999999999995</v>
      </c>
      <c r="J71" s="726"/>
    </row>
    <row r="72" spans="1:10" x14ac:dyDescent="0.2">
      <c r="A72" s="917" t="s">
        <v>1847</v>
      </c>
      <c r="B72" s="917"/>
      <c r="C72" s="917"/>
      <c r="D72" s="917"/>
      <c r="E72" s="917"/>
      <c r="F72" s="917"/>
      <c r="G72" s="917"/>
      <c r="H72" s="660"/>
      <c r="I72" s="660"/>
      <c r="J72" s="726"/>
    </row>
    <row r="73" spans="1:10" x14ac:dyDescent="0.2">
      <c r="D73" s="651"/>
      <c r="E73" s="652"/>
      <c r="F73" s="653"/>
      <c r="G73" s="653"/>
      <c r="H73" s="653"/>
      <c r="I73" s="653"/>
      <c r="J73" s="726"/>
    </row>
    <row r="74" spans="1:10" ht="40.5" customHeight="1" x14ac:dyDescent="0.2">
      <c r="A74" s="582" t="s">
        <v>1876</v>
      </c>
      <c r="B74" s="918" t="s">
        <v>1873</v>
      </c>
      <c r="C74" s="920"/>
      <c r="D74" s="583" t="s">
        <v>1765</v>
      </c>
      <c r="E74" s="668"/>
      <c r="F74" s="669"/>
      <c r="G74" s="583">
        <f>G83</f>
        <v>15.980000000000002</v>
      </c>
      <c r="H74" s="583"/>
      <c r="I74" s="583">
        <f>I83</f>
        <v>15.46</v>
      </c>
      <c r="J74" s="726" t="s">
        <v>1870</v>
      </c>
    </row>
    <row r="75" spans="1:10" x14ac:dyDescent="0.2">
      <c r="A75" s="657" t="s">
        <v>27</v>
      </c>
      <c r="B75" s="657" t="s">
        <v>28</v>
      </c>
      <c r="C75" s="656" t="s">
        <v>1335</v>
      </c>
      <c r="D75" s="657" t="s">
        <v>1661</v>
      </c>
      <c r="E75" s="657" t="s">
        <v>1662</v>
      </c>
      <c r="F75" s="661" t="s">
        <v>1663</v>
      </c>
      <c r="G75" s="661" t="s">
        <v>1664</v>
      </c>
      <c r="H75" s="592" t="s">
        <v>2002</v>
      </c>
      <c r="I75" s="591" t="s">
        <v>2003</v>
      </c>
      <c r="J75" s="726">
        <v>13</v>
      </c>
    </row>
    <row r="76" spans="1:10" ht="22.5" customHeight="1" x14ac:dyDescent="0.2">
      <c r="A76" s="459" t="s">
        <v>1665</v>
      </c>
      <c r="B76" s="485">
        <v>88316</v>
      </c>
      <c r="C76" s="484" t="s">
        <v>1831</v>
      </c>
      <c r="D76" s="485" t="s">
        <v>691</v>
      </c>
      <c r="E76" s="662">
        <f>J75*0.01</f>
        <v>0.13</v>
      </c>
      <c r="F76" s="486">
        <v>31.41</v>
      </c>
      <c r="G76" s="597">
        <f t="shared" ref="G76:G82" si="4">TRUNC(F76*$E76,2)</f>
        <v>4.08</v>
      </c>
      <c r="H76" s="733">
        <v>29.86</v>
      </c>
      <c r="I76" s="597">
        <f t="shared" ref="I76:I82" si="5">TRUNC(H76*$E76,2)</f>
        <v>3.88</v>
      </c>
      <c r="J76" s="726"/>
    </row>
    <row r="77" spans="1:10" ht="20.25" customHeight="1" x14ac:dyDescent="0.2">
      <c r="A77" s="459" t="s">
        <v>1665</v>
      </c>
      <c r="B77" s="485">
        <v>88309</v>
      </c>
      <c r="C77" s="484" t="s">
        <v>1832</v>
      </c>
      <c r="D77" s="485" t="s">
        <v>691</v>
      </c>
      <c r="E77" s="662">
        <f>J75*0.01</f>
        <v>0.13</v>
      </c>
      <c r="F77" s="486">
        <v>40.19</v>
      </c>
      <c r="G77" s="597">
        <f t="shared" si="4"/>
        <v>5.22</v>
      </c>
      <c r="H77" s="733">
        <v>38</v>
      </c>
      <c r="I77" s="597">
        <f t="shared" si="5"/>
        <v>4.9400000000000004</v>
      </c>
      <c r="J77" s="726" t="s">
        <v>1874</v>
      </c>
    </row>
    <row r="78" spans="1:10" ht="23.25" customHeight="1" x14ac:dyDescent="0.2">
      <c r="A78" s="234" t="s">
        <v>1665</v>
      </c>
      <c r="B78" s="557">
        <v>156</v>
      </c>
      <c r="C78" s="469" t="s">
        <v>2227</v>
      </c>
      <c r="D78" s="671" t="s">
        <v>1764</v>
      </c>
      <c r="E78" s="662">
        <f>J75*0.006</f>
        <v>7.8E-2</v>
      </c>
      <c r="F78" s="486">
        <v>59.74</v>
      </c>
      <c r="G78" s="597">
        <f t="shared" si="4"/>
        <v>4.6500000000000004</v>
      </c>
      <c r="H78" s="733">
        <v>59.74</v>
      </c>
      <c r="I78" s="597">
        <f t="shared" si="5"/>
        <v>4.6500000000000004</v>
      </c>
    </row>
    <row r="79" spans="1:10" ht="18.75" customHeight="1" x14ac:dyDescent="0.2">
      <c r="A79" s="234" t="s">
        <v>1796</v>
      </c>
      <c r="B79" s="557">
        <v>90023</v>
      </c>
      <c r="C79" s="484" t="s">
        <v>1868</v>
      </c>
      <c r="D79" s="485" t="s">
        <v>691</v>
      </c>
      <c r="E79" s="662">
        <f>J75*0.0017</f>
        <v>2.2099999999999998E-2</v>
      </c>
      <c r="F79" s="486">
        <v>20.76</v>
      </c>
      <c r="G79" s="597">
        <f t="shared" si="4"/>
        <v>0.45</v>
      </c>
      <c r="H79" s="733">
        <v>20.48</v>
      </c>
      <c r="I79" s="597">
        <f t="shared" si="5"/>
        <v>0.45</v>
      </c>
      <c r="J79" s="726"/>
    </row>
    <row r="80" spans="1:10" ht="19.5" customHeight="1" x14ac:dyDescent="0.2">
      <c r="A80" s="234" t="s">
        <v>1796</v>
      </c>
      <c r="B80" s="557">
        <v>94300</v>
      </c>
      <c r="C80" s="469" t="s">
        <v>1869</v>
      </c>
      <c r="D80" s="671" t="s">
        <v>1768</v>
      </c>
      <c r="E80" s="662">
        <f>J75*0.0018</f>
        <v>2.3400000000000001E-2</v>
      </c>
      <c r="F80" s="486">
        <v>34.08</v>
      </c>
      <c r="G80" s="597">
        <f t="shared" si="4"/>
        <v>0.79</v>
      </c>
      <c r="H80" s="733">
        <v>32.31</v>
      </c>
      <c r="I80" s="597">
        <f t="shared" si="5"/>
        <v>0.75</v>
      </c>
      <c r="J80" s="726"/>
    </row>
    <row r="81" spans="1:10" ht="18" customHeight="1" x14ac:dyDescent="0.2">
      <c r="A81" s="422" t="s">
        <v>1767</v>
      </c>
      <c r="B81" s="422" t="s">
        <v>2051</v>
      </c>
      <c r="C81" s="469" t="s">
        <v>2050</v>
      </c>
      <c r="D81" s="671" t="s">
        <v>1768</v>
      </c>
      <c r="E81" s="662">
        <f>J75*0.001</f>
        <v>1.3000000000000001E-2</v>
      </c>
      <c r="F81" s="486">
        <v>12.96</v>
      </c>
      <c r="G81" s="597">
        <f t="shared" si="4"/>
        <v>0.16</v>
      </c>
      <c r="H81" s="733">
        <v>12.96</v>
      </c>
      <c r="I81" s="597">
        <f t="shared" si="5"/>
        <v>0.16</v>
      </c>
    </row>
    <row r="82" spans="1:10" s="587" customFormat="1" ht="18" customHeight="1" x14ac:dyDescent="0.2">
      <c r="A82" s="422" t="s">
        <v>1837</v>
      </c>
      <c r="B82" s="699" t="s">
        <v>1867</v>
      </c>
      <c r="C82" s="484" t="s">
        <v>1866</v>
      </c>
      <c r="D82" s="485" t="s">
        <v>1865</v>
      </c>
      <c r="E82" s="662">
        <f>1/60</f>
        <v>1.6666666666666666E-2</v>
      </c>
      <c r="F82" s="486">
        <v>38.17</v>
      </c>
      <c r="G82" s="597">
        <f t="shared" si="4"/>
        <v>0.63</v>
      </c>
      <c r="H82" s="733">
        <v>38.17</v>
      </c>
      <c r="I82" s="597">
        <f t="shared" si="5"/>
        <v>0.63</v>
      </c>
      <c r="J82" s="726" t="s">
        <v>1894</v>
      </c>
    </row>
    <row r="83" spans="1:10" x14ac:dyDescent="0.2">
      <c r="A83" s="663"/>
      <c r="B83" s="663"/>
      <c r="C83" s="664" t="s">
        <v>1666</v>
      </c>
      <c r="D83" s="665"/>
      <c r="E83" s="666"/>
      <c r="F83" s="667"/>
      <c r="G83" s="667">
        <f>SUM(G76:G82)</f>
        <v>15.980000000000002</v>
      </c>
      <c r="H83" s="667"/>
      <c r="I83" s="667">
        <f>SUM(I76:I82)</f>
        <v>15.46</v>
      </c>
      <c r="J83" s="726"/>
    </row>
    <row r="84" spans="1:10" x14ac:dyDescent="0.2">
      <c r="A84" s="917" t="s">
        <v>1871</v>
      </c>
      <c r="B84" s="917"/>
      <c r="C84" s="917"/>
      <c r="D84" s="917"/>
      <c r="E84" s="917"/>
      <c r="F84" s="917"/>
      <c r="G84" s="917"/>
      <c r="H84" s="653"/>
      <c r="I84" s="653"/>
      <c r="J84" s="726"/>
    </row>
    <row r="85" spans="1:10" x14ac:dyDescent="0.2">
      <c r="D85" s="651"/>
      <c r="E85" s="652"/>
      <c r="F85" s="653"/>
      <c r="G85" s="653"/>
      <c r="H85" s="653"/>
      <c r="I85" s="653"/>
      <c r="J85" s="726"/>
    </row>
    <row r="86" spans="1:10" ht="35.25" customHeight="1" x14ac:dyDescent="0.2">
      <c r="A86" s="582" t="s">
        <v>2028</v>
      </c>
      <c r="B86" s="918" t="s">
        <v>1895</v>
      </c>
      <c r="C86" s="920"/>
      <c r="D86" s="583" t="s">
        <v>1765</v>
      </c>
      <c r="E86" s="584"/>
      <c r="F86" s="585"/>
      <c r="G86" s="583">
        <f>G95</f>
        <v>18.490000000000006</v>
      </c>
      <c r="H86" s="583"/>
      <c r="I86" s="583">
        <f>I95</f>
        <v>17.880000000000003</v>
      </c>
      <c r="J86" s="726" t="s">
        <v>1870</v>
      </c>
    </row>
    <row r="87" spans="1:10" x14ac:dyDescent="0.2">
      <c r="A87" s="657" t="s">
        <v>27</v>
      </c>
      <c r="B87" s="657" t="s">
        <v>28</v>
      </c>
      <c r="C87" s="656" t="s">
        <v>1335</v>
      </c>
      <c r="D87" s="657" t="s">
        <v>1661</v>
      </c>
      <c r="E87" s="657" t="s">
        <v>1662</v>
      </c>
      <c r="F87" s="661" t="s">
        <v>1663</v>
      </c>
      <c r="G87" s="661" t="s">
        <v>1664</v>
      </c>
      <c r="H87" s="592" t="s">
        <v>2002</v>
      </c>
      <c r="I87" s="591" t="s">
        <v>2003</v>
      </c>
      <c r="J87" s="726">
        <v>15</v>
      </c>
    </row>
    <row r="88" spans="1:10" ht="19.5" customHeight="1" x14ac:dyDescent="0.2">
      <c r="A88" s="459" t="s">
        <v>1665</v>
      </c>
      <c r="B88" s="485">
        <v>88316</v>
      </c>
      <c r="C88" s="484" t="s">
        <v>1831</v>
      </c>
      <c r="D88" s="485" t="s">
        <v>691</v>
      </c>
      <c r="E88" s="662">
        <f>J87*0.01</f>
        <v>0.15</v>
      </c>
      <c r="F88" s="486">
        <v>31.41</v>
      </c>
      <c r="G88" s="597">
        <f t="shared" ref="G88:G94" si="6">TRUNC(F88*$E88,2)</f>
        <v>4.71</v>
      </c>
      <c r="H88" s="733">
        <v>29.86</v>
      </c>
      <c r="I88" s="597">
        <f t="shared" ref="I88:I94" si="7">TRUNC(H88*$E88,2)</f>
        <v>4.47</v>
      </c>
      <c r="J88" s="726"/>
    </row>
    <row r="89" spans="1:10" ht="19.5" customHeight="1" x14ac:dyDescent="0.2">
      <c r="A89" s="459" t="s">
        <v>1665</v>
      </c>
      <c r="B89" s="485">
        <v>88309</v>
      </c>
      <c r="C89" s="484" t="s">
        <v>1832</v>
      </c>
      <c r="D89" s="485" t="s">
        <v>691</v>
      </c>
      <c r="E89" s="662">
        <f>J87*0.01</f>
        <v>0.15</v>
      </c>
      <c r="F89" s="486">
        <v>40.19</v>
      </c>
      <c r="G89" s="597">
        <f t="shared" si="6"/>
        <v>6.02</v>
      </c>
      <c r="H89" s="733">
        <v>38</v>
      </c>
      <c r="I89" s="597">
        <f t="shared" si="7"/>
        <v>5.7</v>
      </c>
      <c r="J89" s="726" t="s">
        <v>1874</v>
      </c>
    </row>
    <row r="90" spans="1:10" ht="19.5" customHeight="1" x14ac:dyDescent="0.2">
      <c r="A90" s="234" t="s">
        <v>1665</v>
      </c>
      <c r="B90" s="557">
        <v>156</v>
      </c>
      <c r="C90" s="469" t="s">
        <v>2227</v>
      </c>
      <c r="D90" s="671" t="s">
        <v>1764</v>
      </c>
      <c r="E90" s="662">
        <f>J87*0.006</f>
        <v>0.09</v>
      </c>
      <c r="F90" s="486">
        <v>59.74</v>
      </c>
      <c r="G90" s="597">
        <f t="shared" si="6"/>
        <v>5.37</v>
      </c>
      <c r="H90" s="733">
        <v>59.74</v>
      </c>
      <c r="I90" s="597">
        <f t="shared" si="7"/>
        <v>5.37</v>
      </c>
    </row>
    <row r="91" spans="1:10" ht="19.5" customHeight="1" x14ac:dyDescent="0.2">
      <c r="A91" s="234" t="s">
        <v>1796</v>
      </c>
      <c r="B91" s="557">
        <v>90023</v>
      </c>
      <c r="C91" s="484" t="s">
        <v>1868</v>
      </c>
      <c r="D91" s="485" t="s">
        <v>691</v>
      </c>
      <c r="E91" s="662">
        <f>J87*0.0017</f>
        <v>2.5499999999999998E-2</v>
      </c>
      <c r="F91" s="486">
        <v>20.76</v>
      </c>
      <c r="G91" s="597">
        <f t="shared" si="6"/>
        <v>0.52</v>
      </c>
      <c r="H91" s="733">
        <v>20.48</v>
      </c>
      <c r="I91" s="597">
        <f t="shared" si="7"/>
        <v>0.52</v>
      </c>
      <c r="J91" s="726"/>
    </row>
    <row r="92" spans="1:10" ht="19.5" customHeight="1" x14ac:dyDescent="0.2">
      <c r="A92" s="234" t="s">
        <v>1796</v>
      </c>
      <c r="B92" s="557">
        <v>94300</v>
      </c>
      <c r="C92" s="469" t="s">
        <v>1869</v>
      </c>
      <c r="D92" s="671" t="s">
        <v>1768</v>
      </c>
      <c r="E92" s="662">
        <f>J87*0.0018</f>
        <v>2.7E-2</v>
      </c>
      <c r="F92" s="486">
        <v>34.08</v>
      </c>
      <c r="G92" s="597">
        <f t="shared" si="6"/>
        <v>0.92</v>
      </c>
      <c r="H92" s="733">
        <v>32.31</v>
      </c>
      <c r="I92" s="597">
        <f t="shared" si="7"/>
        <v>0.87</v>
      </c>
      <c r="J92" s="726"/>
    </row>
    <row r="93" spans="1:10" ht="19.5" customHeight="1" x14ac:dyDescent="0.2">
      <c r="A93" s="422" t="s">
        <v>1767</v>
      </c>
      <c r="B93" s="422" t="s">
        <v>2051</v>
      </c>
      <c r="C93" s="469" t="s">
        <v>2050</v>
      </c>
      <c r="D93" s="671" t="s">
        <v>1768</v>
      </c>
      <c r="E93" s="662">
        <f>J87*0.001</f>
        <v>1.4999999999999999E-2</v>
      </c>
      <c r="F93" s="486">
        <v>12.96</v>
      </c>
      <c r="G93" s="597">
        <f t="shared" si="6"/>
        <v>0.19</v>
      </c>
      <c r="H93" s="733">
        <v>12.96</v>
      </c>
      <c r="I93" s="597">
        <f t="shared" si="7"/>
        <v>0.19</v>
      </c>
    </row>
    <row r="94" spans="1:10" s="587" customFormat="1" ht="19.5" customHeight="1" x14ac:dyDescent="0.2">
      <c r="A94" s="422" t="s">
        <v>1837</v>
      </c>
      <c r="B94" s="699" t="s">
        <v>1867</v>
      </c>
      <c r="C94" s="484" t="s">
        <v>1866</v>
      </c>
      <c r="D94" s="485" t="s">
        <v>1865</v>
      </c>
      <c r="E94" s="662">
        <f>1/50</f>
        <v>0.02</v>
      </c>
      <c r="F94" s="486">
        <v>38.17</v>
      </c>
      <c r="G94" s="597">
        <f t="shared" si="6"/>
        <v>0.76</v>
      </c>
      <c r="H94" s="733">
        <v>38.17</v>
      </c>
      <c r="I94" s="597">
        <f t="shared" si="7"/>
        <v>0.76</v>
      </c>
      <c r="J94" s="726" t="s">
        <v>1875</v>
      </c>
    </row>
    <row r="95" spans="1:10" ht="19.5" customHeight="1" x14ac:dyDescent="0.2">
      <c r="A95" s="663"/>
      <c r="B95" s="663"/>
      <c r="C95" s="664" t="s">
        <v>1666</v>
      </c>
      <c r="D95" s="665"/>
      <c r="E95" s="666"/>
      <c r="F95" s="667"/>
      <c r="G95" s="667">
        <f>SUM(G88:G94)</f>
        <v>18.490000000000006</v>
      </c>
      <c r="H95" s="667"/>
      <c r="I95" s="667">
        <f>SUM(I88:I94)</f>
        <v>17.880000000000003</v>
      </c>
      <c r="J95" s="726"/>
    </row>
    <row r="96" spans="1:10" x14ac:dyDescent="0.2">
      <c r="A96" s="917" t="s">
        <v>1871</v>
      </c>
      <c r="B96" s="917"/>
      <c r="C96" s="917"/>
      <c r="D96" s="917"/>
      <c r="E96" s="917"/>
      <c r="F96" s="917"/>
      <c r="G96" s="917"/>
      <c r="H96" s="653"/>
      <c r="I96" s="653"/>
      <c r="J96" s="726"/>
    </row>
    <row r="97" spans="1:10" x14ac:dyDescent="0.2">
      <c r="D97" s="651"/>
      <c r="E97" s="652"/>
      <c r="F97" s="653"/>
      <c r="G97" s="653"/>
      <c r="H97" s="653"/>
      <c r="I97" s="653"/>
      <c r="J97" s="726"/>
    </row>
    <row r="98" spans="1:10" ht="32.25" customHeight="1" x14ac:dyDescent="0.2">
      <c r="A98" s="582" t="s">
        <v>2026</v>
      </c>
      <c r="B98" s="918" t="s">
        <v>1893</v>
      </c>
      <c r="C98" s="920"/>
      <c r="D98" s="583" t="s">
        <v>1765</v>
      </c>
      <c r="E98" s="584"/>
      <c r="F98" s="585"/>
      <c r="G98" s="583">
        <f>G107</f>
        <v>22.240000000000002</v>
      </c>
      <c r="H98" s="583"/>
      <c r="I98" s="583">
        <f>I107</f>
        <v>21.5</v>
      </c>
      <c r="J98" s="726" t="s">
        <v>1870</v>
      </c>
    </row>
    <row r="99" spans="1:10" x14ac:dyDescent="0.2">
      <c r="A99" s="657" t="s">
        <v>27</v>
      </c>
      <c r="B99" s="657" t="s">
        <v>28</v>
      </c>
      <c r="C99" s="656" t="s">
        <v>1335</v>
      </c>
      <c r="D99" s="657" t="s">
        <v>1661</v>
      </c>
      <c r="E99" s="657" t="s">
        <v>1662</v>
      </c>
      <c r="F99" s="661" t="s">
        <v>1663</v>
      </c>
      <c r="G99" s="661" t="s">
        <v>1664</v>
      </c>
      <c r="H99" s="592" t="s">
        <v>2002</v>
      </c>
      <c r="I99" s="591" t="s">
        <v>2003</v>
      </c>
      <c r="J99" s="726">
        <v>18</v>
      </c>
    </row>
    <row r="100" spans="1:10" ht="19.5" customHeight="1" x14ac:dyDescent="0.2">
      <c r="A100" s="459" t="s">
        <v>1665</v>
      </c>
      <c r="B100" s="485">
        <v>88316</v>
      </c>
      <c r="C100" s="484" t="s">
        <v>1831</v>
      </c>
      <c r="D100" s="485" t="s">
        <v>691</v>
      </c>
      <c r="E100" s="662">
        <f>J99*0.01</f>
        <v>0.18</v>
      </c>
      <c r="F100" s="486">
        <v>31.41</v>
      </c>
      <c r="G100" s="597">
        <f t="shared" ref="G100:G106" si="8">TRUNC(F100*$E100,2)</f>
        <v>5.65</v>
      </c>
      <c r="H100" s="733">
        <v>29.86</v>
      </c>
      <c r="I100" s="597">
        <f t="shared" ref="I100:I106" si="9">TRUNC(H100*$E100,2)</f>
        <v>5.37</v>
      </c>
      <c r="J100" s="726"/>
    </row>
    <row r="101" spans="1:10" ht="19.5" customHeight="1" x14ac:dyDescent="0.2">
      <c r="A101" s="459" t="s">
        <v>1665</v>
      </c>
      <c r="B101" s="485">
        <v>88309</v>
      </c>
      <c r="C101" s="484" t="s">
        <v>1832</v>
      </c>
      <c r="D101" s="485" t="s">
        <v>691</v>
      </c>
      <c r="E101" s="662">
        <f>J99*0.01</f>
        <v>0.18</v>
      </c>
      <c r="F101" s="486">
        <v>40.19</v>
      </c>
      <c r="G101" s="597">
        <f t="shared" si="8"/>
        <v>7.23</v>
      </c>
      <c r="H101" s="733">
        <v>38</v>
      </c>
      <c r="I101" s="597">
        <f t="shared" si="9"/>
        <v>6.84</v>
      </c>
      <c r="J101" s="726" t="s">
        <v>1874</v>
      </c>
    </row>
    <row r="102" spans="1:10" ht="19.5" customHeight="1" x14ac:dyDescent="0.2">
      <c r="A102" s="234" t="s">
        <v>1665</v>
      </c>
      <c r="B102" s="557">
        <v>156</v>
      </c>
      <c r="C102" s="469" t="s">
        <v>2227</v>
      </c>
      <c r="D102" s="671" t="s">
        <v>1764</v>
      </c>
      <c r="E102" s="662">
        <f>J99*0.006</f>
        <v>0.108</v>
      </c>
      <c r="F102" s="486">
        <v>59.74</v>
      </c>
      <c r="G102" s="597">
        <f t="shared" si="8"/>
        <v>6.45</v>
      </c>
      <c r="H102" s="733">
        <v>59.74</v>
      </c>
      <c r="I102" s="597">
        <f t="shared" si="9"/>
        <v>6.45</v>
      </c>
    </row>
    <row r="103" spans="1:10" ht="19.5" customHeight="1" x14ac:dyDescent="0.2">
      <c r="A103" s="234" t="s">
        <v>1796</v>
      </c>
      <c r="B103" s="557">
        <v>90023</v>
      </c>
      <c r="C103" s="484" t="s">
        <v>1868</v>
      </c>
      <c r="D103" s="485" t="s">
        <v>691</v>
      </c>
      <c r="E103" s="662">
        <f>J99*0.0017</f>
        <v>3.0599999999999999E-2</v>
      </c>
      <c r="F103" s="486">
        <v>20.76</v>
      </c>
      <c r="G103" s="597">
        <f t="shared" si="8"/>
        <v>0.63</v>
      </c>
      <c r="H103" s="733">
        <v>20.48</v>
      </c>
      <c r="I103" s="597">
        <f t="shared" si="9"/>
        <v>0.62</v>
      </c>
      <c r="J103" s="726"/>
    </row>
    <row r="104" spans="1:10" ht="19.5" customHeight="1" x14ac:dyDescent="0.2">
      <c r="A104" s="234" t="s">
        <v>1796</v>
      </c>
      <c r="B104" s="557">
        <v>94300</v>
      </c>
      <c r="C104" s="469" t="s">
        <v>1869</v>
      </c>
      <c r="D104" s="671" t="s">
        <v>1768</v>
      </c>
      <c r="E104" s="662">
        <f>J99*0.0018</f>
        <v>3.2399999999999998E-2</v>
      </c>
      <c r="F104" s="486">
        <v>34.08</v>
      </c>
      <c r="G104" s="597">
        <f t="shared" si="8"/>
        <v>1.1000000000000001</v>
      </c>
      <c r="H104" s="733">
        <v>32.31</v>
      </c>
      <c r="I104" s="597">
        <f t="shared" si="9"/>
        <v>1.04</v>
      </c>
      <c r="J104" s="726"/>
    </row>
    <row r="105" spans="1:10" ht="19.5" customHeight="1" x14ac:dyDescent="0.2">
      <c r="A105" s="422" t="s">
        <v>1767</v>
      </c>
      <c r="B105" s="422" t="s">
        <v>2051</v>
      </c>
      <c r="C105" s="469" t="s">
        <v>2050</v>
      </c>
      <c r="D105" s="671" t="s">
        <v>1768</v>
      </c>
      <c r="E105" s="662">
        <f>J99*0.001</f>
        <v>1.8000000000000002E-2</v>
      </c>
      <c r="F105" s="486">
        <v>12.96</v>
      </c>
      <c r="G105" s="597">
        <f t="shared" si="8"/>
        <v>0.23</v>
      </c>
      <c r="H105" s="733">
        <v>12.96</v>
      </c>
      <c r="I105" s="597">
        <f t="shared" si="9"/>
        <v>0.23</v>
      </c>
    </row>
    <row r="106" spans="1:10" s="587" customFormat="1" ht="19.5" customHeight="1" x14ac:dyDescent="0.2">
      <c r="A106" s="422" t="s">
        <v>1837</v>
      </c>
      <c r="B106" s="699" t="s">
        <v>1867</v>
      </c>
      <c r="C106" s="484" t="s">
        <v>1866</v>
      </c>
      <c r="D106" s="485" t="s">
        <v>1865</v>
      </c>
      <c r="E106" s="662">
        <f>1/40</f>
        <v>2.5000000000000001E-2</v>
      </c>
      <c r="F106" s="486">
        <v>38.17</v>
      </c>
      <c r="G106" s="597">
        <f t="shared" si="8"/>
        <v>0.95</v>
      </c>
      <c r="H106" s="733">
        <v>38.17</v>
      </c>
      <c r="I106" s="597">
        <f t="shared" si="9"/>
        <v>0.95</v>
      </c>
      <c r="J106" s="726" t="s">
        <v>1872</v>
      </c>
    </row>
    <row r="107" spans="1:10" ht="17.25" customHeight="1" x14ac:dyDescent="0.2">
      <c r="A107" s="663"/>
      <c r="B107" s="663"/>
      <c r="C107" s="664" t="s">
        <v>1666</v>
      </c>
      <c r="D107" s="665"/>
      <c r="E107" s="666"/>
      <c r="F107" s="667"/>
      <c r="G107" s="667">
        <f>SUM(G100:G106)</f>
        <v>22.240000000000002</v>
      </c>
      <c r="H107" s="667"/>
      <c r="I107" s="667">
        <f>SUM(I100:I106)</f>
        <v>21.5</v>
      </c>
      <c r="J107" s="726"/>
    </row>
    <row r="108" spans="1:10" x14ac:dyDescent="0.2">
      <c r="A108" s="917" t="s">
        <v>1871</v>
      </c>
      <c r="B108" s="917"/>
      <c r="C108" s="917"/>
      <c r="D108" s="917"/>
      <c r="E108" s="917"/>
      <c r="F108" s="917"/>
      <c r="G108" s="917"/>
      <c r="H108" s="660"/>
      <c r="I108" s="660"/>
      <c r="J108" s="726"/>
    </row>
    <row r="109" spans="1:10" x14ac:dyDescent="0.2">
      <c r="D109" s="651"/>
      <c r="E109" s="652"/>
      <c r="F109" s="653"/>
      <c r="G109" s="653"/>
      <c r="H109" s="653"/>
      <c r="I109" s="653"/>
      <c r="J109" s="726"/>
    </row>
    <row r="110" spans="1:10" ht="36.75" customHeight="1" x14ac:dyDescent="0.2">
      <c r="A110" s="582" t="s">
        <v>2027</v>
      </c>
      <c r="B110" s="918" t="s">
        <v>1826</v>
      </c>
      <c r="C110" s="920"/>
      <c r="D110" s="583" t="s">
        <v>42</v>
      </c>
      <c r="E110" s="584"/>
      <c r="F110" s="585"/>
      <c r="G110" s="583">
        <f>G116</f>
        <v>100.88</v>
      </c>
      <c r="H110" s="583"/>
      <c r="I110" s="583">
        <f>I116</f>
        <v>97.02</v>
      </c>
    </row>
    <row r="111" spans="1:10" x14ac:dyDescent="0.2">
      <c r="A111" s="657" t="s">
        <v>27</v>
      </c>
      <c r="B111" s="657" t="s">
        <v>28</v>
      </c>
      <c r="C111" s="656" t="s">
        <v>1335</v>
      </c>
      <c r="D111" s="657" t="s">
        <v>1661</v>
      </c>
      <c r="E111" s="657" t="s">
        <v>1662</v>
      </c>
      <c r="F111" s="661" t="s">
        <v>1663</v>
      </c>
      <c r="G111" s="661" t="s">
        <v>1664</v>
      </c>
      <c r="H111" s="592" t="s">
        <v>2002</v>
      </c>
      <c r="I111" s="591" t="s">
        <v>2003</v>
      </c>
      <c r="J111" s="726"/>
    </row>
    <row r="112" spans="1:10" ht="38.25" x14ac:dyDescent="0.2">
      <c r="A112" s="459" t="s">
        <v>1665</v>
      </c>
      <c r="B112" s="485">
        <v>94965</v>
      </c>
      <c r="C112" s="484" t="s">
        <v>2034</v>
      </c>
      <c r="D112" s="485" t="s">
        <v>25</v>
      </c>
      <c r="E112" s="662">
        <v>6.2E-2</v>
      </c>
      <c r="F112" s="486">
        <v>555.29</v>
      </c>
      <c r="G112" s="597">
        <f t="shared" ref="G112:G115" si="10">TRUNC(F112*$E112,2)</f>
        <v>34.42</v>
      </c>
      <c r="H112" s="733">
        <v>548.62</v>
      </c>
      <c r="I112" s="597">
        <f t="shared" ref="I112:I115" si="11">TRUNC(H112*$E112,2)</f>
        <v>34.01</v>
      </c>
      <c r="J112" s="726"/>
    </row>
    <row r="113" spans="1:10" ht="25.5" x14ac:dyDescent="0.2">
      <c r="A113" s="459" t="s">
        <v>1665</v>
      </c>
      <c r="B113" s="485">
        <v>103673</v>
      </c>
      <c r="C113" s="484" t="s">
        <v>1823</v>
      </c>
      <c r="D113" s="485" t="s">
        <v>25</v>
      </c>
      <c r="E113" s="662">
        <v>6.2E-2</v>
      </c>
      <c r="F113" s="486">
        <v>60.26</v>
      </c>
      <c r="G113" s="597">
        <f>TRUNC(F113*$E113,2)</f>
        <v>3.73</v>
      </c>
      <c r="H113" s="733">
        <v>57.21</v>
      </c>
      <c r="I113" s="597">
        <f t="shared" si="11"/>
        <v>3.54</v>
      </c>
      <c r="J113" s="726"/>
    </row>
    <row r="114" spans="1:10" ht="18.75" customHeight="1" x14ac:dyDescent="0.2">
      <c r="A114" s="459" t="s">
        <v>1665</v>
      </c>
      <c r="B114" s="485">
        <v>88309</v>
      </c>
      <c r="C114" s="484" t="s">
        <v>1832</v>
      </c>
      <c r="D114" s="485" t="s">
        <v>691</v>
      </c>
      <c r="E114" s="662">
        <v>0.79500000000000004</v>
      </c>
      <c r="F114" s="486">
        <v>40.19</v>
      </c>
      <c r="G114" s="597">
        <f t="shared" si="10"/>
        <v>31.95</v>
      </c>
      <c r="H114" s="733">
        <v>38</v>
      </c>
      <c r="I114" s="597">
        <f t="shared" si="11"/>
        <v>30.21</v>
      </c>
      <c r="J114" s="726"/>
    </row>
    <row r="115" spans="1:10" ht="24" customHeight="1" x14ac:dyDescent="0.2">
      <c r="A115" s="459" t="s">
        <v>1665</v>
      </c>
      <c r="B115" s="485">
        <v>88316</v>
      </c>
      <c r="C115" s="484" t="s">
        <v>1831</v>
      </c>
      <c r="D115" s="485" t="s">
        <v>691</v>
      </c>
      <c r="E115" s="662">
        <v>0.98</v>
      </c>
      <c r="F115" s="486">
        <v>31.41</v>
      </c>
      <c r="G115" s="597">
        <f t="shared" si="10"/>
        <v>30.78</v>
      </c>
      <c r="H115" s="733">
        <v>29.86</v>
      </c>
      <c r="I115" s="597">
        <f t="shared" si="11"/>
        <v>29.26</v>
      </c>
      <c r="J115" s="726"/>
    </row>
    <row r="116" spans="1:10" x14ac:dyDescent="0.2">
      <c r="A116" s="663"/>
      <c r="B116" s="663"/>
      <c r="C116" s="664" t="s">
        <v>1666</v>
      </c>
      <c r="D116" s="665"/>
      <c r="E116" s="666"/>
      <c r="F116" s="667"/>
      <c r="G116" s="667">
        <f>SUM(G112:G115)</f>
        <v>100.88</v>
      </c>
      <c r="H116" s="667"/>
      <c r="I116" s="667">
        <f>SUM(I112:I115)</f>
        <v>97.02</v>
      </c>
      <c r="J116" s="726"/>
    </row>
    <row r="117" spans="1:10" x14ac:dyDescent="0.2">
      <c r="A117" s="917" t="s">
        <v>2033</v>
      </c>
      <c r="B117" s="917"/>
      <c r="C117" s="917"/>
      <c r="D117" s="917"/>
      <c r="E117" s="917"/>
      <c r="F117" s="917"/>
      <c r="G117" s="917"/>
      <c r="J117" s="726"/>
    </row>
    <row r="118" spans="1:10" x14ac:dyDescent="0.2">
      <c r="J118" s="726"/>
    </row>
    <row r="119" spans="1:10" x14ac:dyDescent="0.2">
      <c r="A119" s="582" t="s">
        <v>1877</v>
      </c>
      <c r="B119" s="918" t="s">
        <v>1884</v>
      </c>
      <c r="C119" s="920"/>
      <c r="D119" s="583" t="s">
        <v>25</v>
      </c>
      <c r="E119" s="584"/>
      <c r="F119" s="585"/>
      <c r="G119" s="583">
        <f>G124</f>
        <v>24.07</v>
      </c>
      <c r="H119" s="583"/>
      <c r="I119" s="583">
        <f>I124</f>
        <v>22.919999999999998</v>
      </c>
    </row>
    <row r="120" spans="1:10" x14ac:dyDescent="0.2">
      <c r="A120" s="657" t="s">
        <v>27</v>
      </c>
      <c r="B120" s="657" t="s">
        <v>28</v>
      </c>
      <c r="C120" s="656" t="s">
        <v>1335</v>
      </c>
      <c r="D120" s="657" t="s">
        <v>1661</v>
      </c>
      <c r="E120" s="657" t="s">
        <v>1662</v>
      </c>
      <c r="F120" s="661" t="s">
        <v>1663</v>
      </c>
      <c r="G120" s="661" t="s">
        <v>1664</v>
      </c>
      <c r="H120" s="592" t="s">
        <v>2002</v>
      </c>
      <c r="I120" s="591" t="s">
        <v>2003</v>
      </c>
      <c r="J120" s="726"/>
    </row>
    <row r="121" spans="1:10" ht="25.5" x14ac:dyDescent="0.2">
      <c r="A121" s="459" t="s">
        <v>1665</v>
      </c>
      <c r="B121" s="485">
        <v>371</v>
      </c>
      <c r="C121" s="484" t="s">
        <v>2036</v>
      </c>
      <c r="D121" s="485" t="s">
        <v>1764</v>
      </c>
      <c r="E121" s="662">
        <v>2.8</v>
      </c>
      <c r="F121" s="486">
        <v>0.91</v>
      </c>
      <c r="G121" s="597">
        <f t="shared" ref="G121:G123" si="12">TRUNC(F121*$E121,2)</f>
        <v>2.54</v>
      </c>
      <c r="H121" s="733">
        <v>0.91</v>
      </c>
      <c r="I121" s="597">
        <f t="shared" ref="I121:I123" si="13">TRUNC(H121*$E121,2)</f>
        <v>2.54</v>
      </c>
      <c r="J121" s="726"/>
    </row>
    <row r="122" spans="1:10" ht="18.75" customHeight="1" x14ac:dyDescent="0.2">
      <c r="A122" s="459" t="s">
        <v>1665</v>
      </c>
      <c r="B122" s="485">
        <v>88309</v>
      </c>
      <c r="C122" s="484" t="s">
        <v>1832</v>
      </c>
      <c r="D122" s="485" t="s">
        <v>691</v>
      </c>
      <c r="E122" s="662">
        <v>0.39600000000000002</v>
      </c>
      <c r="F122" s="486">
        <v>40.19</v>
      </c>
      <c r="G122" s="597">
        <f>TRUNC(F122*$E122,2)</f>
        <v>15.91</v>
      </c>
      <c r="H122" s="733">
        <v>38</v>
      </c>
      <c r="I122" s="597">
        <f t="shared" si="13"/>
        <v>15.04</v>
      </c>
      <c r="J122" s="726"/>
    </row>
    <row r="123" spans="1:10" ht="18.75" customHeight="1" x14ac:dyDescent="0.2">
      <c r="A123" s="459" t="s">
        <v>1665</v>
      </c>
      <c r="B123" s="485">
        <v>88316</v>
      </c>
      <c r="C123" s="484" t="s">
        <v>1831</v>
      </c>
      <c r="D123" s="485" t="s">
        <v>691</v>
      </c>
      <c r="E123" s="662">
        <v>0.17899999999999999</v>
      </c>
      <c r="F123" s="486">
        <v>31.41</v>
      </c>
      <c r="G123" s="597">
        <f t="shared" si="12"/>
        <v>5.62</v>
      </c>
      <c r="H123" s="733">
        <v>29.86</v>
      </c>
      <c r="I123" s="597">
        <f t="shared" si="13"/>
        <v>5.34</v>
      </c>
      <c r="J123" s="726"/>
    </row>
    <row r="124" spans="1:10" x14ac:dyDescent="0.2">
      <c r="A124" s="663"/>
      <c r="B124" s="663"/>
      <c r="C124" s="664" t="s">
        <v>1666</v>
      </c>
      <c r="D124" s="665"/>
      <c r="E124" s="666"/>
      <c r="F124" s="667"/>
      <c r="G124" s="667">
        <f>SUM(G121:G123)</f>
        <v>24.07</v>
      </c>
      <c r="H124" s="667"/>
      <c r="I124" s="667">
        <f>SUM(I121:I123)</f>
        <v>22.919999999999998</v>
      </c>
      <c r="J124" s="726"/>
    </row>
    <row r="125" spans="1:10" x14ac:dyDescent="0.2">
      <c r="A125" s="917" t="s">
        <v>2035</v>
      </c>
      <c r="B125" s="917"/>
      <c r="C125" s="917"/>
      <c r="D125" s="917"/>
      <c r="E125" s="917"/>
      <c r="F125" s="917"/>
      <c r="G125" s="917"/>
      <c r="H125" s="653"/>
      <c r="I125" s="653"/>
      <c r="J125" s="726"/>
    </row>
    <row r="126" spans="1:10" x14ac:dyDescent="0.2">
      <c r="D126" s="651"/>
      <c r="E126" s="652"/>
      <c r="F126" s="653"/>
      <c r="G126" s="653"/>
      <c r="H126" s="653"/>
      <c r="I126" s="653"/>
      <c r="J126" s="726"/>
    </row>
    <row r="127" spans="1:10" x14ac:dyDescent="0.2">
      <c r="A127" s="582" t="s">
        <v>1892</v>
      </c>
      <c r="B127" s="918" t="s">
        <v>1856</v>
      </c>
      <c r="C127" s="920"/>
      <c r="D127" s="583" t="s">
        <v>1672</v>
      </c>
      <c r="E127" s="584"/>
      <c r="F127" s="585"/>
      <c r="G127" s="583">
        <f>G132</f>
        <v>48.54</v>
      </c>
      <c r="H127" s="583"/>
      <c r="I127" s="583">
        <f>I132</f>
        <v>45.97</v>
      </c>
    </row>
    <row r="128" spans="1:10" x14ac:dyDescent="0.2">
      <c r="A128" s="657" t="s">
        <v>27</v>
      </c>
      <c r="B128" s="657" t="s">
        <v>28</v>
      </c>
      <c r="C128" s="656" t="s">
        <v>1335</v>
      </c>
      <c r="D128" s="657" t="s">
        <v>1661</v>
      </c>
      <c r="E128" s="657" t="s">
        <v>1662</v>
      </c>
      <c r="F128" s="661" t="s">
        <v>1663</v>
      </c>
      <c r="G128" s="661" t="s">
        <v>1664</v>
      </c>
      <c r="H128" s="592" t="s">
        <v>2002</v>
      </c>
      <c r="I128" s="591" t="s">
        <v>2003</v>
      </c>
      <c r="J128" s="726"/>
    </row>
    <row r="129" spans="1:10" ht="19.5" customHeight="1" x14ac:dyDescent="0.2">
      <c r="A129" s="459" t="s">
        <v>1665</v>
      </c>
      <c r="B129" s="485">
        <v>90776</v>
      </c>
      <c r="C129" s="484" t="s">
        <v>2043</v>
      </c>
      <c r="D129" s="485" t="s">
        <v>691</v>
      </c>
      <c r="E129" s="662">
        <v>0.14899999999999999</v>
      </c>
      <c r="F129" s="486">
        <v>51.68</v>
      </c>
      <c r="G129" s="597">
        <f>TRUNC(F129*$E129,2)</f>
        <v>7.7</v>
      </c>
      <c r="H129" s="733">
        <v>48.58</v>
      </c>
      <c r="I129" s="597">
        <f>TRUNC(H129*$E129,2)</f>
        <v>7.23</v>
      </c>
      <c r="J129" s="726"/>
    </row>
    <row r="130" spans="1:10" ht="19.5" customHeight="1" x14ac:dyDescent="0.2">
      <c r="A130" s="459" t="s">
        <v>1665</v>
      </c>
      <c r="B130" s="485">
        <v>88309</v>
      </c>
      <c r="C130" s="484" t="s">
        <v>1832</v>
      </c>
      <c r="D130" s="485" t="s">
        <v>691</v>
      </c>
      <c r="E130" s="662">
        <v>0.39600000000000002</v>
      </c>
      <c r="F130" s="486">
        <v>40.19</v>
      </c>
      <c r="G130" s="597">
        <f>TRUNC(F130*$E130,2)</f>
        <v>15.91</v>
      </c>
      <c r="H130" s="733">
        <v>38</v>
      </c>
      <c r="I130" s="597">
        <f>TRUNC(H130*$E130,2)</f>
        <v>15.04</v>
      </c>
      <c r="J130" s="726"/>
    </row>
    <row r="131" spans="1:10" ht="19.5" customHeight="1" x14ac:dyDescent="0.2">
      <c r="A131" s="459" t="s">
        <v>1665</v>
      </c>
      <c r="B131" s="485">
        <v>88316</v>
      </c>
      <c r="C131" s="484" t="s">
        <v>1831</v>
      </c>
      <c r="D131" s="485" t="s">
        <v>691</v>
      </c>
      <c r="E131" s="662">
        <v>0.79400000000000004</v>
      </c>
      <c r="F131" s="486">
        <v>31.41</v>
      </c>
      <c r="G131" s="597">
        <f>TRUNC(F131*$E131,2)</f>
        <v>24.93</v>
      </c>
      <c r="H131" s="733">
        <v>29.86</v>
      </c>
      <c r="I131" s="597">
        <f>TRUNC(H131*$E131,2)</f>
        <v>23.7</v>
      </c>
      <c r="J131" s="726"/>
    </row>
    <row r="132" spans="1:10" x14ac:dyDescent="0.2">
      <c r="A132" s="663"/>
      <c r="B132" s="663"/>
      <c r="C132" s="664" t="s">
        <v>1666</v>
      </c>
      <c r="D132" s="665"/>
      <c r="E132" s="666"/>
      <c r="F132" s="667"/>
      <c r="G132" s="667">
        <f>SUM(G129:G131)</f>
        <v>48.54</v>
      </c>
      <c r="H132" s="667"/>
      <c r="I132" s="667">
        <f>SUM(I129:I131)</f>
        <v>45.97</v>
      </c>
      <c r="J132" s="726"/>
    </row>
    <row r="133" spans="1:10" x14ac:dyDescent="0.2">
      <c r="A133" s="917" t="s">
        <v>2042</v>
      </c>
      <c r="B133" s="917"/>
      <c r="C133" s="917"/>
      <c r="D133" s="917"/>
      <c r="E133" s="917"/>
      <c r="F133" s="917"/>
      <c r="G133" s="917"/>
      <c r="H133" s="653"/>
      <c r="I133" s="653"/>
      <c r="J133" s="726"/>
    </row>
    <row r="135" spans="1:10" x14ac:dyDescent="0.2">
      <c r="A135" s="582" t="s">
        <v>1807</v>
      </c>
      <c r="B135" s="918" t="s">
        <v>2037</v>
      </c>
      <c r="C135" s="920"/>
      <c r="D135" s="583" t="s">
        <v>25</v>
      </c>
      <c r="E135" s="584"/>
      <c r="F135" s="585"/>
      <c r="G135" s="583">
        <f>G140</f>
        <v>16.23</v>
      </c>
      <c r="H135" s="583"/>
      <c r="I135" s="583">
        <f>I140</f>
        <v>15.74</v>
      </c>
    </row>
    <row r="136" spans="1:10" x14ac:dyDescent="0.2">
      <c r="A136" s="657" t="s">
        <v>27</v>
      </c>
      <c r="B136" s="657" t="s">
        <v>28</v>
      </c>
      <c r="C136" s="656" t="s">
        <v>1335</v>
      </c>
      <c r="D136" s="657" t="s">
        <v>1661</v>
      </c>
      <c r="E136" s="657" t="s">
        <v>1662</v>
      </c>
      <c r="F136" s="661" t="s">
        <v>1663</v>
      </c>
      <c r="G136" s="661" t="s">
        <v>1664</v>
      </c>
      <c r="H136" s="592" t="s">
        <v>2002</v>
      </c>
      <c r="I136" s="591" t="s">
        <v>2003</v>
      </c>
      <c r="J136" s="726"/>
    </row>
    <row r="137" spans="1:10" ht="18.75" customHeight="1" x14ac:dyDescent="0.2">
      <c r="A137" s="459" t="s">
        <v>1665</v>
      </c>
      <c r="B137" s="485">
        <v>7348</v>
      </c>
      <c r="C137" s="484" t="s">
        <v>2040</v>
      </c>
      <c r="D137" s="485" t="s">
        <v>2041</v>
      </c>
      <c r="E137" s="662">
        <v>0.33</v>
      </c>
      <c r="F137" s="486">
        <v>20.239999999999998</v>
      </c>
      <c r="G137" s="597">
        <f t="shared" ref="G137:G139" si="14">TRUNC(F137*$E137,2)</f>
        <v>6.67</v>
      </c>
      <c r="H137" s="733">
        <v>20.239999999999998</v>
      </c>
      <c r="I137" s="597">
        <f t="shared" ref="I137:I139" si="15">TRUNC(H137*$E137,2)</f>
        <v>6.67</v>
      </c>
      <c r="J137" s="726"/>
    </row>
    <row r="138" spans="1:10" ht="18.75" customHeight="1" x14ac:dyDescent="0.2">
      <c r="A138" s="459" t="s">
        <v>1665</v>
      </c>
      <c r="B138" s="485">
        <v>88310</v>
      </c>
      <c r="C138" s="484" t="s">
        <v>2039</v>
      </c>
      <c r="D138" s="485" t="s">
        <v>691</v>
      </c>
      <c r="E138" s="662">
        <v>0.18</v>
      </c>
      <c r="F138" s="486">
        <v>41.65</v>
      </c>
      <c r="G138" s="597">
        <f>TRUNC(F138*$E138,2)</f>
        <v>7.49</v>
      </c>
      <c r="H138" s="733">
        <v>39.479999999999997</v>
      </c>
      <c r="I138" s="597">
        <f t="shared" si="15"/>
        <v>7.1</v>
      </c>
      <c r="J138" s="726"/>
    </row>
    <row r="139" spans="1:10" ht="18.75" customHeight="1" x14ac:dyDescent="0.2">
      <c r="A139" s="459" t="s">
        <v>1665</v>
      </c>
      <c r="B139" s="485">
        <v>88316</v>
      </c>
      <c r="C139" s="484" t="s">
        <v>1831</v>
      </c>
      <c r="D139" s="485" t="s">
        <v>691</v>
      </c>
      <c r="E139" s="662">
        <v>6.6000000000000003E-2</v>
      </c>
      <c r="F139" s="486">
        <v>31.41</v>
      </c>
      <c r="G139" s="597">
        <f t="shared" si="14"/>
        <v>2.0699999999999998</v>
      </c>
      <c r="H139" s="733">
        <v>29.86</v>
      </c>
      <c r="I139" s="597">
        <f t="shared" si="15"/>
        <v>1.97</v>
      </c>
      <c r="J139" s="726"/>
    </row>
    <row r="140" spans="1:10" x14ac:dyDescent="0.2">
      <c r="A140" s="663"/>
      <c r="B140" s="663"/>
      <c r="C140" s="664" t="s">
        <v>1666</v>
      </c>
      <c r="D140" s="665"/>
      <c r="E140" s="666"/>
      <c r="F140" s="667"/>
      <c r="G140" s="667">
        <f>SUM(G137:G139)</f>
        <v>16.23</v>
      </c>
      <c r="H140" s="667"/>
      <c r="I140" s="667">
        <f>SUM(I137:I139)</f>
        <v>15.74</v>
      </c>
      <c r="J140" s="726"/>
    </row>
    <row r="141" spans="1:10" x14ac:dyDescent="0.2">
      <c r="A141" s="917" t="s">
        <v>2038</v>
      </c>
      <c r="B141" s="917"/>
      <c r="C141" s="917"/>
      <c r="D141" s="917"/>
      <c r="E141" s="917"/>
      <c r="F141" s="917"/>
      <c r="G141" s="917"/>
      <c r="H141" s="653"/>
      <c r="I141" s="653"/>
      <c r="J141" s="726"/>
    </row>
    <row r="142" spans="1:10" x14ac:dyDescent="0.2">
      <c r="D142" s="651"/>
      <c r="E142" s="652"/>
      <c r="F142" s="653"/>
      <c r="G142" s="653"/>
      <c r="H142" s="653"/>
      <c r="I142" s="653"/>
      <c r="J142" s="726"/>
    </row>
    <row r="143" spans="1:10" x14ac:dyDescent="0.2">
      <c r="A143" s="582" t="s">
        <v>1808</v>
      </c>
      <c r="B143" s="918" t="s">
        <v>2031</v>
      </c>
      <c r="C143" s="920"/>
      <c r="D143" s="583" t="s">
        <v>1672</v>
      </c>
      <c r="E143" s="584"/>
      <c r="F143" s="585"/>
      <c r="G143" s="583">
        <f>G148</f>
        <v>0.45</v>
      </c>
      <c r="H143" s="583"/>
      <c r="I143" s="583">
        <f>I148</f>
        <v>0.43</v>
      </c>
    </row>
    <row r="144" spans="1:10" x14ac:dyDescent="0.2">
      <c r="A144" s="657" t="s">
        <v>27</v>
      </c>
      <c r="B144" s="657" t="s">
        <v>28</v>
      </c>
      <c r="C144" s="656" t="s">
        <v>1335</v>
      </c>
      <c r="D144" s="657" t="s">
        <v>1661</v>
      </c>
      <c r="E144" s="657" t="s">
        <v>1662</v>
      </c>
      <c r="F144" s="661" t="s">
        <v>1663</v>
      </c>
      <c r="G144" s="661" t="s">
        <v>1664</v>
      </c>
      <c r="H144" s="592" t="s">
        <v>2002</v>
      </c>
      <c r="I144" s="591" t="s">
        <v>2003</v>
      </c>
      <c r="J144" s="726"/>
    </row>
    <row r="145" spans="1:10" ht="25.5" x14ac:dyDescent="0.2">
      <c r="A145" s="459" t="s">
        <v>1665</v>
      </c>
      <c r="B145" s="485">
        <v>101005</v>
      </c>
      <c r="C145" s="484" t="s">
        <v>2046</v>
      </c>
      <c r="D145" s="485" t="s">
        <v>25</v>
      </c>
      <c r="E145" s="662">
        <v>3.0000000000000001E-3</v>
      </c>
      <c r="F145" s="486">
        <v>26.25</v>
      </c>
      <c r="G145" s="597">
        <f t="shared" ref="G145" si="16">TRUNC(F145*$E145,2)</f>
        <v>7.0000000000000007E-2</v>
      </c>
      <c r="H145" s="733">
        <v>25.99</v>
      </c>
      <c r="I145" s="597">
        <f t="shared" ref="I145:I147" si="17">TRUNC(H145*$E145,2)</f>
        <v>7.0000000000000007E-2</v>
      </c>
      <c r="J145" s="726"/>
    </row>
    <row r="146" spans="1:10" ht="38.25" x14ac:dyDescent="0.2">
      <c r="A146" s="459" t="s">
        <v>1665</v>
      </c>
      <c r="B146" s="485">
        <v>99833</v>
      </c>
      <c r="C146" s="484" t="s">
        <v>2044</v>
      </c>
      <c r="D146" s="485" t="s">
        <v>691</v>
      </c>
      <c r="E146" s="662">
        <v>1.7999999999999999E-2</v>
      </c>
      <c r="F146" s="486">
        <v>4.05</v>
      </c>
      <c r="G146" s="597">
        <f>TRUNC(F146*$E146,2)</f>
        <v>7.0000000000000007E-2</v>
      </c>
      <c r="H146" s="733">
        <v>4.05</v>
      </c>
      <c r="I146" s="597">
        <f t="shared" si="17"/>
        <v>7.0000000000000007E-2</v>
      </c>
      <c r="J146" s="726"/>
    </row>
    <row r="147" spans="1:10" x14ac:dyDescent="0.2">
      <c r="A147" s="459" t="s">
        <v>1665</v>
      </c>
      <c r="B147" s="485">
        <v>88316</v>
      </c>
      <c r="C147" s="484" t="s">
        <v>1831</v>
      </c>
      <c r="D147" s="485" t="s">
        <v>691</v>
      </c>
      <c r="E147" s="662">
        <v>0.01</v>
      </c>
      <c r="F147" s="486">
        <v>31.41</v>
      </c>
      <c r="G147" s="597">
        <f t="shared" ref="G147" si="18">TRUNC(F147*$E147,2)</f>
        <v>0.31</v>
      </c>
      <c r="H147" s="733">
        <v>29.86</v>
      </c>
      <c r="I147" s="597">
        <f t="shared" si="17"/>
        <v>0.28999999999999998</v>
      </c>
      <c r="J147" s="726"/>
    </row>
    <row r="148" spans="1:10" x14ac:dyDescent="0.2">
      <c r="A148" s="663"/>
      <c r="B148" s="663"/>
      <c r="C148" s="664" t="s">
        <v>1666</v>
      </c>
      <c r="D148" s="665"/>
      <c r="E148" s="666"/>
      <c r="F148" s="667"/>
      <c r="G148" s="667">
        <f>SUM(G145:G147)</f>
        <v>0.45</v>
      </c>
      <c r="H148" s="667"/>
      <c r="I148" s="667">
        <f>SUM(I145:I147)</f>
        <v>0.43</v>
      </c>
      <c r="J148" s="726"/>
    </row>
    <row r="149" spans="1:10" x14ac:dyDescent="0.2">
      <c r="A149" s="917" t="s">
        <v>2045</v>
      </c>
      <c r="B149" s="917"/>
      <c r="C149" s="917"/>
      <c r="D149" s="917"/>
      <c r="E149" s="917"/>
      <c r="F149" s="917"/>
      <c r="G149" s="917"/>
      <c r="H149" s="653"/>
      <c r="I149" s="653"/>
      <c r="J149" s="726"/>
    </row>
    <row r="150" spans="1:10" x14ac:dyDescent="0.2">
      <c r="D150" s="651"/>
      <c r="E150" s="652"/>
      <c r="F150" s="653"/>
      <c r="G150" s="653"/>
      <c r="H150" s="653"/>
      <c r="I150" s="653"/>
      <c r="J150" s="726"/>
    </row>
    <row r="151" spans="1:10" x14ac:dyDescent="0.2">
      <c r="A151" s="582" t="s">
        <v>2059</v>
      </c>
      <c r="B151" s="918" t="s">
        <v>2060</v>
      </c>
      <c r="C151" s="920"/>
      <c r="D151" s="583" t="s">
        <v>1765</v>
      </c>
      <c r="E151" s="584"/>
      <c r="F151" s="585"/>
      <c r="G151" s="583">
        <f>G155</f>
        <v>1781.53</v>
      </c>
      <c r="H151" s="583"/>
      <c r="I151" s="583">
        <f>I155</f>
        <v>1765.6100000000001</v>
      </c>
      <c r="J151" s="726"/>
    </row>
    <row r="152" spans="1:10" x14ac:dyDescent="0.2">
      <c r="A152" s="657" t="s">
        <v>27</v>
      </c>
      <c r="B152" s="657" t="s">
        <v>28</v>
      </c>
      <c r="C152" s="656" t="s">
        <v>1335</v>
      </c>
      <c r="D152" s="657" t="s">
        <v>1661</v>
      </c>
      <c r="E152" s="657" t="s">
        <v>1662</v>
      </c>
      <c r="F152" s="661" t="s">
        <v>1663</v>
      </c>
      <c r="G152" s="661" t="s">
        <v>1664</v>
      </c>
      <c r="H152" s="592" t="s">
        <v>2002</v>
      </c>
      <c r="I152" s="591" t="s">
        <v>2003</v>
      </c>
      <c r="J152" s="726"/>
    </row>
    <row r="153" spans="1:10" ht="25.5" x14ac:dyDescent="0.2">
      <c r="A153" s="459" t="s">
        <v>2061</v>
      </c>
      <c r="B153" s="485">
        <v>5033</v>
      </c>
      <c r="C153" s="484" t="s">
        <v>2062</v>
      </c>
      <c r="D153" s="485" t="s">
        <v>1765</v>
      </c>
      <c r="E153" s="662">
        <v>1</v>
      </c>
      <c r="F153" s="486">
        <v>912</v>
      </c>
      <c r="G153" s="597">
        <f t="shared" ref="G153" si="19">TRUNC(F153*$E153,2)</f>
        <v>912</v>
      </c>
      <c r="H153" s="733">
        <v>912</v>
      </c>
      <c r="I153" s="597">
        <f t="shared" ref="I153:I154" si="20">TRUNC(H153*$E153,2)</f>
        <v>912</v>
      </c>
      <c r="J153" s="726"/>
    </row>
    <row r="154" spans="1:10" ht="38.25" x14ac:dyDescent="0.2">
      <c r="A154" s="459" t="s">
        <v>1665</v>
      </c>
      <c r="B154" s="459">
        <v>100600</v>
      </c>
      <c r="C154" s="484" t="s">
        <v>1794</v>
      </c>
      <c r="D154" s="485" t="s">
        <v>1765</v>
      </c>
      <c r="E154" s="662">
        <v>1</v>
      </c>
      <c r="F154" s="486">
        <v>869.53</v>
      </c>
      <c r="G154" s="597">
        <f>TRUNC(F154*$E154,2)</f>
        <v>869.53</v>
      </c>
      <c r="H154" s="733">
        <v>853.61</v>
      </c>
      <c r="I154" s="597">
        <f t="shared" si="20"/>
        <v>853.61</v>
      </c>
      <c r="J154" s="726"/>
    </row>
    <row r="155" spans="1:10" x14ac:dyDescent="0.2">
      <c r="A155" s="663"/>
      <c r="B155" s="663"/>
      <c r="C155" s="664" t="s">
        <v>1666</v>
      </c>
      <c r="D155" s="665"/>
      <c r="E155" s="666"/>
      <c r="F155" s="667"/>
      <c r="G155" s="667">
        <f>SUM(G153:G154)</f>
        <v>1781.53</v>
      </c>
      <c r="H155" s="667"/>
      <c r="I155" s="667">
        <f>SUM(I153:I154)</f>
        <v>1765.6100000000001</v>
      </c>
      <c r="J155" s="726"/>
    </row>
    <row r="156" spans="1:10" x14ac:dyDescent="0.2">
      <c r="D156" s="651"/>
      <c r="E156" s="652"/>
      <c r="F156" s="653"/>
      <c r="G156" s="653"/>
      <c r="H156" s="653"/>
      <c r="I156" s="653"/>
      <c r="J156" s="726"/>
    </row>
    <row r="157" spans="1:10" x14ac:dyDescent="0.2">
      <c r="A157" s="582" t="s">
        <v>2064</v>
      </c>
      <c r="B157" s="918" t="s">
        <v>2063</v>
      </c>
      <c r="C157" s="920"/>
      <c r="D157" s="583" t="s">
        <v>1765</v>
      </c>
      <c r="E157" s="584"/>
      <c r="F157" s="585"/>
      <c r="G157" s="583">
        <f>G161</f>
        <v>8584.7999999999993</v>
      </c>
      <c r="H157" s="583"/>
      <c r="I157" s="583">
        <f>I161</f>
        <v>8565.06</v>
      </c>
      <c r="J157" s="726"/>
    </row>
    <row r="158" spans="1:10" x14ac:dyDescent="0.2">
      <c r="A158" s="657" t="s">
        <v>27</v>
      </c>
      <c r="B158" s="657" t="s">
        <v>28</v>
      </c>
      <c r="C158" s="656" t="s">
        <v>1335</v>
      </c>
      <c r="D158" s="657" t="s">
        <v>1661</v>
      </c>
      <c r="E158" s="657" t="s">
        <v>1662</v>
      </c>
      <c r="F158" s="661" t="s">
        <v>1663</v>
      </c>
      <c r="G158" s="661" t="s">
        <v>1664</v>
      </c>
      <c r="H158" s="592" t="s">
        <v>2002</v>
      </c>
      <c r="I158" s="591" t="s">
        <v>2003</v>
      </c>
      <c r="J158" s="726"/>
    </row>
    <row r="159" spans="1:10" ht="17.25" customHeight="1" x14ac:dyDescent="0.2">
      <c r="A159" s="459" t="s">
        <v>2067</v>
      </c>
      <c r="B159" s="459" t="s">
        <v>2066</v>
      </c>
      <c r="C159" s="484" t="s">
        <v>2065</v>
      </c>
      <c r="D159" s="485" t="s">
        <v>1765</v>
      </c>
      <c r="E159" s="662">
        <v>1</v>
      </c>
      <c r="F159" s="486">
        <v>7438</v>
      </c>
      <c r="G159" s="597">
        <f t="shared" ref="G159" si="21">TRUNC(F159*$E159,2)</f>
        <v>7438</v>
      </c>
      <c r="H159" s="733">
        <v>7438</v>
      </c>
      <c r="I159" s="597">
        <f t="shared" ref="I159:I160" si="22">TRUNC(H159*$E159,2)</f>
        <v>7438</v>
      </c>
      <c r="J159" s="726"/>
    </row>
    <row r="160" spans="1:10" ht="38.25" x14ac:dyDescent="0.2">
      <c r="A160" s="459" t="s">
        <v>1665</v>
      </c>
      <c r="B160" s="485">
        <v>100593</v>
      </c>
      <c r="C160" s="484" t="s">
        <v>2068</v>
      </c>
      <c r="D160" s="485" t="s">
        <v>1765</v>
      </c>
      <c r="E160" s="662">
        <v>1</v>
      </c>
      <c r="F160" s="486">
        <v>1146.8</v>
      </c>
      <c r="G160" s="597">
        <f>TRUNC(F160*$E160,2)</f>
        <v>1146.8</v>
      </c>
      <c r="H160" s="733">
        <v>1127.06</v>
      </c>
      <c r="I160" s="597">
        <f t="shared" si="22"/>
        <v>1127.06</v>
      </c>
      <c r="J160" s="726"/>
    </row>
    <row r="161" spans="1:10" x14ac:dyDescent="0.2">
      <c r="A161" s="663"/>
      <c r="B161" s="663"/>
      <c r="C161" s="664" t="s">
        <v>1666</v>
      </c>
      <c r="D161" s="665"/>
      <c r="E161" s="666"/>
      <c r="F161" s="667"/>
      <c r="G161" s="667">
        <f>SUM(G159:G160)</f>
        <v>8584.7999999999993</v>
      </c>
      <c r="H161" s="667"/>
      <c r="I161" s="667">
        <f>SUM(I159:I160)</f>
        <v>8565.06</v>
      </c>
      <c r="J161" s="726"/>
    </row>
    <row r="162" spans="1:10" x14ac:dyDescent="0.2">
      <c r="D162" s="651"/>
      <c r="E162" s="652"/>
      <c r="F162" s="653"/>
      <c r="G162" s="653"/>
      <c r="H162" s="653"/>
      <c r="I162" s="653"/>
      <c r="J162" s="726"/>
    </row>
    <row r="163" spans="1:10" x14ac:dyDescent="0.2">
      <c r="A163" s="582" t="s">
        <v>2069</v>
      </c>
      <c r="B163" s="918" t="s">
        <v>2080</v>
      </c>
      <c r="C163" s="920"/>
      <c r="D163" s="583" t="s">
        <v>1658</v>
      </c>
      <c r="E163" s="584"/>
      <c r="F163" s="585"/>
      <c r="G163" s="583">
        <f>G168</f>
        <v>13.03</v>
      </c>
      <c r="H163" s="583"/>
      <c r="I163" s="583">
        <f>I168</f>
        <v>13.02</v>
      </c>
      <c r="J163" s="726"/>
    </row>
    <row r="164" spans="1:10" x14ac:dyDescent="0.2">
      <c r="A164" s="657" t="s">
        <v>27</v>
      </c>
      <c r="B164" s="657" t="s">
        <v>28</v>
      </c>
      <c r="C164" s="656" t="s">
        <v>1335</v>
      </c>
      <c r="D164" s="657" t="s">
        <v>1661</v>
      </c>
      <c r="E164" s="657" t="s">
        <v>1662</v>
      </c>
      <c r="F164" s="661" t="s">
        <v>1663</v>
      </c>
      <c r="G164" s="661" t="s">
        <v>1664</v>
      </c>
      <c r="H164" s="592" t="s">
        <v>2002</v>
      </c>
      <c r="I164" s="591" t="s">
        <v>2003</v>
      </c>
      <c r="J164" s="726"/>
    </row>
    <row r="165" spans="1:10" x14ac:dyDescent="0.2">
      <c r="A165" s="459" t="s">
        <v>1665</v>
      </c>
      <c r="B165" s="485">
        <v>88247</v>
      </c>
      <c r="C165" s="484" t="s">
        <v>2070</v>
      </c>
      <c r="D165" s="485" t="s">
        <v>691</v>
      </c>
      <c r="E165" s="662">
        <v>5.1999999999999995E-4</v>
      </c>
      <c r="F165" s="486">
        <v>33.619999999999997</v>
      </c>
      <c r="G165" s="597">
        <f t="shared" ref="G165" si="23">TRUNC(F165*$E165,2)</f>
        <v>0.01</v>
      </c>
      <c r="H165" s="733">
        <v>31.92</v>
      </c>
      <c r="I165" s="597">
        <f t="shared" ref="I165:I167" si="24">TRUNC(H165*$E165,2)</f>
        <v>0.01</v>
      </c>
      <c r="J165" s="726"/>
    </row>
    <row r="166" spans="1:10" x14ac:dyDescent="0.2">
      <c r="A166" s="459" t="s">
        <v>1665</v>
      </c>
      <c r="B166" s="485">
        <v>88264</v>
      </c>
      <c r="C166" s="484" t="s">
        <v>2081</v>
      </c>
      <c r="D166" s="485" t="s">
        <v>691</v>
      </c>
      <c r="E166" s="662">
        <v>2.5999999999999999E-3</v>
      </c>
      <c r="F166" s="486">
        <v>40.67</v>
      </c>
      <c r="G166" s="597">
        <f t="shared" ref="G166" si="25">TRUNC(F166*$E166,2)</f>
        <v>0.1</v>
      </c>
      <c r="H166" s="733">
        <v>38.450000000000003</v>
      </c>
      <c r="I166" s="597">
        <f t="shared" ref="I166" si="26">TRUNC(H166*$E166,2)</f>
        <v>0.09</v>
      </c>
      <c r="J166" s="726"/>
    </row>
    <row r="167" spans="1:10" ht="63.75" x14ac:dyDescent="0.2">
      <c r="A167" s="459" t="s">
        <v>2067</v>
      </c>
      <c r="B167" s="422" t="s">
        <v>2089</v>
      </c>
      <c r="C167" s="576" t="s">
        <v>2090</v>
      </c>
      <c r="D167" s="470" t="s">
        <v>1658</v>
      </c>
      <c r="E167" s="700">
        <v>1.0401</v>
      </c>
      <c r="F167" s="426">
        <v>12.43</v>
      </c>
      <c r="G167" s="597">
        <f>TRUNC(F167*$E167,2)</f>
        <v>12.92</v>
      </c>
      <c r="H167" s="733">
        <v>12.43</v>
      </c>
      <c r="I167" s="597">
        <f t="shared" si="24"/>
        <v>12.92</v>
      </c>
      <c r="J167" s="726"/>
    </row>
    <row r="168" spans="1:10" x14ac:dyDescent="0.2">
      <c r="A168" s="663"/>
      <c r="B168" s="663"/>
      <c r="C168" s="664" t="s">
        <v>1666</v>
      </c>
      <c r="D168" s="665"/>
      <c r="E168" s="666"/>
      <c r="F168" s="667"/>
      <c r="G168" s="667">
        <f>SUM(G165:G167)</f>
        <v>13.03</v>
      </c>
      <c r="H168" s="667"/>
      <c r="I168" s="667">
        <f>SUM(I165:I167)</f>
        <v>13.02</v>
      </c>
      <c r="J168" s="726"/>
    </row>
    <row r="169" spans="1:10" x14ac:dyDescent="0.2">
      <c r="A169" s="917" t="s">
        <v>2082</v>
      </c>
      <c r="B169" s="917"/>
      <c r="C169" s="917"/>
      <c r="D169" s="917"/>
      <c r="E169" s="917"/>
      <c r="F169" s="917"/>
      <c r="G169" s="917"/>
      <c r="H169" s="653"/>
      <c r="I169" s="653"/>
      <c r="J169" s="726"/>
    </row>
    <row r="170" spans="1:10" x14ac:dyDescent="0.2">
      <c r="A170" s="687"/>
      <c r="B170" s="687"/>
      <c r="D170" s="651"/>
      <c r="E170" s="652"/>
      <c r="F170" s="653"/>
      <c r="G170" s="653"/>
      <c r="H170" s="653"/>
      <c r="I170" s="653"/>
    </row>
    <row r="171" spans="1:10" ht="26.45" customHeight="1" x14ac:dyDescent="0.2">
      <c r="A171" s="582" t="s">
        <v>2091</v>
      </c>
      <c r="B171" s="918" t="s">
        <v>2139</v>
      </c>
      <c r="C171" s="919"/>
      <c r="D171" s="583" t="s">
        <v>1765</v>
      </c>
      <c r="E171" s="584"/>
      <c r="F171" s="585"/>
      <c r="G171" s="583">
        <f>G178</f>
        <v>276.14</v>
      </c>
      <c r="H171" s="583"/>
      <c r="I171" s="583">
        <f>I178</f>
        <v>273.25</v>
      </c>
    </row>
    <row r="172" spans="1:10" x14ac:dyDescent="0.2">
      <c r="A172" s="657" t="s">
        <v>27</v>
      </c>
      <c r="B172" s="657" t="s">
        <v>28</v>
      </c>
      <c r="C172" s="656" t="s">
        <v>1335</v>
      </c>
      <c r="D172" s="657" t="s">
        <v>1661</v>
      </c>
      <c r="E172" s="657" t="s">
        <v>1662</v>
      </c>
      <c r="F172" s="661" t="s">
        <v>1663</v>
      </c>
      <c r="G172" s="661" t="s">
        <v>1664</v>
      </c>
      <c r="H172" s="592" t="s">
        <v>2002</v>
      </c>
      <c r="I172" s="591" t="s">
        <v>2003</v>
      </c>
    </row>
    <row r="173" spans="1:10" x14ac:dyDescent="0.2">
      <c r="A173" s="459" t="s">
        <v>1665</v>
      </c>
      <c r="B173" s="485">
        <v>88247</v>
      </c>
      <c r="C173" s="484" t="s">
        <v>2070</v>
      </c>
      <c r="D173" s="485" t="s">
        <v>691</v>
      </c>
      <c r="E173" s="662">
        <v>0.57399999999999995</v>
      </c>
      <c r="F173" s="486">
        <v>33.619999999999997</v>
      </c>
      <c r="G173" s="597">
        <f t="shared" ref="G173:G177" si="27">TRUNC(F173*$E173,2)</f>
        <v>19.29</v>
      </c>
      <c r="H173" s="733">
        <v>31.92</v>
      </c>
      <c r="I173" s="597">
        <f t="shared" ref="I173:I177" si="28">TRUNC(H173*$E173,2)</f>
        <v>18.32</v>
      </c>
    </row>
    <row r="174" spans="1:10" x14ac:dyDescent="0.2">
      <c r="A174" s="459" t="s">
        <v>1665</v>
      </c>
      <c r="B174" s="485">
        <v>88264</v>
      </c>
      <c r="C174" s="484" t="s">
        <v>2081</v>
      </c>
      <c r="D174" s="485" t="s">
        <v>691</v>
      </c>
      <c r="E174" s="662">
        <v>0.57399999999999995</v>
      </c>
      <c r="F174" s="486">
        <v>40.67</v>
      </c>
      <c r="G174" s="597">
        <f t="shared" si="27"/>
        <v>23.34</v>
      </c>
      <c r="H174" s="733">
        <v>38.450000000000003</v>
      </c>
      <c r="I174" s="597">
        <f t="shared" si="28"/>
        <v>22.07</v>
      </c>
    </row>
    <row r="175" spans="1:10" ht="38.25" x14ac:dyDescent="0.2">
      <c r="A175" s="459" t="s">
        <v>1665</v>
      </c>
      <c r="B175" s="485">
        <v>91635</v>
      </c>
      <c r="C175" s="685" t="s">
        <v>2142</v>
      </c>
      <c r="D175" s="485" t="s">
        <v>2100</v>
      </c>
      <c r="E175" s="662">
        <v>5.1701400000000002E-2</v>
      </c>
      <c r="F175" s="486">
        <v>78.67</v>
      </c>
      <c r="G175" s="597">
        <f t="shared" si="27"/>
        <v>4.0599999999999996</v>
      </c>
      <c r="H175" s="733">
        <v>76.069999999999993</v>
      </c>
      <c r="I175" s="597">
        <f t="shared" si="28"/>
        <v>3.93</v>
      </c>
    </row>
    <row r="176" spans="1:10" ht="61.5" customHeight="1" x14ac:dyDescent="0.2">
      <c r="A176" s="459" t="s">
        <v>1665</v>
      </c>
      <c r="B176" s="485">
        <v>91634</v>
      </c>
      <c r="C176" s="740" t="s">
        <v>2143</v>
      </c>
      <c r="D176" s="470" t="s">
        <v>2101</v>
      </c>
      <c r="E176" s="700">
        <v>0.20160710000000001</v>
      </c>
      <c r="F176" s="486">
        <v>255.73</v>
      </c>
      <c r="G176" s="597">
        <f t="shared" si="27"/>
        <v>51.55</v>
      </c>
      <c r="H176" s="733">
        <v>253.13</v>
      </c>
      <c r="I176" s="597">
        <f t="shared" si="28"/>
        <v>51.03</v>
      </c>
    </row>
    <row r="177" spans="1:9" ht="23.25" customHeight="1" x14ac:dyDescent="0.2">
      <c r="A177" s="459" t="s">
        <v>2205</v>
      </c>
      <c r="B177" s="485" t="s">
        <v>2097</v>
      </c>
      <c r="C177" s="576" t="s">
        <v>2208</v>
      </c>
      <c r="D177" s="481" t="s">
        <v>1765</v>
      </c>
      <c r="E177" s="703">
        <v>1</v>
      </c>
      <c r="F177" s="426">
        <f>COTAÇÕES!H45</f>
        <v>177.9</v>
      </c>
      <c r="G177" s="597">
        <f t="shared" si="27"/>
        <v>177.9</v>
      </c>
      <c r="H177" s="734">
        <f>COTAÇÕES!H45</f>
        <v>177.9</v>
      </c>
      <c r="I177" s="597">
        <f t="shared" si="28"/>
        <v>177.9</v>
      </c>
    </row>
    <row r="178" spans="1:9" x14ac:dyDescent="0.2">
      <c r="A178" s="663"/>
      <c r="B178" s="663"/>
      <c r="C178" s="664"/>
      <c r="D178" s="665"/>
      <c r="E178" s="666"/>
      <c r="F178" s="667"/>
      <c r="G178" s="667">
        <f>SUM(G173:G177)</f>
        <v>276.14</v>
      </c>
      <c r="H178" s="667"/>
      <c r="I178" s="667">
        <f>SUM(I173:I177)</f>
        <v>273.25</v>
      </c>
    </row>
    <row r="179" spans="1:9" x14ac:dyDescent="0.2">
      <c r="A179" s="917" t="s">
        <v>2099</v>
      </c>
      <c r="B179" s="917"/>
      <c r="C179" s="917"/>
      <c r="D179" s="917"/>
      <c r="E179" s="917"/>
      <c r="F179" s="917"/>
      <c r="G179" s="917"/>
      <c r="H179" s="653"/>
      <c r="I179" s="653"/>
    </row>
    <row r="180" spans="1:9" x14ac:dyDescent="0.2">
      <c r="A180" s="730"/>
      <c r="B180" s="730"/>
      <c r="C180" s="730"/>
      <c r="D180" s="730"/>
      <c r="E180" s="730"/>
      <c r="F180" s="730"/>
      <c r="G180" s="730"/>
      <c r="H180" s="653"/>
      <c r="I180" s="653"/>
    </row>
    <row r="181" spans="1:9" ht="12.75" customHeight="1" x14ac:dyDescent="0.2">
      <c r="A181" s="582" t="s">
        <v>2098</v>
      </c>
      <c r="B181" s="918" t="s">
        <v>2102</v>
      </c>
      <c r="C181" s="920"/>
      <c r="D181" s="583" t="s">
        <v>1765</v>
      </c>
      <c r="E181" s="584"/>
      <c r="F181" s="585"/>
      <c r="G181" s="583">
        <f>G201</f>
        <v>12954.649999999998</v>
      </c>
      <c r="H181" s="583"/>
      <c r="I181" s="583">
        <f>I201</f>
        <v>12910.24</v>
      </c>
    </row>
    <row r="182" spans="1:9" ht="12.75" customHeight="1" x14ac:dyDescent="0.2">
      <c r="A182" s="657" t="s">
        <v>27</v>
      </c>
      <c r="B182" s="657" t="s">
        <v>28</v>
      </c>
      <c r="C182" s="622" t="s">
        <v>1335</v>
      </c>
      <c r="D182" s="657" t="s">
        <v>1661</v>
      </c>
      <c r="E182" s="657" t="s">
        <v>1662</v>
      </c>
      <c r="F182" s="661" t="s">
        <v>1663</v>
      </c>
      <c r="G182" s="661" t="s">
        <v>1664</v>
      </c>
      <c r="H182" s="592" t="s">
        <v>2002</v>
      </c>
      <c r="I182" s="591" t="s">
        <v>2003</v>
      </c>
    </row>
    <row r="183" spans="1:9" ht="28.5" x14ac:dyDescent="0.2">
      <c r="A183" s="460" t="s">
        <v>1660</v>
      </c>
      <c r="B183" s="460" t="s">
        <v>2059</v>
      </c>
      <c r="C183" s="769" t="s">
        <v>2060</v>
      </c>
      <c r="D183" s="470" t="s">
        <v>2204</v>
      </c>
      <c r="E183" s="704">
        <v>1</v>
      </c>
      <c r="F183" s="486">
        <f>G155</f>
        <v>1781.53</v>
      </c>
      <c r="G183" s="597">
        <f t="shared" ref="G183:G188" si="29">TRUNC(F183*$E183,2)</f>
        <v>1781.53</v>
      </c>
      <c r="H183" s="733">
        <f>I155</f>
        <v>1765.6100000000001</v>
      </c>
      <c r="I183" s="597">
        <f t="shared" ref="I183:I188" si="30">TRUNC(H183*$E183,2)</f>
        <v>1765.61</v>
      </c>
    </row>
    <row r="184" spans="1:9" ht="28.5" x14ac:dyDescent="0.2">
      <c r="A184" s="460" t="s">
        <v>1660</v>
      </c>
      <c r="B184" s="460" t="s">
        <v>2064</v>
      </c>
      <c r="C184" s="769" t="s">
        <v>2063</v>
      </c>
      <c r="D184" s="470" t="s">
        <v>2204</v>
      </c>
      <c r="E184" s="704">
        <v>1</v>
      </c>
      <c r="F184" s="486">
        <f>G161</f>
        <v>8584.7999999999993</v>
      </c>
      <c r="G184" s="597">
        <f t="shared" si="29"/>
        <v>8584.7999999999993</v>
      </c>
      <c r="H184" s="733">
        <f>I161</f>
        <v>8565.06</v>
      </c>
      <c r="I184" s="597">
        <f t="shared" si="30"/>
        <v>8565.06</v>
      </c>
    </row>
    <row r="185" spans="1:9" ht="42.75" x14ac:dyDescent="0.2">
      <c r="A185" s="460" t="s">
        <v>2061</v>
      </c>
      <c r="B185" s="460">
        <v>379</v>
      </c>
      <c r="C185" s="769" t="s">
        <v>2171</v>
      </c>
      <c r="D185" s="470" t="s">
        <v>1765</v>
      </c>
      <c r="E185" s="704">
        <v>10</v>
      </c>
      <c r="F185" s="486">
        <v>1.19</v>
      </c>
      <c r="G185" s="597">
        <f t="shared" si="29"/>
        <v>11.9</v>
      </c>
      <c r="H185" s="733">
        <v>1.19</v>
      </c>
      <c r="I185" s="597">
        <f t="shared" si="30"/>
        <v>11.9</v>
      </c>
    </row>
    <row r="186" spans="1:9" ht="28.5" x14ac:dyDescent="0.2">
      <c r="A186" s="460" t="s">
        <v>2061</v>
      </c>
      <c r="B186" s="460">
        <v>437</v>
      </c>
      <c r="C186" s="769" t="s">
        <v>2074</v>
      </c>
      <c r="D186" s="470" t="s">
        <v>2204</v>
      </c>
      <c r="E186" s="704">
        <v>5</v>
      </c>
      <c r="F186" s="486">
        <v>23.51</v>
      </c>
      <c r="G186" s="597">
        <f t="shared" si="29"/>
        <v>117.55</v>
      </c>
      <c r="H186" s="733">
        <v>23.51</v>
      </c>
      <c r="I186" s="597">
        <f t="shared" si="30"/>
        <v>117.55</v>
      </c>
    </row>
    <row r="187" spans="1:9" ht="42.75" x14ac:dyDescent="0.2">
      <c r="A187" s="460" t="s">
        <v>2231</v>
      </c>
      <c r="B187" s="460" t="s">
        <v>2232</v>
      </c>
      <c r="C187" s="769" t="s">
        <v>2230</v>
      </c>
      <c r="D187" s="470" t="s">
        <v>2204</v>
      </c>
      <c r="E187" s="704">
        <v>1</v>
      </c>
      <c r="F187" s="486">
        <v>13.16</v>
      </c>
      <c r="G187" s="597">
        <f t="shared" si="29"/>
        <v>13.16</v>
      </c>
      <c r="H187" s="733">
        <v>13.16</v>
      </c>
      <c r="I187" s="597">
        <f t="shared" si="30"/>
        <v>13.16</v>
      </c>
    </row>
    <row r="188" spans="1:9" ht="28.5" x14ac:dyDescent="0.2">
      <c r="A188" s="460" t="s">
        <v>1660</v>
      </c>
      <c r="B188" s="460" t="s">
        <v>2069</v>
      </c>
      <c r="C188" s="769" t="s">
        <v>2080</v>
      </c>
      <c r="D188" s="470" t="s">
        <v>1658</v>
      </c>
      <c r="E188" s="704">
        <v>60</v>
      </c>
      <c r="F188" s="486">
        <f>G168</f>
        <v>13.03</v>
      </c>
      <c r="G188" s="597">
        <f t="shared" si="29"/>
        <v>781.8</v>
      </c>
      <c r="H188" s="733">
        <f>I168</f>
        <v>13.02</v>
      </c>
      <c r="I188" s="597">
        <f t="shared" si="30"/>
        <v>781.2</v>
      </c>
    </row>
    <row r="189" spans="1:9" ht="42.75" x14ac:dyDescent="0.2">
      <c r="A189" s="460" t="s">
        <v>1665</v>
      </c>
      <c r="B189" s="460">
        <v>91925</v>
      </c>
      <c r="C189" s="769" t="s">
        <v>2071</v>
      </c>
      <c r="D189" s="470" t="s">
        <v>1658</v>
      </c>
      <c r="E189" s="704">
        <v>10</v>
      </c>
      <c r="F189" s="486">
        <v>4.8099999999999996</v>
      </c>
      <c r="G189" s="597">
        <f t="shared" ref="G189:G200" si="31">TRUNC(F189*$E189,2)</f>
        <v>48.1</v>
      </c>
      <c r="H189" s="733">
        <v>4.72</v>
      </c>
      <c r="I189" s="597">
        <f t="shared" ref="I189:I200" si="32">TRUNC(H189*$E189,2)</f>
        <v>47.2</v>
      </c>
    </row>
    <row r="190" spans="1:9" ht="28.5" x14ac:dyDescent="0.2">
      <c r="A190" s="460" t="s">
        <v>2172</v>
      </c>
      <c r="B190" s="489">
        <v>6152</v>
      </c>
      <c r="C190" s="769" t="s">
        <v>2203</v>
      </c>
      <c r="D190" s="470" t="s">
        <v>2204</v>
      </c>
      <c r="E190" s="704">
        <v>5</v>
      </c>
      <c r="F190" s="486">
        <v>15.62</v>
      </c>
      <c r="G190" s="597">
        <f t="shared" ref="G190:G199" si="33">TRUNC(F190*$E190,2)</f>
        <v>78.099999999999994</v>
      </c>
      <c r="H190" s="733">
        <v>15.62</v>
      </c>
      <c r="I190" s="597">
        <f t="shared" ref="I190:I199" si="34">TRUNC(H190*$E190,2)</f>
        <v>78.099999999999994</v>
      </c>
    </row>
    <row r="191" spans="1:9" ht="22.5" customHeight="1" x14ac:dyDescent="0.2">
      <c r="A191" s="460" t="s">
        <v>2205</v>
      </c>
      <c r="B191" s="460" t="s">
        <v>2085</v>
      </c>
      <c r="C191" s="769" t="s">
        <v>1782</v>
      </c>
      <c r="D191" s="470" t="s">
        <v>1765</v>
      </c>
      <c r="E191" s="704">
        <v>8</v>
      </c>
      <c r="F191" s="486">
        <f>COTAÇÕES!H23</f>
        <v>8.81</v>
      </c>
      <c r="G191" s="597">
        <f t="shared" si="33"/>
        <v>70.48</v>
      </c>
      <c r="H191" s="733">
        <f>COTAÇÕES!H23</f>
        <v>8.81</v>
      </c>
      <c r="I191" s="597">
        <f t="shared" si="34"/>
        <v>70.48</v>
      </c>
    </row>
    <row r="192" spans="1:9" ht="28.5" x14ac:dyDescent="0.2">
      <c r="A192" s="460" t="s">
        <v>1665</v>
      </c>
      <c r="B192" s="460">
        <v>3398</v>
      </c>
      <c r="C192" s="769" t="s">
        <v>2206</v>
      </c>
      <c r="D192" s="470" t="s">
        <v>2204</v>
      </c>
      <c r="E192" s="704">
        <v>3</v>
      </c>
      <c r="F192" s="486">
        <v>5.91</v>
      </c>
      <c r="G192" s="597">
        <f t="shared" si="33"/>
        <v>17.73</v>
      </c>
      <c r="H192" s="733">
        <v>5.91</v>
      </c>
      <c r="I192" s="597">
        <f t="shared" si="34"/>
        <v>17.73</v>
      </c>
    </row>
    <row r="193" spans="1:9" ht="28.5" x14ac:dyDescent="0.2">
      <c r="A193" s="460" t="s">
        <v>1660</v>
      </c>
      <c r="B193" s="460" t="s">
        <v>2091</v>
      </c>
      <c r="C193" s="769" t="s">
        <v>2139</v>
      </c>
      <c r="D193" s="470" t="s">
        <v>2204</v>
      </c>
      <c r="E193" s="704">
        <v>2</v>
      </c>
      <c r="F193" s="486">
        <f>G178</f>
        <v>276.14</v>
      </c>
      <c r="G193" s="597">
        <f t="shared" si="33"/>
        <v>552.28</v>
      </c>
      <c r="H193" s="733">
        <f>I178</f>
        <v>273.25</v>
      </c>
      <c r="I193" s="597">
        <f t="shared" si="34"/>
        <v>546.5</v>
      </c>
    </row>
    <row r="194" spans="1:9" ht="28.5" x14ac:dyDescent="0.2">
      <c r="A194" s="460" t="s">
        <v>2061</v>
      </c>
      <c r="B194" s="460">
        <v>2510</v>
      </c>
      <c r="C194" s="769" t="s">
        <v>2075</v>
      </c>
      <c r="D194" s="470" t="s">
        <v>2204</v>
      </c>
      <c r="E194" s="704">
        <v>2</v>
      </c>
      <c r="F194" s="486">
        <v>27.23</v>
      </c>
      <c r="G194" s="597">
        <f t="shared" si="33"/>
        <v>54.46</v>
      </c>
      <c r="H194" s="733">
        <v>27.23</v>
      </c>
      <c r="I194" s="597">
        <f t="shared" si="34"/>
        <v>54.46</v>
      </c>
    </row>
    <row r="195" spans="1:9" ht="21.75" customHeight="1" x14ac:dyDescent="0.2">
      <c r="A195" s="460" t="s">
        <v>1796</v>
      </c>
      <c r="B195" s="460">
        <v>56159</v>
      </c>
      <c r="C195" s="769" t="s">
        <v>2076</v>
      </c>
      <c r="D195" s="470" t="s">
        <v>2204</v>
      </c>
      <c r="E195" s="704">
        <v>2</v>
      </c>
      <c r="F195" s="486">
        <v>9.91</v>
      </c>
      <c r="G195" s="597">
        <f t="shared" si="33"/>
        <v>19.82</v>
      </c>
      <c r="H195" s="733">
        <v>9.91</v>
      </c>
      <c r="I195" s="597">
        <f t="shared" si="34"/>
        <v>19.82</v>
      </c>
    </row>
    <row r="196" spans="1:9" ht="28.5" x14ac:dyDescent="0.2">
      <c r="A196" s="460" t="s">
        <v>1665</v>
      </c>
      <c r="B196" s="460">
        <v>101654</v>
      </c>
      <c r="C196" s="769" t="s">
        <v>2077</v>
      </c>
      <c r="D196" s="470" t="s">
        <v>2204</v>
      </c>
      <c r="E196" s="704">
        <v>1</v>
      </c>
      <c r="F196" s="486">
        <v>219.38</v>
      </c>
      <c r="G196" s="597">
        <f t="shared" si="33"/>
        <v>219.38</v>
      </c>
      <c r="H196" s="733">
        <v>217.91</v>
      </c>
      <c r="I196" s="597">
        <f t="shared" si="34"/>
        <v>217.91</v>
      </c>
    </row>
    <row r="197" spans="1:9" ht="24" customHeight="1" x14ac:dyDescent="0.2">
      <c r="A197" s="460" t="s">
        <v>1665</v>
      </c>
      <c r="B197" s="460">
        <v>39391</v>
      </c>
      <c r="C197" s="769" t="s">
        <v>2207</v>
      </c>
      <c r="D197" s="470" t="s">
        <v>2204</v>
      </c>
      <c r="E197" s="704">
        <v>2</v>
      </c>
      <c r="F197" s="486">
        <v>31.68</v>
      </c>
      <c r="G197" s="597">
        <f t="shared" si="33"/>
        <v>63.36</v>
      </c>
      <c r="H197" s="733">
        <v>31.68</v>
      </c>
      <c r="I197" s="597">
        <f t="shared" si="34"/>
        <v>63.36</v>
      </c>
    </row>
    <row r="198" spans="1:9" ht="30.75" customHeight="1" x14ac:dyDescent="0.2">
      <c r="A198" s="460" t="s">
        <v>2079</v>
      </c>
      <c r="B198" s="489">
        <v>3894</v>
      </c>
      <c r="C198" s="769" t="s">
        <v>2078</v>
      </c>
      <c r="D198" s="470" t="s">
        <v>2204</v>
      </c>
      <c r="E198" s="704">
        <v>1</v>
      </c>
      <c r="F198" s="486">
        <v>124.24</v>
      </c>
      <c r="G198" s="597">
        <f t="shared" si="33"/>
        <v>124.24</v>
      </c>
      <c r="H198" s="733">
        <v>124.24</v>
      </c>
      <c r="I198" s="597">
        <f t="shared" si="34"/>
        <v>124.24</v>
      </c>
    </row>
    <row r="199" spans="1:9" ht="26.25" customHeight="1" x14ac:dyDescent="0.2">
      <c r="A199" s="460" t="s">
        <v>2205</v>
      </c>
      <c r="B199" s="460" t="s">
        <v>2088</v>
      </c>
      <c r="C199" s="769" t="s">
        <v>2145</v>
      </c>
      <c r="D199" s="470" t="s">
        <v>2204</v>
      </c>
      <c r="E199" s="704">
        <v>1</v>
      </c>
      <c r="F199" s="486">
        <f>COTAÇÕES!H29</f>
        <v>411.76</v>
      </c>
      <c r="G199" s="597">
        <f t="shared" si="33"/>
        <v>411.76</v>
      </c>
      <c r="H199" s="733">
        <f>COTAÇÕES!H29</f>
        <v>411.76</v>
      </c>
      <c r="I199" s="597">
        <f t="shared" si="34"/>
        <v>411.76</v>
      </c>
    </row>
    <row r="200" spans="1:9" ht="28.5" x14ac:dyDescent="0.2">
      <c r="A200" s="460" t="s">
        <v>2205</v>
      </c>
      <c r="B200" s="460" t="s">
        <v>2092</v>
      </c>
      <c r="C200" s="769" t="s">
        <v>1780</v>
      </c>
      <c r="D200" s="470" t="s">
        <v>1765</v>
      </c>
      <c r="E200" s="704">
        <v>12</v>
      </c>
      <c r="F200" s="486">
        <f>COTAÇÕES!H36</f>
        <v>0.35</v>
      </c>
      <c r="G200" s="597">
        <f t="shared" si="31"/>
        <v>4.2</v>
      </c>
      <c r="H200" s="733">
        <f>COTAÇÕES!H36</f>
        <v>0.35</v>
      </c>
      <c r="I200" s="597">
        <f t="shared" si="32"/>
        <v>4.2</v>
      </c>
    </row>
    <row r="201" spans="1:9" x14ac:dyDescent="0.2">
      <c r="A201" s="663"/>
      <c r="B201" s="663"/>
      <c r="C201" s="664"/>
      <c r="D201" s="665"/>
      <c r="E201" s="666"/>
      <c r="F201" s="667"/>
      <c r="G201" s="667">
        <f>SUM(G183:G200)</f>
        <v>12954.649999999998</v>
      </c>
      <c r="H201" s="667"/>
      <c r="I201" s="667">
        <f>SUM(I183:I200)</f>
        <v>12910.24</v>
      </c>
    </row>
    <row r="202" spans="1:9" x14ac:dyDescent="0.2">
      <c r="A202" s="706" t="s">
        <v>2103</v>
      </c>
      <c r="D202" s="651"/>
      <c r="E202" s="652"/>
      <c r="F202" s="707"/>
      <c r="G202" s="707"/>
      <c r="H202" s="707"/>
      <c r="I202" s="707"/>
    </row>
    <row r="203" spans="1:9" x14ac:dyDescent="0.2">
      <c r="D203" s="651"/>
      <c r="E203" s="652"/>
      <c r="F203" s="653"/>
      <c r="G203" s="653"/>
      <c r="H203" s="653"/>
      <c r="I203" s="653"/>
    </row>
    <row r="204" spans="1:9" x14ac:dyDescent="0.2">
      <c r="D204" s="651"/>
      <c r="E204" s="652"/>
      <c r="F204" s="653"/>
      <c r="G204" s="653"/>
      <c r="H204" s="653"/>
      <c r="I204" s="653"/>
    </row>
    <row r="205" spans="1:9" x14ac:dyDescent="0.2">
      <c r="D205" s="651"/>
      <c r="E205" s="652"/>
      <c r="F205" s="653"/>
      <c r="G205" s="653"/>
      <c r="H205" s="653"/>
      <c r="I205" s="653"/>
    </row>
    <row r="206" spans="1:9" x14ac:dyDescent="0.2">
      <c r="D206" s="651"/>
      <c r="E206" s="652"/>
      <c r="F206" s="653"/>
      <c r="G206" s="653"/>
      <c r="H206" s="653"/>
      <c r="I206" s="653"/>
    </row>
    <row r="207" spans="1:9" x14ac:dyDescent="0.2">
      <c r="D207" s="651"/>
      <c r="E207" s="652"/>
      <c r="F207" s="653"/>
      <c r="G207" s="653"/>
      <c r="H207" s="653"/>
      <c r="I207" s="653"/>
    </row>
    <row r="208" spans="1:9" x14ac:dyDescent="0.2">
      <c r="D208" s="651"/>
      <c r="E208" s="652"/>
      <c r="F208" s="653"/>
      <c r="G208" s="653"/>
      <c r="H208" s="653"/>
      <c r="I208" s="653"/>
    </row>
    <row r="209" spans="4:9" x14ac:dyDescent="0.2">
      <c r="D209" s="651"/>
      <c r="E209" s="652"/>
      <c r="F209" s="653"/>
      <c r="G209" s="653"/>
      <c r="H209" s="653"/>
      <c r="I209" s="653"/>
    </row>
    <row r="210" spans="4:9" x14ac:dyDescent="0.2">
      <c r="D210" s="651"/>
      <c r="E210" s="652"/>
      <c r="F210" s="653"/>
      <c r="G210" s="653"/>
      <c r="H210" s="653"/>
      <c r="I210" s="653"/>
    </row>
    <row r="211" spans="4:9" x14ac:dyDescent="0.2">
      <c r="D211" s="651"/>
      <c r="E211" s="652"/>
      <c r="F211" s="653"/>
      <c r="G211" s="653"/>
      <c r="H211" s="653"/>
      <c r="I211" s="653"/>
    </row>
    <row r="212" spans="4:9" x14ac:dyDescent="0.2">
      <c r="D212" s="651"/>
      <c r="E212" s="652"/>
      <c r="F212" s="653"/>
      <c r="G212" s="653"/>
      <c r="H212" s="653"/>
      <c r="I212" s="653"/>
    </row>
    <row r="213" spans="4:9" x14ac:dyDescent="0.2">
      <c r="D213" s="651"/>
      <c r="E213" s="652"/>
      <c r="F213" s="653"/>
      <c r="G213" s="653"/>
      <c r="H213" s="653"/>
      <c r="I213" s="653"/>
    </row>
    <row r="214" spans="4:9" x14ac:dyDescent="0.2">
      <c r="D214" s="651"/>
      <c r="E214" s="652"/>
      <c r="F214" s="653"/>
      <c r="G214" s="653"/>
      <c r="H214" s="653"/>
      <c r="I214" s="653"/>
    </row>
    <row r="215" spans="4:9" x14ac:dyDescent="0.2">
      <c r="D215" s="651"/>
      <c r="E215" s="652"/>
      <c r="F215" s="653"/>
      <c r="G215" s="653"/>
      <c r="H215" s="653"/>
      <c r="I215" s="653"/>
    </row>
    <row r="216" spans="4:9" x14ac:dyDescent="0.2">
      <c r="D216" s="651"/>
      <c r="E216" s="652"/>
      <c r="F216" s="653"/>
      <c r="G216" s="653"/>
      <c r="H216" s="653"/>
      <c r="I216" s="653"/>
    </row>
    <row r="217" spans="4:9" x14ac:dyDescent="0.2">
      <c r="D217" s="651"/>
      <c r="E217" s="652"/>
      <c r="F217" s="653"/>
      <c r="G217" s="653"/>
      <c r="H217" s="653"/>
      <c r="I217" s="653"/>
    </row>
    <row r="218" spans="4:9" x14ac:dyDescent="0.2">
      <c r="D218" s="651"/>
      <c r="E218" s="652"/>
      <c r="F218" s="653"/>
      <c r="G218" s="653"/>
      <c r="H218" s="653"/>
      <c r="I218" s="653"/>
    </row>
    <row r="219" spans="4:9" x14ac:dyDescent="0.2">
      <c r="D219" s="651"/>
      <c r="E219" s="652"/>
      <c r="F219" s="653"/>
      <c r="G219" s="653"/>
      <c r="H219" s="653"/>
      <c r="I219" s="653"/>
    </row>
    <row r="220" spans="4:9" x14ac:dyDescent="0.2">
      <c r="D220" s="651"/>
      <c r="E220" s="652"/>
      <c r="F220" s="653"/>
      <c r="G220" s="653"/>
      <c r="H220" s="653"/>
      <c r="I220" s="653"/>
    </row>
    <row r="221" spans="4:9" x14ac:dyDescent="0.2">
      <c r="D221" s="651"/>
      <c r="E221" s="652"/>
      <c r="F221" s="653"/>
      <c r="G221" s="653"/>
      <c r="H221" s="653"/>
      <c r="I221" s="653"/>
    </row>
    <row r="222" spans="4:9" x14ac:dyDescent="0.2">
      <c r="D222" s="651"/>
      <c r="E222" s="652"/>
      <c r="F222" s="653"/>
      <c r="G222" s="653"/>
      <c r="H222" s="653"/>
      <c r="I222" s="653"/>
    </row>
    <row r="223" spans="4:9" x14ac:dyDescent="0.2">
      <c r="D223" s="651"/>
      <c r="E223" s="652"/>
      <c r="F223" s="653"/>
      <c r="G223" s="653"/>
      <c r="H223" s="653"/>
      <c r="I223" s="653"/>
    </row>
    <row r="224" spans="4:9" x14ac:dyDescent="0.2">
      <c r="D224" s="651"/>
      <c r="E224" s="652"/>
      <c r="F224" s="653"/>
      <c r="G224" s="653"/>
      <c r="H224" s="653"/>
      <c r="I224" s="653"/>
    </row>
    <row r="225" spans="4:9" x14ac:dyDescent="0.2">
      <c r="D225" s="651"/>
      <c r="E225" s="652"/>
      <c r="F225" s="653"/>
      <c r="G225" s="653"/>
      <c r="H225" s="653"/>
      <c r="I225" s="653"/>
    </row>
    <row r="226" spans="4:9" x14ac:dyDescent="0.2">
      <c r="D226" s="651"/>
      <c r="E226" s="652"/>
      <c r="F226" s="653"/>
      <c r="G226" s="653"/>
      <c r="H226" s="653"/>
      <c r="I226" s="653"/>
    </row>
    <row r="227" spans="4:9" x14ac:dyDescent="0.2">
      <c r="D227" s="651"/>
      <c r="E227" s="652"/>
      <c r="F227" s="653"/>
      <c r="G227" s="653"/>
      <c r="H227" s="653"/>
      <c r="I227" s="653"/>
    </row>
    <row r="228" spans="4:9" x14ac:dyDescent="0.2">
      <c r="D228" s="651"/>
      <c r="E228" s="652"/>
      <c r="F228" s="653"/>
      <c r="G228" s="653"/>
      <c r="H228" s="653"/>
      <c r="I228" s="653"/>
    </row>
    <row r="229" spans="4:9" x14ac:dyDescent="0.2">
      <c r="D229" s="651"/>
      <c r="E229" s="652"/>
      <c r="F229" s="653"/>
      <c r="G229" s="653"/>
      <c r="H229" s="653"/>
      <c r="I229" s="653"/>
    </row>
    <row r="230" spans="4:9" x14ac:dyDescent="0.2">
      <c r="D230" s="651"/>
      <c r="E230" s="652"/>
      <c r="F230" s="653"/>
      <c r="G230" s="653"/>
      <c r="H230" s="653"/>
      <c r="I230" s="653"/>
    </row>
    <row r="231" spans="4:9" x14ac:dyDescent="0.2">
      <c r="D231" s="651"/>
      <c r="E231" s="652"/>
      <c r="F231" s="653"/>
      <c r="G231" s="653"/>
      <c r="H231" s="653"/>
      <c r="I231" s="653"/>
    </row>
    <row r="232" spans="4:9" x14ac:dyDescent="0.2">
      <c r="D232" s="651"/>
      <c r="E232" s="652"/>
      <c r="F232" s="653"/>
      <c r="G232" s="653"/>
      <c r="H232" s="653"/>
      <c r="I232" s="653"/>
    </row>
    <row r="233" spans="4:9" x14ac:dyDescent="0.2">
      <c r="D233" s="651"/>
      <c r="E233" s="652"/>
      <c r="F233" s="653"/>
      <c r="G233" s="653"/>
      <c r="H233" s="653"/>
      <c r="I233" s="653"/>
    </row>
    <row r="234" spans="4:9" x14ac:dyDescent="0.2">
      <c r="D234" s="651"/>
      <c r="E234" s="652"/>
      <c r="F234" s="653"/>
      <c r="G234" s="653"/>
      <c r="H234" s="653"/>
      <c r="I234" s="653"/>
    </row>
    <row r="235" spans="4:9" x14ac:dyDescent="0.2">
      <c r="D235" s="651"/>
      <c r="E235" s="652"/>
      <c r="F235" s="653"/>
      <c r="G235" s="653"/>
      <c r="H235" s="653"/>
      <c r="I235" s="653"/>
    </row>
    <row r="236" spans="4:9" x14ac:dyDescent="0.2">
      <c r="D236" s="651"/>
      <c r="E236" s="652"/>
      <c r="F236" s="653"/>
      <c r="G236" s="653"/>
      <c r="H236" s="653"/>
      <c r="I236" s="653"/>
    </row>
    <row r="237" spans="4:9" x14ac:dyDescent="0.2">
      <c r="D237" s="651"/>
      <c r="E237" s="652"/>
      <c r="F237" s="653"/>
      <c r="G237" s="653"/>
      <c r="H237" s="653"/>
      <c r="I237" s="653"/>
    </row>
    <row r="238" spans="4:9" x14ac:dyDescent="0.2">
      <c r="D238" s="651"/>
      <c r="E238" s="652"/>
      <c r="F238" s="653"/>
      <c r="G238" s="653"/>
      <c r="H238" s="653"/>
      <c r="I238" s="653"/>
    </row>
    <row r="239" spans="4:9" x14ac:dyDescent="0.2">
      <c r="D239" s="651"/>
      <c r="E239" s="652"/>
      <c r="F239" s="653"/>
      <c r="G239" s="653"/>
      <c r="H239" s="653"/>
      <c r="I239" s="653"/>
    </row>
    <row r="240" spans="4:9" x14ac:dyDescent="0.2">
      <c r="D240" s="651"/>
      <c r="E240" s="652"/>
      <c r="F240" s="653"/>
      <c r="G240" s="653"/>
      <c r="H240" s="653"/>
      <c r="I240" s="653"/>
    </row>
    <row r="241" spans="4:9" x14ac:dyDescent="0.2">
      <c r="D241" s="651"/>
      <c r="E241" s="652"/>
      <c r="F241" s="653"/>
      <c r="G241" s="653"/>
      <c r="H241" s="653"/>
      <c r="I241" s="653"/>
    </row>
    <row r="242" spans="4:9" x14ac:dyDescent="0.2">
      <c r="D242" s="651"/>
      <c r="E242" s="652"/>
      <c r="F242" s="653"/>
      <c r="G242" s="653"/>
      <c r="H242" s="653"/>
      <c r="I242" s="653"/>
    </row>
    <row r="243" spans="4:9" x14ac:dyDescent="0.2">
      <c r="D243" s="651"/>
      <c r="E243" s="652"/>
      <c r="F243" s="653"/>
      <c r="G243" s="653"/>
      <c r="H243" s="653"/>
      <c r="I243" s="653"/>
    </row>
    <row r="244" spans="4:9" x14ac:dyDescent="0.2">
      <c r="D244" s="651"/>
      <c r="E244" s="652"/>
      <c r="F244" s="653"/>
      <c r="G244" s="653"/>
      <c r="H244" s="653"/>
      <c r="I244" s="653"/>
    </row>
    <row r="245" spans="4:9" x14ac:dyDescent="0.2">
      <c r="D245" s="651"/>
      <c r="E245" s="652"/>
      <c r="F245" s="653"/>
      <c r="G245" s="653"/>
      <c r="H245" s="653"/>
      <c r="I245" s="653"/>
    </row>
    <row r="246" spans="4:9" x14ac:dyDescent="0.2">
      <c r="D246" s="651"/>
      <c r="E246" s="652"/>
      <c r="F246" s="653"/>
      <c r="G246" s="653"/>
      <c r="H246" s="653"/>
      <c r="I246" s="653"/>
    </row>
    <row r="247" spans="4:9" x14ac:dyDescent="0.2">
      <c r="D247" s="651"/>
      <c r="E247" s="652"/>
      <c r="F247" s="653"/>
      <c r="G247" s="653"/>
      <c r="H247" s="653"/>
      <c r="I247" s="653"/>
    </row>
    <row r="248" spans="4:9" x14ac:dyDescent="0.2">
      <c r="D248" s="651"/>
      <c r="E248" s="652"/>
      <c r="F248" s="653"/>
      <c r="G248" s="653"/>
      <c r="H248" s="653"/>
      <c r="I248" s="653"/>
    </row>
    <row r="249" spans="4:9" x14ac:dyDescent="0.2">
      <c r="D249" s="651"/>
      <c r="E249" s="652"/>
      <c r="F249" s="653"/>
      <c r="G249" s="653"/>
      <c r="H249" s="653"/>
      <c r="I249" s="653"/>
    </row>
    <row r="250" spans="4:9" x14ac:dyDescent="0.2">
      <c r="D250" s="651"/>
      <c r="E250" s="652"/>
      <c r="F250" s="653"/>
      <c r="G250" s="653"/>
      <c r="H250" s="653"/>
      <c r="I250" s="653"/>
    </row>
    <row r="251" spans="4:9" x14ac:dyDescent="0.2">
      <c r="D251" s="651"/>
      <c r="E251" s="652"/>
      <c r="F251" s="653"/>
      <c r="G251" s="653"/>
      <c r="H251" s="653"/>
      <c r="I251" s="653"/>
    </row>
    <row r="252" spans="4:9" x14ac:dyDescent="0.2">
      <c r="D252" s="651"/>
      <c r="E252" s="652"/>
      <c r="F252" s="653"/>
      <c r="G252" s="653"/>
      <c r="H252" s="653"/>
      <c r="I252" s="653"/>
    </row>
    <row r="253" spans="4:9" x14ac:dyDescent="0.2">
      <c r="D253" s="651"/>
      <c r="E253" s="652"/>
      <c r="F253" s="653"/>
      <c r="G253" s="653"/>
      <c r="H253" s="653"/>
      <c r="I253" s="653"/>
    </row>
    <row r="254" spans="4:9" x14ac:dyDescent="0.2">
      <c r="D254" s="651"/>
      <c r="E254" s="652"/>
      <c r="F254" s="653"/>
      <c r="G254" s="653"/>
      <c r="H254" s="653"/>
      <c r="I254" s="653"/>
    </row>
    <row r="255" spans="4:9" x14ac:dyDescent="0.2">
      <c r="D255" s="651"/>
      <c r="E255" s="652"/>
      <c r="F255" s="653"/>
      <c r="G255" s="653"/>
      <c r="H255" s="653"/>
      <c r="I255" s="653"/>
    </row>
    <row r="256" spans="4:9" x14ac:dyDescent="0.2">
      <c r="D256" s="651"/>
      <c r="E256" s="652"/>
      <c r="F256" s="653"/>
      <c r="G256" s="653"/>
      <c r="H256" s="653"/>
      <c r="I256" s="653"/>
    </row>
    <row r="257" spans="4:9" x14ac:dyDescent="0.2">
      <c r="D257" s="651"/>
      <c r="E257" s="652"/>
      <c r="F257" s="653"/>
      <c r="G257" s="653"/>
      <c r="H257" s="653"/>
      <c r="I257" s="653"/>
    </row>
    <row r="258" spans="4:9" x14ac:dyDescent="0.2">
      <c r="D258" s="651"/>
      <c r="E258" s="652"/>
      <c r="F258" s="653"/>
      <c r="G258" s="653"/>
      <c r="H258" s="653"/>
      <c r="I258" s="653"/>
    </row>
    <row r="259" spans="4:9" x14ac:dyDescent="0.2">
      <c r="D259" s="651"/>
      <c r="E259" s="652"/>
      <c r="F259" s="653"/>
      <c r="G259" s="653"/>
      <c r="H259" s="653"/>
      <c r="I259" s="653"/>
    </row>
    <row r="260" spans="4:9" x14ac:dyDescent="0.2">
      <c r="D260" s="651"/>
      <c r="E260" s="652"/>
      <c r="F260" s="653"/>
      <c r="G260" s="653"/>
      <c r="H260" s="653"/>
      <c r="I260" s="653"/>
    </row>
    <row r="261" spans="4:9" x14ac:dyDescent="0.2">
      <c r="D261" s="651"/>
      <c r="E261" s="652"/>
      <c r="F261" s="653"/>
      <c r="G261" s="653"/>
      <c r="H261" s="653"/>
      <c r="I261" s="653"/>
    </row>
    <row r="262" spans="4:9" x14ac:dyDescent="0.2">
      <c r="D262" s="651"/>
      <c r="E262" s="652"/>
      <c r="F262" s="653"/>
      <c r="G262" s="653"/>
      <c r="H262" s="653"/>
      <c r="I262" s="653"/>
    </row>
    <row r="263" spans="4:9" x14ac:dyDescent="0.2">
      <c r="D263" s="651"/>
      <c r="E263" s="652"/>
      <c r="F263" s="653"/>
      <c r="G263" s="653"/>
      <c r="H263" s="653"/>
      <c r="I263" s="653"/>
    </row>
    <row r="264" spans="4:9" x14ac:dyDescent="0.2">
      <c r="D264" s="651"/>
      <c r="E264" s="652"/>
      <c r="F264" s="653"/>
      <c r="G264" s="653"/>
      <c r="H264" s="653"/>
      <c r="I264" s="653"/>
    </row>
    <row r="265" spans="4:9" x14ac:dyDescent="0.2">
      <c r="D265" s="651"/>
      <c r="E265" s="652"/>
      <c r="F265" s="653"/>
      <c r="G265" s="653"/>
      <c r="H265" s="653"/>
      <c r="I265" s="653"/>
    </row>
    <row r="266" spans="4:9" x14ac:dyDescent="0.2">
      <c r="D266" s="651"/>
      <c r="E266" s="652"/>
      <c r="F266" s="653"/>
      <c r="G266" s="653"/>
      <c r="H266" s="653"/>
      <c r="I266" s="653"/>
    </row>
    <row r="267" spans="4:9" x14ac:dyDescent="0.2">
      <c r="D267" s="651"/>
      <c r="E267" s="652"/>
      <c r="F267" s="653"/>
      <c r="G267" s="653"/>
      <c r="H267" s="653"/>
      <c r="I267" s="653"/>
    </row>
    <row r="268" spans="4:9" x14ac:dyDescent="0.2">
      <c r="D268" s="651"/>
      <c r="E268" s="652"/>
      <c r="F268" s="653"/>
      <c r="G268" s="653"/>
      <c r="H268" s="653"/>
      <c r="I268" s="653"/>
    </row>
    <row r="269" spans="4:9" x14ac:dyDescent="0.2">
      <c r="D269" s="651"/>
      <c r="E269" s="652"/>
      <c r="F269" s="653"/>
      <c r="G269" s="653"/>
      <c r="H269" s="653"/>
      <c r="I269" s="653"/>
    </row>
    <row r="270" spans="4:9" x14ac:dyDescent="0.2">
      <c r="D270" s="651"/>
      <c r="E270" s="652"/>
      <c r="F270" s="653"/>
      <c r="G270" s="653"/>
      <c r="H270" s="653"/>
      <c r="I270" s="653"/>
    </row>
    <row r="271" spans="4:9" x14ac:dyDescent="0.2">
      <c r="D271" s="651"/>
      <c r="E271" s="652"/>
      <c r="F271" s="653"/>
      <c r="G271" s="653"/>
      <c r="H271" s="653"/>
      <c r="I271" s="653"/>
    </row>
    <row r="272" spans="4:9" x14ac:dyDescent="0.2">
      <c r="D272" s="651"/>
      <c r="E272" s="652"/>
      <c r="F272" s="653"/>
      <c r="G272" s="653"/>
      <c r="H272" s="653"/>
      <c r="I272" s="653"/>
    </row>
    <row r="273" spans="4:9" x14ac:dyDescent="0.2">
      <c r="D273" s="651"/>
      <c r="E273" s="652"/>
      <c r="F273" s="653"/>
      <c r="G273" s="653"/>
      <c r="H273" s="653"/>
      <c r="I273" s="653"/>
    </row>
    <row r="274" spans="4:9" x14ac:dyDescent="0.2">
      <c r="D274" s="651"/>
      <c r="E274" s="652"/>
      <c r="F274" s="653"/>
      <c r="G274" s="653"/>
      <c r="H274" s="653"/>
      <c r="I274" s="653"/>
    </row>
    <row r="275" spans="4:9" x14ac:dyDescent="0.2">
      <c r="D275" s="651"/>
      <c r="E275" s="652"/>
      <c r="F275" s="653"/>
      <c r="G275" s="653"/>
      <c r="H275" s="653"/>
      <c r="I275" s="653"/>
    </row>
    <row r="276" spans="4:9" x14ac:dyDescent="0.2">
      <c r="D276" s="651"/>
      <c r="E276" s="652"/>
      <c r="F276" s="653"/>
      <c r="G276" s="653"/>
      <c r="H276" s="653"/>
      <c r="I276" s="653"/>
    </row>
    <row r="277" spans="4:9" x14ac:dyDescent="0.2">
      <c r="D277" s="651"/>
      <c r="E277" s="652"/>
      <c r="F277" s="653"/>
      <c r="G277" s="653"/>
      <c r="H277" s="653"/>
      <c r="I277" s="653"/>
    </row>
    <row r="278" spans="4:9" x14ac:dyDescent="0.2">
      <c r="D278" s="651"/>
      <c r="E278" s="652"/>
      <c r="F278" s="653"/>
      <c r="G278" s="653"/>
      <c r="H278" s="653"/>
      <c r="I278" s="653"/>
    </row>
    <row r="279" spans="4:9" x14ac:dyDescent="0.2">
      <c r="D279" s="651"/>
      <c r="E279" s="652"/>
      <c r="F279" s="653"/>
      <c r="G279" s="653"/>
      <c r="H279" s="653"/>
      <c r="I279" s="653"/>
    </row>
    <row r="280" spans="4:9" x14ac:dyDescent="0.2">
      <c r="D280" s="651"/>
      <c r="E280" s="652"/>
      <c r="F280" s="653"/>
      <c r="G280" s="653"/>
      <c r="H280" s="653"/>
      <c r="I280" s="653"/>
    </row>
    <row r="281" spans="4:9" x14ac:dyDescent="0.2">
      <c r="D281" s="651"/>
      <c r="E281" s="652"/>
      <c r="F281" s="653"/>
      <c r="G281" s="653"/>
      <c r="H281" s="653"/>
      <c r="I281" s="653"/>
    </row>
    <row r="282" spans="4:9" x14ac:dyDescent="0.2">
      <c r="D282" s="651"/>
      <c r="E282" s="652"/>
      <c r="F282" s="653"/>
      <c r="G282" s="653"/>
      <c r="H282" s="653"/>
      <c r="I282" s="653"/>
    </row>
    <row r="283" spans="4:9" x14ac:dyDescent="0.2">
      <c r="D283" s="651"/>
      <c r="E283" s="652"/>
      <c r="F283" s="653"/>
      <c r="G283" s="653"/>
      <c r="H283" s="653"/>
      <c r="I283" s="653"/>
    </row>
    <row r="284" spans="4:9" x14ac:dyDescent="0.2">
      <c r="D284" s="651"/>
      <c r="E284" s="652"/>
      <c r="F284" s="653"/>
      <c r="G284" s="653"/>
      <c r="H284" s="653"/>
      <c r="I284" s="653"/>
    </row>
    <row r="285" spans="4:9" x14ac:dyDescent="0.2">
      <c r="D285" s="651"/>
      <c r="E285" s="652"/>
      <c r="F285" s="653"/>
      <c r="G285" s="653"/>
      <c r="H285" s="653"/>
      <c r="I285" s="653"/>
    </row>
    <row r="286" spans="4:9" x14ac:dyDescent="0.2">
      <c r="D286" s="651"/>
      <c r="E286" s="652"/>
      <c r="F286" s="653"/>
      <c r="G286" s="653"/>
      <c r="H286" s="653"/>
      <c r="I286" s="653"/>
    </row>
    <row r="287" spans="4:9" x14ac:dyDescent="0.2">
      <c r="D287" s="651"/>
      <c r="E287" s="652"/>
      <c r="F287" s="653"/>
      <c r="G287" s="653"/>
      <c r="H287" s="653"/>
      <c r="I287" s="653"/>
    </row>
    <row r="288" spans="4:9" x14ac:dyDescent="0.2">
      <c r="D288" s="651"/>
      <c r="E288" s="652"/>
      <c r="F288" s="653"/>
      <c r="G288" s="653"/>
      <c r="H288" s="653"/>
      <c r="I288" s="653"/>
    </row>
    <row r="289" spans="4:9" x14ac:dyDescent="0.2">
      <c r="D289" s="651"/>
      <c r="E289" s="652"/>
      <c r="F289" s="653"/>
      <c r="G289" s="653"/>
      <c r="H289" s="653"/>
      <c r="I289" s="653"/>
    </row>
    <row r="290" spans="4:9" x14ac:dyDescent="0.2">
      <c r="D290" s="651"/>
      <c r="E290" s="652"/>
      <c r="F290" s="653"/>
      <c r="G290" s="653"/>
      <c r="H290" s="653"/>
      <c r="I290" s="653"/>
    </row>
    <row r="291" spans="4:9" x14ac:dyDescent="0.2">
      <c r="D291" s="651"/>
      <c r="E291" s="652"/>
      <c r="F291" s="653"/>
      <c r="G291" s="653"/>
      <c r="H291" s="653"/>
      <c r="I291" s="653"/>
    </row>
    <row r="292" spans="4:9" x14ac:dyDescent="0.2">
      <c r="D292" s="651"/>
      <c r="E292" s="652"/>
      <c r="F292" s="653"/>
      <c r="G292" s="653"/>
      <c r="H292" s="653"/>
      <c r="I292" s="653"/>
    </row>
    <row r="293" spans="4:9" x14ac:dyDescent="0.2">
      <c r="D293" s="651"/>
      <c r="E293" s="652"/>
      <c r="F293" s="653"/>
      <c r="G293" s="653"/>
      <c r="H293" s="653"/>
      <c r="I293" s="653"/>
    </row>
    <row r="294" spans="4:9" x14ac:dyDescent="0.2">
      <c r="D294" s="651"/>
      <c r="E294" s="652"/>
      <c r="F294" s="653"/>
      <c r="G294" s="653"/>
      <c r="H294" s="653"/>
      <c r="I294" s="653"/>
    </row>
    <row r="295" spans="4:9" x14ac:dyDescent="0.2">
      <c r="D295" s="651"/>
      <c r="E295" s="652"/>
      <c r="F295" s="653"/>
      <c r="G295" s="653"/>
      <c r="H295" s="653"/>
      <c r="I295" s="653"/>
    </row>
    <row r="296" spans="4:9" x14ac:dyDescent="0.2">
      <c r="D296" s="651"/>
      <c r="E296" s="652"/>
      <c r="F296" s="653"/>
      <c r="G296" s="653"/>
      <c r="H296" s="653"/>
      <c r="I296" s="653"/>
    </row>
    <row r="297" spans="4:9" x14ac:dyDescent="0.2">
      <c r="D297" s="651"/>
      <c r="E297" s="652"/>
      <c r="F297" s="653"/>
      <c r="G297" s="653"/>
      <c r="H297" s="653"/>
      <c r="I297" s="653"/>
    </row>
    <row r="298" spans="4:9" x14ac:dyDescent="0.2">
      <c r="D298" s="651"/>
      <c r="E298" s="652"/>
      <c r="F298" s="653"/>
      <c r="G298" s="653"/>
      <c r="H298" s="653"/>
      <c r="I298" s="653"/>
    </row>
    <row r="299" spans="4:9" x14ac:dyDescent="0.2">
      <c r="D299" s="651"/>
      <c r="E299" s="652"/>
      <c r="F299" s="653"/>
      <c r="G299" s="653"/>
      <c r="H299" s="653"/>
      <c r="I299" s="653"/>
    </row>
    <row r="300" spans="4:9" x14ac:dyDescent="0.2">
      <c r="D300" s="651"/>
      <c r="E300" s="652"/>
      <c r="F300" s="653"/>
      <c r="G300" s="653"/>
      <c r="H300" s="653"/>
      <c r="I300" s="653"/>
    </row>
    <row r="301" spans="4:9" x14ac:dyDescent="0.2">
      <c r="D301" s="651"/>
      <c r="E301" s="652"/>
      <c r="F301" s="653"/>
      <c r="G301" s="653"/>
      <c r="H301" s="653"/>
      <c r="I301" s="653"/>
    </row>
    <row r="302" spans="4:9" x14ac:dyDescent="0.2">
      <c r="D302" s="651"/>
      <c r="E302" s="652"/>
      <c r="F302" s="653"/>
      <c r="G302" s="653"/>
      <c r="H302" s="653"/>
      <c r="I302" s="653"/>
    </row>
    <row r="303" spans="4:9" x14ac:dyDescent="0.2">
      <c r="D303" s="651"/>
      <c r="E303" s="652"/>
      <c r="F303" s="653"/>
      <c r="G303" s="653"/>
      <c r="H303" s="653"/>
      <c r="I303" s="653"/>
    </row>
    <row r="304" spans="4:9" x14ac:dyDescent="0.2">
      <c r="D304" s="651"/>
      <c r="E304" s="652"/>
      <c r="F304" s="653"/>
      <c r="G304" s="653"/>
      <c r="H304" s="653"/>
      <c r="I304" s="653"/>
    </row>
    <row r="305" spans="4:9" x14ac:dyDescent="0.2">
      <c r="D305" s="651"/>
      <c r="E305" s="652"/>
      <c r="F305" s="653"/>
      <c r="G305" s="653"/>
      <c r="H305" s="653"/>
      <c r="I305" s="653"/>
    </row>
    <row r="306" spans="4:9" x14ac:dyDescent="0.2">
      <c r="D306" s="651"/>
      <c r="E306" s="652"/>
      <c r="F306" s="653"/>
      <c r="G306" s="653"/>
      <c r="H306" s="653"/>
      <c r="I306" s="653"/>
    </row>
    <row r="307" spans="4:9" x14ac:dyDescent="0.2">
      <c r="D307" s="651"/>
      <c r="E307" s="652"/>
      <c r="F307" s="653"/>
      <c r="G307" s="653"/>
      <c r="H307" s="653"/>
      <c r="I307" s="653"/>
    </row>
    <row r="308" spans="4:9" x14ac:dyDescent="0.2">
      <c r="D308" s="651"/>
      <c r="E308" s="652"/>
      <c r="F308" s="653"/>
      <c r="G308" s="653"/>
      <c r="H308" s="653"/>
      <c r="I308" s="653"/>
    </row>
    <row r="309" spans="4:9" x14ac:dyDescent="0.2">
      <c r="D309" s="651"/>
      <c r="E309" s="652"/>
      <c r="F309" s="653"/>
      <c r="G309" s="653"/>
      <c r="H309" s="653"/>
      <c r="I309" s="653"/>
    </row>
    <row r="310" spans="4:9" x14ac:dyDescent="0.2">
      <c r="D310" s="651"/>
      <c r="E310" s="652"/>
      <c r="F310" s="653"/>
      <c r="G310" s="653"/>
      <c r="H310" s="653"/>
      <c r="I310" s="653"/>
    </row>
    <row r="311" spans="4:9" x14ac:dyDescent="0.2">
      <c r="D311" s="651"/>
      <c r="E311" s="652"/>
      <c r="F311" s="653"/>
      <c r="G311" s="653"/>
      <c r="H311" s="653"/>
      <c r="I311" s="653"/>
    </row>
    <row r="312" spans="4:9" x14ac:dyDescent="0.2">
      <c r="D312" s="651"/>
      <c r="E312" s="652"/>
      <c r="F312" s="653"/>
      <c r="G312" s="653"/>
      <c r="H312" s="653"/>
      <c r="I312" s="653"/>
    </row>
    <row r="313" spans="4:9" x14ac:dyDescent="0.2">
      <c r="D313" s="651"/>
      <c r="E313" s="652"/>
      <c r="F313" s="653"/>
      <c r="G313" s="653"/>
      <c r="H313" s="653"/>
      <c r="I313" s="653"/>
    </row>
    <row r="314" spans="4:9" x14ac:dyDescent="0.2">
      <c r="D314" s="651"/>
      <c r="E314" s="652"/>
      <c r="F314" s="653"/>
      <c r="G314" s="653"/>
      <c r="H314" s="653"/>
      <c r="I314" s="653"/>
    </row>
    <row r="315" spans="4:9" x14ac:dyDescent="0.2">
      <c r="D315" s="651"/>
      <c r="E315" s="652"/>
      <c r="F315" s="653"/>
      <c r="G315" s="653"/>
      <c r="H315" s="653"/>
      <c r="I315" s="653"/>
    </row>
    <row r="316" spans="4:9" x14ac:dyDescent="0.2">
      <c r="D316" s="651"/>
      <c r="E316" s="652"/>
      <c r="F316" s="653"/>
      <c r="G316" s="653"/>
      <c r="H316" s="653"/>
      <c r="I316" s="653"/>
    </row>
    <row r="317" spans="4:9" x14ac:dyDescent="0.2">
      <c r="D317" s="651"/>
      <c r="E317" s="652"/>
      <c r="F317" s="653"/>
      <c r="G317" s="653"/>
      <c r="H317" s="653"/>
      <c r="I317" s="653"/>
    </row>
    <row r="318" spans="4:9" x14ac:dyDescent="0.2">
      <c r="D318" s="651"/>
      <c r="E318" s="652"/>
      <c r="F318" s="653"/>
      <c r="G318" s="653"/>
      <c r="H318" s="653"/>
      <c r="I318" s="653"/>
    </row>
    <row r="319" spans="4:9" x14ac:dyDescent="0.2">
      <c r="D319" s="651"/>
      <c r="E319" s="652"/>
      <c r="F319" s="653"/>
      <c r="G319" s="653"/>
      <c r="H319" s="653"/>
      <c r="I319" s="653"/>
    </row>
    <row r="320" spans="4:9" x14ac:dyDescent="0.2">
      <c r="D320" s="651"/>
      <c r="E320" s="652"/>
      <c r="F320" s="653"/>
      <c r="G320" s="653"/>
      <c r="H320" s="653"/>
      <c r="I320" s="653"/>
    </row>
    <row r="321" spans="4:9" x14ac:dyDescent="0.2">
      <c r="D321" s="651"/>
      <c r="E321" s="652"/>
      <c r="F321" s="653"/>
      <c r="G321" s="653"/>
      <c r="H321" s="653"/>
      <c r="I321" s="653"/>
    </row>
    <row r="322" spans="4:9" x14ac:dyDescent="0.2">
      <c r="D322" s="651"/>
      <c r="E322" s="652"/>
      <c r="F322" s="653"/>
      <c r="G322" s="653"/>
      <c r="H322" s="653"/>
      <c r="I322" s="653"/>
    </row>
    <row r="323" spans="4:9" x14ac:dyDescent="0.2">
      <c r="D323" s="651"/>
      <c r="E323" s="652"/>
      <c r="F323" s="653"/>
      <c r="G323" s="653"/>
      <c r="H323" s="653"/>
      <c r="I323" s="653"/>
    </row>
    <row r="324" spans="4:9" x14ac:dyDescent="0.2">
      <c r="D324" s="651"/>
      <c r="E324" s="652"/>
      <c r="F324" s="653"/>
      <c r="G324" s="653"/>
      <c r="H324" s="653"/>
      <c r="I324" s="653"/>
    </row>
    <row r="325" spans="4:9" x14ac:dyDescent="0.2">
      <c r="D325" s="651"/>
      <c r="E325" s="652"/>
      <c r="F325" s="653"/>
      <c r="G325" s="653"/>
      <c r="H325" s="653"/>
      <c r="I325" s="653"/>
    </row>
    <row r="326" spans="4:9" x14ac:dyDescent="0.2">
      <c r="D326" s="651"/>
      <c r="E326" s="652"/>
      <c r="F326" s="653"/>
      <c r="G326" s="653"/>
      <c r="H326" s="653"/>
      <c r="I326" s="653"/>
    </row>
    <row r="327" spans="4:9" x14ac:dyDescent="0.2">
      <c r="D327" s="651"/>
      <c r="E327" s="652"/>
      <c r="F327" s="653"/>
      <c r="G327" s="653"/>
      <c r="H327" s="653"/>
      <c r="I327" s="653"/>
    </row>
    <row r="328" spans="4:9" x14ac:dyDescent="0.2">
      <c r="D328" s="651"/>
      <c r="E328" s="652"/>
      <c r="F328" s="653"/>
      <c r="G328" s="653"/>
      <c r="H328" s="653"/>
      <c r="I328" s="653"/>
    </row>
    <row r="329" spans="4:9" x14ac:dyDescent="0.2">
      <c r="D329" s="651"/>
      <c r="E329" s="652"/>
      <c r="F329" s="653"/>
      <c r="G329" s="653"/>
      <c r="H329" s="653"/>
      <c r="I329" s="653"/>
    </row>
    <row r="330" spans="4:9" x14ac:dyDescent="0.2">
      <c r="D330" s="651"/>
      <c r="E330" s="652"/>
      <c r="F330" s="653"/>
      <c r="G330" s="653"/>
      <c r="H330" s="653"/>
      <c r="I330" s="653"/>
    </row>
    <row r="331" spans="4:9" x14ac:dyDescent="0.2">
      <c r="D331" s="651"/>
      <c r="E331" s="652"/>
      <c r="F331" s="653"/>
      <c r="G331" s="653"/>
      <c r="H331" s="653"/>
      <c r="I331" s="653"/>
    </row>
    <row r="332" spans="4:9" x14ac:dyDescent="0.2">
      <c r="D332" s="651"/>
      <c r="E332" s="652"/>
      <c r="F332" s="653"/>
      <c r="G332" s="653"/>
      <c r="H332" s="653"/>
      <c r="I332" s="653"/>
    </row>
    <row r="333" spans="4:9" x14ac:dyDescent="0.2">
      <c r="D333" s="651"/>
      <c r="E333" s="652"/>
      <c r="F333" s="653"/>
      <c r="G333" s="653"/>
      <c r="H333" s="653"/>
      <c r="I333" s="653"/>
    </row>
    <row r="334" spans="4:9" x14ac:dyDescent="0.2">
      <c r="D334" s="651"/>
      <c r="E334" s="652"/>
      <c r="F334" s="653"/>
      <c r="G334" s="653"/>
      <c r="H334" s="653"/>
      <c r="I334" s="653"/>
    </row>
    <row r="335" spans="4:9" x14ac:dyDescent="0.2">
      <c r="D335" s="651"/>
      <c r="E335" s="652"/>
      <c r="F335" s="653"/>
      <c r="G335" s="653"/>
      <c r="H335" s="653"/>
      <c r="I335" s="653"/>
    </row>
    <row r="336" spans="4:9" x14ac:dyDescent="0.2">
      <c r="D336" s="651"/>
      <c r="E336" s="652"/>
      <c r="F336" s="653"/>
      <c r="G336" s="653"/>
      <c r="H336" s="653"/>
      <c r="I336" s="653"/>
    </row>
    <row r="337" spans="4:9" x14ac:dyDescent="0.2">
      <c r="D337" s="651"/>
      <c r="E337" s="652"/>
      <c r="F337" s="653"/>
      <c r="G337" s="653"/>
      <c r="H337" s="653"/>
      <c r="I337" s="653"/>
    </row>
    <row r="338" spans="4:9" x14ac:dyDescent="0.2">
      <c r="D338" s="651"/>
      <c r="E338" s="652"/>
      <c r="F338" s="653"/>
      <c r="G338" s="653"/>
      <c r="H338" s="653"/>
      <c r="I338" s="653"/>
    </row>
    <row r="339" spans="4:9" x14ac:dyDescent="0.2">
      <c r="D339" s="651"/>
      <c r="E339" s="652"/>
      <c r="F339" s="653"/>
      <c r="G339" s="653"/>
      <c r="H339" s="653"/>
      <c r="I339" s="653"/>
    </row>
    <row r="340" spans="4:9" x14ac:dyDescent="0.2">
      <c r="D340" s="651"/>
      <c r="E340" s="652"/>
      <c r="F340" s="653"/>
      <c r="G340" s="653"/>
      <c r="H340" s="653"/>
      <c r="I340" s="653"/>
    </row>
    <row r="341" spans="4:9" x14ac:dyDescent="0.2">
      <c r="D341" s="651"/>
      <c r="E341" s="652"/>
      <c r="F341" s="653"/>
      <c r="G341" s="653"/>
      <c r="H341" s="653"/>
      <c r="I341" s="653"/>
    </row>
    <row r="342" spans="4:9" x14ac:dyDescent="0.2">
      <c r="D342" s="651"/>
      <c r="E342" s="652"/>
      <c r="F342" s="653"/>
      <c r="G342" s="653"/>
      <c r="H342" s="653"/>
      <c r="I342" s="653"/>
    </row>
    <row r="343" spans="4:9" x14ac:dyDescent="0.2">
      <c r="D343" s="651"/>
      <c r="E343" s="652"/>
      <c r="F343" s="653"/>
      <c r="G343" s="653"/>
      <c r="H343" s="653"/>
      <c r="I343" s="653"/>
    </row>
    <row r="344" spans="4:9" x14ac:dyDescent="0.2">
      <c r="D344" s="651"/>
      <c r="E344" s="652"/>
      <c r="F344" s="653"/>
      <c r="G344" s="653"/>
      <c r="H344" s="653"/>
      <c r="I344" s="653"/>
    </row>
    <row r="345" spans="4:9" x14ac:dyDescent="0.2">
      <c r="D345" s="651"/>
      <c r="E345" s="652"/>
      <c r="F345" s="653"/>
      <c r="G345" s="653"/>
      <c r="H345" s="653"/>
      <c r="I345" s="653"/>
    </row>
    <row r="346" spans="4:9" x14ac:dyDescent="0.2">
      <c r="D346" s="651"/>
      <c r="E346" s="652"/>
      <c r="F346" s="653"/>
      <c r="G346" s="653"/>
      <c r="H346" s="653"/>
      <c r="I346" s="653"/>
    </row>
    <row r="347" spans="4:9" x14ac:dyDescent="0.2">
      <c r="D347" s="651"/>
      <c r="E347" s="652"/>
      <c r="F347" s="653"/>
      <c r="G347" s="653"/>
      <c r="H347" s="653"/>
      <c r="I347" s="653"/>
    </row>
    <row r="348" spans="4:9" x14ac:dyDescent="0.2">
      <c r="D348" s="651"/>
      <c r="E348" s="652"/>
      <c r="F348" s="653"/>
      <c r="G348" s="653"/>
      <c r="H348" s="653"/>
      <c r="I348" s="653"/>
    </row>
    <row r="349" spans="4:9" x14ac:dyDescent="0.2">
      <c r="D349" s="651"/>
      <c r="E349" s="652"/>
      <c r="F349" s="653"/>
      <c r="G349" s="653"/>
      <c r="H349" s="653"/>
      <c r="I349" s="653"/>
    </row>
    <row r="350" spans="4:9" x14ac:dyDescent="0.2">
      <c r="D350" s="651"/>
      <c r="E350" s="652"/>
      <c r="F350" s="653"/>
      <c r="G350" s="653"/>
      <c r="H350" s="653"/>
      <c r="I350" s="653"/>
    </row>
    <row r="351" spans="4:9" x14ac:dyDescent="0.2">
      <c r="D351" s="651"/>
      <c r="E351" s="652"/>
      <c r="F351" s="653"/>
      <c r="G351" s="653"/>
      <c r="H351" s="653"/>
      <c r="I351" s="653"/>
    </row>
    <row r="352" spans="4:9" x14ac:dyDescent="0.2">
      <c r="D352" s="651"/>
      <c r="E352" s="652"/>
      <c r="F352" s="653"/>
      <c r="G352" s="653"/>
      <c r="H352" s="653"/>
      <c r="I352" s="653"/>
    </row>
    <row r="353" spans="4:9" x14ac:dyDescent="0.2">
      <c r="D353" s="651"/>
      <c r="E353" s="652"/>
      <c r="F353" s="653"/>
      <c r="G353" s="653"/>
      <c r="H353" s="653"/>
      <c r="I353" s="653"/>
    </row>
    <row r="354" spans="4:9" x14ac:dyDescent="0.2">
      <c r="D354" s="651"/>
      <c r="E354" s="652"/>
      <c r="F354" s="653"/>
      <c r="G354" s="653"/>
      <c r="H354" s="653"/>
      <c r="I354" s="653"/>
    </row>
    <row r="355" spans="4:9" x14ac:dyDescent="0.2">
      <c r="D355" s="651"/>
      <c r="E355" s="652"/>
      <c r="F355" s="653"/>
      <c r="G355" s="653"/>
      <c r="H355" s="653"/>
      <c r="I355" s="653"/>
    </row>
    <row r="356" spans="4:9" x14ac:dyDescent="0.2">
      <c r="D356" s="651"/>
      <c r="E356" s="652"/>
      <c r="F356" s="653"/>
      <c r="G356" s="653"/>
      <c r="H356" s="653"/>
      <c r="I356" s="653"/>
    </row>
    <row r="357" spans="4:9" x14ac:dyDescent="0.2">
      <c r="D357" s="651"/>
      <c r="E357" s="652"/>
      <c r="F357" s="653"/>
      <c r="G357" s="653"/>
      <c r="H357" s="653"/>
      <c r="I357" s="653"/>
    </row>
    <row r="358" spans="4:9" x14ac:dyDescent="0.2">
      <c r="D358" s="651"/>
      <c r="E358" s="652"/>
      <c r="F358" s="653"/>
      <c r="G358" s="653"/>
      <c r="H358" s="653"/>
      <c r="I358" s="653"/>
    </row>
    <row r="359" spans="4:9" x14ac:dyDescent="0.2">
      <c r="D359" s="651"/>
      <c r="E359" s="652"/>
      <c r="F359" s="653"/>
      <c r="G359" s="653"/>
      <c r="H359" s="653"/>
      <c r="I359" s="653"/>
    </row>
    <row r="360" spans="4:9" x14ac:dyDescent="0.2">
      <c r="D360" s="651"/>
      <c r="E360" s="652"/>
      <c r="F360" s="653"/>
      <c r="G360" s="653"/>
      <c r="H360" s="653"/>
      <c r="I360" s="653"/>
    </row>
    <row r="361" spans="4:9" x14ac:dyDescent="0.2">
      <c r="D361" s="651"/>
      <c r="E361" s="652"/>
      <c r="F361" s="653"/>
      <c r="G361" s="653"/>
      <c r="H361" s="653"/>
      <c r="I361" s="653"/>
    </row>
    <row r="362" spans="4:9" x14ac:dyDescent="0.2">
      <c r="D362" s="651"/>
      <c r="E362" s="652"/>
      <c r="F362" s="653"/>
      <c r="G362" s="653"/>
      <c r="H362" s="653"/>
      <c r="I362" s="653"/>
    </row>
    <row r="363" spans="4:9" x14ac:dyDescent="0.2">
      <c r="D363" s="651"/>
      <c r="E363" s="652"/>
      <c r="F363" s="653"/>
      <c r="G363" s="653"/>
      <c r="H363" s="653"/>
      <c r="I363" s="653"/>
    </row>
    <row r="364" spans="4:9" x14ac:dyDescent="0.2">
      <c r="D364" s="651"/>
      <c r="E364" s="652"/>
      <c r="F364" s="653"/>
      <c r="G364" s="653"/>
      <c r="H364" s="653"/>
      <c r="I364" s="653"/>
    </row>
    <row r="365" spans="4:9" x14ac:dyDescent="0.2">
      <c r="D365" s="651"/>
      <c r="E365" s="652"/>
      <c r="F365" s="653"/>
      <c r="G365" s="653"/>
      <c r="H365" s="653"/>
      <c r="I365" s="653"/>
    </row>
    <row r="366" spans="4:9" x14ac:dyDescent="0.2">
      <c r="D366" s="651"/>
      <c r="E366" s="652"/>
      <c r="F366" s="653"/>
      <c r="G366" s="653"/>
      <c r="H366" s="653"/>
      <c r="I366" s="653"/>
    </row>
    <row r="367" spans="4:9" x14ac:dyDescent="0.2">
      <c r="D367" s="651"/>
      <c r="E367" s="652"/>
      <c r="F367" s="653"/>
      <c r="G367" s="653"/>
      <c r="H367" s="653"/>
      <c r="I367" s="653"/>
    </row>
    <row r="368" spans="4:9" x14ac:dyDescent="0.2">
      <c r="D368" s="651"/>
      <c r="E368" s="652"/>
      <c r="F368" s="653"/>
      <c r="G368" s="653"/>
      <c r="H368" s="653"/>
      <c r="I368" s="653"/>
    </row>
    <row r="369" spans="4:9" x14ac:dyDescent="0.2">
      <c r="D369" s="651"/>
      <c r="E369" s="652"/>
      <c r="F369" s="653"/>
      <c r="G369" s="653"/>
      <c r="H369" s="653"/>
      <c r="I369" s="653"/>
    </row>
    <row r="370" spans="4:9" x14ac:dyDescent="0.2">
      <c r="D370" s="651"/>
      <c r="E370" s="652"/>
      <c r="F370" s="653"/>
      <c r="G370" s="653"/>
      <c r="H370" s="653"/>
      <c r="I370" s="653"/>
    </row>
    <row r="371" spans="4:9" x14ac:dyDescent="0.2">
      <c r="D371" s="651"/>
      <c r="E371" s="652"/>
      <c r="F371" s="653"/>
      <c r="G371" s="653"/>
      <c r="H371" s="653"/>
      <c r="I371" s="653"/>
    </row>
    <row r="372" spans="4:9" x14ac:dyDescent="0.2">
      <c r="D372" s="651"/>
      <c r="E372" s="652"/>
      <c r="F372" s="653"/>
      <c r="G372" s="653"/>
      <c r="H372" s="653"/>
      <c r="I372" s="653"/>
    </row>
    <row r="373" spans="4:9" x14ac:dyDescent="0.2">
      <c r="D373" s="651"/>
      <c r="E373" s="652"/>
      <c r="F373" s="653"/>
      <c r="G373" s="653"/>
      <c r="H373" s="653"/>
      <c r="I373" s="653"/>
    </row>
    <row r="374" spans="4:9" x14ac:dyDescent="0.2">
      <c r="D374" s="651"/>
      <c r="E374" s="652"/>
      <c r="F374" s="653"/>
      <c r="G374" s="653"/>
      <c r="H374" s="653"/>
      <c r="I374" s="653"/>
    </row>
    <row r="375" spans="4:9" x14ac:dyDescent="0.2">
      <c r="D375" s="651"/>
      <c r="E375" s="652"/>
      <c r="F375" s="653"/>
      <c r="G375" s="653"/>
      <c r="H375" s="653"/>
      <c r="I375" s="653"/>
    </row>
    <row r="376" spans="4:9" x14ac:dyDescent="0.2">
      <c r="D376" s="651"/>
      <c r="E376" s="652"/>
      <c r="F376" s="653"/>
      <c r="G376" s="653"/>
      <c r="H376" s="653"/>
      <c r="I376" s="653"/>
    </row>
    <row r="377" spans="4:9" x14ac:dyDescent="0.2">
      <c r="D377" s="651"/>
      <c r="E377" s="652"/>
      <c r="F377" s="653"/>
      <c r="G377" s="653"/>
      <c r="H377" s="653"/>
      <c r="I377" s="653"/>
    </row>
    <row r="378" spans="4:9" x14ac:dyDescent="0.2">
      <c r="D378" s="651"/>
      <c r="E378" s="652"/>
      <c r="F378" s="653"/>
      <c r="G378" s="653"/>
      <c r="H378" s="653"/>
      <c r="I378" s="653"/>
    </row>
    <row r="379" spans="4:9" x14ac:dyDescent="0.2">
      <c r="D379" s="651"/>
      <c r="E379" s="652"/>
      <c r="F379" s="653"/>
      <c r="G379" s="653"/>
      <c r="H379" s="653"/>
      <c r="I379" s="653"/>
    </row>
    <row r="380" spans="4:9" x14ac:dyDescent="0.2">
      <c r="D380" s="651"/>
      <c r="E380" s="652"/>
      <c r="F380" s="653"/>
      <c r="G380" s="653"/>
      <c r="H380" s="653"/>
      <c r="I380" s="653"/>
    </row>
    <row r="381" spans="4:9" x14ac:dyDescent="0.2">
      <c r="D381" s="651"/>
      <c r="E381" s="652"/>
      <c r="F381" s="653"/>
      <c r="G381" s="653"/>
      <c r="H381" s="653"/>
      <c r="I381" s="653"/>
    </row>
    <row r="382" spans="4:9" x14ac:dyDescent="0.2">
      <c r="D382" s="651"/>
      <c r="E382" s="652"/>
      <c r="F382" s="653"/>
      <c r="G382" s="653"/>
      <c r="H382" s="653"/>
      <c r="I382" s="653"/>
    </row>
    <row r="383" spans="4:9" x14ac:dyDescent="0.2">
      <c r="D383" s="651"/>
      <c r="E383" s="652"/>
      <c r="F383" s="653"/>
      <c r="G383" s="653"/>
      <c r="H383" s="653"/>
      <c r="I383" s="653"/>
    </row>
    <row r="384" spans="4:9" x14ac:dyDescent="0.2">
      <c r="D384" s="651"/>
      <c r="E384" s="652"/>
      <c r="F384" s="653"/>
      <c r="G384" s="653"/>
      <c r="H384" s="653"/>
      <c r="I384" s="653"/>
    </row>
    <row r="385" spans="4:9" x14ac:dyDescent="0.2">
      <c r="D385" s="651"/>
      <c r="E385" s="652"/>
      <c r="F385" s="653"/>
      <c r="G385" s="653"/>
      <c r="H385" s="653"/>
      <c r="I385" s="653"/>
    </row>
    <row r="386" spans="4:9" x14ac:dyDescent="0.2">
      <c r="D386" s="651"/>
      <c r="E386" s="652"/>
      <c r="F386" s="653"/>
      <c r="G386" s="653"/>
      <c r="H386" s="653"/>
      <c r="I386" s="653"/>
    </row>
    <row r="387" spans="4:9" x14ac:dyDescent="0.2">
      <c r="D387" s="651"/>
      <c r="E387" s="652"/>
      <c r="F387" s="653"/>
      <c r="G387" s="653"/>
      <c r="H387" s="653"/>
      <c r="I387" s="653"/>
    </row>
    <row r="388" spans="4:9" x14ac:dyDescent="0.2">
      <c r="D388" s="651"/>
      <c r="E388" s="652"/>
      <c r="F388" s="653"/>
      <c r="G388" s="653"/>
      <c r="H388" s="653"/>
      <c r="I388" s="653"/>
    </row>
    <row r="389" spans="4:9" x14ac:dyDescent="0.2">
      <c r="D389" s="651"/>
      <c r="E389" s="652"/>
      <c r="F389" s="653"/>
      <c r="G389" s="653"/>
      <c r="H389" s="653"/>
      <c r="I389" s="653"/>
    </row>
    <row r="390" spans="4:9" x14ac:dyDescent="0.2">
      <c r="D390" s="651"/>
      <c r="E390" s="652"/>
      <c r="F390" s="653"/>
      <c r="G390" s="653"/>
      <c r="H390" s="653"/>
      <c r="I390" s="653"/>
    </row>
    <row r="391" spans="4:9" x14ac:dyDescent="0.2">
      <c r="D391" s="651"/>
      <c r="E391" s="652"/>
      <c r="F391" s="653"/>
      <c r="G391" s="653"/>
      <c r="H391" s="653"/>
      <c r="I391" s="653"/>
    </row>
    <row r="392" spans="4:9" x14ac:dyDescent="0.2">
      <c r="D392" s="651"/>
      <c r="E392" s="652"/>
      <c r="F392" s="653"/>
      <c r="G392" s="653"/>
      <c r="H392" s="653"/>
      <c r="I392" s="653"/>
    </row>
    <row r="393" spans="4:9" x14ac:dyDescent="0.2">
      <c r="D393" s="651"/>
      <c r="E393" s="652"/>
      <c r="F393" s="653"/>
      <c r="G393" s="653"/>
      <c r="H393" s="653"/>
      <c r="I393" s="653"/>
    </row>
    <row r="394" spans="4:9" x14ac:dyDescent="0.2">
      <c r="D394" s="651"/>
      <c r="E394" s="652"/>
      <c r="F394" s="653"/>
      <c r="G394" s="653"/>
      <c r="H394" s="653"/>
      <c r="I394" s="653"/>
    </row>
    <row r="395" spans="4:9" x14ac:dyDescent="0.2">
      <c r="D395" s="651"/>
      <c r="E395" s="652"/>
      <c r="F395" s="653"/>
      <c r="G395" s="653"/>
      <c r="H395" s="653"/>
      <c r="I395" s="653"/>
    </row>
    <row r="396" spans="4:9" x14ac:dyDescent="0.2">
      <c r="D396" s="651"/>
      <c r="E396" s="652"/>
      <c r="F396" s="653"/>
      <c r="G396" s="653"/>
      <c r="H396" s="653"/>
      <c r="I396" s="653"/>
    </row>
    <row r="397" spans="4:9" x14ac:dyDescent="0.2">
      <c r="D397" s="651"/>
      <c r="E397" s="652"/>
      <c r="F397" s="653"/>
      <c r="G397" s="653"/>
      <c r="H397" s="653"/>
      <c r="I397" s="653"/>
    </row>
    <row r="398" spans="4:9" x14ac:dyDescent="0.2">
      <c r="D398" s="651"/>
      <c r="E398" s="652"/>
      <c r="F398" s="653"/>
      <c r="G398" s="653"/>
      <c r="H398" s="653"/>
      <c r="I398" s="653"/>
    </row>
    <row r="399" spans="4:9" x14ac:dyDescent="0.2">
      <c r="D399" s="651"/>
      <c r="E399" s="652"/>
      <c r="F399" s="653"/>
      <c r="G399" s="653"/>
      <c r="H399" s="653"/>
      <c r="I399" s="653"/>
    </row>
    <row r="400" spans="4:9" x14ac:dyDescent="0.2">
      <c r="D400" s="651"/>
      <c r="E400" s="652"/>
      <c r="F400" s="653"/>
      <c r="G400" s="653"/>
      <c r="H400" s="653"/>
      <c r="I400" s="653"/>
    </row>
    <row r="401" spans="4:9" x14ac:dyDescent="0.2">
      <c r="D401" s="651"/>
      <c r="E401" s="652"/>
      <c r="F401" s="653"/>
      <c r="G401" s="653"/>
      <c r="H401" s="653"/>
      <c r="I401" s="653"/>
    </row>
    <row r="402" spans="4:9" x14ac:dyDescent="0.2">
      <c r="D402" s="651"/>
      <c r="E402" s="652"/>
      <c r="F402" s="653"/>
      <c r="G402" s="653"/>
      <c r="H402" s="653"/>
      <c r="I402" s="653"/>
    </row>
    <row r="403" spans="4:9" x14ac:dyDescent="0.2">
      <c r="D403" s="651"/>
      <c r="E403" s="652"/>
      <c r="F403" s="653"/>
      <c r="G403" s="653"/>
      <c r="H403" s="653"/>
      <c r="I403" s="653"/>
    </row>
    <row r="404" spans="4:9" x14ac:dyDescent="0.2">
      <c r="D404" s="651"/>
      <c r="E404" s="652"/>
      <c r="F404" s="653"/>
      <c r="G404" s="653"/>
      <c r="H404" s="653"/>
      <c r="I404" s="653"/>
    </row>
    <row r="405" spans="4:9" x14ac:dyDescent="0.2">
      <c r="D405" s="651"/>
      <c r="E405" s="652"/>
      <c r="F405" s="653"/>
      <c r="G405" s="653"/>
      <c r="H405" s="653"/>
      <c r="I405" s="653"/>
    </row>
    <row r="406" spans="4:9" x14ac:dyDescent="0.2">
      <c r="D406" s="651"/>
      <c r="E406" s="652"/>
      <c r="F406" s="653"/>
      <c r="G406" s="653"/>
      <c r="H406" s="653"/>
      <c r="I406" s="653"/>
    </row>
    <row r="407" spans="4:9" x14ac:dyDescent="0.2">
      <c r="D407" s="651"/>
      <c r="E407" s="652"/>
      <c r="F407" s="653"/>
      <c r="G407" s="653"/>
      <c r="H407" s="653"/>
      <c r="I407" s="653"/>
    </row>
    <row r="408" spans="4:9" x14ac:dyDescent="0.2">
      <c r="D408" s="651"/>
      <c r="E408" s="652"/>
      <c r="F408" s="653"/>
      <c r="G408" s="653"/>
      <c r="H408" s="653"/>
      <c r="I408" s="653"/>
    </row>
    <row r="409" spans="4:9" x14ac:dyDescent="0.2">
      <c r="D409" s="651"/>
      <c r="E409" s="652"/>
      <c r="F409" s="653"/>
      <c r="G409" s="653"/>
      <c r="H409" s="653"/>
      <c r="I409" s="653"/>
    </row>
    <row r="410" spans="4:9" x14ac:dyDescent="0.2">
      <c r="D410" s="651"/>
      <c r="E410" s="652"/>
      <c r="F410" s="653"/>
      <c r="G410" s="653"/>
      <c r="H410" s="653"/>
      <c r="I410" s="653"/>
    </row>
    <row r="411" spans="4:9" x14ac:dyDescent="0.2">
      <c r="D411" s="651"/>
      <c r="E411" s="652"/>
      <c r="F411" s="653"/>
      <c r="G411" s="653"/>
      <c r="H411" s="653"/>
      <c r="I411" s="653"/>
    </row>
    <row r="412" spans="4:9" x14ac:dyDescent="0.2">
      <c r="D412" s="651"/>
      <c r="E412" s="652"/>
      <c r="F412" s="653"/>
      <c r="G412" s="653"/>
      <c r="H412" s="653"/>
      <c r="I412" s="653"/>
    </row>
    <row r="413" spans="4:9" x14ac:dyDescent="0.2">
      <c r="D413" s="651"/>
      <c r="E413" s="652"/>
      <c r="F413" s="653"/>
      <c r="G413" s="653"/>
      <c r="H413" s="653"/>
      <c r="I413" s="653"/>
    </row>
    <row r="414" spans="4:9" x14ac:dyDescent="0.2">
      <c r="D414" s="651"/>
      <c r="E414" s="652"/>
      <c r="F414" s="653"/>
      <c r="G414" s="653"/>
      <c r="H414" s="653"/>
      <c r="I414" s="653"/>
    </row>
    <row r="415" spans="4:9" x14ac:dyDescent="0.2">
      <c r="D415" s="651"/>
      <c r="E415" s="652"/>
      <c r="F415" s="653"/>
      <c r="G415" s="653"/>
      <c r="H415" s="653"/>
      <c r="I415" s="653"/>
    </row>
    <row r="416" spans="4:9" x14ac:dyDescent="0.2">
      <c r="D416" s="651"/>
      <c r="E416" s="652"/>
      <c r="F416" s="653"/>
      <c r="G416" s="653"/>
      <c r="H416" s="653"/>
      <c r="I416" s="653"/>
    </row>
    <row r="417" spans="4:9" x14ac:dyDescent="0.2">
      <c r="D417" s="651"/>
      <c r="E417" s="652"/>
      <c r="F417" s="653"/>
      <c r="G417" s="653"/>
      <c r="H417" s="653"/>
      <c r="I417" s="653"/>
    </row>
    <row r="418" spans="4:9" x14ac:dyDescent="0.2">
      <c r="D418" s="651"/>
      <c r="E418" s="652"/>
      <c r="F418" s="653"/>
      <c r="G418" s="653"/>
      <c r="H418" s="653"/>
      <c r="I418" s="653"/>
    </row>
    <row r="419" spans="4:9" x14ac:dyDescent="0.2">
      <c r="D419" s="651"/>
      <c r="E419" s="652"/>
      <c r="F419" s="653"/>
      <c r="G419" s="653"/>
      <c r="H419" s="653"/>
      <c r="I419" s="653"/>
    </row>
    <row r="420" spans="4:9" x14ac:dyDescent="0.2">
      <c r="D420" s="651"/>
      <c r="E420" s="652"/>
      <c r="F420" s="653"/>
      <c r="G420" s="653"/>
      <c r="H420" s="653"/>
      <c r="I420" s="653"/>
    </row>
    <row r="421" spans="4:9" x14ac:dyDescent="0.2">
      <c r="D421" s="651"/>
      <c r="E421" s="652"/>
      <c r="F421" s="653"/>
      <c r="G421" s="653"/>
      <c r="H421" s="653"/>
      <c r="I421" s="653"/>
    </row>
    <row r="422" spans="4:9" x14ac:dyDescent="0.2">
      <c r="D422" s="651"/>
      <c r="E422" s="652"/>
      <c r="F422" s="653"/>
      <c r="G422" s="653"/>
      <c r="H422" s="653"/>
      <c r="I422" s="653"/>
    </row>
    <row r="423" spans="4:9" x14ac:dyDescent="0.2">
      <c r="D423" s="651"/>
      <c r="E423" s="652"/>
      <c r="F423" s="653"/>
      <c r="G423" s="653"/>
      <c r="H423" s="653"/>
      <c r="I423" s="653"/>
    </row>
    <row r="424" spans="4:9" x14ac:dyDescent="0.2">
      <c r="D424" s="651"/>
      <c r="E424" s="652"/>
      <c r="F424" s="653"/>
      <c r="G424" s="653"/>
      <c r="H424" s="653"/>
      <c r="I424" s="653"/>
    </row>
    <row r="425" spans="4:9" x14ac:dyDescent="0.2">
      <c r="D425" s="651"/>
      <c r="E425" s="652"/>
      <c r="F425" s="653"/>
      <c r="G425" s="653"/>
      <c r="H425" s="653"/>
      <c r="I425" s="653"/>
    </row>
    <row r="426" spans="4:9" x14ac:dyDescent="0.2">
      <c r="D426" s="651"/>
      <c r="E426" s="652"/>
      <c r="F426" s="653"/>
      <c r="G426" s="653"/>
      <c r="H426" s="653"/>
      <c r="I426" s="653"/>
    </row>
    <row r="427" spans="4:9" x14ac:dyDescent="0.2">
      <c r="D427" s="651"/>
      <c r="E427" s="652"/>
      <c r="F427" s="653"/>
      <c r="G427" s="653"/>
      <c r="H427" s="653"/>
      <c r="I427" s="653"/>
    </row>
    <row r="428" spans="4:9" x14ac:dyDescent="0.2">
      <c r="D428" s="651"/>
      <c r="E428" s="652"/>
      <c r="F428" s="653"/>
      <c r="G428" s="653"/>
      <c r="H428" s="653"/>
      <c r="I428" s="653"/>
    </row>
    <row r="429" spans="4:9" x14ac:dyDescent="0.2">
      <c r="D429" s="651"/>
      <c r="E429" s="652"/>
      <c r="F429" s="653"/>
      <c r="G429" s="653"/>
      <c r="H429" s="653"/>
      <c r="I429" s="653"/>
    </row>
    <row r="430" spans="4:9" x14ac:dyDescent="0.2">
      <c r="D430" s="651"/>
      <c r="E430" s="652"/>
      <c r="F430" s="653"/>
      <c r="G430" s="653"/>
      <c r="H430" s="653"/>
      <c r="I430" s="653"/>
    </row>
    <row r="431" spans="4:9" x14ac:dyDescent="0.2">
      <c r="D431" s="651"/>
      <c r="E431" s="652"/>
      <c r="F431" s="653"/>
      <c r="G431" s="653"/>
      <c r="H431" s="653"/>
      <c r="I431" s="653"/>
    </row>
    <row r="432" spans="4:9" x14ac:dyDescent="0.2">
      <c r="D432" s="651"/>
      <c r="E432" s="652"/>
      <c r="F432" s="653"/>
      <c r="G432" s="653"/>
      <c r="H432" s="653"/>
      <c r="I432" s="653"/>
    </row>
    <row r="433" spans="4:9" x14ac:dyDescent="0.2">
      <c r="D433" s="651"/>
      <c r="E433" s="652"/>
      <c r="F433" s="653"/>
      <c r="G433" s="653"/>
      <c r="H433" s="653"/>
      <c r="I433" s="653"/>
    </row>
    <row r="434" spans="4:9" x14ac:dyDescent="0.2">
      <c r="D434" s="651"/>
      <c r="E434" s="652"/>
      <c r="F434" s="653"/>
      <c r="G434" s="653"/>
      <c r="H434" s="653"/>
      <c r="I434" s="653"/>
    </row>
    <row r="435" spans="4:9" x14ac:dyDescent="0.2">
      <c r="D435" s="651"/>
      <c r="E435" s="652"/>
      <c r="F435" s="653"/>
      <c r="G435" s="653"/>
      <c r="H435" s="653"/>
      <c r="I435" s="653"/>
    </row>
    <row r="436" spans="4:9" x14ac:dyDescent="0.2">
      <c r="D436" s="651"/>
      <c r="E436" s="652"/>
      <c r="F436" s="653"/>
      <c r="G436" s="653"/>
      <c r="H436" s="653"/>
      <c r="I436" s="653"/>
    </row>
    <row r="437" spans="4:9" x14ac:dyDescent="0.2">
      <c r="D437" s="651"/>
      <c r="E437" s="652"/>
      <c r="F437" s="653"/>
      <c r="G437" s="653"/>
      <c r="H437" s="653"/>
      <c r="I437" s="653"/>
    </row>
    <row r="438" spans="4:9" x14ac:dyDescent="0.2">
      <c r="D438" s="651"/>
      <c r="E438" s="652"/>
      <c r="F438" s="653"/>
      <c r="G438" s="653"/>
      <c r="H438" s="653"/>
      <c r="I438" s="653"/>
    </row>
    <row r="439" spans="4:9" x14ac:dyDescent="0.2">
      <c r="D439" s="651"/>
      <c r="E439" s="652"/>
      <c r="F439" s="653"/>
      <c r="G439" s="653"/>
      <c r="H439" s="653"/>
      <c r="I439" s="653"/>
    </row>
    <row r="440" spans="4:9" x14ac:dyDescent="0.2">
      <c r="D440" s="651"/>
      <c r="E440" s="652"/>
      <c r="F440" s="653"/>
      <c r="G440" s="653"/>
      <c r="H440" s="653"/>
      <c r="I440" s="653"/>
    </row>
    <row r="441" spans="4:9" x14ac:dyDescent="0.2">
      <c r="D441" s="651"/>
      <c r="E441" s="652"/>
      <c r="F441" s="653"/>
      <c r="G441" s="653"/>
      <c r="H441" s="653"/>
      <c r="I441" s="653"/>
    </row>
    <row r="442" spans="4:9" x14ac:dyDescent="0.2">
      <c r="D442" s="651"/>
      <c r="E442" s="652"/>
      <c r="F442" s="653"/>
      <c r="G442" s="653"/>
      <c r="H442" s="653"/>
      <c r="I442" s="653"/>
    </row>
    <row r="443" spans="4:9" x14ac:dyDescent="0.2">
      <c r="D443" s="651"/>
      <c r="E443" s="652"/>
      <c r="F443" s="653"/>
      <c r="G443" s="653"/>
      <c r="H443" s="653"/>
      <c r="I443" s="653"/>
    </row>
    <row r="444" spans="4:9" x14ac:dyDescent="0.2">
      <c r="D444" s="651"/>
      <c r="E444" s="652"/>
      <c r="F444" s="653"/>
      <c r="G444" s="653"/>
      <c r="H444" s="653"/>
      <c r="I444" s="653"/>
    </row>
    <row r="445" spans="4:9" x14ac:dyDescent="0.2">
      <c r="D445" s="651"/>
      <c r="E445" s="652"/>
      <c r="F445" s="653"/>
      <c r="G445" s="653"/>
      <c r="H445" s="653"/>
      <c r="I445" s="653"/>
    </row>
    <row r="446" spans="4:9" x14ac:dyDescent="0.2">
      <c r="D446" s="651"/>
      <c r="E446" s="652"/>
      <c r="F446" s="653"/>
      <c r="G446" s="653"/>
      <c r="H446" s="653"/>
      <c r="I446" s="653"/>
    </row>
    <row r="447" spans="4:9" x14ac:dyDescent="0.2">
      <c r="D447" s="651"/>
      <c r="E447" s="652"/>
      <c r="F447" s="653"/>
      <c r="G447" s="653"/>
      <c r="H447" s="653"/>
      <c r="I447" s="653"/>
    </row>
    <row r="448" spans="4:9" x14ac:dyDescent="0.2">
      <c r="D448" s="651"/>
      <c r="E448" s="652"/>
      <c r="F448" s="653"/>
      <c r="G448" s="653"/>
      <c r="H448" s="653"/>
      <c r="I448" s="653"/>
    </row>
    <row r="449" spans="4:9" x14ac:dyDescent="0.2">
      <c r="D449" s="651"/>
      <c r="E449" s="652"/>
      <c r="F449" s="653"/>
      <c r="G449" s="653"/>
      <c r="H449" s="653"/>
      <c r="I449" s="653"/>
    </row>
    <row r="450" spans="4:9" x14ac:dyDescent="0.2">
      <c r="D450" s="651"/>
      <c r="E450" s="652"/>
      <c r="F450" s="653"/>
      <c r="G450" s="653"/>
      <c r="H450" s="653"/>
      <c r="I450" s="653"/>
    </row>
    <row r="451" spans="4:9" x14ac:dyDescent="0.2">
      <c r="D451" s="651"/>
      <c r="E451" s="652"/>
      <c r="F451" s="653"/>
      <c r="G451" s="653"/>
      <c r="H451" s="653"/>
      <c r="I451" s="653"/>
    </row>
    <row r="452" spans="4:9" x14ac:dyDescent="0.2">
      <c r="D452" s="651"/>
      <c r="E452" s="652"/>
      <c r="F452" s="653"/>
      <c r="G452" s="653"/>
      <c r="H452" s="653"/>
      <c r="I452" s="653"/>
    </row>
    <row r="453" spans="4:9" x14ac:dyDescent="0.2">
      <c r="D453" s="651"/>
      <c r="E453" s="652"/>
      <c r="F453" s="653"/>
      <c r="G453" s="653"/>
      <c r="H453" s="653"/>
      <c r="I453" s="653"/>
    </row>
    <row r="454" spans="4:9" x14ac:dyDescent="0.2">
      <c r="D454" s="651"/>
      <c r="E454" s="652"/>
      <c r="F454" s="653"/>
      <c r="G454" s="653"/>
      <c r="H454" s="653"/>
      <c r="I454" s="653"/>
    </row>
    <row r="455" spans="4:9" x14ac:dyDescent="0.2">
      <c r="D455" s="651"/>
      <c r="E455" s="652"/>
      <c r="F455" s="653"/>
      <c r="G455" s="653"/>
      <c r="H455" s="653"/>
      <c r="I455" s="653"/>
    </row>
    <row r="456" spans="4:9" x14ac:dyDescent="0.2">
      <c r="D456" s="651"/>
      <c r="E456" s="652"/>
      <c r="F456" s="653"/>
      <c r="G456" s="653"/>
      <c r="H456" s="653"/>
      <c r="I456" s="653"/>
    </row>
    <row r="457" spans="4:9" x14ac:dyDescent="0.2">
      <c r="D457" s="651"/>
      <c r="E457" s="652"/>
      <c r="F457" s="653"/>
      <c r="G457" s="653"/>
      <c r="H457" s="653"/>
      <c r="I457" s="653"/>
    </row>
    <row r="458" spans="4:9" x14ac:dyDescent="0.2">
      <c r="D458" s="651"/>
      <c r="E458" s="652"/>
      <c r="F458" s="653"/>
      <c r="G458" s="653"/>
      <c r="H458" s="653"/>
      <c r="I458" s="653"/>
    </row>
    <row r="459" spans="4:9" x14ac:dyDescent="0.2">
      <c r="D459" s="651"/>
      <c r="E459" s="652"/>
      <c r="F459" s="653"/>
      <c r="G459" s="653"/>
      <c r="H459" s="653"/>
      <c r="I459" s="653"/>
    </row>
    <row r="460" spans="4:9" x14ac:dyDescent="0.2">
      <c r="D460" s="651"/>
      <c r="E460" s="652"/>
      <c r="F460" s="653"/>
      <c r="G460" s="653"/>
      <c r="H460" s="653"/>
      <c r="I460" s="653"/>
    </row>
    <row r="461" spans="4:9" x14ac:dyDescent="0.2">
      <c r="D461" s="651"/>
      <c r="E461" s="652"/>
      <c r="F461" s="653"/>
      <c r="G461" s="653"/>
      <c r="H461" s="653"/>
      <c r="I461" s="653"/>
    </row>
    <row r="462" spans="4:9" x14ac:dyDescent="0.2">
      <c r="D462" s="651"/>
      <c r="E462" s="652"/>
      <c r="F462" s="653"/>
      <c r="G462" s="653"/>
      <c r="H462" s="653"/>
      <c r="I462" s="653"/>
    </row>
    <row r="463" spans="4:9" x14ac:dyDescent="0.2">
      <c r="D463" s="651"/>
      <c r="E463" s="652"/>
      <c r="F463" s="653"/>
      <c r="G463" s="653"/>
      <c r="H463" s="653"/>
      <c r="I463" s="653"/>
    </row>
    <row r="464" spans="4:9" x14ac:dyDescent="0.2">
      <c r="D464" s="651"/>
      <c r="E464" s="652"/>
      <c r="F464" s="653"/>
      <c r="G464" s="653"/>
      <c r="H464" s="653"/>
      <c r="I464" s="653"/>
    </row>
    <row r="465" spans="4:9" x14ac:dyDescent="0.2">
      <c r="D465" s="651"/>
      <c r="E465" s="652"/>
      <c r="F465" s="653"/>
      <c r="G465" s="653"/>
      <c r="H465" s="653"/>
      <c r="I465" s="653"/>
    </row>
    <row r="466" spans="4:9" x14ac:dyDescent="0.2">
      <c r="D466" s="651"/>
      <c r="E466" s="652"/>
      <c r="F466" s="653"/>
      <c r="G466" s="653"/>
      <c r="H466" s="653"/>
      <c r="I466" s="653"/>
    </row>
    <row r="467" spans="4:9" x14ac:dyDescent="0.2">
      <c r="D467" s="651"/>
      <c r="E467" s="652"/>
      <c r="F467" s="653"/>
      <c r="G467" s="653"/>
      <c r="H467" s="653"/>
      <c r="I467" s="653"/>
    </row>
    <row r="468" spans="4:9" x14ac:dyDescent="0.2">
      <c r="D468" s="651"/>
      <c r="E468" s="652"/>
      <c r="F468" s="653"/>
      <c r="G468" s="653"/>
      <c r="H468" s="653"/>
      <c r="I468" s="653"/>
    </row>
    <row r="469" spans="4:9" x14ac:dyDescent="0.2">
      <c r="D469" s="651"/>
      <c r="E469" s="652"/>
      <c r="F469" s="653"/>
      <c r="G469" s="653"/>
      <c r="H469" s="653"/>
      <c r="I469" s="653"/>
    </row>
    <row r="470" spans="4:9" x14ac:dyDescent="0.2">
      <c r="D470" s="651"/>
      <c r="E470" s="652"/>
      <c r="F470" s="653"/>
      <c r="G470" s="653"/>
      <c r="H470" s="653"/>
      <c r="I470" s="653"/>
    </row>
    <row r="471" spans="4:9" x14ac:dyDescent="0.2">
      <c r="D471" s="651"/>
      <c r="E471" s="652"/>
      <c r="F471" s="653"/>
      <c r="G471" s="653"/>
      <c r="H471" s="653"/>
      <c r="I471" s="653"/>
    </row>
    <row r="472" spans="4:9" x14ac:dyDescent="0.2">
      <c r="D472" s="651"/>
      <c r="E472" s="652"/>
      <c r="F472" s="653"/>
      <c r="G472" s="653"/>
      <c r="H472" s="653"/>
      <c r="I472" s="653"/>
    </row>
    <row r="473" spans="4:9" x14ac:dyDescent="0.2">
      <c r="D473" s="651"/>
      <c r="E473" s="652"/>
      <c r="F473" s="653"/>
      <c r="G473" s="653"/>
      <c r="H473" s="653"/>
      <c r="I473" s="653"/>
    </row>
    <row r="474" spans="4:9" x14ac:dyDescent="0.2">
      <c r="D474" s="651"/>
      <c r="E474" s="652"/>
      <c r="F474" s="653"/>
      <c r="G474" s="653"/>
      <c r="H474" s="653"/>
      <c r="I474" s="653"/>
    </row>
    <row r="475" spans="4:9" x14ac:dyDescent="0.2">
      <c r="D475" s="651"/>
      <c r="E475" s="652"/>
      <c r="F475" s="653"/>
      <c r="G475" s="653"/>
      <c r="H475" s="653"/>
      <c r="I475" s="653"/>
    </row>
    <row r="476" spans="4:9" x14ac:dyDescent="0.2">
      <c r="D476" s="651"/>
      <c r="E476" s="652"/>
      <c r="F476" s="653"/>
      <c r="G476" s="653"/>
      <c r="H476" s="653"/>
      <c r="I476" s="653"/>
    </row>
    <row r="477" spans="4:9" x14ac:dyDescent="0.2">
      <c r="D477" s="651"/>
      <c r="E477" s="652"/>
      <c r="F477" s="653"/>
      <c r="G477" s="653"/>
      <c r="H477" s="653"/>
      <c r="I477" s="653"/>
    </row>
    <row r="478" spans="4:9" x14ac:dyDescent="0.2">
      <c r="D478" s="651"/>
      <c r="E478" s="652"/>
      <c r="F478" s="653"/>
      <c r="G478" s="653"/>
      <c r="H478" s="653"/>
      <c r="I478" s="653"/>
    </row>
    <row r="479" spans="4:9" x14ac:dyDescent="0.2">
      <c r="D479" s="651"/>
      <c r="E479" s="652"/>
      <c r="F479" s="653"/>
      <c r="G479" s="653"/>
      <c r="H479" s="653"/>
      <c r="I479" s="653"/>
    </row>
    <row r="480" spans="4:9" x14ac:dyDescent="0.2">
      <c r="D480" s="651"/>
      <c r="E480" s="652"/>
      <c r="F480" s="653"/>
      <c r="G480" s="653"/>
      <c r="H480" s="653"/>
      <c r="I480" s="653"/>
    </row>
    <row r="481" spans="4:9" x14ac:dyDescent="0.2">
      <c r="D481" s="651"/>
      <c r="E481" s="652"/>
      <c r="F481" s="653"/>
      <c r="G481" s="653"/>
      <c r="H481" s="653"/>
      <c r="I481" s="653"/>
    </row>
    <row r="482" spans="4:9" x14ac:dyDescent="0.2">
      <c r="D482" s="651"/>
      <c r="E482" s="652"/>
      <c r="F482" s="653"/>
      <c r="G482" s="653"/>
      <c r="H482" s="653"/>
      <c r="I482" s="653"/>
    </row>
    <row r="483" spans="4:9" x14ac:dyDescent="0.2">
      <c r="D483" s="651"/>
      <c r="E483" s="652"/>
      <c r="F483" s="653"/>
      <c r="G483" s="653"/>
      <c r="H483" s="653"/>
      <c r="I483" s="653"/>
    </row>
    <row r="484" spans="4:9" x14ac:dyDescent="0.2">
      <c r="D484" s="651"/>
      <c r="E484" s="652"/>
      <c r="F484" s="653"/>
      <c r="G484" s="653"/>
      <c r="H484" s="653"/>
      <c r="I484" s="653"/>
    </row>
    <row r="485" spans="4:9" x14ac:dyDescent="0.2">
      <c r="D485" s="651"/>
      <c r="E485" s="652"/>
      <c r="F485" s="653"/>
      <c r="G485" s="653"/>
      <c r="H485" s="653"/>
      <c r="I485" s="653"/>
    </row>
    <row r="486" spans="4:9" x14ac:dyDescent="0.2">
      <c r="D486" s="651"/>
      <c r="E486" s="652"/>
      <c r="F486" s="653"/>
      <c r="G486" s="653"/>
      <c r="H486" s="653"/>
      <c r="I486" s="653"/>
    </row>
    <row r="487" spans="4:9" x14ac:dyDescent="0.2">
      <c r="D487" s="651"/>
      <c r="E487" s="652"/>
      <c r="F487" s="653"/>
      <c r="G487" s="653"/>
      <c r="H487" s="653"/>
      <c r="I487" s="653"/>
    </row>
    <row r="488" spans="4:9" x14ac:dyDescent="0.2">
      <c r="D488" s="651"/>
      <c r="E488" s="652"/>
      <c r="F488" s="653"/>
      <c r="G488" s="653"/>
      <c r="H488" s="653"/>
      <c r="I488" s="653"/>
    </row>
    <row r="489" spans="4:9" x14ac:dyDescent="0.2">
      <c r="D489" s="651"/>
      <c r="E489" s="652"/>
      <c r="F489" s="653"/>
      <c r="G489" s="653"/>
      <c r="H489" s="653"/>
      <c r="I489" s="653"/>
    </row>
    <row r="490" spans="4:9" x14ac:dyDescent="0.2">
      <c r="D490" s="651"/>
      <c r="E490" s="652"/>
      <c r="F490" s="653"/>
      <c r="G490" s="653"/>
      <c r="H490" s="653"/>
      <c r="I490" s="653"/>
    </row>
    <row r="491" spans="4:9" x14ac:dyDescent="0.2">
      <c r="D491" s="651"/>
      <c r="E491" s="652"/>
      <c r="F491" s="653"/>
      <c r="G491" s="653"/>
      <c r="H491" s="653"/>
      <c r="I491" s="653"/>
    </row>
    <row r="492" spans="4:9" x14ac:dyDescent="0.2">
      <c r="D492" s="651"/>
      <c r="E492" s="652"/>
      <c r="F492" s="653"/>
      <c r="G492" s="653"/>
      <c r="H492" s="653"/>
      <c r="I492" s="653"/>
    </row>
    <row r="493" spans="4:9" x14ac:dyDescent="0.2">
      <c r="D493" s="651"/>
      <c r="E493" s="652"/>
      <c r="F493" s="653"/>
      <c r="G493" s="653"/>
      <c r="H493" s="653"/>
      <c r="I493" s="653"/>
    </row>
    <row r="494" spans="4:9" x14ac:dyDescent="0.2">
      <c r="D494" s="651"/>
      <c r="E494" s="652"/>
      <c r="F494" s="653"/>
      <c r="G494" s="653"/>
      <c r="H494" s="653"/>
      <c r="I494" s="653"/>
    </row>
    <row r="495" spans="4:9" x14ac:dyDescent="0.2">
      <c r="D495" s="651"/>
      <c r="E495" s="652"/>
      <c r="F495" s="653"/>
      <c r="G495" s="653"/>
      <c r="H495" s="653"/>
      <c r="I495" s="653"/>
    </row>
    <row r="496" spans="4:9" x14ac:dyDescent="0.2">
      <c r="D496" s="651"/>
      <c r="E496" s="652"/>
      <c r="F496" s="653"/>
      <c r="G496" s="653"/>
      <c r="H496" s="653"/>
      <c r="I496" s="653"/>
    </row>
    <row r="497" spans="4:9" x14ac:dyDescent="0.2">
      <c r="D497" s="651"/>
      <c r="E497" s="652"/>
      <c r="F497" s="653"/>
      <c r="G497" s="653"/>
      <c r="H497" s="653"/>
      <c r="I497" s="653"/>
    </row>
    <row r="498" spans="4:9" x14ac:dyDescent="0.2">
      <c r="D498" s="651"/>
      <c r="E498" s="652"/>
      <c r="F498" s="653"/>
      <c r="G498" s="653"/>
      <c r="H498" s="653"/>
      <c r="I498" s="653"/>
    </row>
    <row r="499" spans="4:9" x14ac:dyDescent="0.2">
      <c r="D499" s="651"/>
      <c r="E499" s="652"/>
      <c r="F499" s="653"/>
      <c r="G499" s="653"/>
      <c r="H499" s="653"/>
      <c r="I499" s="653"/>
    </row>
    <row r="500" spans="4:9" x14ac:dyDescent="0.2">
      <c r="D500" s="651"/>
      <c r="E500" s="652"/>
      <c r="F500" s="653"/>
      <c r="G500" s="653"/>
      <c r="H500" s="653"/>
      <c r="I500" s="653"/>
    </row>
    <row r="501" spans="4:9" x14ac:dyDescent="0.2">
      <c r="D501" s="651"/>
      <c r="E501" s="652"/>
      <c r="F501" s="653"/>
      <c r="G501" s="653"/>
      <c r="H501" s="653"/>
      <c r="I501" s="653"/>
    </row>
    <row r="502" spans="4:9" x14ac:dyDescent="0.2">
      <c r="D502" s="651"/>
      <c r="E502" s="652"/>
      <c r="F502" s="653"/>
      <c r="G502" s="653"/>
      <c r="H502" s="653"/>
      <c r="I502" s="653"/>
    </row>
    <row r="503" spans="4:9" x14ac:dyDescent="0.2">
      <c r="D503" s="651"/>
      <c r="E503" s="652"/>
      <c r="F503" s="653"/>
      <c r="G503" s="653"/>
      <c r="H503" s="653"/>
      <c r="I503" s="653"/>
    </row>
    <row r="504" spans="4:9" x14ac:dyDescent="0.2">
      <c r="D504" s="651"/>
      <c r="E504" s="652"/>
      <c r="F504" s="653"/>
      <c r="G504" s="653"/>
      <c r="H504" s="653"/>
      <c r="I504" s="653"/>
    </row>
    <row r="505" spans="4:9" x14ac:dyDescent="0.2">
      <c r="D505" s="651"/>
      <c r="E505" s="652"/>
      <c r="F505" s="653"/>
      <c r="G505" s="653"/>
      <c r="H505" s="653"/>
      <c r="I505" s="653"/>
    </row>
    <row r="506" spans="4:9" x14ac:dyDescent="0.2">
      <c r="D506" s="651"/>
      <c r="E506" s="652"/>
      <c r="F506" s="653"/>
      <c r="G506" s="653"/>
      <c r="H506" s="653"/>
      <c r="I506" s="653"/>
    </row>
    <row r="507" spans="4:9" x14ac:dyDescent="0.2">
      <c r="D507" s="651"/>
      <c r="E507" s="652"/>
      <c r="F507" s="653"/>
      <c r="G507" s="653"/>
      <c r="H507" s="653"/>
      <c r="I507" s="653"/>
    </row>
    <row r="508" spans="4:9" x14ac:dyDescent="0.2">
      <c r="D508" s="651"/>
      <c r="E508" s="652"/>
      <c r="F508" s="653"/>
      <c r="G508" s="653"/>
      <c r="H508" s="653"/>
      <c r="I508" s="653"/>
    </row>
    <row r="509" spans="4:9" x14ac:dyDescent="0.2">
      <c r="D509" s="651"/>
      <c r="E509" s="652"/>
      <c r="F509" s="653"/>
      <c r="G509" s="653"/>
      <c r="H509" s="653"/>
      <c r="I509" s="653"/>
    </row>
    <row r="510" spans="4:9" x14ac:dyDescent="0.2">
      <c r="D510" s="651"/>
      <c r="E510" s="652"/>
      <c r="F510" s="653"/>
      <c r="G510" s="653"/>
      <c r="H510" s="653"/>
      <c r="I510" s="653"/>
    </row>
    <row r="511" spans="4:9" x14ac:dyDescent="0.2">
      <c r="D511" s="651"/>
      <c r="E511" s="652"/>
      <c r="F511" s="653"/>
      <c r="G511" s="653"/>
      <c r="H511" s="653"/>
      <c r="I511" s="653"/>
    </row>
    <row r="512" spans="4:9" x14ac:dyDescent="0.2">
      <c r="D512" s="651"/>
      <c r="E512" s="652"/>
      <c r="F512" s="653"/>
      <c r="G512" s="653"/>
      <c r="H512" s="653"/>
      <c r="I512" s="653"/>
    </row>
    <row r="513" spans="4:9" x14ac:dyDescent="0.2">
      <c r="D513" s="651"/>
      <c r="E513" s="652"/>
      <c r="F513" s="653"/>
      <c r="G513" s="653"/>
      <c r="H513" s="653"/>
      <c r="I513" s="653"/>
    </row>
    <row r="514" spans="4:9" x14ac:dyDescent="0.2">
      <c r="D514" s="651"/>
      <c r="E514" s="652"/>
      <c r="F514" s="653"/>
      <c r="G514" s="653"/>
      <c r="H514" s="653"/>
      <c r="I514" s="653"/>
    </row>
    <row r="515" spans="4:9" x14ac:dyDescent="0.2">
      <c r="D515" s="651"/>
      <c r="E515" s="652"/>
      <c r="F515" s="653"/>
      <c r="G515" s="653"/>
      <c r="H515" s="653"/>
      <c r="I515" s="653"/>
    </row>
    <row r="516" spans="4:9" x14ac:dyDescent="0.2">
      <c r="D516" s="651"/>
      <c r="E516" s="652"/>
      <c r="F516" s="653"/>
      <c r="G516" s="653"/>
      <c r="H516" s="653"/>
      <c r="I516" s="653"/>
    </row>
    <row r="517" spans="4:9" x14ac:dyDescent="0.2">
      <c r="D517" s="651"/>
      <c r="E517" s="652"/>
      <c r="F517" s="653"/>
      <c r="G517" s="653"/>
      <c r="H517" s="653"/>
      <c r="I517" s="653"/>
    </row>
    <row r="518" spans="4:9" x14ac:dyDescent="0.2">
      <c r="D518" s="651"/>
      <c r="E518" s="652"/>
      <c r="F518" s="653"/>
      <c r="G518" s="653"/>
      <c r="H518" s="653"/>
      <c r="I518" s="653"/>
    </row>
    <row r="519" spans="4:9" x14ac:dyDescent="0.2">
      <c r="D519" s="651"/>
      <c r="E519" s="652"/>
      <c r="F519" s="653"/>
      <c r="G519" s="653"/>
      <c r="H519" s="653"/>
      <c r="I519" s="653"/>
    </row>
    <row r="520" spans="4:9" x14ac:dyDescent="0.2">
      <c r="D520" s="651"/>
      <c r="E520" s="652"/>
      <c r="F520" s="653"/>
      <c r="G520" s="653"/>
      <c r="H520" s="653"/>
      <c r="I520" s="653"/>
    </row>
    <row r="521" spans="4:9" x14ac:dyDescent="0.2">
      <c r="D521" s="651"/>
      <c r="E521" s="652"/>
      <c r="F521" s="653"/>
      <c r="G521" s="653"/>
      <c r="H521" s="653"/>
      <c r="I521" s="653"/>
    </row>
    <row r="522" spans="4:9" x14ac:dyDescent="0.2">
      <c r="D522" s="651"/>
      <c r="E522" s="652"/>
      <c r="F522" s="653"/>
      <c r="G522" s="653"/>
      <c r="H522" s="653"/>
      <c r="I522" s="653"/>
    </row>
    <row r="523" spans="4:9" x14ac:dyDescent="0.2">
      <c r="D523" s="651"/>
      <c r="E523" s="652"/>
      <c r="F523" s="653"/>
      <c r="G523" s="653"/>
      <c r="H523" s="653"/>
      <c r="I523" s="653"/>
    </row>
    <row r="524" spans="4:9" x14ac:dyDescent="0.2">
      <c r="D524" s="651"/>
      <c r="E524" s="652"/>
      <c r="F524" s="653"/>
      <c r="G524" s="653"/>
      <c r="H524" s="653"/>
      <c r="I524" s="653"/>
    </row>
    <row r="525" spans="4:9" x14ac:dyDescent="0.2">
      <c r="D525" s="651"/>
      <c r="E525" s="652"/>
      <c r="F525" s="653"/>
      <c r="G525" s="653"/>
      <c r="H525" s="653"/>
      <c r="I525" s="653"/>
    </row>
    <row r="526" spans="4:9" x14ac:dyDescent="0.2">
      <c r="D526" s="651"/>
      <c r="E526" s="652"/>
      <c r="F526" s="653"/>
      <c r="G526" s="653"/>
      <c r="H526" s="653"/>
      <c r="I526" s="653"/>
    </row>
    <row r="527" spans="4:9" x14ac:dyDescent="0.2">
      <c r="D527" s="651"/>
      <c r="E527" s="652"/>
      <c r="F527" s="653"/>
      <c r="G527" s="653"/>
      <c r="H527" s="653"/>
      <c r="I527" s="653"/>
    </row>
    <row r="528" spans="4:9" x14ac:dyDescent="0.2">
      <c r="D528" s="651"/>
      <c r="E528" s="652"/>
      <c r="F528" s="653"/>
      <c r="G528" s="653"/>
      <c r="H528" s="653"/>
      <c r="I528" s="653"/>
    </row>
    <row r="529" spans="4:9" x14ac:dyDescent="0.2">
      <c r="D529" s="651"/>
      <c r="E529" s="652"/>
      <c r="F529" s="653"/>
      <c r="G529" s="653"/>
      <c r="H529" s="653"/>
      <c r="I529" s="653"/>
    </row>
    <row r="530" spans="4:9" x14ac:dyDescent="0.2">
      <c r="D530" s="651"/>
      <c r="E530" s="652"/>
      <c r="F530" s="653"/>
      <c r="G530" s="653"/>
      <c r="H530" s="653"/>
      <c r="I530" s="653"/>
    </row>
    <row r="531" spans="4:9" x14ac:dyDescent="0.2">
      <c r="D531" s="651"/>
      <c r="E531" s="652"/>
      <c r="F531" s="653"/>
      <c r="G531" s="653"/>
      <c r="H531" s="653"/>
      <c r="I531" s="653"/>
    </row>
    <row r="532" spans="4:9" x14ac:dyDescent="0.2">
      <c r="D532" s="651"/>
      <c r="E532" s="652"/>
      <c r="F532" s="653"/>
      <c r="G532" s="653"/>
      <c r="H532" s="653"/>
      <c r="I532" s="653"/>
    </row>
    <row r="533" spans="4:9" x14ac:dyDescent="0.2">
      <c r="D533" s="651"/>
      <c r="E533" s="652"/>
      <c r="F533" s="653"/>
      <c r="G533" s="653"/>
      <c r="H533" s="653"/>
      <c r="I533" s="653"/>
    </row>
    <row r="534" spans="4:9" x14ac:dyDescent="0.2">
      <c r="D534" s="651"/>
      <c r="E534" s="652"/>
      <c r="F534" s="653"/>
      <c r="G534" s="653"/>
      <c r="H534" s="653"/>
      <c r="I534" s="653"/>
    </row>
    <row r="535" spans="4:9" x14ac:dyDescent="0.2">
      <c r="D535" s="651"/>
      <c r="E535" s="652"/>
      <c r="F535" s="653"/>
      <c r="G535" s="653"/>
      <c r="H535" s="653"/>
      <c r="I535" s="653"/>
    </row>
    <row r="536" spans="4:9" x14ac:dyDescent="0.2">
      <c r="D536" s="651"/>
      <c r="E536" s="652"/>
      <c r="F536" s="653"/>
      <c r="G536" s="653"/>
      <c r="H536" s="653"/>
      <c r="I536" s="653"/>
    </row>
    <row r="537" spans="4:9" x14ac:dyDescent="0.2">
      <c r="D537" s="651"/>
      <c r="E537" s="652"/>
      <c r="F537" s="653"/>
      <c r="G537" s="653"/>
      <c r="H537" s="653"/>
      <c r="I537" s="653"/>
    </row>
    <row r="538" spans="4:9" x14ac:dyDescent="0.2">
      <c r="D538" s="651"/>
      <c r="E538" s="652"/>
      <c r="F538" s="653"/>
      <c r="G538" s="653"/>
      <c r="H538" s="653"/>
      <c r="I538" s="653"/>
    </row>
    <row r="539" spans="4:9" x14ac:dyDescent="0.2">
      <c r="D539" s="651"/>
      <c r="E539" s="652"/>
      <c r="F539" s="653"/>
      <c r="G539" s="653"/>
      <c r="H539" s="653"/>
      <c r="I539" s="653"/>
    </row>
    <row r="540" spans="4:9" x14ac:dyDescent="0.2">
      <c r="D540" s="651"/>
      <c r="E540" s="652"/>
      <c r="F540" s="653"/>
      <c r="G540" s="653"/>
      <c r="H540" s="653"/>
      <c r="I540" s="653"/>
    </row>
    <row r="541" spans="4:9" x14ac:dyDescent="0.2">
      <c r="D541" s="651"/>
      <c r="E541" s="652"/>
      <c r="F541" s="653"/>
      <c r="G541" s="653"/>
      <c r="H541" s="653"/>
      <c r="I541" s="653"/>
    </row>
    <row r="542" spans="4:9" x14ac:dyDescent="0.2">
      <c r="D542" s="651"/>
      <c r="E542" s="652"/>
      <c r="F542" s="653"/>
      <c r="G542" s="653"/>
      <c r="H542" s="653"/>
      <c r="I542" s="653"/>
    </row>
    <row r="543" spans="4:9" x14ac:dyDescent="0.2">
      <c r="D543" s="651"/>
      <c r="E543" s="652"/>
      <c r="F543" s="653"/>
      <c r="G543" s="653"/>
      <c r="H543" s="653"/>
      <c r="I543" s="653"/>
    </row>
    <row r="544" spans="4:9" x14ac:dyDescent="0.2">
      <c r="D544" s="651"/>
      <c r="E544" s="652"/>
      <c r="F544" s="653"/>
      <c r="G544" s="653"/>
      <c r="H544" s="653"/>
      <c r="I544" s="653"/>
    </row>
    <row r="545" spans="4:9" x14ac:dyDescent="0.2">
      <c r="D545" s="651"/>
      <c r="E545" s="652"/>
      <c r="F545" s="653"/>
      <c r="G545" s="653"/>
      <c r="H545" s="653"/>
      <c r="I545" s="653"/>
    </row>
    <row r="546" spans="4:9" x14ac:dyDescent="0.2">
      <c r="D546" s="651"/>
      <c r="E546" s="652"/>
      <c r="F546" s="653"/>
      <c r="G546" s="653"/>
      <c r="H546" s="653"/>
      <c r="I546" s="653"/>
    </row>
    <row r="547" spans="4:9" x14ac:dyDescent="0.2">
      <c r="D547" s="651"/>
      <c r="E547" s="652"/>
      <c r="F547" s="653"/>
      <c r="G547" s="653"/>
      <c r="H547" s="653"/>
      <c r="I547" s="653"/>
    </row>
    <row r="548" spans="4:9" x14ac:dyDescent="0.2">
      <c r="D548" s="651"/>
      <c r="E548" s="652"/>
      <c r="F548" s="653"/>
      <c r="G548" s="653"/>
      <c r="H548" s="653"/>
      <c r="I548" s="653"/>
    </row>
    <row r="549" spans="4:9" x14ac:dyDescent="0.2">
      <c r="D549" s="651"/>
      <c r="E549" s="652"/>
      <c r="F549" s="653"/>
      <c r="G549" s="653"/>
      <c r="H549" s="653"/>
      <c r="I549" s="653"/>
    </row>
    <row r="550" spans="4:9" x14ac:dyDescent="0.2">
      <c r="D550" s="651"/>
      <c r="E550" s="652"/>
      <c r="F550" s="653"/>
      <c r="G550" s="653"/>
      <c r="H550" s="653"/>
      <c r="I550" s="653"/>
    </row>
    <row r="551" spans="4:9" x14ac:dyDescent="0.2">
      <c r="D551" s="651"/>
      <c r="E551" s="652"/>
      <c r="F551" s="653"/>
      <c r="G551" s="653"/>
      <c r="H551" s="653"/>
      <c r="I551" s="653"/>
    </row>
    <row r="552" spans="4:9" x14ac:dyDescent="0.2">
      <c r="D552" s="651"/>
      <c r="E552" s="652"/>
      <c r="F552" s="653"/>
      <c r="G552" s="653"/>
      <c r="H552" s="653"/>
      <c r="I552" s="653"/>
    </row>
    <row r="553" spans="4:9" x14ac:dyDescent="0.2">
      <c r="D553" s="651"/>
      <c r="E553" s="652"/>
      <c r="F553" s="653"/>
      <c r="G553" s="653"/>
      <c r="H553" s="653"/>
      <c r="I553" s="653"/>
    </row>
    <row r="554" spans="4:9" x14ac:dyDescent="0.2">
      <c r="D554" s="651"/>
      <c r="E554" s="652"/>
      <c r="F554" s="653"/>
      <c r="G554" s="653"/>
      <c r="H554" s="653"/>
      <c r="I554" s="653"/>
    </row>
    <row r="555" spans="4:9" x14ac:dyDescent="0.2">
      <c r="D555" s="651"/>
      <c r="E555" s="652"/>
      <c r="F555" s="653"/>
      <c r="G555" s="653"/>
      <c r="H555" s="653"/>
      <c r="I555" s="653"/>
    </row>
    <row r="556" spans="4:9" x14ac:dyDescent="0.2">
      <c r="D556" s="651"/>
      <c r="E556" s="652"/>
      <c r="F556" s="653"/>
      <c r="G556" s="653"/>
      <c r="H556" s="653"/>
      <c r="I556" s="653"/>
    </row>
    <row r="557" spans="4:9" x14ac:dyDescent="0.2">
      <c r="D557" s="651"/>
      <c r="E557" s="652"/>
      <c r="F557" s="653"/>
      <c r="G557" s="653"/>
      <c r="H557" s="653"/>
      <c r="I557" s="653"/>
    </row>
    <row r="558" spans="4:9" x14ac:dyDescent="0.2">
      <c r="D558" s="651"/>
      <c r="E558" s="652"/>
      <c r="F558" s="653"/>
      <c r="G558" s="653"/>
      <c r="H558" s="653"/>
      <c r="I558" s="653"/>
    </row>
    <row r="559" spans="4:9" x14ac:dyDescent="0.2">
      <c r="D559" s="651"/>
      <c r="E559" s="652"/>
      <c r="F559" s="653"/>
      <c r="G559" s="653"/>
      <c r="H559" s="653"/>
      <c r="I559" s="653"/>
    </row>
    <row r="560" spans="4:9" x14ac:dyDescent="0.2">
      <c r="D560" s="651"/>
      <c r="E560" s="652"/>
      <c r="F560" s="653"/>
      <c r="G560" s="653"/>
      <c r="H560" s="653"/>
      <c r="I560" s="653"/>
    </row>
    <row r="561" spans="4:9" x14ac:dyDescent="0.2">
      <c r="D561" s="651"/>
      <c r="E561" s="652"/>
      <c r="F561" s="653"/>
      <c r="G561" s="653"/>
      <c r="H561" s="653"/>
      <c r="I561" s="653"/>
    </row>
    <row r="562" spans="4:9" x14ac:dyDescent="0.2">
      <c r="D562" s="651"/>
      <c r="E562" s="652"/>
      <c r="F562" s="653"/>
      <c r="G562" s="653"/>
      <c r="H562" s="653"/>
      <c r="I562" s="653"/>
    </row>
    <row r="563" spans="4:9" x14ac:dyDescent="0.2">
      <c r="D563" s="651"/>
      <c r="E563" s="652"/>
      <c r="F563" s="653"/>
      <c r="G563" s="653"/>
      <c r="H563" s="653"/>
      <c r="I563" s="653"/>
    </row>
    <row r="564" spans="4:9" x14ac:dyDescent="0.2">
      <c r="D564" s="651"/>
      <c r="E564" s="652"/>
      <c r="F564" s="653"/>
      <c r="G564" s="653"/>
      <c r="H564" s="653"/>
      <c r="I564" s="653"/>
    </row>
    <row r="565" spans="4:9" x14ac:dyDescent="0.2">
      <c r="D565" s="651"/>
      <c r="E565" s="652"/>
      <c r="F565" s="653"/>
      <c r="G565" s="653"/>
      <c r="H565" s="653"/>
      <c r="I565" s="653"/>
    </row>
    <row r="566" spans="4:9" x14ac:dyDescent="0.2">
      <c r="D566" s="651"/>
      <c r="E566" s="652"/>
      <c r="F566" s="653"/>
      <c r="G566" s="653"/>
      <c r="H566" s="653"/>
      <c r="I566" s="653"/>
    </row>
    <row r="567" spans="4:9" x14ac:dyDescent="0.2">
      <c r="D567" s="651"/>
      <c r="E567" s="652"/>
      <c r="F567" s="653"/>
      <c r="G567" s="653"/>
      <c r="H567" s="653"/>
      <c r="I567" s="653"/>
    </row>
    <row r="568" spans="4:9" x14ac:dyDescent="0.2">
      <c r="D568" s="651"/>
      <c r="E568" s="652"/>
      <c r="F568" s="653"/>
      <c r="G568" s="653"/>
      <c r="H568" s="653"/>
      <c r="I568" s="653"/>
    </row>
    <row r="569" spans="4:9" x14ac:dyDescent="0.2">
      <c r="D569" s="651"/>
      <c r="E569" s="652"/>
      <c r="F569" s="653"/>
      <c r="G569" s="653"/>
      <c r="H569" s="653"/>
      <c r="I569" s="653"/>
    </row>
    <row r="570" spans="4:9" x14ac:dyDescent="0.2">
      <c r="D570" s="651"/>
      <c r="E570" s="652"/>
      <c r="F570" s="653"/>
      <c r="G570" s="653"/>
      <c r="H570" s="653"/>
      <c r="I570" s="653"/>
    </row>
    <row r="571" spans="4:9" x14ac:dyDescent="0.2">
      <c r="D571" s="651"/>
      <c r="E571" s="652"/>
      <c r="F571" s="653"/>
      <c r="G571" s="653"/>
      <c r="H571" s="653"/>
      <c r="I571" s="653"/>
    </row>
    <row r="572" spans="4:9" x14ac:dyDescent="0.2">
      <c r="D572" s="651"/>
      <c r="E572" s="652"/>
      <c r="F572" s="653"/>
      <c r="G572" s="653"/>
      <c r="H572" s="653"/>
      <c r="I572" s="653"/>
    </row>
    <row r="573" spans="4:9" x14ac:dyDescent="0.2">
      <c r="D573" s="651"/>
      <c r="E573" s="652"/>
      <c r="F573" s="653"/>
      <c r="G573" s="653"/>
      <c r="H573" s="653"/>
      <c r="I573" s="653"/>
    </row>
    <row r="574" spans="4:9" x14ac:dyDescent="0.2">
      <c r="D574" s="651"/>
      <c r="E574" s="652"/>
      <c r="F574" s="653"/>
      <c r="G574" s="653"/>
      <c r="H574" s="653"/>
      <c r="I574" s="653"/>
    </row>
    <row r="575" spans="4:9" x14ac:dyDescent="0.2">
      <c r="D575" s="651"/>
      <c r="E575" s="652"/>
      <c r="F575" s="653"/>
      <c r="G575" s="653"/>
      <c r="H575" s="653"/>
      <c r="I575" s="653"/>
    </row>
    <row r="576" spans="4:9" x14ac:dyDescent="0.2">
      <c r="D576" s="651"/>
      <c r="E576" s="652"/>
      <c r="F576" s="653"/>
      <c r="G576" s="653"/>
      <c r="H576" s="653"/>
      <c r="I576" s="653"/>
    </row>
    <row r="577" spans="4:9" x14ac:dyDescent="0.2">
      <c r="D577" s="651"/>
      <c r="E577" s="652"/>
      <c r="F577" s="653"/>
      <c r="G577" s="653"/>
      <c r="H577" s="653"/>
      <c r="I577" s="653"/>
    </row>
    <row r="578" spans="4:9" x14ac:dyDescent="0.2">
      <c r="D578" s="651"/>
      <c r="E578" s="652"/>
      <c r="F578" s="653"/>
      <c r="G578" s="653"/>
      <c r="H578" s="653"/>
      <c r="I578" s="653"/>
    </row>
    <row r="579" spans="4:9" x14ac:dyDescent="0.2">
      <c r="D579" s="651"/>
      <c r="E579" s="652"/>
      <c r="F579" s="653"/>
      <c r="G579" s="653"/>
      <c r="H579" s="653"/>
      <c r="I579" s="653"/>
    </row>
    <row r="580" spans="4:9" x14ac:dyDescent="0.2">
      <c r="D580" s="651"/>
      <c r="E580" s="652"/>
      <c r="F580" s="653"/>
      <c r="G580" s="653"/>
      <c r="H580" s="653"/>
      <c r="I580" s="653"/>
    </row>
    <row r="581" spans="4:9" x14ac:dyDescent="0.2">
      <c r="D581" s="651"/>
      <c r="E581" s="652"/>
      <c r="F581" s="653"/>
      <c r="G581" s="653"/>
      <c r="H581" s="653"/>
      <c r="I581" s="653"/>
    </row>
    <row r="582" spans="4:9" x14ac:dyDescent="0.2">
      <c r="D582" s="651"/>
      <c r="E582" s="652"/>
      <c r="F582" s="653"/>
      <c r="G582" s="653"/>
      <c r="H582" s="653"/>
      <c r="I582" s="653"/>
    </row>
    <row r="583" spans="4:9" x14ac:dyDescent="0.2">
      <c r="D583" s="651"/>
      <c r="E583" s="652"/>
      <c r="F583" s="653"/>
      <c r="G583" s="653"/>
      <c r="H583" s="653"/>
      <c r="I583" s="653"/>
    </row>
    <row r="584" spans="4:9" x14ac:dyDescent="0.2">
      <c r="D584" s="651"/>
      <c r="E584" s="652"/>
      <c r="F584" s="653"/>
      <c r="G584" s="653"/>
      <c r="H584" s="653"/>
      <c r="I584" s="653"/>
    </row>
    <row r="585" spans="4:9" x14ac:dyDescent="0.2">
      <c r="D585" s="651"/>
      <c r="E585" s="652"/>
      <c r="F585" s="653"/>
      <c r="G585" s="653"/>
      <c r="H585" s="653"/>
      <c r="I585" s="653"/>
    </row>
    <row r="586" spans="4:9" x14ac:dyDescent="0.2">
      <c r="D586" s="651"/>
      <c r="E586" s="652"/>
      <c r="F586" s="653"/>
      <c r="G586" s="653"/>
      <c r="H586" s="653"/>
      <c r="I586" s="653"/>
    </row>
    <row r="587" spans="4:9" x14ac:dyDescent="0.2">
      <c r="D587" s="651"/>
      <c r="E587" s="652"/>
      <c r="F587" s="653"/>
      <c r="G587" s="653"/>
      <c r="H587" s="653"/>
      <c r="I587" s="653"/>
    </row>
    <row r="588" spans="4:9" x14ac:dyDescent="0.2">
      <c r="D588" s="651"/>
      <c r="E588" s="652"/>
      <c r="F588" s="653"/>
      <c r="G588" s="653"/>
      <c r="H588" s="653"/>
      <c r="I588" s="653"/>
    </row>
    <row r="589" spans="4:9" x14ac:dyDescent="0.2">
      <c r="D589" s="651"/>
      <c r="E589" s="652"/>
      <c r="F589" s="653"/>
      <c r="G589" s="653"/>
      <c r="H589" s="653"/>
      <c r="I589" s="653"/>
    </row>
    <row r="590" spans="4:9" x14ac:dyDescent="0.2">
      <c r="D590" s="651"/>
      <c r="E590" s="652"/>
      <c r="F590" s="653"/>
      <c r="G590" s="653"/>
      <c r="H590" s="653"/>
      <c r="I590" s="653"/>
    </row>
    <row r="591" spans="4:9" x14ac:dyDescent="0.2">
      <c r="D591" s="651"/>
      <c r="E591" s="652"/>
      <c r="F591" s="653"/>
      <c r="G591" s="653"/>
      <c r="H591" s="653"/>
      <c r="I591" s="653"/>
    </row>
    <row r="592" spans="4:9" x14ac:dyDescent="0.2">
      <c r="D592" s="651"/>
      <c r="E592" s="652"/>
      <c r="F592" s="653"/>
      <c r="G592" s="653"/>
      <c r="H592" s="653"/>
      <c r="I592" s="653"/>
    </row>
    <row r="593" spans="4:9" x14ac:dyDescent="0.2">
      <c r="D593" s="651"/>
      <c r="E593" s="652"/>
      <c r="F593" s="653"/>
      <c r="G593" s="653"/>
      <c r="H593" s="653"/>
      <c r="I593" s="653"/>
    </row>
    <row r="594" spans="4:9" x14ac:dyDescent="0.2">
      <c r="D594" s="651"/>
      <c r="E594" s="652"/>
      <c r="F594" s="653"/>
      <c r="G594" s="653"/>
      <c r="H594" s="653"/>
      <c r="I594" s="653"/>
    </row>
    <row r="595" spans="4:9" x14ac:dyDescent="0.2">
      <c r="D595" s="651"/>
      <c r="E595" s="652"/>
      <c r="F595" s="653"/>
      <c r="G595" s="653"/>
      <c r="H595" s="653"/>
      <c r="I595" s="653"/>
    </row>
    <row r="596" spans="4:9" x14ac:dyDescent="0.2">
      <c r="D596" s="651"/>
      <c r="E596" s="652"/>
      <c r="F596" s="653"/>
      <c r="G596" s="653"/>
      <c r="H596" s="653"/>
      <c r="I596" s="653"/>
    </row>
    <row r="597" spans="4:9" x14ac:dyDescent="0.2">
      <c r="D597" s="651"/>
      <c r="E597" s="652"/>
      <c r="F597" s="653"/>
      <c r="G597" s="653"/>
      <c r="H597" s="653"/>
      <c r="I597" s="653"/>
    </row>
    <row r="598" spans="4:9" x14ac:dyDescent="0.2">
      <c r="D598" s="651"/>
      <c r="E598" s="652"/>
      <c r="F598" s="653"/>
      <c r="G598" s="653"/>
      <c r="H598" s="653"/>
      <c r="I598" s="653"/>
    </row>
    <row r="599" spans="4:9" x14ac:dyDescent="0.2">
      <c r="D599" s="651"/>
      <c r="E599" s="652"/>
      <c r="F599" s="653"/>
      <c r="G599" s="653"/>
      <c r="H599" s="653"/>
      <c r="I599" s="653"/>
    </row>
    <row r="600" spans="4:9" x14ac:dyDescent="0.2">
      <c r="D600" s="651"/>
      <c r="E600" s="652"/>
      <c r="F600" s="653"/>
      <c r="G600" s="653"/>
      <c r="H600" s="653"/>
      <c r="I600" s="653"/>
    </row>
    <row r="601" spans="4:9" x14ac:dyDescent="0.2">
      <c r="D601" s="651"/>
      <c r="E601" s="652"/>
      <c r="F601" s="653"/>
      <c r="G601" s="653"/>
      <c r="H601" s="653"/>
      <c r="I601" s="653"/>
    </row>
    <row r="602" spans="4:9" x14ac:dyDescent="0.2">
      <c r="D602" s="651"/>
      <c r="E602" s="652"/>
      <c r="F602" s="653"/>
      <c r="G602" s="653"/>
      <c r="H602" s="653"/>
      <c r="I602" s="653"/>
    </row>
    <row r="603" spans="4:9" x14ac:dyDescent="0.2">
      <c r="D603" s="651"/>
      <c r="E603" s="652"/>
      <c r="F603" s="653"/>
      <c r="G603" s="653"/>
      <c r="H603" s="653"/>
      <c r="I603" s="653"/>
    </row>
    <row r="604" spans="4:9" x14ac:dyDescent="0.2">
      <c r="D604" s="651"/>
      <c r="E604" s="652"/>
      <c r="F604" s="653"/>
      <c r="G604" s="653"/>
      <c r="H604" s="653"/>
      <c r="I604" s="653"/>
    </row>
    <row r="605" spans="4:9" x14ac:dyDescent="0.2">
      <c r="D605" s="651"/>
      <c r="E605" s="652"/>
      <c r="F605" s="653"/>
      <c r="G605" s="653"/>
      <c r="H605" s="653"/>
      <c r="I605" s="653"/>
    </row>
    <row r="606" spans="4:9" x14ac:dyDescent="0.2">
      <c r="D606" s="651"/>
      <c r="E606" s="652"/>
      <c r="F606" s="653"/>
      <c r="G606" s="653"/>
      <c r="H606" s="653"/>
      <c r="I606" s="653"/>
    </row>
    <row r="607" spans="4:9" x14ac:dyDescent="0.2">
      <c r="D607" s="651"/>
      <c r="E607" s="652"/>
      <c r="F607" s="653"/>
      <c r="G607" s="653"/>
      <c r="H607" s="653"/>
      <c r="I607" s="653"/>
    </row>
    <row r="608" spans="4:9" x14ac:dyDescent="0.2">
      <c r="D608" s="651"/>
      <c r="E608" s="652"/>
      <c r="F608" s="653"/>
      <c r="G608" s="653"/>
      <c r="H608" s="653"/>
      <c r="I608" s="653"/>
    </row>
    <row r="609" spans="4:9" x14ac:dyDescent="0.2">
      <c r="D609" s="651"/>
      <c r="E609" s="652"/>
      <c r="F609" s="653"/>
      <c r="G609" s="653"/>
      <c r="H609" s="653"/>
      <c r="I609" s="653"/>
    </row>
    <row r="610" spans="4:9" x14ac:dyDescent="0.2">
      <c r="D610" s="651"/>
      <c r="E610" s="652"/>
      <c r="F610" s="653"/>
      <c r="G610" s="653"/>
      <c r="H610" s="653"/>
      <c r="I610" s="653"/>
    </row>
    <row r="611" spans="4:9" x14ac:dyDescent="0.2">
      <c r="D611" s="651"/>
      <c r="E611" s="652"/>
      <c r="F611" s="653"/>
      <c r="G611" s="653"/>
      <c r="H611" s="653"/>
      <c r="I611" s="653"/>
    </row>
    <row r="612" spans="4:9" x14ac:dyDescent="0.2">
      <c r="D612" s="651"/>
      <c r="E612" s="652"/>
      <c r="F612" s="653"/>
      <c r="G612" s="653"/>
      <c r="H612" s="653"/>
      <c r="I612" s="653"/>
    </row>
    <row r="613" spans="4:9" x14ac:dyDescent="0.2">
      <c r="D613" s="651"/>
      <c r="E613" s="652"/>
      <c r="F613" s="653"/>
      <c r="G613" s="653"/>
      <c r="H613" s="653"/>
      <c r="I613" s="653"/>
    </row>
    <row r="614" spans="4:9" x14ac:dyDescent="0.2">
      <c r="D614" s="651"/>
      <c r="E614" s="652"/>
      <c r="F614" s="653"/>
      <c r="G614" s="653"/>
      <c r="H614" s="653"/>
      <c r="I614" s="653"/>
    </row>
    <row r="615" spans="4:9" x14ac:dyDescent="0.2">
      <c r="D615" s="651"/>
      <c r="E615" s="652"/>
      <c r="F615" s="653"/>
      <c r="G615" s="653"/>
      <c r="H615" s="653"/>
      <c r="I615" s="653"/>
    </row>
    <row r="616" spans="4:9" x14ac:dyDescent="0.2">
      <c r="D616" s="651"/>
      <c r="E616" s="652"/>
      <c r="F616" s="653"/>
      <c r="G616" s="653"/>
      <c r="H616" s="653"/>
      <c r="I616" s="653"/>
    </row>
    <row r="617" spans="4:9" x14ac:dyDescent="0.2">
      <c r="D617" s="651"/>
      <c r="E617" s="652"/>
      <c r="F617" s="653"/>
      <c r="G617" s="653"/>
      <c r="H617" s="653"/>
      <c r="I617" s="653"/>
    </row>
    <row r="618" spans="4:9" x14ac:dyDescent="0.2">
      <c r="D618" s="651"/>
      <c r="E618" s="652"/>
      <c r="F618" s="653"/>
      <c r="G618" s="653"/>
      <c r="H618" s="653"/>
      <c r="I618" s="653"/>
    </row>
    <row r="619" spans="4:9" x14ac:dyDescent="0.2">
      <c r="D619" s="651"/>
      <c r="E619" s="652"/>
      <c r="F619" s="653"/>
      <c r="G619" s="653"/>
      <c r="H619" s="653"/>
      <c r="I619" s="653"/>
    </row>
    <row r="620" spans="4:9" x14ac:dyDescent="0.2">
      <c r="D620" s="651"/>
      <c r="E620" s="652"/>
      <c r="F620" s="653"/>
      <c r="G620" s="653"/>
      <c r="H620" s="653"/>
      <c r="I620" s="653"/>
    </row>
    <row r="621" spans="4:9" x14ac:dyDescent="0.2">
      <c r="D621" s="651"/>
      <c r="E621" s="652"/>
      <c r="F621" s="653"/>
      <c r="G621" s="653"/>
      <c r="H621" s="653"/>
      <c r="I621" s="653"/>
    </row>
    <row r="622" spans="4:9" x14ac:dyDescent="0.2">
      <c r="D622" s="651"/>
      <c r="E622" s="652"/>
      <c r="F622" s="653"/>
      <c r="G622" s="653"/>
      <c r="H622" s="653"/>
      <c r="I622" s="653"/>
    </row>
    <row r="623" spans="4:9" x14ac:dyDescent="0.2">
      <c r="D623" s="651"/>
      <c r="E623" s="652"/>
      <c r="F623" s="653"/>
      <c r="G623" s="653"/>
      <c r="H623" s="653"/>
      <c r="I623" s="653"/>
    </row>
    <row r="624" spans="4:9" x14ac:dyDescent="0.2">
      <c r="D624" s="651"/>
      <c r="E624" s="652"/>
      <c r="F624" s="653"/>
      <c r="G624" s="653"/>
      <c r="H624" s="653"/>
      <c r="I624" s="653"/>
    </row>
    <row r="625" spans="4:9" x14ac:dyDescent="0.2">
      <c r="D625" s="651"/>
      <c r="E625" s="652"/>
      <c r="F625" s="653"/>
      <c r="G625" s="653"/>
      <c r="H625" s="653"/>
      <c r="I625" s="653"/>
    </row>
    <row r="626" spans="4:9" x14ac:dyDescent="0.2">
      <c r="D626" s="651"/>
      <c r="E626" s="652"/>
      <c r="F626" s="653"/>
      <c r="G626" s="653"/>
      <c r="H626" s="653"/>
      <c r="I626" s="653"/>
    </row>
    <row r="627" spans="4:9" x14ac:dyDescent="0.2">
      <c r="D627" s="651"/>
      <c r="E627" s="652"/>
      <c r="F627" s="653"/>
      <c r="G627" s="653"/>
      <c r="H627" s="653"/>
      <c r="I627" s="653"/>
    </row>
    <row r="628" spans="4:9" x14ac:dyDescent="0.2">
      <c r="D628" s="651"/>
      <c r="E628" s="652"/>
      <c r="F628" s="653"/>
      <c r="G628" s="653"/>
      <c r="H628" s="653"/>
      <c r="I628" s="653"/>
    </row>
    <row r="629" spans="4:9" x14ac:dyDescent="0.2">
      <c r="D629" s="651"/>
      <c r="E629" s="652"/>
      <c r="F629" s="653"/>
      <c r="G629" s="653"/>
      <c r="H629" s="653"/>
      <c r="I629" s="653"/>
    </row>
    <row r="630" spans="4:9" x14ac:dyDescent="0.2">
      <c r="D630" s="651"/>
      <c r="E630" s="652"/>
      <c r="F630" s="653"/>
      <c r="G630" s="653"/>
      <c r="H630" s="653"/>
      <c r="I630" s="653"/>
    </row>
    <row r="631" spans="4:9" x14ac:dyDescent="0.2">
      <c r="D631" s="651"/>
      <c r="E631" s="652"/>
      <c r="F631" s="653"/>
      <c r="G631" s="653"/>
      <c r="H631" s="653"/>
      <c r="I631" s="653"/>
    </row>
    <row r="632" spans="4:9" x14ac:dyDescent="0.2">
      <c r="D632" s="651"/>
      <c r="E632" s="652"/>
      <c r="F632" s="653"/>
      <c r="G632" s="653"/>
      <c r="H632" s="653"/>
      <c r="I632" s="653"/>
    </row>
    <row r="633" spans="4:9" x14ac:dyDescent="0.2">
      <c r="D633" s="651"/>
      <c r="E633" s="652"/>
      <c r="F633" s="653"/>
      <c r="G633" s="653"/>
      <c r="H633" s="653"/>
      <c r="I633" s="653"/>
    </row>
    <row r="634" spans="4:9" x14ac:dyDescent="0.2">
      <c r="D634" s="651"/>
      <c r="E634" s="652"/>
      <c r="F634" s="653"/>
      <c r="G634" s="653"/>
      <c r="H634" s="653"/>
      <c r="I634" s="653"/>
    </row>
    <row r="635" spans="4:9" x14ac:dyDescent="0.2">
      <c r="D635" s="651"/>
      <c r="E635" s="652"/>
      <c r="F635" s="653"/>
      <c r="G635" s="653"/>
      <c r="H635" s="653"/>
      <c r="I635" s="653"/>
    </row>
    <row r="636" spans="4:9" x14ac:dyDescent="0.2">
      <c r="D636" s="651"/>
      <c r="E636" s="652"/>
      <c r="F636" s="653"/>
      <c r="G636" s="653"/>
      <c r="H636" s="653"/>
      <c r="I636" s="653"/>
    </row>
    <row r="637" spans="4:9" x14ac:dyDescent="0.2">
      <c r="D637" s="651"/>
      <c r="E637" s="652"/>
      <c r="F637" s="653"/>
      <c r="G637" s="653"/>
      <c r="H637" s="653"/>
      <c r="I637" s="653"/>
    </row>
    <row r="638" spans="4:9" x14ac:dyDescent="0.2">
      <c r="D638" s="651"/>
      <c r="E638" s="652"/>
      <c r="F638" s="653"/>
      <c r="G638" s="653"/>
      <c r="H638" s="653"/>
      <c r="I638" s="653"/>
    </row>
    <row r="639" spans="4:9" x14ac:dyDescent="0.2">
      <c r="D639" s="651"/>
      <c r="E639" s="652"/>
      <c r="F639" s="653"/>
      <c r="G639" s="653"/>
      <c r="H639" s="653"/>
      <c r="I639" s="653"/>
    </row>
    <row r="640" spans="4:9" x14ac:dyDescent="0.2">
      <c r="D640" s="651"/>
      <c r="E640" s="652"/>
      <c r="F640" s="653"/>
      <c r="G640" s="653"/>
      <c r="H640" s="653"/>
      <c r="I640" s="653"/>
    </row>
    <row r="641" spans="4:9" x14ac:dyDescent="0.2">
      <c r="D641" s="651"/>
      <c r="E641" s="652"/>
      <c r="F641" s="653"/>
      <c r="G641" s="653"/>
      <c r="H641" s="653"/>
      <c r="I641" s="653"/>
    </row>
    <row r="642" spans="4:9" x14ac:dyDescent="0.2">
      <c r="D642" s="651"/>
      <c r="E642" s="652"/>
      <c r="F642" s="653"/>
      <c r="G642" s="653"/>
      <c r="H642" s="653"/>
      <c r="I642" s="653"/>
    </row>
    <row r="643" spans="4:9" x14ac:dyDescent="0.2">
      <c r="D643" s="651"/>
      <c r="E643" s="652"/>
      <c r="F643" s="653"/>
      <c r="G643" s="653"/>
      <c r="H643" s="653"/>
      <c r="I643" s="653"/>
    </row>
    <row r="644" spans="4:9" x14ac:dyDescent="0.2">
      <c r="D644" s="651"/>
      <c r="E644" s="652"/>
      <c r="F644" s="653"/>
      <c r="G644" s="653"/>
      <c r="H644" s="653"/>
      <c r="I644" s="653"/>
    </row>
    <row r="645" spans="4:9" x14ac:dyDescent="0.2">
      <c r="D645" s="651"/>
      <c r="E645" s="652"/>
      <c r="F645" s="653"/>
      <c r="G645" s="653"/>
      <c r="H645" s="653"/>
      <c r="I645" s="653"/>
    </row>
    <row r="646" spans="4:9" x14ac:dyDescent="0.2">
      <c r="D646" s="651"/>
      <c r="E646" s="652"/>
      <c r="F646" s="653"/>
      <c r="G646" s="653"/>
      <c r="H646" s="653"/>
      <c r="I646" s="653"/>
    </row>
    <row r="647" spans="4:9" x14ac:dyDescent="0.2">
      <c r="D647" s="651"/>
      <c r="E647" s="652"/>
      <c r="F647" s="653"/>
      <c r="G647" s="653"/>
      <c r="H647" s="653"/>
      <c r="I647" s="653"/>
    </row>
    <row r="648" spans="4:9" x14ac:dyDescent="0.2">
      <c r="D648" s="651"/>
      <c r="E648" s="652"/>
      <c r="F648" s="653"/>
      <c r="G648" s="653"/>
      <c r="H648" s="653"/>
      <c r="I648" s="653"/>
    </row>
    <row r="649" spans="4:9" x14ac:dyDescent="0.2">
      <c r="D649" s="651"/>
      <c r="E649" s="652"/>
      <c r="F649" s="653"/>
      <c r="G649" s="653"/>
      <c r="H649" s="653"/>
      <c r="I649" s="653"/>
    </row>
    <row r="650" spans="4:9" x14ac:dyDescent="0.2">
      <c r="D650" s="651"/>
      <c r="E650" s="652"/>
      <c r="F650" s="653"/>
      <c r="G650" s="653"/>
      <c r="H650" s="653"/>
      <c r="I650" s="653"/>
    </row>
    <row r="651" spans="4:9" x14ac:dyDescent="0.2">
      <c r="D651" s="651"/>
      <c r="E651" s="652"/>
      <c r="F651" s="653"/>
      <c r="G651" s="653"/>
      <c r="H651" s="653"/>
      <c r="I651" s="653"/>
    </row>
    <row r="652" spans="4:9" x14ac:dyDescent="0.2">
      <c r="D652" s="651"/>
      <c r="E652" s="652"/>
      <c r="F652" s="653"/>
      <c r="G652" s="653"/>
      <c r="H652" s="653"/>
      <c r="I652" s="653"/>
    </row>
    <row r="653" spans="4:9" x14ac:dyDescent="0.2">
      <c r="D653" s="651"/>
      <c r="E653" s="652"/>
      <c r="F653" s="653"/>
      <c r="G653" s="653"/>
      <c r="H653" s="653"/>
      <c r="I653" s="653"/>
    </row>
    <row r="654" spans="4:9" x14ac:dyDescent="0.2">
      <c r="D654" s="651"/>
      <c r="E654" s="652"/>
      <c r="F654" s="653"/>
      <c r="G654" s="653"/>
      <c r="H654" s="653"/>
      <c r="I654" s="653"/>
    </row>
    <row r="655" spans="4:9" x14ac:dyDescent="0.2">
      <c r="D655" s="651"/>
      <c r="E655" s="652"/>
      <c r="F655" s="653"/>
      <c r="G655" s="653"/>
      <c r="H655" s="653"/>
      <c r="I655" s="653"/>
    </row>
    <row r="656" spans="4:9" x14ac:dyDescent="0.2">
      <c r="D656" s="651"/>
      <c r="E656" s="652"/>
      <c r="F656" s="653"/>
      <c r="G656" s="653"/>
      <c r="H656" s="653"/>
      <c r="I656" s="653"/>
    </row>
    <row r="657" spans="4:9" x14ac:dyDescent="0.2">
      <c r="D657" s="651"/>
      <c r="E657" s="652"/>
      <c r="F657" s="653"/>
      <c r="G657" s="653"/>
      <c r="H657" s="653"/>
      <c r="I657" s="653"/>
    </row>
    <row r="658" spans="4:9" x14ac:dyDescent="0.2">
      <c r="D658" s="651"/>
      <c r="E658" s="652"/>
      <c r="F658" s="653"/>
      <c r="G658" s="653"/>
      <c r="H658" s="653"/>
      <c r="I658" s="653"/>
    </row>
    <row r="659" spans="4:9" x14ac:dyDescent="0.2">
      <c r="D659" s="651"/>
      <c r="E659" s="652"/>
      <c r="F659" s="653"/>
      <c r="G659" s="653"/>
      <c r="H659" s="653"/>
      <c r="I659" s="653"/>
    </row>
    <row r="660" spans="4:9" x14ac:dyDescent="0.2">
      <c r="D660" s="651"/>
      <c r="E660" s="652"/>
      <c r="F660" s="653"/>
      <c r="G660" s="653"/>
      <c r="H660" s="653"/>
      <c r="I660" s="653"/>
    </row>
    <row r="661" spans="4:9" x14ac:dyDescent="0.2">
      <c r="D661" s="651"/>
      <c r="E661" s="652"/>
      <c r="F661" s="653"/>
      <c r="G661" s="653"/>
      <c r="H661" s="653"/>
      <c r="I661" s="653"/>
    </row>
    <row r="662" spans="4:9" x14ac:dyDescent="0.2">
      <c r="D662" s="651"/>
      <c r="E662" s="652"/>
      <c r="F662" s="653"/>
      <c r="G662" s="653"/>
      <c r="H662" s="653"/>
      <c r="I662" s="653"/>
    </row>
    <row r="663" spans="4:9" x14ac:dyDescent="0.2">
      <c r="D663" s="651"/>
      <c r="E663" s="652"/>
      <c r="F663" s="653"/>
      <c r="G663" s="653"/>
      <c r="H663" s="653"/>
      <c r="I663" s="653"/>
    </row>
    <row r="664" spans="4:9" x14ac:dyDescent="0.2">
      <c r="D664" s="651"/>
      <c r="E664" s="652"/>
      <c r="F664" s="653"/>
      <c r="G664" s="653"/>
      <c r="H664" s="653"/>
      <c r="I664" s="653"/>
    </row>
    <row r="665" spans="4:9" x14ac:dyDescent="0.2">
      <c r="D665" s="651"/>
      <c r="E665" s="652"/>
      <c r="F665" s="653"/>
      <c r="G665" s="653"/>
      <c r="H665" s="653"/>
      <c r="I665" s="653"/>
    </row>
    <row r="666" spans="4:9" x14ac:dyDescent="0.2">
      <c r="D666" s="651"/>
      <c r="E666" s="652"/>
      <c r="F666" s="653"/>
      <c r="G666" s="653"/>
      <c r="H666" s="653"/>
      <c r="I666" s="653"/>
    </row>
    <row r="667" spans="4:9" x14ac:dyDescent="0.2">
      <c r="D667" s="651"/>
      <c r="E667" s="652"/>
      <c r="F667" s="653"/>
      <c r="G667" s="653"/>
      <c r="H667" s="653"/>
      <c r="I667" s="653"/>
    </row>
    <row r="668" spans="4:9" x14ac:dyDescent="0.2">
      <c r="D668" s="651"/>
      <c r="E668" s="652"/>
      <c r="F668" s="653"/>
      <c r="G668" s="653"/>
      <c r="H668" s="653"/>
      <c r="I668" s="653"/>
    </row>
    <row r="669" spans="4:9" x14ac:dyDescent="0.2">
      <c r="D669" s="651"/>
      <c r="E669" s="652"/>
      <c r="F669" s="653"/>
      <c r="G669" s="653"/>
      <c r="H669" s="653"/>
      <c r="I669" s="653"/>
    </row>
    <row r="670" spans="4:9" x14ac:dyDescent="0.2">
      <c r="D670" s="651"/>
      <c r="E670" s="652"/>
      <c r="F670" s="653"/>
      <c r="G670" s="653"/>
      <c r="H670" s="653"/>
      <c r="I670" s="653"/>
    </row>
    <row r="671" spans="4:9" x14ac:dyDescent="0.2">
      <c r="D671" s="651"/>
      <c r="E671" s="652"/>
      <c r="F671" s="653"/>
      <c r="G671" s="653"/>
      <c r="H671" s="653"/>
      <c r="I671" s="653"/>
    </row>
    <row r="672" spans="4:9" x14ac:dyDescent="0.2">
      <c r="D672" s="651"/>
      <c r="E672" s="652"/>
      <c r="F672" s="653"/>
      <c r="G672" s="653"/>
      <c r="H672" s="653"/>
      <c r="I672" s="653"/>
    </row>
    <row r="673" spans="4:9" x14ac:dyDescent="0.2">
      <c r="D673" s="651"/>
      <c r="E673" s="652"/>
      <c r="F673" s="653"/>
      <c r="G673" s="653"/>
      <c r="H673" s="653"/>
      <c r="I673" s="653"/>
    </row>
    <row r="674" spans="4:9" x14ac:dyDescent="0.2">
      <c r="D674" s="651"/>
      <c r="E674" s="652"/>
      <c r="F674" s="653"/>
      <c r="G674" s="653"/>
      <c r="H674" s="653"/>
      <c r="I674" s="653"/>
    </row>
    <row r="675" spans="4:9" x14ac:dyDescent="0.2">
      <c r="D675" s="651"/>
      <c r="E675" s="652"/>
      <c r="F675" s="653"/>
      <c r="G675" s="653"/>
      <c r="H675" s="653"/>
      <c r="I675" s="653"/>
    </row>
    <row r="676" spans="4:9" x14ac:dyDescent="0.2">
      <c r="D676" s="651"/>
      <c r="E676" s="652"/>
      <c r="F676" s="653"/>
      <c r="G676" s="653"/>
      <c r="H676" s="653"/>
      <c r="I676" s="653"/>
    </row>
    <row r="677" spans="4:9" x14ac:dyDescent="0.2">
      <c r="D677" s="651"/>
      <c r="E677" s="652"/>
      <c r="F677" s="653"/>
      <c r="G677" s="653"/>
      <c r="H677" s="653"/>
      <c r="I677" s="653"/>
    </row>
    <row r="678" spans="4:9" x14ac:dyDescent="0.2">
      <c r="D678" s="651"/>
      <c r="E678" s="652"/>
      <c r="F678" s="653"/>
      <c r="G678" s="653"/>
      <c r="H678" s="653"/>
      <c r="I678" s="653"/>
    </row>
    <row r="679" spans="4:9" x14ac:dyDescent="0.2">
      <c r="D679" s="651"/>
      <c r="E679" s="652"/>
      <c r="F679" s="653"/>
      <c r="G679" s="653"/>
      <c r="H679" s="653"/>
      <c r="I679" s="653"/>
    </row>
    <row r="680" spans="4:9" x14ac:dyDescent="0.2">
      <c r="D680" s="651"/>
      <c r="E680" s="652"/>
      <c r="F680" s="653"/>
      <c r="G680" s="653"/>
      <c r="H680" s="653"/>
      <c r="I680" s="653"/>
    </row>
    <row r="681" spans="4:9" x14ac:dyDescent="0.2">
      <c r="D681" s="651"/>
      <c r="E681" s="652"/>
      <c r="F681" s="653"/>
      <c r="G681" s="653"/>
      <c r="H681" s="653"/>
      <c r="I681" s="653"/>
    </row>
    <row r="682" spans="4:9" x14ac:dyDescent="0.2">
      <c r="D682" s="651"/>
      <c r="E682" s="652"/>
      <c r="F682" s="653"/>
      <c r="G682" s="653"/>
      <c r="H682" s="653"/>
      <c r="I682" s="653"/>
    </row>
    <row r="683" spans="4:9" x14ac:dyDescent="0.2">
      <c r="D683" s="651"/>
      <c r="E683" s="652"/>
      <c r="F683" s="653"/>
      <c r="G683" s="653"/>
      <c r="H683" s="653"/>
      <c r="I683" s="653"/>
    </row>
    <row r="684" spans="4:9" x14ac:dyDescent="0.2">
      <c r="D684" s="651"/>
      <c r="E684" s="652"/>
      <c r="F684" s="653"/>
      <c r="G684" s="653"/>
      <c r="H684" s="653"/>
      <c r="I684" s="653"/>
    </row>
    <row r="685" spans="4:9" x14ac:dyDescent="0.2">
      <c r="D685" s="651"/>
      <c r="E685" s="652"/>
      <c r="F685" s="653"/>
      <c r="G685" s="653"/>
      <c r="H685" s="653"/>
      <c r="I685" s="653"/>
    </row>
    <row r="686" spans="4:9" x14ac:dyDescent="0.2">
      <c r="D686" s="651"/>
      <c r="E686" s="652"/>
      <c r="F686" s="653"/>
      <c r="G686" s="653"/>
      <c r="H686" s="653"/>
      <c r="I686" s="653"/>
    </row>
    <row r="687" spans="4:9" x14ac:dyDescent="0.2">
      <c r="D687" s="651"/>
      <c r="E687" s="652"/>
      <c r="F687" s="653"/>
      <c r="G687" s="653"/>
      <c r="H687" s="653"/>
      <c r="I687" s="653"/>
    </row>
    <row r="688" spans="4:9" x14ac:dyDescent="0.2">
      <c r="D688" s="651"/>
      <c r="E688" s="652"/>
      <c r="F688" s="653"/>
      <c r="G688" s="653"/>
      <c r="H688" s="653"/>
      <c r="I688" s="653"/>
    </row>
    <row r="689" spans="4:9" x14ac:dyDescent="0.2">
      <c r="D689" s="651"/>
      <c r="E689" s="652"/>
      <c r="F689" s="653"/>
      <c r="G689" s="653"/>
      <c r="H689" s="653"/>
      <c r="I689" s="653"/>
    </row>
    <row r="690" spans="4:9" x14ac:dyDescent="0.2">
      <c r="D690" s="651"/>
      <c r="E690" s="652"/>
      <c r="F690" s="653"/>
      <c r="G690" s="653"/>
      <c r="H690" s="653"/>
      <c r="I690" s="653"/>
    </row>
    <row r="691" spans="4:9" x14ac:dyDescent="0.2">
      <c r="D691" s="651"/>
      <c r="E691" s="652"/>
      <c r="F691" s="653"/>
      <c r="G691" s="653"/>
      <c r="H691" s="653"/>
      <c r="I691" s="653"/>
    </row>
    <row r="692" spans="4:9" x14ac:dyDescent="0.2">
      <c r="D692" s="651"/>
      <c r="E692" s="652"/>
      <c r="F692" s="653"/>
      <c r="G692" s="653"/>
      <c r="H692" s="653"/>
      <c r="I692" s="653"/>
    </row>
    <row r="693" spans="4:9" x14ac:dyDescent="0.2">
      <c r="D693" s="651"/>
      <c r="E693" s="652"/>
      <c r="F693" s="653"/>
      <c r="G693" s="653"/>
      <c r="H693" s="653"/>
      <c r="I693" s="653"/>
    </row>
    <row r="694" spans="4:9" x14ac:dyDescent="0.2">
      <c r="D694" s="651"/>
      <c r="E694" s="652"/>
      <c r="F694" s="653"/>
      <c r="G694" s="653"/>
      <c r="H694" s="653"/>
      <c r="I694" s="653"/>
    </row>
    <row r="695" spans="4:9" x14ac:dyDescent="0.2">
      <c r="D695" s="651"/>
      <c r="E695" s="652"/>
      <c r="F695" s="653"/>
      <c r="G695" s="653"/>
      <c r="H695" s="653"/>
      <c r="I695" s="653"/>
    </row>
    <row r="696" spans="4:9" x14ac:dyDescent="0.2">
      <c r="D696" s="651"/>
      <c r="E696" s="652"/>
      <c r="F696" s="653"/>
      <c r="G696" s="653"/>
      <c r="H696" s="653"/>
      <c r="I696" s="653"/>
    </row>
    <row r="697" spans="4:9" x14ac:dyDescent="0.2">
      <c r="D697" s="651"/>
      <c r="E697" s="652"/>
      <c r="F697" s="653"/>
      <c r="G697" s="653"/>
      <c r="H697" s="653"/>
      <c r="I697" s="653"/>
    </row>
    <row r="698" spans="4:9" x14ac:dyDescent="0.2">
      <c r="D698" s="651"/>
      <c r="E698" s="652"/>
      <c r="F698" s="653"/>
      <c r="G698" s="653"/>
      <c r="H698" s="653"/>
      <c r="I698" s="653"/>
    </row>
    <row r="699" spans="4:9" x14ac:dyDescent="0.2">
      <c r="D699" s="651"/>
      <c r="E699" s="652"/>
      <c r="F699" s="653"/>
      <c r="G699" s="653"/>
      <c r="H699" s="653"/>
      <c r="I699" s="653"/>
    </row>
    <row r="700" spans="4:9" x14ac:dyDescent="0.2">
      <c r="D700" s="651"/>
      <c r="E700" s="652"/>
      <c r="F700" s="653"/>
      <c r="G700" s="653"/>
      <c r="H700" s="653"/>
      <c r="I700" s="653"/>
    </row>
    <row r="701" spans="4:9" x14ac:dyDescent="0.2">
      <c r="D701" s="651"/>
      <c r="E701" s="652"/>
      <c r="F701" s="653"/>
      <c r="G701" s="653"/>
      <c r="H701" s="653"/>
      <c r="I701" s="653"/>
    </row>
    <row r="702" spans="4:9" x14ac:dyDescent="0.2">
      <c r="D702" s="651"/>
      <c r="E702" s="652"/>
      <c r="F702" s="653"/>
      <c r="G702" s="653"/>
      <c r="H702" s="653"/>
      <c r="I702" s="653"/>
    </row>
    <row r="703" spans="4:9" x14ac:dyDescent="0.2">
      <c r="D703" s="651"/>
      <c r="E703" s="652"/>
      <c r="F703" s="653"/>
      <c r="G703" s="653"/>
      <c r="H703" s="653"/>
      <c r="I703" s="653"/>
    </row>
    <row r="704" spans="4:9" x14ac:dyDescent="0.2">
      <c r="D704" s="651"/>
      <c r="E704" s="652"/>
      <c r="F704" s="653"/>
      <c r="G704" s="653"/>
      <c r="H704" s="653"/>
      <c r="I704" s="653"/>
    </row>
    <row r="705" spans="4:9" x14ac:dyDescent="0.2">
      <c r="D705" s="651"/>
      <c r="E705" s="652"/>
      <c r="F705" s="653"/>
      <c r="G705" s="653"/>
      <c r="H705" s="653"/>
      <c r="I705" s="653"/>
    </row>
    <row r="706" spans="4:9" x14ac:dyDescent="0.2">
      <c r="D706" s="651"/>
      <c r="E706" s="652"/>
      <c r="F706" s="653"/>
      <c r="G706" s="653"/>
      <c r="H706" s="653"/>
      <c r="I706" s="653"/>
    </row>
    <row r="707" spans="4:9" x14ac:dyDescent="0.2">
      <c r="D707" s="651"/>
      <c r="E707" s="652"/>
      <c r="F707" s="653"/>
      <c r="G707" s="653"/>
      <c r="H707" s="653"/>
      <c r="I707" s="653"/>
    </row>
    <row r="708" spans="4:9" x14ac:dyDescent="0.2">
      <c r="D708" s="651"/>
      <c r="E708" s="652"/>
      <c r="F708" s="653"/>
      <c r="G708" s="653"/>
      <c r="H708" s="653"/>
      <c r="I708" s="653"/>
    </row>
    <row r="709" spans="4:9" x14ac:dyDescent="0.2">
      <c r="D709" s="651"/>
      <c r="E709" s="652"/>
      <c r="F709" s="653"/>
      <c r="G709" s="653"/>
      <c r="H709" s="653"/>
      <c r="I709" s="653"/>
    </row>
    <row r="710" spans="4:9" x14ac:dyDescent="0.2">
      <c r="D710" s="651"/>
      <c r="E710" s="652"/>
      <c r="F710" s="653"/>
      <c r="G710" s="653"/>
      <c r="H710" s="653"/>
      <c r="I710" s="653"/>
    </row>
    <row r="711" spans="4:9" x14ac:dyDescent="0.2">
      <c r="D711" s="651"/>
      <c r="E711" s="652"/>
      <c r="F711" s="653"/>
      <c r="G711" s="653"/>
      <c r="H711" s="653"/>
      <c r="I711" s="653"/>
    </row>
  </sheetData>
  <mergeCells count="37">
    <mergeCell ref="B44:C44"/>
    <mergeCell ref="A52:G52"/>
    <mergeCell ref="B54:C54"/>
    <mergeCell ref="B64:C64"/>
    <mergeCell ref="A1:I1"/>
    <mergeCell ref="A42:I42"/>
    <mergeCell ref="A36:I36"/>
    <mergeCell ref="B4:C4"/>
    <mergeCell ref="B11:C11"/>
    <mergeCell ref="B27:C27"/>
    <mergeCell ref="B38:C38"/>
    <mergeCell ref="A2:I2"/>
    <mergeCell ref="A84:G84"/>
    <mergeCell ref="B74:C74"/>
    <mergeCell ref="B163:C163"/>
    <mergeCell ref="A169:G169"/>
    <mergeCell ref="B98:C98"/>
    <mergeCell ref="A117:G117"/>
    <mergeCell ref="B119:C119"/>
    <mergeCell ref="A125:G125"/>
    <mergeCell ref="A108:G108"/>
    <mergeCell ref="A179:G179"/>
    <mergeCell ref="B171:C171"/>
    <mergeCell ref="B181:C181"/>
    <mergeCell ref="A72:G72"/>
    <mergeCell ref="A62:G62"/>
    <mergeCell ref="B86:C86"/>
    <mergeCell ref="B151:C151"/>
    <mergeCell ref="B157:C157"/>
    <mergeCell ref="A149:G149"/>
    <mergeCell ref="B135:C135"/>
    <mergeCell ref="A141:G141"/>
    <mergeCell ref="B127:C127"/>
    <mergeCell ref="A133:G133"/>
    <mergeCell ref="B143:C143"/>
    <mergeCell ref="B110:C110"/>
    <mergeCell ref="A96:G96"/>
  </mergeCells>
  <phoneticPr fontId="16" type="noConversion"/>
  <conditionalFormatting sqref="A14:A16">
    <cfRule type="expression" dxfId="7" priority="119" stopIfTrue="1">
      <formula>AND(#REF!&lt;&gt;"COMPOSICAO",#REF!&lt;&gt;"INSUMO",#REF!&lt;&gt;"")</formula>
    </cfRule>
    <cfRule type="expression" dxfId="6" priority="120" stopIfTrue="1">
      <formula>AND(OR(#REF!="COMPOSICAO",#REF!="INSUMO",#REF!&lt;&gt;""),#REF!&lt;&gt;"")</formula>
    </cfRule>
  </conditionalFormatting>
  <conditionalFormatting sqref="B13:E24">
    <cfRule type="expression" dxfId="5" priority="117" stopIfTrue="1">
      <formula>AND(#REF!&lt;&gt;"COMPOSICAO",#REF!&lt;&gt;"INSUMO",#REF!&lt;&gt;"")</formula>
    </cfRule>
    <cfRule type="expression" dxfId="4" priority="118" stopIfTrue="1">
      <formula>AND(OR(#REF!="COMPOSICAO",#REF!="INSUMO",#REF!&lt;&gt;""),#REF!&lt;&gt;"")</formula>
    </cfRule>
  </conditionalFormatting>
  <conditionalFormatting sqref="F13:F17">
    <cfRule type="expression" dxfId="3" priority="109" stopIfTrue="1">
      <formula>AND(#REF!&lt;&gt;"COMPOSICAO",#REF!&lt;&gt;"INSUMO",#REF!&lt;&gt;"")</formula>
    </cfRule>
    <cfRule type="expression" dxfId="2" priority="110" stopIfTrue="1">
      <formula>AND(OR(#REF!="COMPOSICAO",#REF!="INSUMO",#REF!&lt;&gt;""),#REF!&lt;&gt;"")</formula>
    </cfRule>
  </conditionalFormatting>
  <conditionalFormatting sqref="H14:H17">
    <cfRule type="expression" dxfId="1" priority="11" stopIfTrue="1">
      <formula>AND(#REF!&lt;&gt;"COMPOSICAO",#REF!&lt;&gt;"INSUMO",#REF!&lt;&gt;"")</formula>
    </cfRule>
    <cfRule type="expression" dxfId="0" priority="12" stopIfTrue="1">
      <formula>AND(OR(#REF!="COMPOSICAO",#REF!="INSUMO",#REF!&lt;&gt;""),#REF!&lt;&gt;"")</formula>
    </cfRule>
  </conditionalFormatting>
  <printOptions horizontalCentered="1" gridLines="1"/>
  <pageMargins left="0.25" right="0.25" top="0.75" bottom="0.75" header="0.3" footer="0.3"/>
  <pageSetup paperSize="9" scale="47" fitToHeight="0" pageOrder="overThenDown" orientation="portrait" r:id="rId1"/>
  <rowBreaks count="2" manualBreakCount="2">
    <brk id="73" max="8" man="1"/>
    <brk id="155" max="8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9513D8-A46E-460F-89E5-F50858439BBC}">
  <sheetPr>
    <tabColor rgb="FFC00000"/>
  </sheetPr>
  <dimension ref="A1:J45"/>
  <sheetViews>
    <sheetView view="pageBreakPreview" topLeftCell="A16" zoomScale="90" zoomScaleNormal="100" zoomScaleSheetLayoutView="90" workbookViewId="0">
      <selection activeCell="E14" sqref="E14"/>
    </sheetView>
  </sheetViews>
  <sheetFormatPr defaultColWidth="9.140625" defaultRowHeight="12.75" x14ac:dyDescent="0.2"/>
  <cols>
    <col min="1" max="1" width="15.85546875" style="101" customWidth="1"/>
    <col min="2" max="2" width="57.28515625" style="743" customWidth="1"/>
    <col min="3" max="3" width="25.28515625" style="101" customWidth="1"/>
    <col min="4" max="4" width="25.28515625" style="743" customWidth="1"/>
    <col min="5" max="5" width="43" style="101" customWidth="1"/>
    <col min="6" max="6" width="52.5703125" style="101" customWidth="1"/>
    <col min="7" max="7" width="9.140625" style="101"/>
    <col min="8" max="8" width="14.140625" style="101" bestFit="1" customWidth="1"/>
    <col min="9" max="9" width="14.28515625" style="101" customWidth="1"/>
    <col min="10" max="16384" width="9.140625" style="101"/>
  </cols>
  <sheetData>
    <row r="1" spans="1:10" x14ac:dyDescent="0.2">
      <c r="A1" s="915" t="s">
        <v>2234</v>
      </c>
      <c r="B1" s="915"/>
      <c r="C1" s="915"/>
      <c r="D1" s="915"/>
      <c r="E1" s="915"/>
      <c r="F1" s="915"/>
      <c r="G1" s="915"/>
      <c r="H1" s="915"/>
      <c r="I1" s="915"/>
    </row>
    <row r="2" spans="1:10" ht="76.5" customHeight="1" x14ac:dyDescent="0.2">
      <c r="A2" s="923" t="s">
        <v>2236</v>
      </c>
      <c r="B2" s="923"/>
      <c r="C2" s="923"/>
      <c r="D2" s="923"/>
      <c r="E2" s="923"/>
      <c r="F2" s="923"/>
      <c r="G2" s="923"/>
      <c r="H2" s="923"/>
      <c r="I2" s="923"/>
    </row>
    <row r="3" spans="1:10" ht="21" customHeight="1" x14ac:dyDescent="0.2">
      <c r="A3" s="741"/>
      <c r="B3" s="738"/>
      <c r="C3" s="741"/>
      <c r="D3" s="738"/>
      <c r="E3" s="741"/>
      <c r="F3" s="741"/>
    </row>
    <row r="4" spans="1:10" s="377" customFormat="1" ht="21.75" customHeight="1" x14ac:dyDescent="0.2">
      <c r="A4" s="742" t="s">
        <v>2148</v>
      </c>
      <c r="B4" s="924" t="s">
        <v>6</v>
      </c>
      <c r="C4" s="924"/>
      <c r="D4" s="924"/>
      <c r="E4" s="924"/>
      <c r="F4" s="924"/>
      <c r="G4" s="742" t="s">
        <v>1661</v>
      </c>
      <c r="H4" s="742" t="s">
        <v>2150</v>
      </c>
      <c r="I4" s="742" t="s">
        <v>2149</v>
      </c>
    </row>
    <row r="5" spans="1:10" x14ac:dyDescent="0.2">
      <c r="A5" s="711"/>
      <c r="B5" s="745"/>
      <c r="C5" s="711"/>
      <c r="D5" s="745"/>
      <c r="E5" s="711"/>
      <c r="F5" s="711"/>
      <c r="G5" s="711"/>
      <c r="H5" s="711"/>
      <c r="I5" s="711"/>
    </row>
    <row r="6" spans="1:10" s="282" customFormat="1" ht="24" customHeight="1" x14ac:dyDescent="0.2">
      <c r="A6" s="752" t="s">
        <v>1898</v>
      </c>
      <c r="B6" s="922" t="s">
        <v>1900</v>
      </c>
      <c r="C6" s="922"/>
      <c r="D6" s="922"/>
      <c r="E6" s="922"/>
      <c r="F6" s="922"/>
      <c r="G6" s="753"/>
      <c r="H6" s="752" t="s">
        <v>1658</v>
      </c>
      <c r="I6" s="752" t="s">
        <v>2160</v>
      </c>
    </row>
    <row r="7" spans="1:10" s="282" customFormat="1" ht="24.75" customHeight="1" x14ac:dyDescent="0.2">
      <c r="A7" s="754" t="s">
        <v>2121</v>
      </c>
      <c r="B7" s="755" t="s">
        <v>1688</v>
      </c>
      <c r="C7" s="755" t="s">
        <v>2146</v>
      </c>
      <c r="D7" s="755" t="s">
        <v>2147</v>
      </c>
      <c r="E7" s="754" t="s">
        <v>2122</v>
      </c>
      <c r="F7" s="756" t="s">
        <v>1335</v>
      </c>
      <c r="G7" s="755" t="s">
        <v>1661</v>
      </c>
      <c r="H7" s="757" t="s">
        <v>2159</v>
      </c>
      <c r="I7" s="758"/>
    </row>
    <row r="8" spans="1:10" s="282" customFormat="1" ht="127.5" x14ac:dyDescent="0.2">
      <c r="A8" s="747">
        <v>46176</v>
      </c>
      <c r="B8" s="751" t="s">
        <v>2118</v>
      </c>
      <c r="C8" s="748" t="s">
        <v>2163</v>
      </c>
      <c r="D8" s="751" t="s">
        <v>2168</v>
      </c>
      <c r="E8" s="775" t="s">
        <v>2250</v>
      </c>
      <c r="F8" s="759" t="s">
        <v>2123</v>
      </c>
      <c r="G8" s="760" t="s">
        <v>42</v>
      </c>
      <c r="H8" s="761">
        <v>3413.49</v>
      </c>
      <c r="I8" s="750"/>
      <c r="J8" s="772"/>
    </row>
    <row r="9" spans="1:10" s="282" customFormat="1" ht="51" x14ac:dyDescent="0.2">
      <c r="A9" s="744">
        <v>46226</v>
      </c>
      <c r="B9" s="762" t="s">
        <v>2169</v>
      </c>
      <c r="C9" s="711" t="s">
        <v>2165</v>
      </c>
      <c r="D9" s="779" t="s">
        <v>2245</v>
      </c>
      <c r="E9" s="625" t="s">
        <v>2247</v>
      </c>
      <c r="F9" s="763" t="s">
        <v>1851</v>
      </c>
      <c r="G9" s="764" t="s">
        <v>42</v>
      </c>
      <c r="H9" s="765">
        <v>572.20000000000005</v>
      </c>
      <c r="I9" s="746"/>
      <c r="J9" s="773"/>
    </row>
    <row r="10" spans="1:10" s="282" customFormat="1" x14ac:dyDescent="0.2">
      <c r="A10" s="766"/>
      <c r="B10" s="767"/>
      <c r="C10" s="766"/>
      <c r="D10" s="767"/>
      <c r="E10" s="766"/>
      <c r="F10" s="737" t="s">
        <v>2087</v>
      </c>
      <c r="G10" s="737"/>
      <c r="H10" s="768">
        <f>SMALL(H8:H9,1)</f>
        <v>572.20000000000005</v>
      </c>
      <c r="I10" s="737"/>
    </row>
    <row r="11" spans="1:10" s="282" customFormat="1" x14ac:dyDescent="0.2">
      <c r="A11" s="604"/>
      <c r="B11" s="651"/>
      <c r="D11" s="651"/>
      <c r="E11" s="605"/>
      <c r="G11" s="651"/>
      <c r="H11" s="652"/>
      <c r="I11" s="653"/>
    </row>
    <row r="12" spans="1:10" s="282" customFormat="1" ht="24" customHeight="1" x14ac:dyDescent="0.2">
      <c r="A12" s="752" t="s">
        <v>1899</v>
      </c>
      <c r="B12" s="922" t="s">
        <v>2235</v>
      </c>
      <c r="C12" s="922"/>
      <c r="D12" s="922"/>
      <c r="E12" s="922"/>
      <c r="F12" s="922"/>
      <c r="G12" s="753"/>
      <c r="H12" s="752" t="s">
        <v>1658</v>
      </c>
      <c r="I12" s="752" t="s">
        <v>2160</v>
      </c>
    </row>
    <row r="13" spans="1:10" s="282" customFormat="1" ht="24.75" customHeight="1" x14ac:dyDescent="0.2">
      <c r="A13" s="754" t="s">
        <v>2121</v>
      </c>
      <c r="B13" s="755" t="s">
        <v>1688</v>
      </c>
      <c r="C13" s="755" t="s">
        <v>2146</v>
      </c>
      <c r="D13" s="755" t="s">
        <v>2147</v>
      </c>
      <c r="E13" s="754" t="s">
        <v>2122</v>
      </c>
      <c r="F13" s="756" t="s">
        <v>1335</v>
      </c>
      <c r="G13" s="755" t="s">
        <v>1661</v>
      </c>
      <c r="H13" s="757" t="s">
        <v>2159</v>
      </c>
      <c r="I13" s="758"/>
    </row>
    <row r="14" spans="1:10" s="282" customFormat="1" ht="127.5" x14ac:dyDescent="0.2">
      <c r="A14" s="747">
        <v>46176</v>
      </c>
      <c r="B14" s="751" t="s">
        <v>2118</v>
      </c>
      <c r="C14" s="748" t="s">
        <v>2163</v>
      </c>
      <c r="D14" s="751" t="s">
        <v>2168</v>
      </c>
      <c r="E14" s="775" t="s">
        <v>2250</v>
      </c>
      <c r="F14" s="759" t="s">
        <v>2124</v>
      </c>
      <c r="G14" s="760" t="s">
        <v>42</v>
      </c>
      <c r="H14" s="761">
        <v>3264.49</v>
      </c>
      <c r="I14" s="750"/>
      <c r="J14" s="774"/>
    </row>
    <row r="15" spans="1:10" s="282" customFormat="1" ht="51" x14ac:dyDescent="0.2">
      <c r="A15" s="744">
        <v>46226</v>
      </c>
      <c r="B15" s="762" t="s">
        <v>2169</v>
      </c>
      <c r="C15" s="711" t="s">
        <v>2165</v>
      </c>
      <c r="D15" s="779" t="s">
        <v>2245</v>
      </c>
      <c r="E15" s="625" t="s">
        <v>2247</v>
      </c>
      <c r="F15" s="763" t="s">
        <v>1852</v>
      </c>
      <c r="G15" s="764" t="s">
        <v>42</v>
      </c>
      <c r="H15" s="765">
        <v>733.6</v>
      </c>
      <c r="I15" s="746"/>
      <c r="J15" s="773"/>
    </row>
    <row r="16" spans="1:10" s="282" customFormat="1" x14ac:dyDescent="0.2">
      <c r="A16" s="766"/>
      <c r="B16" s="767"/>
      <c r="C16" s="766"/>
      <c r="D16" s="767"/>
      <c r="E16" s="766"/>
      <c r="F16" s="737" t="s">
        <v>2087</v>
      </c>
      <c r="G16" s="737"/>
      <c r="H16" s="768">
        <f>SMALL(H14:H15,1)</f>
        <v>733.6</v>
      </c>
      <c r="I16" s="737"/>
    </row>
    <row r="17" spans="1:9" s="282" customFormat="1" x14ac:dyDescent="0.2">
      <c r="A17" s="604"/>
      <c r="B17" s="651"/>
      <c r="D17" s="651"/>
      <c r="E17" s="605"/>
      <c r="G17" s="651"/>
      <c r="H17" s="652"/>
      <c r="I17" s="653"/>
    </row>
    <row r="18" spans="1:9" s="282" customFormat="1" ht="24" customHeight="1" x14ac:dyDescent="0.2">
      <c r="A18" s="752" t="s">
        <v>2085</v>
      </c>
      <c r="B18" s="922" t="s">
        <v>2093</v>
      </c>
      <c r="C18" s="922"/>
      <c r="D18" s="922"/>
      <c r="E18" s="922"/>
      <c r="F18" s="922"/>
      <c r="G18" s="753"/>
      <c r="H18" s="752" t="s">
        <v>1765</v>
      </c>
      <c r="I18" s="752" t="s">
        <v>2161</v>
      </c>
    </row>
    <row r="19" spans="1:9" s="282" customFormat="1" ht="24.75" customHeight="1" x14ac:dyDescent="0.2">
      <c r="A19" s="754" t="s">
        <v>2121</v>
      </c>
      <c r="B19" s="755" t="s">
        <v>1688</v>
      </c>
      <c r="C19" s="755" t="s">
        <v>2146</v>
      </c>
      <c r="D19" s="755" t="s">
        <v>2147</v>
      </c>
      <c r="E19" s="754" t="s">
        <v>2122</v>
      </c>
      <c r="F19" s="756" t="s">
        <v>1335</v>
      </c>
      <c r="G19" s="755" t="s">
        <v>1661</v>
      </c>
      <c r="H19" s="757" t="s">
        <v>2159</v>
      </c>
      <c r="I19" s="758"/>
    </row>
    <row r="20" spans="1:9" s="282" customFormat="1" ht="17.25" customHeight="1" x14ac:dyDescent="0.2">
      <c r="A20" s="747">
        <v>46266</v>
      </c>
      <c r="B20" s="751" t="s">
        <v>2175</v>
      </c>
      <c r="C20" s="748" t="s">
        <v>2176</v>
      </c>
      <c r="D20" s="751" t="s">
        <v>2177</v>
      </c>
      <c r="E20" s="749" t="s">
        <v>2174</v>
      </c>
      <c r="F20" s="759" t="s">
        <v>2173</v>
      </c>
      <c r="G20" s="760" t="s">
        <v>1765</v>
      </c>
      <c r="H20" s="761">
        <v>8.7899999999999991</v>
      </c>
      <c r="I20" s="750"/>
    </row>
    <row r="21" spans="1:9" s="282" customFormat="1" ht="25.5" x14ac:dyDescent="0.2">
      <c r="A21" s="747">
        <v>46266</v>
      </c>
      <c r="B21" s="751" t="s">
        <v>2179</v>
      </c>
      <c r="C21" s="748" t="s">
        <v>2180</v>
      </c>
      <c r="D21" s="751" t="s">
        <v>2178</v>
      </c>
      <c r="E21" s="749" t="s">
        <v>2151</v>
      </c>
      <c r="F21" s="759" t="s">
        <v>2094</v>
      </c>
      <c r="G21" s="760" t="s">
        <v>1765</v>
      </c>
      <c r="H21" s="761">
        <v>7.74</v>
      </c>
      <c r="I21" s="750"/>
    </row>
    <row r="22" spans="1:9" s="282" customFormat="1" ht="25.5" x14ac:dyDescent="0.2">
      <c r="A22" s="747">
        <v>46266</v>
      </c>
      <c r="B22" s="751" t="s">
        <v>2096</v>
      </c>
      <c r="C22" s="748" t="s">
        <v>2182</v>
      </c>
      <c r="D22" s="751" t="s">
        <v>2181</v>
      </c>
      <c r="E22" s="749" t="s">
        <v>2152</v>
      </c>
      <c r="F22" s="759" t="s">
        <v>2095</v>
      </c>
      <c r="G22" s="760" t="s">
        <v>1765</v>
      </c>
      <c r="H22" s="761">
        <v>9.9</v>
      </c>
      <c r="I22" s="750"/>
    </row>
    <row r="23" spans="1:9" s="282" customFormat="1" x14ac:dyDescent="0.2">
      <c r="A23" s="766"/>
      <c r="B23" s="767"/>
      <c r="C23" s="766"/>
      <c r="D23" s="767"/>
      <c r="E23" s="766"/>
      <c r="F23" s="737" t="s">
        <v>2087</v>
      </c>
      <c r="G23" s="737"/>
      <c r="H23" s="768">
        <f>TRUNC(AVERAGE(H20:H22),2)</f>
        <v>8.81</v>
      </c>
      <c r="I23" s="737"/>
    </row>
    <row r="25" spans="1:9" s="282" customFormat="1" ht="24" customHeight="1" x14ac:dyDescent="0.2">
      <c r="A25" s="752" t="s">
        <v>2088</v>
      </c>
      <c r="B25" s="922" t="s">
        <v>2083</v>
      </c>
      <c r="C25" s="922"/>
      <c r="D25" s="922"/>
      <c r="E25" s="922"/>
      <c r="F25" s="922"/>
      <c r="G25" s="753"/>
      <c r="H25" s="752" t="s">
        <v>1765</v>
      </c>
      <c r="I25" s="752" t="s">
        <v>2160</v>
      </c>
    </row>
    <row r="26" spans="1:9" s="282" customFormat="1" ht="24.75" customHeight="1" x14ac:dyDescent="0.2">
      <c r="A26" s="754" t="s">
        <v>2121</v>
      </c>
      <c r="B26" s="755" t="s">
        <v>1688</v>
      </c>
      <c r="C26" s="755" t="s">
        <v>2146</v>
      </c>
      <c r="D26" s="755" t="s">
        <v>2147</v>
      </c>
      <c r="E26" s="754" t="s">
        <v>2122</v>
      </c>
      <c r="F26" s="756" t="s">
        <v>1335</v>
      </c>
      <c r="G26" s="755" t="s">
        <v>1661</v>
      </c>
      <c r="H26" s="757" t="s">
        <v>2159</v>
      </c>
      <c r="I26" s="758"/>
    </row>
    <row r="27" spans="1:9" s="282" customFormat="1" x14ac:dyDescent="0.2">
      <c r="A27" s="747">
        <v>46266</v>
      </c>
      <c r="B27" s="751" t="s">
        <v>2199</v>
      </c>
      <c r="C27" s="748" t="s">
        <v>2197</v>
      </c>
      <c r="D27" s="751" t="s">
        <v>2198</v>
      </c>
      <c r="E27" s="749" t="s">
        <v>2153</v>
      </c>
      <c r="F27" s="759" t="s">
        <v>2105</v>
      </c>
      <c r="G27" s="760" t="s">
        <v>1765</v>
      </c>
      <c r="H27" s="761">
        <v>795.77</v>
      </c>
      <c r="I27" s="750"/>
    </row>
    <row r="28" spans="1:9" s="282" customFormat="1" x14ac:dyDescent="0.2">
      <c r="A28" s="747">
        <v>46266</v>
      </c>
      <c r="B28" s="751" t="s">
        <v>2202</v>
      </c>
      <c r="C28" s="748" t="s">
        <v>2201</v>
      </c>
      <c r="D28" s="751" t="s">
        <v>2200</v>
      </c>
      <c r="E28" s="749" t="s">
        <v>2154</v>
      </c>
      <c r="F28" s="759" t="s">
        <v>2106</v>
      </c>
      <c r="G28" s="760" t="s">
        <v>1765</v>
      </c>
      <c r="H28" s="761">
        <v>411.76</v>
      </c>
      <c r="I28" s="750"/>
    </row>
    <row r="29" spans="1:9" s="282" customFormat="1" x14ac:dyDescent="0.2">
      <c r="A29" s="766"/>
      <c r="B29" s="767"/>
      <c r="C29" s="766"/>
      <c r="D29" s="767"/>
      <c r="E29" s="766"/>
      <c r="F29" s="737" t="s">
        <v>2087</v>
      </c>
      <c r="G29" s="737"/>
      <c r="H29" s="768">
        <f>SMALL(H27:H28,1)</f>
        <v>411.76</v>
      </c>
      <c r="I29" s="737"/>
    </row>
    <row r="31" spans="1:9" s="282" customFormat="1" ht="24" customHeight="1" x14ac:dyDescent="0.2">
      <c r="A31" s="752" t="s">
        <v>2092</v>
      </c>
      <c r="B31" s="922" t="s">
        <v>2229</v>
      </c>
      <c r="C31" s="922"/>
      <c r="D31" s="922"/>
      <c r="E31" s="922"/>
      <c r="F31" s="922"/>
      <c r="G31" s="753"/>
      <c r="H31" s="752" t="s">
        <v>1765</v>
      </c>
      <c r="I31" s="752" t="s">
        <v>2161</v>
      </c>
    </row>
    <row r="32" spans="1:9" s="282" customFormat="1" ht="24.75" customHeight="1" x14ac:dyDescent="0.2">
      <c r="A32" s="754" t="s">
        <v>2121</v>
      </c>
      <c r="B32" s="755" t="s">
        <v>1688</v>
      </c>
      <c r="C32" s="755" t="s">
        <v>2146</v>
      </c>
      <c r="D32" s="755" t="s">
        <v>2147</v>
      </c>
      <c r="E32" s="754" t="s">
        <v>2122</v>
      </c>
      <c r="F32" s="756" t="s">
        <v>1335</v>
      </c>
      <c r="G32" s="755" t="s">
        <v>1661</v>
      </c>
      <c r="H32" s="757" t="s">
        <v>2159</v>
      </c>
      <c r="I32" s="758"/>
    </row>
    <row r="33" spans="1:9" s="282" customFormat="1" x14ac:dyDescent="0.2">
      <c r="A33" s="747">
        <v>46266</v>
      </c>
      <c r="B33" s="751" t="s">
        <v>2185</v>
      </c>
      <c r="C33" s="751" t="s">
        <v>2184</v>
      </c>
      <c r="D33" s="751" t="s">
        <v>2183</v>
      </c>
      <c r="E33" s="749" t="s">
        <v>2155</v>
      </c>
      <c r="F33" s="759" t="s">
        <v>2186</v>
      </c>
      <c r="G33" s="760" t="s">
        <v>1765</v>
      </c>
      <c r="H33" s="761">
        <v>0.39</v>
      </c>
      <c r="I33" s="750"/>
    </row>
    <row r="34" spans="1:9" s="282" customFormat="1" x14ac:dyDescent="0.2">
      <c r="A34" s="747">
        <v>46266</v>
      </c>
      <c r="B34" s="751" t="s">
        <v>2189</v>
      </c>
      <c r="C34" s="751" t="s">
        <v>2191</v>
      </c>
      <c r="D34" s="751" t="s">
        <v>2190</v>
      </c>
      <c r="E34" s="749" t="s">
        <v>2188</v>
      </c>
      <c r="F34" s="759" t="s">
        <v>2187</v>
      </c>
      <c r="G34" s="760" t="s">
        <v>1765</v>
      </c>
      <c r="H34" s="761">
        <v>0.46</v>
      </c>
      <c r="I34" s="750"/>
    </row>
    <row r="35" spans="1:9" s="282" customFormat="1" ht="27" customHeight="1" x14ac:dyDescent="0.2">
      <c r="A35" s="747">
        <v>46266</v>
      </c>
      <c r="B35" s="751" t="s">
        <v>2192</v>
      </c>
      <c r="C35" s="748" t="s">
        <v>2196</v>
      </c>
      <c r="D35" s="751" t="s">
        <v>2195</v>
      </c>
      <c r="E35" s="749" t="s">
        <v>2193</v>
      </c>
      <c r="F35" s="759" t="s">
        <v>2194</v>
      </c>
      <c r="G35" s="760" t="s">
        <v>1765</v>
      </c>
      <c r="H35" s="761">
        <v>0.22</v>
      </c>
      <c r="I35" s="750"/>
    </row>
    <row r="36" spans="1:9" s="282" customFormat="1" x14ac:dyDescent="0.2">
      <c r="A36" s="766"/>
      <c r="B36" s="767"/>
      <c r="C36" s="766"/>
      <c r="D36" s="767"/>
      <c r="E36" s="766"/>
      <c r="F36" s="737" t="s">
        <v>2087</v>
      </c>
      <c r="G36" s="737"/>
      <c r="H36" s="768">
        <f>TRUNC(AVERAGE(H33:H35),2)</f>
        <v>0.35</v>
      </c>
      <c r="I36" s="737"/>
    </row>
    <row r="38" spans="1:9" s="282" customFormat="1" ht="24" customHeight="1" x14ac:dyDescent="0.2">
      <c r="A38" s="752" t="s">
        <v>2097</v>
      </c>
      <c r="B38" s="922" t="s">
        <v>2228</v>
      </c>
      <c r="C38" s="922"/>
      <c r="D38" s="922"/>
      <c r="E38" s="922"/>
      <c r="F38" s="922"/>
      <c r="G38" s="753"/>
      <c r="H38" s="752" t="s">
        <v>1765</v>
      </c>
      <c r="I38" s="752" t="s">
        <v>2161</v>
      </c>
    </row>
    <row r="39" spans="1:9" s="282" customFormat="1" ht="24.75" customHeight="1" x14ac:dyDescent="0.2">
      <c r="A39" s="754" t="s">
        <v>2121</v>
      </c>
      <c r="B39" s="755" t="s">
        <v>1688</v>
      </c>
      <c r="C39" s="755" t="s">
        <v>2146</v>
      </c>
      <c r="D39" s="755" t="s">
        <v>2147</v>
      </c>
      <c r="E39" s="754" t="s">
        <v>2122</v>
      </c>
      <c r="F39" s="756" t="s">
        <v>1335</v>
      </c>
      <c r="G39" s="755" t="s">
        <v>1661</v>
      </c>
      <c r="H39" s="757" t="s">
        <v>2159</v>
      </c>
      <c r="I39" s="758"/>
    </row>
    <row r="40" spans="1:9" s="282" customFormat="1" x14ac:dyDescent="0.2">
      <c r="A40" s="747">
        <v>46266</v>
      </c>
      <c r="B40" s="751" t="s">
        <v>2086</v>
      </c>
      <c r="C40" s="751" t="s">
        <v>2223</v>
      </c>
      <c r="D40" s="751" t="s">
        <v>2224</v>
      </c>
      <c r="E40" s="749" t="s">
        <v>2156</v>
      </c>
      <c r="F40" s="759" t="s">
        <v>2136</v>
      </c>
      <c r="G40" s="760" t="s">
        <v>1765</v>
      </c>
      <c r="H40" s="761">
        <v>110.1</v>
      </c>
      <c r="I40" s="750"/>
    </row>
    <row r="41" spans="1:9" s="282" customFormat="1" ht="51" x14ac:dyDescent="0.2">
      <c r="A41" s="747">
        <v>46247</v>
      </c>
      <c r="B41" s="751" t="s">
        <v>2211</v>
      </c>
      <c r="C41" s="751" t="s">
        <v>2212</v>
      </c>
      <c r="D41" s="751" t="s">
        <v>2210</v>
      </c>
      <c r="E41" s="780" t="s">
        <v>2248</v>
      </c>
      <c r="F41" s="759" t="s">
        <v>2209</v>
      </c>
      <c r="G41" s="760" t="s">
        <v>1765</v>
      </c>
      <c r="H41" s="761">
        <v>144.69999999999999</v>
      </c>
      <c r="I41" s="750"/>
    </row>
    <row r="42" spans="1:9" s="282" customFormat="1" ht="27" customHeight="1" x14ac:dyDescent="0.2">
      <c r="A42" s="747">
        <v>46266</v>
      </c>
      <c r="B42" s="751" t="s">
        <v>2220</v>
      </c>
      <c r="C42" s="751" t="s">
        <v>2221</v>
      </c>
      <c r="D42" s="751" t="s">
        <v>2222</v>
      </c>
      <c r="E42" s="749" t="s">
        <v>2157</v>
      </c>
      <c r="F42" s="759" t="s">
        <v>2137</v>
      </c>
      <c r="G42" s="760" t="s">
        <v>1765</v>
      </c>
      <c r="H42" s="761">
        <v>279.76</v>
      </c>
      <c r="I42" s="750"/>
    </row>
    <row r="43" spans="1:9" s="282" customFormat="1" ht="25.5" x14ac:dyDescent="0.2">
      <c r="A43" s="747">
        <v>46266</v>
      </c>
      <c r="B43" s="751" t="s">
        <v>2219</v>
      </c>
      <c r="C43" s="751" t="s">
        <v>2217</v>
      </c>
      <c r="D43" s="751" t="s">
        <v>2218</v>
      </c>
      <c r="E43" s="749" t="s">
        <v>2158</v>
      </c>
      <c r="F43" s="759" t="s">
        <v>2138</v>
      </c>
      <c r="G43" s="760" t="s">
        <v>1765</v>
      </c>
      <c r="H43" s="761">
        <v>209.95</v>
      </c>
      <c r="I43" s="750"/>
    </row>
    <row r="44" spans="1:9" s="282" customFormat="1" ht="51" x14ac:dyDescent="0.2">
      <c r="A44" s="747">
        <v>46246</v>
      </c>
      <c r="B44" s="751" t="s">
        <v>2214</v>
      </c>
      <c r="C44" s="751" t="s">
        <v>2215</v>
      </c>
      <c r="D44" s="751" t="s">
        <v>2213</v>
      </c>
      <c r="E44" s="780" t="s">
        <v>2249</v>
      </c>
      <c r="F44" s="759" t="s">
        <v>2216</v>
      </c>
      <c r="G44" s="760" t="s">
        <v>1765</v>
      </c>
      <c r="H44" s="761">
        <v>145</v>
      </c>
      <c r="I44" s="750"/>
    </row>
    <row r="45" spans="1:9" s="282" customFormat="1" x14ac:dyDescent="0.2">
      <c r="A45" s="766"/>
      <c r="B45" s="767"/>
      <c r="C45" s="766"/>
      <c r="D45" s="767"/>
      <c r="E45" s="766"/>
      <c r="F45" s="737" t="s">
        <v>2087</v>
      </c>
      <c r="G45" s="737"/>
      <c r="H45" s="768">
        <f>TRUNC(AVERAGE(H40:H44),2)</f>
        <v>177.9</v>
      </c>
      <c r="I45" s="737"/>
    </row>
  </sheetData>
  <mergeCells count="9">
    <mergeCell ref="B38:F38"/>
    <mergeCell ref="B18:F18"/>
    <mergeCell ref="A1:I1"/>
    <mergeCell ref="A2:I2"/>
    <mergeCell ref="B4:F4"/>
    <mergeCell ref="B6:F6"/>
    <mergeCell ref="B12:F12"/>
    <mergeCell ref="B25:F25"/>
    <mergeCell ref="B31:F31"/>
  </mergeCells>
  <hyperlinks>
    <hyperlink ref="E27" r:id="rId1" display="https://www.exatron.com.br/produtos/chave-comando-de-grupo-2-x-60-com-disjuntor/?srsltid=AfmBOoqvkXEs0e84V7U5AAWACbaMNNGUcqrAhNEOHC8M3Tb-zKbAsSiA" xr:uid="{9F2663BB-0D1D-4F0B-B419-B98538AA0A83}"/>
    <hyperlink ref="E33" r:id="rId2" display="https://www.eletrodex.net/acessorios/cabos-e-fios/conectores/conector-de-torcao-linha-beta?srsltid=AfmBOooPdLJlUilReVu8Fkx6YhFr01FIrv28WrCJwO-VLLdykb8FIhKo" xr:uid="{A3CAF77B-A18A-4921-9E87-364CE555D69C}"/>
    <hyperlink ref="E34" r:id="rId3" display="https://www.eletrorastro.com.br/produto/conector-torcao-2x1-0mm-com-50-unidades-cinza-decorlux-89403?utm_source=google&amp;utm_medium=cpc" xr:uid="{BA113A1F-F4C8-4D54-93C9-1197E808C6F7}"/>
    <hyperlink ref="E35" r:id="rId4" display="https://www.ferramentaskennedy.com.br/conector-torcao-azul-10mm-c50359369/p?adset_id=&amp;device=c&amp;gad_campaignid=17498598395&amp;gad_source=4&amp;gbraid=0AAAAADyLiV84JbVMOEmFeIH1rPGuNX9sr&amp;gclid=Cj0KCQjwkOvTBhDgARIsAKUNyRvz_QbOxlkKVAN249tnv3KMFU5MKsbZDrUPR-ddYKGvzNCuU0LKALgaAke6EALw_wcB&amp;kwd=&amp;matchtype=&amp;utm_campaign=17487853896&amp;utm_medium=cpc&amp;utm_source=google" xr:uid="{96F6B10B-39C1-4A8F-A727-D2CE426B0A28}"/>
    <hyperlink ref="E40" r:id="rId5" display="https://www.lojaeletrica.com.br/braco-galvanizado-a-fogo-2-metros-48mm-curva-b5-olivo.html" xr:uid="{3AFD76E6-086F-48F9-B10C-FDE083BCDDB0}"/>
    <hyperlink ref="E42" r:id="rId6" display="https://www.plenobras.com.br/646a5ab6d496504d21df8cbf/braco-galvanizado-a-fogo-curvo-2%22x2000-mm?srsltid=AfmBOoqVNtphLqWTTJw1YQ2VG0ehOEeDg3yoewb-JsCYKdFXvJ6GpslnT4Q" xr:uid="{B9D564EC-56DD-49D2-8FF0-76CF55670CE0}"/>
    <hyperlink ref="E21" r:id="rId7" display="https://www.alvesemachado.com.br/conectores/conector-perfurante-10-70-mm-principal-1-5-10-mm-derivacao" xr:uid="{2880F5E2-D21C-40D5-B676-A65B70F239A6}"/>
    <hyperlink ref="E22" r:id="rId8" display="https://www.sulcell.com.br/eletrica/emenda/conector-perfurante-p-derivacao-10-70mm-1-5-10mm-cpp000-mci" xr:uid="{B71F8FFE-A6CB-4B30-A245-B17DB7CE9EC3}"/>
    <hyperlink ref="E43" r:id="rId9" display="https://www.sveletrica.com/braco-para-luminaria-diametro-38mm-x-2-metros-com-luva-48mm-00a0001yj5/p?idsku=5301&amp;srsltid=AfmBOoqo2EAo0M0FRrKAujFJkP-FLGMbrHUar7TyRjrVrgZ5dZb4cxRItVk" xr:uid="{93C8BF33-9BE6-475A-8418-A3C194DF9FD2}"/>
  </hyperlinks>
  <pageMargins left="0.511811024" right="0.511811024" top="0.78740157499999996" bottom="0.78740157499999996" header="0.31496062000000002" footer="0.31496062000000002"/>
  <pageSetup paperSize="9" scale="35" orientation="portrait" r:id="rId1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25F045-D170-44BC-B553-D48775F0CE02}">
  <sheetPr>
    <pageSetUpPr fitToPage="1"/>
  </sheetPr>
  <dimension ref="A1:G45"/>
  <sheetViews>
    <sheetView view="pageBreakPreview" zoomScale="115" zoomScaleNormal="115" zoomScaleSheetLayoutView="115" workbookViewId="0">
      <selection activeCell="I10" sqref="I10"/>
    </sheetView>
  </sheetViews>
  <sheetFormatPr defaultRowHeight="12.75" x14ac:dyDescent="0.2"/>
  <cols>
    <col min="1" max="1" width="22.28515625" customWidth="1"/>
    <col min="2" max="2" width="10.85546875" customWidth="1"/>
    <col min="3" max="4" width="10.140625" bestFit="1" customWidth="1"/>
    <col min="7" max="7" width="11.28515625" customWidth="1"/>
    <col min="11" max="11" width="12.42578125" customWidth="1"/>
  </cols>
  <sheetData>
    <row r="1" spans="1:7" ht="21.75" customHeight="1" x14ac:dyDescent="0.2">
      <c r="A1" s="931" t="s">
        <v>2238</v>
      </c>
      <c r="B1" s="931"/>
      <c r="C1" s="931"/>
      <c r="D1" s="931"/>
      <c r="E1" s="931"/>
      <c r="F1" s="931"/>
      <c r="G1" s="931"/>
    </row>
    <row r="3" spans="1:7" ht="34.5" customHeight="1" x14ac:dyDescent="0.2">
      <c r="A3" s="925" t="s">
        <v>2127</v>
      </c>
      <c r="B3" s="925"/>
      <c r="C3" s="925"/>
      <c r="D3" s="925"/>
      <c r="E3" s="925"/>
      <c r="F3" s="925"/>
      <c r="G3" s="925"/>
    </row>
    <row r="4" spans="1:7" ht="13.5" thickBot="1" x14ac:dyDescent="0.25"/>
    <row r="5" spans="1:7" x14ac:dyDescent="0.2">
      <c r="A5" s="932" t="s">
        <v>2117</v>
      </c>
      <c r="B5" s="933"/>
      <c r="C5" s="933"/>
      <c r="D5" s="933"/>
      <c r="E5" s="933"/>
      <c r="F5" s="933"/>
      <c r="G5" s="934"/>
    </row>
    <row r="6" spans="1:7" x14ac:dyDescent="0.2">
      <c r="A6" s="717" t="s">
        <v>2126</v>
      </c>
      <c r="B6" s="718" t="s">
        <v>2167</v>
      </c>
      <c r="C6" s="719"/>
      <c r="D6" s="719"/>
      <c r="E6" s="719"/>
      <c r="F6" s="719"/>
      <c r="G6" s="720"/>
    </row>
    <row r="7" spans="1:7" x14ac:dyDescent="0.2">
      <c r="A7" s="717" t="s">
        <v>2162</v>
      </c>
      <c r="B7" s="718" t="s">
        <v>2166</v>
      </c>
      <c r="C7" s="719"/>
      <c r="D7" s="719"/>
      <c r="E7" s="719"/>
      <c r="F7" s="719"/>
      <c r="G7" s="720"/>
    </row>
    <row r="8" spans="1:7" x14ac:dyDescent="0.2">
      <c r="A8" s="717" t="s">
        <v>2239</v>
      </c>
      <c r="B8" s="777" t="s">
        <v>2241</v>
      </c>
      <c r="C8" s="719"/>
      <c r="D8" s="719"/>
      <c r="E8" s="719"/>
      <c r="F8" s="719"/>
      <c r="G8" s="720"/>
    </row>
    <row r="9" spans="1:7" x14ac:dyDescent="0.2">
      <c r="A9" s="717" t="s">
        <v>2112</v>
      </c>
      <c r="B9" s="721">
        <v>46169</v>
      </c>
      <c r="C9" s="719"/>
      <c r="D9" s="719"/>
      <c r="E9" s="719"/>
      <c r="F9" s="719"/>
      <c r="G9" s="720"/>
    </row>
    <row r="10" spans="1:7" x14ac:dyDescent="0.2">
      <c r="A10" s="717" t="s">
        <v>2113</v>
      </c>
      <c r="B10" s="724" t="s">
        <v>2115</v>
      </c>
      <c r="C10" s="719"/>
      <c r="D10" s="719"/>
      <c r="E10" s="719"/>
      <c r="F10" s="719"/>
      <c r="G10" s="720"/>
    </row>
    <row r="11" spans="1:7" x14ac:dyDescent="0.2">
      <c r="A11" s="717" t="s">
        <v>2108</v>
      </c>
      <c r="B11" s="718" t="s">
        <v>2005</v>
      </c>
      <c r="C11" s="719"/>
      <c r="D11" s="719"/>
      <c r="E11" s="719"/>
      <c r="F11" s="719"/>
      <c r="G11" s="720"/>
    </row>
    <row r="12" spans="1:7" ht="42" customHeight="1" thickBot="1" x14ac:dyDescent="0.25">
      <c r="A12" s="716" t="s">
        <v>2109</v>
      </c>
      <c r="B12" s="929" t="s">
        <v>2116</v>
      </c>
      <c r="C12" s="929"/>
      <c r="D12" s="929"/>
      <c r="E12" s="929"/>
      <c r="F12" s="929"/>
      <c r="G12" s="930"/>
    </row>
    <row r="13" spans="1:7" ht="13.5" thickBot="1" x14ac:dyDescent="0.25"/>
    <row r="14" spans="1:7" x14ac:dyDescent="0.2">
      <c r="A14" s="932" t="s">
        <v>2118</v>
      </c>
      <c r="B14" s="933"/>
      <c r="C14" s="933"/>
      <c r="D14" s="933"/>
      <c r="E14" s="933"/>
      <c r="F14" s="933"/>
      <c r="G14" s="934"/>
    </row>
    <row r="15" spans="1:7" x14ac:dyDescent="0.2">
      <c r="A15" s="717" t="s">
        <v>2126</v>
      </c>
      <c r="B15" s="718" t="s">
        <v>2119</v>
      </c>
      <c r="C15" s="719"/>
      <c r="D15" s="719"/>
      <c r="E15" s="719"/>
      <c r="F15" s="719"/>
      <c r="G15" s="720"/>
    </row>
    <row r="16" spans="1:7" x14ac:dyDescent="0.2">
      <c r="A16" s="717" t="s">
        <v>2162</v>
      </c>
      <c r="B16" s="718" t="s">
        <v>2163</v>
      </c>
      <c r="C16" s="719"/>
      <c r="D16" s="719"/>
      <c r="E16" s="719"/>
      <c r="F16" s="719"/>
      <c r="G16" s="720"/>
    </row>
    <row r="17" spans="1:7" x14ac:dyDescent="0.2">
      <c r="A17" s="717" t="s">
        <v>2239</v>
      </c>
      <c r="B17" s="776" t="s">
        <v>2240</v>
      </c>
      <c r="C17" s="719"/>
      <c r="D17" s="719"/>
      <c r="E17" s="719"/>
      <c r="F17" s="719"/>
      <c r="G17" s="720"/>
    </row>
    <row r="18" spans="1:7" x14ac:dyDescent="0.2">
      <c r="A18" s="717" t="s">
        <v>2112</v>
      </c>
      <c r="B18" s="721">
        <v>46176</v>
      </c>
      <c r="C18" s="719"/>
      <c r="D18" s="719"/>
      <c r="E18" s="719"/>
      <c r="F18" s="719"/>
      <c r="G18" s="720"/>
    </row>
    <row r="19" spans="1:7" x14ac:dyDescent="0.2">
      <c r="A19" s="717" t="s">
        <v>2113</v>
      </c>
      <c r="B19" s="722" t="s">
        <v>2114</v>
      </c>
      <c r="C19" s="719"/>
      <c r="D19" s="719"/>
      <c r="E19" s="719"/>
      <c r="F19" s="719"/>
      <c r="G19" s="720"/>
    </row>
    <row r="20" spans="1:7" x14ac:dyDescent="0.2">
      <c r="A20" s="717" t="s">
        <v>2108</v>
      </c>
      <c r="B20" s="723" t="s">
        <v>2120</v>
      </c>
      <c r="C20" s="719"/>
      <c r="D20" s="719"/>
      <c r="E20" s="719"/>
      <c r="F20" s="719"/>
      <c r="G20" s="720"/>
    </row>
    <row r="21" spans="1:7" ht="13.5" customHeight="1" x14ac:dyDescent="0.2">
      <c r="A21" s="926" t="s">
        <v>2109</v>
      </c>
      <c r="B21" s="58" t="s">
        <v>2129</v>
      </c>
      <c r="G21" s="712"/>
    </row>
    <row r="22" spans="1:7" x14ac:dyDescent="0.2">
      <c r="A22" s="927"/>
      <c r="B22" s="58" t="s">
        <v>2130</v>
      </c>
      <c r="G22" s="712"/>
    </row>
    <row r="23" spans="1:7" ht="13.5" thickBot="1" x14ac:dyDescent="0.25">
      <c r="A23" s="928"/>
      <c r="B23" s="713" t="s">
        <v>2128</v>
      </c>
      <c r="C23" s="714"/>
      <c r="D23" s="714"/>
      <c r="E23" s="714"/>
      <c r="F23" s="714"/>
      <c r="G23" s="715"/>
    </row>
    <row r="24" spans="1:7" ht="13.5" thickBot="1" x14ac:dyDescent="0.25"/>
    <row r="25" spans="1:7" x14ac:dyDescent="0.2">
      <c r="A25" s="932" t="s">
        <v>2170</v>
      </c>
      <c r="B25" s="933"/>
      <c r="C25" s="933"/>
      <c r="D25" s="933"/>
      <c r="E25" s="933"/>
      <c r="F25" s="933"/>
      <c r="G25" s="934"/>
    </row>
    <row r="26" spans="1:7" x14ac:dyDescent="0.2">
      <c r="A26" s="717" t="s">
        <v>2126</v>
      </c>
      <c r="B26" s="718" t="s">
        <v>2107</v>
      </c>
      <c r="C26" s="719"/>
      <c r="D26" s="719"/>
      <c r="E26" s="719"/>
      <c r="F26" s="719"/>
      <c r="G26" s="720"/>
    </row>
    <row r="27" spans="1:7" x14ac:dyDescent="0.2">
      <c r="A27" s="717" t="s">
        <v>2162</v>
      </c>
      <c r="B27" s="718" t="s">
        <v>2164</v>
      </c>
      <c r="C27" s="719"/>
      <c r="D27" s="719"/>
      <c r="E27" s="719"/>
      <c r="F27" s="719"/>
      <c r="G27" s="720"/>
    </row>
    <row r="28" spans="1:7" x14ac:dyDescent="0.2">
      <c r="A28" s="717" t="s">
        <v>2239</v>
      </c>
      <c r="B28" s="776" t="s">
        <v>2242</v>
      </c>
      <c r="C28" s="719"/>
      <c r="D28" s="719"/>
      <c r="E28" s="719"/>
      <c r="F28" s="719"/>
      <c r="G28" s="720"/>
    </row>
    <row r="29" spans="1:7" x14ac:dyDescent="0.2">
      <c r="A29" s="717" t="s">
        <v>2112</v>
      </c>
      <c r="B29" s="721">
        <v>46181</v>
      </c>
      <c r="C29" s="719"/>
      <c r="D29" s="719"/>
      <c r="E29" s="719"/>
      <c r="F29" s="719"/>
      <c r="G29" s="720"/>
    </row>
    <row r="30" spans="1:7" x14ac:dyDescent="0.2">
      <c r="A30" s="717" t="s">
        <v>2113</v>
      </c>
      <c r="B30" s="722" t="s">
        <v>2114</v>
      </c>
      <c r="C30" s="719"/>
      <c r="D30" s="719"/>
      <c r="E30" s="719"/>
      <c r="F30" s="719"/>
      <c r="G30" s="720"/>
    </row>
    <row r="31" spans="1:7" x14ac:dyDescent="0.2">
      <c r="A31" s="717" t="s">
        <v>2108</v>
      </c>
      <c r="B31" s="725" t="s">
        <v>2111</v>
      </c>
      <c r="C31" s="719"/>
      <c r="D31" s="719"/>
      <c r="E31" s="719"/>
      <c r="F31" s="719"/>
      <c r="G31" s="720"/>
    </row>
    <row r="32" spans="1:7" ht="34.5" customHeight="1" thickBot="1" x14ac:dyDescent="0.25">
      <c r="A32" s="716" t="s">
        <v>2109</v>
      </c>
      <c r="B32" s="929" t="s">
        <v>2110</v>
      </c>
      <c r="C32" s="929"/>
      <c r="D32" s="929"/>
      <c r="E32" s="929"/>
      <c r="F32" s="929"/>
      <c r="G32" s="930"/>
    </row>
    <row r="33" spans="1:7" ht="13.5" thickBot="1" x14ac:dyDescent="0.25"/>
    <row r="34" spans="1:7" x14ac:dyDescent="0.2">
      <c r="A34" s="932" t="s">
        <v>2169</v>
      </c>
      <c r="B34" s="933"/>
      <c r="C34" s="933"/>
      <c r="D34" s="933"/>
      <c r="E34" s="933"/>
      <c r="F34" s="933"/>
      <c r="G34" s="934"/>
    </row>
    <row r="35" spans="1:7" x14ac:dyDescent="0.2">
      <c r="A35" s="717" t="s">
        <v>2126</v>
      </c>
      <c r="B35" s="718" t="s">
        <v>2125</v>
      </c>
      <c r="C35" s="719"/>
      <c r="D35" s="719"/>
      <c r="E35" s="719"/>
      <c r="F35" s="719"/>
      <c r="G35" s="720"/>
    </row>
    <row r="36" spans="1:7" x14ac:dyDescent="0.2">
      <c r="A36" s="717" t="s">
        <v>2162</v>
      </c>
      <c r="B36" s="718" t="s">
        <v>2165</v>
      </c>
      <c r="C36" s="719"/>
      <c r="D36" s="719"/>
      <c r="E36" s="719"/>
      <c r="F36" s="719"/>
      <c r="G36" s="720"/>
    </row>
    <row r="37" spans="1:7" x14ac:dyDescent="0.2">
      <c r="A37" s="717" t="s">
        <v>2244</v>
      </c>
      <c r="B37" s="778" t="s">
        <v>2243</v>
      </c>
      <c r="C37" s="719"/>
      <c r="D37" s="719"/>
      <c r="E37" s="719"/>
      <c r="F37" s="719"/>
      <c r="G37" s="720"/>
    </row>
    <row r="38" spans="1:7" x14ac:dyDescent="0.2">
      <c r="A38" s="717" t="s">
        <v>2112</v>
      </c>
      <c r="B38" s="721">
        <v>46226</v>
      </c>
      <c r="C38" s="719"/>
      <c r="D38" s="719"/>
      <c r="E38" s="719"/>
      <c r="F38" s="719"/>
      <c r="G38" s="720"/>
    </row>
    <row r="39" spans="1:7" x14ac:dyDescent="0.2">
      <c r="A39" s="717" t="s">
        <v>2113</v>
      </c>
      <c r="B39" s="722" t="s">
        <v>2114</v>
      </c>
      <c r="C39" s="719"/>
      <c r="D39" s="719"/>
      <c r="E39" s="719"/>
      <c r="F39" s="719"/>
      <c r="G39" s="720"/>
    </row>
    <row r="40" spans="1:7" x14ac:dyDescent="0.2">
      <c r="A40" s="717" t="s">
        <v>2108</v>
      </c>
      <c r="B40" s="723" t="s">
        <v>2120</v>
      </c>
      <c r="C40" s="719"/>
      <c r="D40" s="719"/>
      <c r="E40" s="719"/>
      <c r="F40" s="719"/>
      <c r="G40" s="720"/>
    </row>
    <row r="41" spans="1:7" x14ac:dyDescent="0.2">
      <c r="A41" s="926" t="s">
        <v>2109</v>
      </c>
      <c r="B41" s="58" t="s">
        <v>2131</v>
      </c>
      <c r="G41" s="712"/>
    </row>
    <row r="42" spans="1:7" x14ac:dyDescent="0.2">
      <c r="A42" s="927"/>
      <c r="B42" s="58" t="s">
        <v>2132</v>
      </c>
      <c r="G42" s="712"/>
    </row>
    <row r="43" spans="1:7" ht="13.5" thickBot="1" x14ac:dyDescent="0.25">
      <c r="A43" s="928"/>
      <c r="B43" s="713" t="s">
        <v>2128</v>
      </c>
      <c r="C43" s="714"/>
      <c r="D43" s="714"/>
      <c r="E43" s="714"/>
      <c r="F43" s="714"/>
      <c r="G43" s="715"/>
    </row>
    <row r="45" spans="1:7" x14ac:dyDescent="0.2">
      <c r="A45" s="925"/>
      <c r="B45" s="925"/>
      <c r="C45" s="925"/>
      <c r="D45" s="925"/>
      <c r="E45" s="925"/>
      <c r="F45" s="925"/>
      <c r="G45" s="925"/>
    </row>
  </sheetData>
  <mergeCells count="11">
    <mergeCell ref="A1:G1"/>
    <mergeCell ref="A34:G34"/>
    <mergeCell ref="A25:G25"/>
    <mergeCell ref="A14:G14"/>
    <mergeCell ref="A5:G5"/>
    <mergeCell ref="A45:G45"/>
    <mergeCell ref="A41:A43"/>
    <mergeCell ref="A3:G3"/>
    <mergeCell ref="B12:G12"/>
    <mergeCell ref="A21:A23"/>
    <mergeCell ref="B32:G32"/>
  </mergeCells>
  <hyperlinks>
    <hyperlink ref="B17" r:id="rId1" xr:uid="{5F5BB898-025A-4BFB-917E-7A84F191F4CB}"/>
    <hyperlink ref="B8" r:id="rId2" xr:uid="{985768AB-49CB-4AB1-9825-DE60CF1F1B05}"/>
    <hyperlink ref="B28" r:id="rId3" xr:uid="{4B661E1C-35EC-4F90-8A19-D4F3DE09C4A4}"/>
  </hyperlinks>
  <printOptions horizontalCentered="1"/>
  <pageMargins left="0.25" right="0.25" top="0.75" bottom="0.75" header="0.3" footer="0.3"/>
  <pageSetup paperSize="9" fitToHeight="0" orientation="portrait" r:id="rId4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5BB428-6872-4462-89BD-977A8217218B}">
  <sheetPr>
    <tabColor rgb="FFC00000"/>
    <pageSetUpPr fitToPage="1"/>
  </sheetPr>
  <dimension ref="A1:O24"/>
  <sheetViews>
    <sheetView view="pageBreakPreview" zoomScale="85" zoomScaleNormal="100" zoomScaleSheetLayoutView="85" workbookViewId="0">
      <selection activeCell="E7" sqref="E7"/>
    </sheetView>
  </sheetViews>
  <sheetFormatPr defaultRowHeight="12.75" x14ac:dyDescent="0.2"/>
  <cols>
    <col min="1" max="1" width="11.7109375" bestFit="1" customWidth="1"/>
    <col min="2" max="2" width="30.42578125" customWidth="1"/>
    <col min="3" max="3" width="33.140625" customWidth="1"/>
    <col min="4" max="4" width="8.5703125" bestFit="1" customWidth="1"/>
    <col min="11" max="11" width="10.85546875" bestFit="1" customWidth="1"/>
    <col min="12" max="12" width="10.5703125" bestFit="1" customWidth="1"/>
    <col min="13" max="13" width="12.5703125" bestFit="1" customWidth="1"/>
    <col min="14" max="14" width="12.28515625" bestFit="1" customWidth="1"/>
    <col min="15" max="15" width="31.7109375" customWidth="1"/>
  </cols>
  <sheetData>
    <row r="1" spans="1:15" ht="15.75" x14ac:dyDescent="0.2">
      <c r="A1" s="931" t="s">
        <v>1918</v>
      </c>
      <c r="B1" s="931"/>
      <c r="C1" s="931"/>
      <c r="D1" s="931"/>
      <c r="E1" s="931"/>
      <c r="F1" s="931"/>
      <c r="G1" s="931"/>
      <c r="H1" s="931"/>
      <c r="I1" s="931"/>
      <c r="J1" s="931"/>
      <c r="K1" s="931"/>
      <c r="L1" s="931"/>
      <c r="M1" s="931"/>
      <c r="N1" s="931"/>
      <c r="O1" s="931"/>
    </row>
    <row r="2" spans="1:15" x14ac:dyDescent="0.2">
      <c r="A2" s="318"/>
      <c r="B2" s="350"/>
      <c r="C2" s="350"/>
      <c r="D2" s="350"/>
      <c r="E2" s="350"/>
      <c r="F2" s="350"/>
      <c r="G2" s="350"/>
      <c r="H2" s="350"/>
      <c r="I2" s="350" t="s">
        <v>2004</v>
      </c>
      <c r="J2" s="350"/>
      <c r="K2" s="350"/>
      <c r="L2" s="350"/>
      <c r="M2" s="350"/>
      <c r="N2" s="350"/>
      <c r="O2" s="318"/>
    </row>
    <row r="3" spans="1:15" ht="15" x14ac:dyDescent="0.2">
      <c r="A3" s="351" t="s">
        <v>1904</v>
      </c>
      <c r="B3" s="352" t="s">
        <v>1905</v>
      </c>
      <c r="C3" s="352" t="s">
        <v>1906</v>
      </c>
      <c r="D3" s="352" t="s">
        <v>2029</v>
      </c>
      <c r="E3" s="352" t="s">
        <v>1907</v>
      </c>
      <c r="F3" s="352" t="s">
        <v>1908</v>
      </c>
      <c r="G3" s="352" t="s">
        <v>1909</v>
      </c>
      <c r="H3" s="352" t="s">
        <v>1910</v>
      </c>
      <c r="I3" s="352" t="s">
        <v>1911</v>
      </c>
      <c r="J3" s="352" t="s">
        <v>1912</v>
      </c>
      <c r="K3" s="352" t="s">
        <v>1913</v>
      </c>
      <c r="L3" s="352" t="s">
        <v>1989</v>
      </c>
      <c r="M3" s="352" t="s">
        <v>1914</v>
      </c>
      <c r="N3" s="352" t="s">
        <v>1990</v>
      </c>
      <c r="O3" s="352" t="s">
        <v>1915</v>
      </c>
    </row>
    <row r="4" spans="1:15" ht="25.5" x14ac:dyDescent="0.2">
      <c r="A4" s="355" t="s">
        <v>34</v>
      </c>
      <c r="B4" s="357" t="s">
        <v>1916</v>
      </c>
      <c r="C4" s="357" t="s">
        <v>1917</v>
      </c>
      <c r="D4" s="357" t="s">
        <v>1988</v>
      </c>
      <c r="E4" s="357" t="s">
        <v>1519</v>
      </c>
      <c r="F4" s="357" t="s">
        <v>1767</v>
      </c>
      <c r="G4" s="358">
        <v>30</v>
      </c>
      <c r="H4" s="358">
        <v>2</v>
      </c>
      <c r="I4" s="358">
        <v>1</v>
      </c>
      <c r="J4" s="355">
        <v>30</v>
      </c>
      <c r="K4" s="360">
        <v>493.37990000000002</v>
      </c>
      <c r="L4" s="360">
        <v>491.04379999999998</v>
      </c>
      <c r="M4" s="360">
        <f>+((G4*H4*I4)/J4)*K4</f>
        <v>986.75980000000004</v>
      </c>
      <c r="N4" s="360">
        <f>+((G4*H4*I4)/J4)*L4</f>
        <v>982.08759999999995</v>
      </c>
      <c r="O4" s="359" t="s">
        <v>1991</v>
      </c>
    </row>
    <row r="5" spans="1:15" ht="25.5" x14ac:dyDescent="0.2">
      <c r="A5" s="355" t="s">
        <v>35</v>
      </c>
      <c r="B5" s="356" t="s">
        <v>1916</v>
      </c>
      <c r="C5" s="356" t="s">
        <v>1917</v>
      </c>
      <c r="D5" s="357" t="s">
        <v>1988</v>
      </c>
      <c r="E5" s="356" t="s">
        <v>1519</v>
      </c>
      <c r="F5" s="356" t="s">
        <v>1767</v>
      </c>
      <c r="G5" s="355">
        <v>30</v>
      </c>
      <c r="H5" s="355">
        <v>2</v>
      </c>
      <c r="I5" s="355">
        <v>1</v>
      </c>
      <c r="J5" s="355">
        <v>30</v>
      </c>
      <c r="K5" s="360">
        <v>493.37990000000002</v>
      </c>
      <c r="L5" s="360">
        <v>491.04379999999998</v>
      </c>
      <c r="M5" s="360">
        <f>+((G5*H5*I5)/J5)*K5</f>
        <v>986.75980000000004</v>
      </c>
      <c r="N5" s="360">
        <f>+((G5*H5*I5)/J5)*L5</f>
        <v>982.08759999999995</v>
      </c>
      <c r="O5" s="359" t="s">
        <v>1987</v>
      </c>
    </row>
    <row r="6" spans="1:15" ht="25.5" x14ac:dyDescent="0.2">
      <c r="A6" s="348" t="s">
        <v>40</v>
      </c>
      <c r="B6" s="708" t="s">
        <v>1916</v>
      </c>
      <c r="C6" s="708" t="s">
        <v>1993</v>
      </c>
      <c r="D6" s="708" t="s">
        <v>1988</v>
      </c>
      <c r="E6" s="708" t="s">
        <v>1505</v>
      </c>
      <c r="F6" s="708" t="s">
        <v>1767</v>
      </c>
      <c r="G6" s="709">
        <v>30</v>
      </c>
      <c r="H6" s="709">
        <v>2</v>
      </c>
      <c r="I6" s="709">
        <v>1</v>
      </c>
      <c r="J6" s="709">
        <v>30</v>
      </c>
      <c r="K6" s="710">
        <v>548.86940000000004</v>
      </c>
      <c r="L6" s="710">
        <v>546.53330000000005</v>
      </c>
      <c r="M6" s="710">
        <f>+((G6*H6*I6)/J6)*K6</f>
        <v>1097.7388000000001</v>
      </c>
      <c r="N6" s="710">
        <f>+((G6*H6*I6)/J6)*L6</f>
        <v>1093.0666000000001</v>
      </c>
      <c r="O6" s="359" t="s">
        <v>1992</v>
      </c>
    </row>
    <row r="7" spans="1:15" ht="38.25" x14ac:dyDescent="0.2">
      <c r="A7" s="348" t="s">
        <v>41</v>
      </c>
      <c r="B7" s="357" t="s">
        <v>2016</v>
      </c>
      <c r="C7" s="357" t="s">
        <v>2015</v>
      </c>
      <c r="D7" s="357" t="s">
        <v>1988</v>
      </c>
      <c r="E7" s="357" t="s">
        <v>1417</v>
      </c>
      <c r="F7" s="357" t="s">
        <v>1767</v>
      </c>
      <c r="G7" s="358">
        <v>30</v>
      </c>
      <c r="H7" s="358">
        <v>2</v>
      </c>
      <c r="I7" s="358">
        <v>1</v>
      </c>
      <c r="J7" s="358">
        <v>30</v>
      </c>
      <c r="K7" s="360">
        <v>371.86110000000002</v>
      </c>
      <c r="L7" s="360">
        <v>369.52499999999998</v>
      </c>
      <c r="M7" s="360">
        <f>+((G7*H7*I7)/J7)*K7</f>
        <v>743.72220000000004</v>
      </c>
      <c r="N7" s="360">
        <f>+((G7*H7*I7)/J7)*L7</f>
        <v>739.05</v>
      </c>
      <c r="O7" s="359" t="s">
        <v>2014</v>
      </c>
    </row>
    <row r="9" spans="1:15" x14ac:dyDescent="0.2">
      <c r="F9" s="935" t="s">
        <v>2013</v>
      </c>
      <c r="G9" s="935"/>
      <c r="H9" s="935"/>
      <c r="I9" s="935"/>
      <c r="J9" s="935"/>
      <c r="K9" s="935"/>
    </row>
    <row r="10" spans="1:15" x14ac:dyDescent="0.2">
      <c r="F10" s="935"/>
      <c r="G10" s="935"/>
      <c r="H10" s="935"/>
      <c r="I10" s="935"/>
      <c r="J10" s="935"/>
      <c r="K10" s="935"/>
    </row>
    <row r="11" spans="1:15" x14ac:dyDescent="0.2">
      <c r="F11" s="935"/>
      <c r="G11" s="935"/>
      <c r="H11" s="935"/>
      <c r="I11" s="935"/>
      <c r="J11" s="935"/>
      <c r="K11" s="935"/>
    </row>
    <row r="12" spans="1:15" x14ac:dyDescent="0.2">
      <c r="F12" s="935"/>
      <c r="G12" s="935"/>
      <c r="H12" s="935"/>
      <c r="I12" s="935"/>
      <c r="J12" s="935"/>
      <c r="K12" s="935"/>
    </row>
    <row r="20" spans="2:13" x14ac:dyDescent="0.2">
      <c r="B20" s="361"/>
      <c r="C20" s="361"/>
      <c r="D20" s="361"/>
      <c r="E20" s="361"/>
      <c r="F20" s="361"/>
      <c r="G20" s="361"/>
      <c r="H20" s="361"/>
    </row>
    <row r="21" spans="2:13" x14ac:dyDescent="0.2">
      <c r="B21" s="361"/>
      <c r="C21" s="361"/>
      <c r="D21" s="361"/>
      <c r="E21" s="361"/>
      <c r="F21" s="361"/>
      <c r="G21" s="361"/>
      <c r="H21" s="361"/>
    </row>
    <row r="22" spans="2:13" x14ac:dyDescent="0.2">
      <c r="B22" s="361"/>
      <c r="C22" s="361"/>
      <c r="D22" s="361"/>
      <c r="E22" s="361"/>
      <c r="F22" s="361"/>
      <c r="G22" s="361"/>
      <c r="H22" s="361"/>
    </row>
    <row r="23" spans="2:13" x14ac:dyDescent="0.2">
      <c r="B23" s="361"/>
      <c r="C23" s="361"/>
      <c r="D23" s="361"/>
      <c r="E23" s="361"/>
      <c r="F23" s="361"/>
      <c r="G23" s="361"/>
      <c r="H23" s="361"/>
    </row>
    <row r="24" spans="2:13" x14ac:dyDescent="0.2">
      <c r="B24" s="361"/>
      <c r="C24" s="361"/>
      <c r="D24" s="361"/>
      <c r="E24" s="361"/>
      <c r="F24" s="361"/>
      <c r="G24" s="361"/>
      <c r="H24" s="361"/>
      <c r="I24" s="361"/>
      <c r="J24" s="361"/>
      <c r="K24" s="361"/>
      <c r="L24" s="361"/>
      <c r="M24" s="361"/>
    </row>
  </sheetData>
  <mergeCells count="2">
    <mergeCell ref="A1:O1"/>
    <mergeCell ref="F9:K12"/>
  </mergeCells>
  <pageMargins left="0.25" right="0.25" top="0.75" bottom="0.75" header="0.3" footer="0.3"/>
  <pageSetup paperSize="9" scale="67" fitToHeight="0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08D822-82E7-4351-8EA0-9CD570573D70}">
  <sheetPr>
    <pageSetUpPr fitToPage="1"/>
  </sheetPr>
  <dimension ref="A1:F17"/>
  <sheetViews>
    <sheetView view="pageBreakPreview" zoomScale="85" zoomScaleNormal="100" zoomScaleSheetLayoutView="85" workbookViewId="0">
      <selection activeCell="C11" sqref="C11"/>
    </sheetView>
  </sheetViews>
  <sheetFormatPr defaultColWidth="9.140625" defaultRowHeight="39" customHeight="1" x14ac:dyDescent="0.2"/>
  <cols>
    <col min="1" max="1" width="7.85546875" style="58" bestFit="1" customWidth="1"/>
    <col min="2" max="2" width="11.42578125" style="58" customWidth="1"/>
    <col min="3" max="3" width="117" style="58" bestFit="1" customWidth="1"/>
    <col min="4" max="4" width="8.7109375" style="58" bestFit="1" customWidth="1"/>
    <col min="5" max="6" width="13.28515625" style="58" bestFit="1" customWidth="1"/>
    <col min="7" max="16384" width="9.140625" style="58"/>
  </cols>
  <sheetData>
    <row r="1" spans="1:6" ht="24.75" customHeight="1" x14ac:dyDescent="0.2">
      <c r="A1" s="936" t="s">
        <v>2225</v>
      </c>
      <c r="B1" s="936"/>
      <c r="C1" s="936"/>
      <c r="D1" s="936"/>
      <c r="E1" s="936"/>
      <c r="F1" s="936"/>
    </row>
    <row r="2" spans="1:6" ht="21" customHeight="1" x14ac:dyDescent="0.2"/>
    <row r="3" spans="1:6" ht="39" customHeight="1" x14ac:dyDescent="0.2">
      <c r="A3" s="363" t="s">
        <v>2021</v>
      </c>
      <c r="B3" s="363" t="s">
        <v>2022</v>
      </c>
      <c r="C3" s="363" t="s">
        <v>1335</v>
      </c>
      <c r="D3" s="363" t="s">
        <v>2018</v>
      </c>
      <c r="E3" s="363" t="s">
        <v>2019</v>
      </c>
      <c r="F3" s="363" t="s">
        <v>2020</v>
      </c>
    </row>
    <row r="4" spans="1:6" ht="39" customHeight="1" x14ac:dyDescent="0.2">
      <c r="A4" s="369">
        <v>1525</v>
      </c>
      <c r="B4" s="365" t="s">
        <v>1665</v>
      </c>
      <c r="C4" s="373" t="s">
        <v>1822</v>
      </c>
      <c r="D4" s="371" t="s">
        <v>25</v>
      </c>
      <c r="E4" s="372">
        <v>520.48</v>
      </c>
      <c r="F4" s="372">
        <v>520.48</v>
      </c>
    </row>
    <row r="5" spans="1:6" ht="39" customHeight="1" x14ac:dyDescent="0.2">
      <c r="A5" s="369">
        <v>1527</v>
      </c>
      <c r="B5" s="365" t="s">
        <v>1665</v>
      </c>
      <c r="C5" s="373" t="s">
        <v>1824</v>
      </c>
      <c r="D5" s="371" t="s">
        <v>25</v>
      </c>
      <c r="E5" s="372">
        <v>504.95</v>
      </c>
      <c r="F5" s="372">
        <v>504.95</v>
      </c>
    </row>
    <row r="6" spans="1:6" ht="39" customHeight="1" x14ac:dyDescent="0.2">
      <c r="A6" s="374">
        <v>10775</v>
      </c>
      <c r="B6" s="365" t="s">
        <v>1665</v>
      </c>
      <c r="C6" s="370" t="s">
        <v>1798</v>
      </c>
      <c r="D6" s="367" t="s">
        <v>18</v>
      </c>
      <c r="E6" s="372">
        <v>1000</v>
      </c>
      <c r="F6" s="372">
        <v>1000</v>
      </c>
    </row>
    <row r="7" spans="1:6" ht="39" customHeight="1" x14ac:dyDescent="0.2">
      <c r="A7" s="369">
        <v>34479</v>
      </c>
      <c r="B7" s="365" t="s">
        <v>1665</v>
      </c>
      <c r="C7" s="373" t="s">
        <v>1862</v>
      </c>
      <c r="D7" s="371" t="s">
        <v>25</v>
      </c>
      <c r="E7" s="372">
        <v>551.55999999999995</v>
      </c>
      <c r="F7" s="372">
        <v>551.55999999999995</v>
      </c>
    </row>
    <row r="8" spans="1:6" ht="39" customHeight="1" x14ac:dyDescent="0.2">
      <c r="A8" s="369">
        <v>90082</v>
      </c>
      <c r="B8" s="365" t="s">
        <v>1665</v>
      </c>
      <c r="C8" s="373" t="s">
        <v>1834</v>
      </c>
      <c r="D8" s="371" t="s">
        <v>25</v>
      </c>
      <c r="E8" s="372">
        <v>10.74</v>
      </c>
      <c r="F8" s="372">
        <v>10.54</v>
      </c>
    </row>
    <row r="9" spans="1:6" ht="39" customHeight="1" x14ac:dyDescent="0.2">
      <c r="A9" s="369">
        <v>91596</v>
      </c>
      <c r="B9" s="365" t="s">
        <v>1665</v>
      </c>
      <c r="C9" s="373" t="s">
        <v>1835</v>
      </c>
      <c r="D9" s="371" t="s">
        <v>1764</v>
      </c>
      <c r="E9" s="372">
        <v>9.65</v>
      </c>
      <c r="F9" s="372">
        <v>9.6300000000000008</v>
      </c>
    </row>
    <row r="10" spans="1:6" ht="39" customHeight="1" x14ac:dyDescent="0.2">
      <c r="A10" s="369">
        <v>94319</v>
      </c>
      <c r="B10" s="365" t="s">
        <v>1665</v>
      </c>
      <c r="C10" s="373" t="s">
        <v>1809</v>
      </c>
      <c r="D10" s="368" t="s">
        <v>25</v>
      </c>
      <c r="E10" s="372">
        <v>91.59</v>
      </c>
      <c r="F10" s="372">
        <v>89.92</v>
      </c>
    </row>
    <row r="11" spans="1:6" ht="39" customHeight="1" x14ac:dyDescent="0.2">
      <c r="A11" s="369">
        <v>96523</v>
      </c>
      <c r="B11" s="365" t="s">
        <v>1665</v>
      </c>
      <c r="C11" s="373" t="s">
        <v>1812</v>
      </c>
      <c r="D11" s="368" t="s">
        <v>25</v>
      </c>
      <c r="E11" s="372">
        <v>137</v>
      </c>
      <c r="F11" s="372">
        <v>130.04</v>
      </c>
    </row>
    <row r="12" spans="1:6" ht="39" customHeight="1" x14ac:dyDescent="0.2">
      <c r="A12" s="369">
        <v>96531</v>
      </c>
      <c r="B12" s="365" t="s">
        <v>1665</v>
      </c>
      <c r="C12" s="373" t="s">
        <v>1797</v>
      </c>
      <c r="D12" s="371" t="s">
        <v>1672</v>
      </c>
      <c r="E12" s="372">
        <v>122.22</v>
      </c>
      <c r="F12" s="372">
        <v>117.88</v>
      </c>
    </row>
    <row r="13" spans="1:6" ht="39" customHeight="1" x14ac:dyDescent="0.2">
      <c r="A13" s="369">
        <v>97636</v>
      </c>
      <c r="B13" s="365" t="s">
        <v>1665</v>
      </c>
      <c r="C13" s="370" t="s">
        <v>1838</v>
      </c>
      <c r="D13" s="371" t="s">
        <v>1672</v>
      </c>
      <c r="E13" s="372">
        <v>26.93</v>
      </c>
      <c r="F13" s="372">
        <v>26.1</v>
      </c>
    </row>
    <row r="14" spans="1:6" ht="39" customHeight="1" x14ac:dyDescent="0.2">
      <c r="A14" s="369">
        <v>97721</v>
      </c>
      <c r="B14" s="365" t="s">
        <v>1665</v>
      </c>
      <c r="C14" s="373" t="s">
        <v>1864</v>
      </c>
      <c r="D14" s="371" t="s">
        <v>25</v>
      </c>
      <c r="E14" s="372">
        <v>82.16</v>
      </c>
      <c r="F14" s="372">
        <v>79.83</v>
      </c>
    </row>
    <row r="15" spans="1:6" ht="39" customHeight="1" x14ac:dyDescent="0.2">
      <c r="A15" s="369">
        <v>99439</v>
      </c>
      <c r="B15" s="365" t="s">
        <v>1665</v>
      </c>
      <c r="C15" s="373" t="s">
        <v>1766</v>
      </c>
      <c r="D15" s="371" t="s">
        <v>25</v>
      </c>
      <c r="E15" s="372">
        <v>677.49</v>
      </c>
      <c r="F15" s="372">
        <v>675.21</v>
      </c>
    </row>
    <row r="16" spans="1:6" ht="39" customHeight="1" x14ac:dyDescent="0.2">
      <c r="A16" s="369">
        <v>103673</v>
      </c>
      <c r="B16" s="365" t="s">
        <v>1665</v>
      </c>
      <c r="C16" s="373" t="s">
        <v>1823</v>
      </c>
      <c r="D16" s="368" t="s">
        <v>25</v>
      </c>
      <c r="E16" s="372">
        <v>60.26</v>
      </c>
      <c r="F16" s="372">
        <v>57.21</v>
      </c>
    </row>
    <row r="17" spans="1:6" ht="39" customHeight="1" x14ac:dyDescent="0.2">
      <c r="A17" s="364">
        <v>103689</v>
      </c>
      <c r="B17" s="365" t="s">
        <v>1665</v>
      </c>
      <c r="C17" s="366" t="s">
        <v>1656</v>
      </c>
      <c r="D17" s="367" t="s">
        <v>1672</v>
      </c>
      <c r="E17" s="372">
        <v>508.82</v>
      </c>
      <c r="F17" s="372">
        <v>505.8</v>
      </c>
    </row>
  </sheetData>
  <autoFilter ref="A3:F3" xr:uid="{4008D822-82E7-4351-8EA0-9CD570573D70}">
    <sortState xmlns:xlrd2="http://schemas.microsoft.com/office/spreadsheetml/2017/richdata2" ref="A4:F20">
      <sortCondition ref="A3"/>
    </sortState>
  </autoFilter>
  <mergeCells count="1">
    <mergeCell ref="A1:F1"/>
  </mergeCells>
  <pageMargins left="0.25" right="0.25" top="0.75" bottom="0.75" header="0.3" footer="0.3"/>
  <pageSetup paperSize="9" scale="58" fitToHeight="0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C4F12B-9766-49DF-B103-C98720AE94D7}">
  <sheetPr>
    <pageSetUpPr fitToPage="1"/>
  </sheetPr>
  <dimension ref="A1:F12"/>
  <sheetViews>
    <sheetView view="pageBreakPreview" zoomScale="85" zoomScaleNormal="100" zoomScaleSheetLayoutView="85" workbookViewId="0">
      <selection activeCell="A7" sqref="A7"/>
    </sheetView>
  </sheetViews>
  <sheetFormatPr defaultColWidth="9.140625" defaultRowHeight="12.75" x14ac:dyDescent="0.2"/>
  <cols>
    <col min="1" max="1" width="9.7109375" style="58" customWidth="1"/>
    <col min="2" max="2" width="11.42578125" style="58" customWidth="1"/>
    <col min="3" max="3" width="117" style="58" bestFit="1" customWidth="1"/>
    <col min="4" max="4" width="8.7109375" style="58" bestFit="1" customWidth="1"/>
    <col min="5" max="6" width="13.28515625" style="58" bestFit="1" customWidth="1"/>
    <col min="7" max="16384" width="9.140625" style="58"/>
  </cols>
  <sheetData>
    <row r="1" spans="1:6" ht="24.75" customHeight="1" x14ac:dyDescent="0.2">
      <c r="A1" s="936" t="s">
        <v>2023</v>
      </c>
      <c r="B1" s="936"/>
      <c r="C1" s="936"/>
      <c r="D1" s="936"/>
      <c r="E1" s="936"/>
      <c r="F1" s="936"/>
    </row>
    <row r="3" spans="1:6" ht="25.5" x14ac:dyDescent="0.2">
      <c r="A3" s="363" t="s">
        <v>2021</v>
      </c>
      <c r="B3" s="363" t="s">
        <v>2022</v>
      </c>
      <c r="C3" s="363" t="s">
        <v>1335</v>
      </c>
      <c r="D3" s="363" t="s">
        <v>2018</v>
      </c>
      <c r="E3" s="363" t="s">
        <v>2019</v>
      </c>
      <c r="F3" s="363" t="s">
        <v>2020</v>
      </c>
    </row>
    <row r="4" spans="1:6" ht="27" customHeight="1" x14ac:dyDescent="0.2">
      <c r="A4" s="369">
        <v>407819</v>
      </c>
      <c r="B4" s="365" t="s">
        <v>1767</v>
      </c>
      <c r="C4" s="373" t="s">
        <v>1800</v>
      </c>
      <c r="D4" s="371" t="s">
        <v>1764</v>
      </c>
      <c r="E4" s="372">
        <v>12.65</v>
      </c>
      <c r="F4" s="372">
        <v>12.31</v>
      </c>
    </row>
    <row r="5" spans="1:6" ht="27" customHeight="1" x14ac:dyDescent="0.2">
      <c r="A5" s="369">
        <v>2003850</v>
      </c>
      <c r="B5" s="365" t="s">
        <v>1689</v>
      </c>
      <c r="C5" s="373" t="s">
        <v>1801</v>
      </c>
      <c r="D5" s="371" t="s">
        <v>25</v>
      </c>
      <c r="E5" s="372">
        <v>148.53</v>
      </c>
      <c r="F5" s="372">
        <v>147.81</v>
      </c>
    </row>
    <row r="6" spans="1:6" ht="27" customHeight="1" x14ac:dyDescent="0.2">
      <c r="A6" s="369">
        <v>2306105</v>
      </c>
      <c r="B6" s="365" t="s">
        <v>1689</v>
      </c>
      <c r="C6" s="373" t="s">
        <v>1811</v>
      </c>
      <c r="D6" s="371" t="s">
        <v>1658</v>
      </c>
      <c r="E6" s="372">
        <v>124.96</v>
      </c>
      <c r="F6" s="372">
        <v>123.31</v>
      </c>
    </row>
    <row r="7" spans="1:6" ht="27" customHeight="1" x14ac:dyDescent="0.2">
      <c r="A7" s="369">
        <v>2306247</v>
      </c>
      <c r="B7" s="365" t="s">
        <v>1767</v>
      </c>
      <c r="C7" s="373" t="s">
        <v>1815</v>
      </c>
      <c r="D7" s="371" t="s">
        <v>25</v>
      </c>
      <c r="E7" s="372">
        <v>309.04000000000002</v>
      </c>
      <c r="F7" s="372">
        <v>301.95999999999998</v>
      </c>
    </row>
    <row r="8" spans="1:6" ht="27" customHeight="1" x14ac:dyDescent="0.2">
      <c r="A8" s="369">
        <v>3108004</v>
      </c>
      <c r="B8" s="365" t="s">
        <v>1767</v>
      </c>
      <c r="C8" s="373" t="s">
        <v>1840</v>
      </c>
      <c r="D8" s="371" t="s">
        <v>1672</v>
      </c>
      <c r="E8" s="372">
        <v>98.74</v>
      </c>
      <c r="F8" s="372">
        <v>96.17</v>
      </c>
    </row>
    <row r="9" spans="1:6" ht="27" customHeight="1" x14ac:dyDescent="0.2">
      <c r="A9" s="369">
        <v>3807862</v>
      </c>
      <c r="B9" s="365" t="s">
        <v>1767</v>
      </c>
      <c r="C9" s="373" t="s">
        <v>1853</v>
      </c>
      <c r="D9" s="371" t="s">
        <v>1817</v>
      </c>
      <c r="E9" s="372">
        <v>4.4800000000000004</v>
      </c>
      <c r="F9" s="372">
        <v>4.3600000000000003</v>
      </c>
    </row>
    <row r="10" spans="1:6" ht="27" customHeight="1" x14ac:dyDescent="0.2">
      <c r="A10" s="369">
        <v>5212560</v>
      </c>
      <c r="B10" s="365" t="s">
        <v>1689</v>
      </c>
      <c r="C10" s="373" t="s">
        <v>1691</v>
      </c>
      <c r="D10" s="371" t="s">
        <v>1657</v>
      </c>
      <c r="E10" s="372">
        <v>4.75</v>
      </c>
      <c r="F10" s="372">
        <v>4.66</v>
      </c>
    </row>
    <row r="11" spans="1:6" ht="27" customHeight="1" x14ac:dyDescent="0.2">
      <c r="A11" s="369">
        <v>5213835</v>
      </c>
      <c r="B11" s="365" t="s">
        <v>1689</v>
      </c>
      <c r="C11" s="373" t="s">
        <v>1692</v>
      </c>
      <c r="D11" s="371" t="s">
        <v>1657</v>
      </c>
      <c r="E11" s="372">
        <v>0.93</v>
      </c>
      <c r="F11" s="372">
        <v>0.93</v>
      </c>
    </row>
    <row r="12" spans="1:6" ht="27" customHeight="1" x14ac:dyDescent="0.2">
      <c r="A12" s="369" t="s">
        <v>1813</v>
      </c>
      <c r="B12" s="365" t="s">
        <v>1689</v>
      </c>
      <c r="C12" s="373" t="s">
        <v>1814</v>
      </c>
      <c r="D12" s="371" t="s">
        <v>1658</v>
      </c>
      <c r="E12" s="372">
        <v>59.2</v>
      </c>
      <c r="F12" s="372">
        <v>59.2</v>
      </c>
    </row>
  </sheetData>
  <autoFilter ref="A3:F3" xr:uid="{BBC4F12B-9766-49DF-B103-C98720AE94D7}">
    <sortState xmlns:xlrd2="http://schemas.microsoft.com/office/spreadsheetml/2017/richdata2" ref="A4:F20">
      <sortCondition ref="A3"/>
    </sortState>
  </autoFilter>
  <mergeCells count="1">
    <mergeCell ref="A1:F1"/>
  </mergeCells>
  <pageMargins left="0.25" right="0.25" top="0.75" bottom="0.75" header="0.3" footer="0.3"/>
  <pageSetup paperSize="9" scale="58" fitToHeight="0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61DDF4-34C9-4C49-9BDC-C3563438E6F3}">
  <sheetPr>
    <pageSetUpPr fitToPage="1"/>
  </sheetPr>
  <dimension ref="A1:F4"/>
  <sheetViews>
    <sheetView view="pageBreakPreview" zoomScaleNormal="100" zoomScaleSheetLayoutView="100" workbookViewId="0">
      <selection activeCell="A4" sqref="A4"/>
    </sheetView>
  </sheetViews>
  <sheetFormatPr defaultColWidth="9.140625" defaultRowHeight="12.75" x14ac:dyDescent="0.2"/>
  <cols>
    <col min="1" max="1" width="9" style="58" bestFit="1" customWidth="1"/>
    <col min="2" max="2" width="11.42578125" style="58" customWidth="1"/>
    <col min="3" max="3" width="117" style="58" bestFit="1" customWidth="1"/>
    <col min="4" max="4" width="8.7109375" style="58" bestFit="1" customWidth="1"/>
    <col min="5" max="6" width="13.28515625" style="58" bestFit="1" customWidth="1"/>
    <col min="7" max="16384" width="9.140625" style="58"/>
  </cols>
  <sheetData>
    <row r="1" spans="1:6" ht="29.25" customHeight="1" x14ac:dyDescent="0.2">
      <c r="A1" s="936" t="s">
        <v>2030</v>
      </c>
      <c r="B1" s="936"/>
      <c r="C1" s="936"/>
      <c r="D1" s="936"/>
      <c r="E1" s="936"/>
      <c r="F1" s="936"/>
    </row>
    <row r="2" spans="1:6" ht="21" customHeight="1" x14ac:dyDescent="0.2"/>
    <row r="3" spans="1:6" ht="39" customHeight="1" x14ac:dyDescent="0.2">
      <c r="A3" s="363" t="s">
        <v>2021</v>
      </c>
      <c r="B3" s="363" t="s">
        <v>2022</v>
      </c>
      <c r="C3" s="363" t="s">
        <v>1335</v>
      </c>
      <c r="D3" s="363" t="s">
        <v>2018</v>
      </c>
      <c r="E3" s="363" t="s">
        <v>2019</v>
      </c>
      <c r="F3" s="363" t="s">
        <v>2020</v>
      </c>
    </row>
    <row r="4" spans="1:6" ht="39" customHeight="1" x14ac:dyDescent="0.2">
      <c r="A4" s="369">
        <v>88306</v>
      </c>
      <c r="B4" s="365" t="s">
        <v>1796</v>
      </c>
      <c r="C4" s="373" t="s">
        <v>2055</v>
      </c>
      <c r="D4" s="371" t="s">
        <v>1672</v>
      </c>
      <c r="E4" s="372">
        <v>384.05</v>
      </c>
      <c r="F4" s="372">
        <v>384.05</v>
      </c>
    </row>
  </sheetData>
  <mergeCells count="1">
    <mergeCell ref="A1:F1"/>
  </mergeCells>
  <pageMargins left="0.25" right="0.25" top="0.75" bottom="0.75" header="0.3" footer="0.3"/>
  <pageSetup paperSize="9" scale="58" fitToHeight="0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BA7BE-9E57-4AD6-B468-3A87A0612056}">
  <sheetPr>
    <pageSetUpPr fitToPage="1"/>
  </sheetPr>
  <dimension ref="A1:F4"/>
  <sheetViews>
    <sheetView view="pageBreakPreview" zoomScaleNormal="100" zoomScaleSheetLayoutView="100" workbookViewId="0">
      <selection activeCell="F11" sqref="F11"/>
    </sheetView>
  </sheetViews>
  <sheetFormatPr defaultColWidth="9.140625" defaultRowHeight="12.75" x14ac:dyDescent="0.2"/>
  <cols>
    <col min="1" max="1" width="9" style="58" bestFit="1" customWidth="1"/>
    <col min="2" max="2" width="11.42578125" style="58" customWidth="1"/>
    <col min="3" max="3" width="117" style="58" bestFit="1" customWidth="1"/>
    <col min="4" max="4" width="8.7109375" style="58" bestFit="1" customWidth="1"/>
    <col min="5" max="6" width="13.28515625" style="58" bestFit="1" customWidth="1"/>
    <col min="7" max="16384" width="9.140625" style="58"/>
  </cols>
  <sheetData>
    <row r="1" spans="1:6" ht="21" customHeight="1" x14ac:dyDescent="0.2">
      <c r="A1" s="936" t="s">
        <v>2226</v>
      </c>
      <c r="B1" s="936"/>
      <c r="C1" s="936"/>
      <c r="D1" s="936"/>
      <c r="E1" s="936"/>
      <c r="F1" s="936"/>
    </row>
    <row r="2" spans="1:6" ht="21" customHeight="1" x14ac:dyDescent="0.2"/>
    <row r="3" spans="1:6" ht="39" customHeight="1" x14ac:dyDescent="0.2">
      <c r="A3" s="363" t="s">
        <v>2021</v>
      </c>
      <c r="B3" s="363" t="s">
        <v>2022</v>
      </c>
      <c r="C3" s="363" t="s">
        <v>1335</v>
      </c>
      <c r="D3" s="363" t="s">
        <v>2018</v>
      </c>
      <c r="E3" s="363" t="s">
        <v>2019</v>
      </c>
      <c r="F3" s="363" t="s">
        <v>2020</v>
      </c>
    </row>
    <row r="4" spans="1:6" ht="39" customHeight="1" x14ac:dyDescent="0.2">
      <c r="A4" s="369">
        <v>8808</v>
      </c>
      <c r="B4" s="365" t="s">
        <v>1795</v>
      </c>
      <c r="C4" s="373" t="s">
        <v>2032</v>
      </c>
      <c r="D4" s="371" t="s">
        <v>1658</v>
      </c>
      <c r="E4" s="372">
        <v>20.53</v>
      </c>
      <c r="F4" s="372">
        <v>20.53</v>
      </c>
    </row>
  </sheetData>
  <mergeCells count="1">
    <mergeCell ref="A1:F1"/>
  </mergeCells>
  <pageMargins left="0.25" right="0.25" top="0.75" bottom="0.75" header="0.3" footer="0.3"/>
  <pageSetup paperSize="9" scale="58" fitToHeight="0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2D213D-A4A8-48CB-983C-1619EE114DF8}">
  <dimension ref="B2:E27"/>
  <sheetViews>
    <sheetView workbookViewId="0">
      <selection activeCell="P38" sqref="P38"/>
    </sheetView>
  </sheetViews>
  <sheetFormatPr defaultRowHeight="12.75" x14ac:dyDescent="0.2"/>
  <sheetData>
    <row r="2" spans="2:4" x14ac:dyDescent="0.2">
      <c r="B2" t="s">
        <v>1890</v>
      </c>
    </row>
    <row r="3" spans="2:4" x14ac:dyDescent="0.2">
      <c r="B3" t="s">
        <v>1888</v>
      </c>
    </row>
    <row r="4" spans="2:4" x14ac:dyDescent="0.2">
      <c r="B4">
        <v>1695</v>
      </c>
      <c r="C4">
        <f>B4/150</f>
        <v>11.3</v>
      </c>
      <c r="D4">
        <v>11</v>
      </c>
    </row>
    <row r="5" spans="2:4" x14ac:dyDescent="0.2">
      <c r="B5">
        <v>1695</v>
      </c>
      <c r="C5">
        <f t="shared" ref="C5:C13" si="0">B5/150</f>
        <v>11.3</v>
      </c>
      <c r="D5">
        <v>11</v>
      </c>
    </row>
    <row r="6" spans="2:4" x14ac:dyDescent="0.2">
      <c r="B6">
        <v>1695</v>
      </c>
      <c r="C6">
        <f t="shared" si="0"/>
        <v>11.3</v>
      </c>
      <c r="D6">
        <v>11</v>
      </c>
    </row>
    <row r="7" spans="2:4" x14ac:dyDescent="0.2">
      <c r="B7">
        <v>1695</v>
      </c>
      <c r="C7">
        <f t="shared" si="0"/>
        <v>11.3</v>
      </c>
      <c r="D7">
        <v>11</v>
      </c>
    </row>
    <row r="8" spans="2:4" x14ac:dyDescent="0.2">
      <c r="B8">
        <v>1750</v>
      </c>
      <c r="C8">
        <f t="shared" si="0"/>
        <v>11.666666666666666</v>
      </c>
      <c r="D8">
        <f t="shared" ref="D8:D11" si="1">ROUNDUP(B8/150,0)</f>
        <v>12</v>
      </c>
    </row>
    <row r="9" spans="2:4" x14ac:dyDescent="0.2">
      <c r="B9">
        <v>1750</v>
      </c>
      <c r="C9">
        <f t="shared" si="0"/>
        <v>11.666666666666666</v>
      </c>
      <c r="D9">
        <f t="shared" si="1"/>
        <v>12</v>
      </c>
    </row>
    <row r="10" spans="2:4" x14ac:dyDescent="0.2">
      <c r="B10">
        <v>1750</v>
      </c>
      <c r="C10">
        <f t="shared" si="0"/>
        <v>11.666666666666666</v>
      </c>
      <c r="D10">
        <f t="shared" si="1"/>
        <v>12</v>
      </c>
    </row>
    <row r="11" spans="2:4" x14ac:dyDescent="0.2">
      <c r="B11">
        <v>1750</v>
      </c>
      <c r="C11">
        <f t="shared" si="0"/>
        <v>11.666666666666666</v>
      </c>
      <c r="D11">
        <f t="shared" si="1"/>
        <v>12</v>
      </c>
    </row>
    <row r="12" spans="2:4" x14ac:dyDescent="0.2">
      <c r="B12">
        <v>1225</v>
      </c>
      <c r="C12">
        <f t="shared" si="0"/>
        <v>8.1666666666666661</v>
      </c>
      <c r="D12">
        <v>8</v>
      </c>
    </row>
    <row r="13" spans="2:4" x14ac:dyDescent="0.2">
      <c r="B13">
        <v>1225</v>
      </c>
      <c r="C13">
        <f t="shared" si="0"/>
        <v>8.1666666666666661</v>
      </c>
      <c r="D13">
        <v>8</v>
      </c>
    </row>
    <row r="15" spans="2:4" x14ac:dyDescent="0.2">
      <c r="B15" t="s">
        <v>1889</v>
      </c>
    </row>
    <row r="16" spans="2:4" x14ac:dyDescent="0.2">
      <c r="B16">
        <v>250</v>
      </c>
      <c r="C16">
        <f t="shared" ref="C16:C23" si="2">B16/150</f>
        <v>1.6666666666666667</v>
      </c>
      <c r="D16">
        <f>ROUNDUP(B16/150,0)</f>
        <v>2</v>
      </c>
    </row>
    <row r="17" spans="2:5" x14ac:dyDescent="0.2">
      <c r="B17">
        <v>250</v>
      </c>
      <c r="C17">
        <f t="shared" si="2"/>
        <v>1.6666666666666667</v>
      </c>
      <c r="D17">
        <f t="shared" ref="D17:D25" si="3">ROUNDUP(B17/150,0)</f>
        <v>2</v>
      </c>
    </row>
    <row r="18" spans="2:5" x14ac:dyDescent="0.2">
      <c r="B18">
        <v>1335</v>
      </c>
      <c r="C18">
        <f t="shared" si="2"/>
        <v>8.9</v>
      </c>
      <c r="D18">
        <f t="shared" si="3"/>
        <v>9</v>
      </c>
    </row>
    <row r="19" spans="2:5" x14ac:dyDescent="0.2">
      <c r="B19">
        <v>1085</v>
      </c>
      <c r="C19">
        <f t="shared" si="2"/>
        <v>7.2333333333333334</v>
      </c>
      <c r="D19">
        <f t="shared" si="3"/>
        <v>8</v>
      </c>
    </row>
    <row r="20" spans="2:5" x14ac:dyDescent="0.2">
      <c r="B20">
        <v>1040</v>
      </c>
      <c r="C20">
        <f t="shared" si="2"/>
        <v>6.9333333333333336</v>
      </c>
      <c r="D20">
        <f t="shared" si="3"/>
        <v>7</v>
      </c>
    </row>
    <row r="21" spans="2:5" x14ac:dyDescent="0.2">
      <c r="B21">
        <v>1165</v>
      </c>
      <c r="C21">
        <f t="shared" si="2"/>
        <v>7.7666666666666666</v>
      </c>
      <c r="D21">
        <f t="shared" si="3"/>
        <v>8</v>
      </c>
    </row>
    <row r="22" spans="2:5" x14ac:dyDescent="0.2">
      <c r="B22">
        <v>250</v>
      </c>
      <c r="C22">
        <f t="shared" si="2"/>
        <v>1.6666666666666667</v>
      </c>
      <c r="D22">
        <f t="shared" si="3"/>
        <v>2</v>
      </c>
    </row>
    <row r="23" spans="2:5" x14ac:dyDescent="0.2">
      <c r="B23">
        <v>250</v>
      </c>
      <c r="C23">
        <f t="shared" si="2"/>
        <v>1.6666666666666667</v>
      </c>
      <c r="D23">
        <f t="shared" si="3"/>
        <v>2</v>
      </c>
    </row>
    <row r="24" spans="2:5" x14ac:dyDescent="0.2">
      <c r="D24">
        <f t="shared" si="3"/>
        <v>0</v>
      </c>
    </row>
    <row r="25" spans="2:5" x14ac:dyDescent="0.2">
      <c r="D25">
        <f t="shared" si="3"/>
        <v>0</v>
      </c>
    </row>
    <row r="27" spans="2:5" x14ac:dyDescent="0.2">
      <c r="D27">
        <f>SUM(D4:D25)</f>
        <v>148</v>
      </c>
      <c r="E27">
        <f>D27*4</f>
        <v>592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ACDAB-A15E-4BC0-B79C-50E3B82ACD38}">
  <sheetPr>
    <tabColor theme="9" tint="0.59999389629810485"/>
  </sheetPr>
  <dimension ref="B1:E90"/>
  <sheetViews>
    <sheetView workbookViewId="0"/>
  </sheetViews>
  <sheetFormatPr defaultRowHeight="12.75" x14ac:dyDescent="0.2"/>
  <cols>
    <col min="1" max="1" width="5.5703125" customWidth="1"/>
    <col min="2" max="2" width="11.5703125" customWidth="1"/>
    <col min="3" max="3" width="70.5703125" customWidth="1"/>
    <col min="4" max="4" width="8.5703125" customWidth="1"/>
    <col min="5" max="5" width="14.5703125" customWidth="1"/>
  </cols>
  <sheetData>
    <row r="1" spans="2:5" ht="13.5" thickBot="1" x14ac:dyDescent="0.25">
      <c r="C1" s="108"/>
    </row>
    <row r="2" spans="2:5" ht="21" customHeight="1" x14ac:dyDescent="0.2">
      <c r="B2" s="940"/>
      <c r="C2" s="942" t="s">
        <v>179</v>
      </c>
      <c r="D2" s="943"/>
      <c r="E2" s="944"/>
    </row>
    <row r="3" spans="2:5" ht="21" customHeight="1" x14ac:dyDescent="0.2">
      <c r="B3" s="941"/>
      <c r="C3" s="945" t="s">
        <v>180</v>
      </c>
      <c r="D3" s="946"/>
      <c r="E3" s="947"/>
    </row>
    <row r="4" spans="2:5" ht="21" customHeight="1" thickBot="1" x14ac:dyDescent="0.25">
      <c r="B4" s="941"/>
      <c r="C4" s="948" t="s">
        <v>1603</v>
      </c>
      <c r="D4" s="949"/>
      <c r="E4" s="950"/>
    </row>
    <row r="5" spans="2:5" ht="33" customHeight="1" thickBot="1" x14ac:dyDescent="0.25">
      <c r="B5" s="951" t="s">
        <v>181</v>
      </c>
      <c r="C5" s="952"/>
      <c r="D5" s="952"/>
      <c r="E5" s="109" t="s">
        <v>182</v>
      </c>
    </row>
    <row r="6" spans="2:5" ht="14.1" customHeight="1" x14ac:dyDescent="0.2">
      <c r="B6" s="937" t="s">
        <v>60</v>
      </c>
      <c r="C6" s="939"/>
      <c r="D6" s="939"/>
      <c r="E6" s="110"/>
    </row>
    <row r="7" spans="2:5" ht="14.1" customHeight="1" thickBot="1" x14ac:dyDescent="0.25">
      <c r="B7" s="111" t="s">
        <v>28</v>
      </c>
      <c r="C7" s="112" t="s">
        <v>183</v>
      </c>
      <c r="D7" s="113" t="s">
        <v>184</v>
      </c>
      <c r="E7" s="114" t="s">
        <v>185</v>
      </c>
    </row>
    <row r="8" spans="2:5" ht="22.5" customHeight="1" x14ac:dyDescent="0.2">
      <c r="B8" s="115" t="s">
        <v>186</v>
      </c>
      <c r="C8" s="116" t="s">
        <v>187</v>
      </c>
      <c r="D8" s="117" t="s">
        <v>81</v>
      </c>
      <c r="E8" s="118">
        <v>3322.87</v>
      </c>
    </row>
    <row r="9" spans="2:5" x14ac:dyDescent="0.2">
      <c r="B9" s="115" t="s">
        <v>188</v>
      </c>
      <c r="C9" s="116" t="s">
        <v>189</v>
      </c>
      <c r="D9" s="117" t="s">
        <v>81</v>
      </c>
      <c r="E9" s="119">
        <v>4076.02</v>
      </c>
    </row>
    <row r="10" spans="2:5" ht="22.5" x14ac:dyDescent="0.2">
      <c r="B10" s="115" t="s">
        <v>65</v>
      </c>
      <c r="C10" s="116" t="s">
        <v>80</v>
      </c>
      <c r="D10" s="117" t="s">
        <v>81</v>
      </c>
      <c r="E10" s="119">
        <v>18577.98</v>
      </c>
    </row>
    <row r="11" spans="2:5" x14ac:dyDescent="0.2">
      <c r="B11" s="115" t="s">
        <v>190</v>
      </c>
      <c r="C11" s="116" t="s">
        <v>191</v>
      </c>
      <c r="D11" s="117" t="s">
        <v>81</v>
      </c>
      <c r="E11" s="119">
        <v>1453.5</v>
      </c>
    </row>
    <row r="12" spans="2:5" x14ac:dyDescent="0.2">
      <c r="B12" s="115" t="s">
        <v>62</v>
      </c>
      <c r="C12" s="116" t="s">
        <v>82</v>
      </c>
      <c r="D12" s="117" t="s">
        <v>81</v>
      </c>
      <c r="E12" s="119">
        <v>781.79</v>
      </c>
    </row>
    <row r="13" spans="2:5" ht="27.75" customHeight="1" x14ac:dyDescent="0.2">
      <c r="B13" s="115" t="s">
        <v>61</v>
      </c>
      <c r="C13" s="116" t="s">
        <v>192</v>
      </c>
      <c r="D13" s="117" t="s">
        <v>81</v>
      </c>
      <c r="E13" s="119">
        <v>975.12</v>
      </c>
    </row>
    <row r="14" spans="2:5" ht="27.75" customHeight="1" x14ac:dyDescent="0.2">
      <c r="B14" s="115" t="s">
        <v>193</v>
      </c>
      <c r="C14" s="116" t="s">
        <v>194</v>
      </c>
      <c r="D14" s="117" t="s">
        <v>81</v>
      </c>
      <c r="E14" s="119">
        <v>1103.76</v>
      </c>
    </row>
    <row r="15" spans="2:5" x14ac:dyDescent="0.2">
      <c r="B15" s="115" t="s">
        <v>195</v>
      </c>
      <c r="C15" s="116" t="s">
        <v>196</v>
      </c>
      <c r="D15" s="117" t="s">
        <v>81</v>
      </c>
      <c r="E15" s="119">
        <v>767.3</v>
      </c>
    </row>
    <row r="16" spans="2:5" x14ac:dyDescent="0.2">
      <c r="B16" s="115" t="s">
        <v>64</v>
      </c>
      <c r="C16" s="116" t="s">
        <v>30</v>
      </c>
      <c r="D16" s="117" t="s">
        <v>81</v>
      </c>
      <c r="E16" s="119">
        <v>655.37999999999988</v>
      </c>
    </row>
    <row r="17" spans="2:5" x14ac:dyDescent="0.2">
      <c r="B17" s="115" t="s">
        <v>63</v>
      </c>
      <c r="C17" s="116" t="s">
        <v>29</v>
      </c>
      <c r="D17" s="117" t="s">
        <v>81</v>
      </c>
      <c r="E17" s="119">
        <v>364.04</v>
      </c>
    </row>
    <row r="18" spans="2:5" ht="25.5" customHeight="1" x14ac:dyDescent="0.2">
      <c r="B18" s="120" t="s">
        <v>197</v>
      </c>
      <c r="C18" s="121" t="s">
        <v>198</v>
      </c>
      <c r="D18" s="122" t="s">
        <v>81</v>
      </c>
      <c r="E18" s="123">
        <v>2174.9499999999998</v>
      </c>
    </row>
    <row r="19" spans="2:5" ht="24.75" customHeight="1" x14ac:dyDescent="0.2">
      <c r="B19" s="124">
        <v>20193</v>
      </c>
      <c r="C19" s="125" t="s">
        <v>199</v>
      </c>
      <c r="D19" s="126" t="s">
        <v>200</v>
      </c>
      <c r="E19" s="127">
        <v>6.49</v>
      </c>
    </row>
    <row r="20" spans="2:5" ht="24.75" customHeight="1" thickBot="1" x14ac:dyDescent="0.25">
      <c r="B20" s="128">
        <v>10527</v>
      </c>
      <c r="C20" s="129" t="s">
        <v>201</v>
      </c>
      <c r="D20" s="130" t="s">
        <v>202</v>
      </c>
      <c r="E20" s="131">
        <v>19.5</v>
      </c>
    </row>
    <row r="21" spans="2:5" ht="14.1" customHeight="1" x14ac:dyDescent="0.2">
      <c r="B21" s="937" t="s">
        <v>203</v>
      </c>
      <c r="C21" s="938"/>
      <c r="D21" s="938"/>
      <c r="E21" s="132"/>
    </row>
    <row r="22" spans="2:5" ht="14.1" customHeight="1" thickBot="1" x14ac:dyDescent="0.25">
      <c r="B22" s="111" t="s">
        <v>28</v>
      </c>
      <c r="C22" s="112" t="s">
        <v>183</v>
      </c>
      <c r="D22" s="113" t="s">
        <v>184</v>
      </c>
      <c r="E22" s="114" t="s">
        <v>185</v>
      </c>
    </row>
    <row r="23" spans="2:5" ht="12.75" customHeight="1" x14ac:dyDescent="0.2">
      <c r="B23" s="115" t="s">
        <v>36</v>
      </c>
      <c r="C23" s="116" t="s">
        <v>204</v>
      </c>
      <c r="D23" s="117" t="s">
        <v>205</v>
      </c>
      <c r="E23" s="133">
        <v>396.32</v>
      </c>
    </row>
    <row r="24" spans="2:5" ht="22.5" x14ac:dyDescent="0.2">
      <c r="B24" s="115" t="s">
        <v>37</v>
      </c>
      <c r="C24" s="116" t="s">
        <v>206</v>
      </c>
      <c r="D24" s="117" t="s">
        <v>17</v>
      </c>
      <c r="E24" s="133">
        <v>221.43</v>
      </c>
    </row>
    <row r="25" spans="2:5" ht="22.5" x14ac:dyDescent="0.2">
      <c r="B25" s="115" t="s">
        <v>207</v>
      </c>
      <c r="C25" s="116" t="s">
        <v>208</v>
      </c>
      <c r="D25" s="117" t="s">
        <v>17</v>
      </c>
      <c r="E25" s="133">
        <v>408.56</v>
      </c>
    </row>
    <row r="26" spans="2:5" x14ac:dyDescent="0.2">
      <c r="B26" s="115" t="s">
        <v>209</v>
      </c>
      <c r="C26" s="116" t="s">
        <v>210</v>
      </c>
      <c r="D26" s="117" t="s">
        <v>17</v>
      </c>
      <c r="E26" s="133">
        <v>311.31000000000006</v>
      </c>
    </row>
    <row r="27" spans="2:5" x14ac:dyDescent="0.2">
      <c r="B27" s="115" t="s">
        <v>211</v>
      </c>
      <c r="C27" s="116" t="s">
        <v>212</v>
      </c>
      <c r="D27" s="117" t="s">
        <v>17</v>
      </c>
      <c r="E27" s="133">
        <v>458.34000000000003</v>
      </c>
    </row>
    <row r="28" spans="2:5" ht="25.5" customHeight="1" x14ac:dyDescent="0.2">
      <c r="B28" s="115" t="s">
        <v>38</v>
      </c>
      <c r="C28" s="116" t="s">
        <v>213</v>
      </c>
      <c r="D28" s="117" t="s">
        <v>17</v>
      </c>
      <c r="E28" s="133">
        <v>0.62</v>
      </c>
    </row>
    <row r="29" spans="2:5" ht="39" customHeight="1" x14ac:dyDescent="0.2">
      <c r="B29" s="134">
        <v>93584</v>
      </c>
      <c r="C29" s="135" t="s">
        <v>214</v>
      </c>
      <c r="D29" s="117" t="s">
        <v>205</v>
      </c>
      <c r="E29" s="136">
        <v>1118.9000000000001</v>
      </c>
    </row>
    <row r="30" spans="2:5" x14ac:dyDescent="0.2">
      <c r="B30" s="134">
        <v>98458</v>
      </c>
      <c r="C30" s="116" t="s">
        <v>215</v>
      </c>
      <c r="D30" s="117" t="s">
        <v>205</v>
      </c>
      <c r="E30" s="136">
        <v>169.65</v>
      </c>
    </row>
    <row r="31" spans="2:5" x14ac:dyDescent="0.2">
      <c r="B31" s="134">
        <v>98459</v>
      </c>
      <c r="C31" s="116" t="s">
        <v>216</v>
      </c>
      <c r="D31" s="117" t="s">
        <v>205</v>
      </c>
      <c r="E31" s="136">
        <v>142.43</v>
      </c>
    </row>
    <row r="32" spans="2:5" ht="22.5" x14ac:dyDescent="0.2">
      <c r="B32" s="134">
        <v>99059</v>
      </c>
      <c r="C32" s="116" t="s">
        <v>217</v>
      </c>
      <c r="D32" s="117" t="s">
        <v>42</v>
      </c>
      <c r="E32" s="136">
        <v>67.7</v>
      </c>
    </row>
    <row r="33" spans="2:5" x14ac:dyDescent="0.2">
      <c r="B33" s="115" t="s">
        <v>218</v>
      </c>
      <c r="C33" s="116" t="s">
        <v>219</v>
      </c>
      <c r="D33" s="117" t="s">
        <v>42</v>
      </c>
      <c r="E33" s="133">
        <v>126.16</v>
      </c>
    </row>
    <row r="34" spans="2:5" x14ac:dyDescent="0.2">
      <c r="B34" s="115" t="s">
        <v>220</v>
      </c>
      <c r="C34" s="116" t="s">
        <v>221</v>
      </c>
      <c r="D34" s="117" t="s">
        <v>205</v>
      </c>
      <c r="E34" s="133">
        <v>18.350000000000001</v>
      </c>
    </row>
    <row r="35" spans="2:5" x14ac:dyDescent="0.2">
      <c r="B35" s="115" t="s">
        <v>222</v>
      </c>
      <c r="C35" s="116" t="s">
        <v>221</v>
      </c>
      <c r="D35" s="117" t="s">
        <v>223</v>
      </c>
      <c r="E35" s="133">
        <v>106.66</v>
      </c>
    </row>
    <row r="36" spans="2:5" ht="22.5" x14ac:dyDescent="0.2">
      <c r="B36" s="120" t="s">
        <v>224</v>
      </c>
      <c r="C36" s="121" t="s">
        <v>225</v>
      </c>
      <c r="D36" s="122" t="s">
        <v>205</v>
      </c>
      <c r="E36" s="137">
        <v>0.44</v>
      </c>
    </row>
    <row r="37" spans="2:5" x14ac:dyDescent="0.2">
      <c r="B37" s="138" t="s">
        <v>226</v>
      </c>
      <c r="C37" s="139" t="s">
        <v>227</v>
      </c>
      <c r="D37" s="140" t="s">
        <v>17</v>
      </c>
      <c r="E37" s="141">
        <v>670.82999999999993</v>
      </c>
    </row>
    <row r="38" spans="2:5" x14ac:dyDescent="0.2">
      <c r="B38" s="138" t="s">
        <v>228</v>
      </c>
      <c r="C38" s="139" t="s">
        <v>229</v>
      </c>
      <c r="D38" s="140" t="s">
        <v>17</v>
      </c>
      <c r="E38" s="141">
        <v>2648.96</v>
      </c>
    </row>
    <row r="39" spans="2:5" x14ac:dyDescent="0.2">
      <c r="B39" s="142">
        <v>97063</v>
      </c>
      <c r="C39" s="143" t="s">
        <v>230</v>
      </c>
      <c r="D39" s="122" t="s">
        <v>205</v>
      </c>
      <c r="E39" s="144">
        <v>12.8</v>
      </c>
    </row>
    <row r="40" spans="2:5" ht="13.5" thickBot="1" x14ac:dyDescent="0.25">
      <c r="B40" s="128">
        <v>97064</v>
      </c>
      <c r="C40" s="129" t="s">
        <v>231</v>
      </c>
      <c r="D40" s="117" t="s">
        <v>42</v>
      </c>
      <c r="E40" s="145">
        <v>23.53</v>
      </c>
    </row>
    <row r="41" spans="2:5" ht="14.1" customHeight="1" x14ac:dyDescent="0.2">
      <c r="B41" s="937" t="s">
        <v>232</v>
      </c>
      <c r="C41" s="939"/>
      <c r="D41" s="939"/>
      <c r="E41" s="132"/>
    </row>
    <row r="42" spans="2:5" ht="14.1" customHeight="1" thickBot="1" x14ac:dyDescent="0.25">
      <c r="B42" s="111" t="s">
        <v>28</v>
      </c>
      <c r="C42" s="112" t="s">
        <v>183</v>
      </c>
      <c r="D42" s="113" t="s">
        <v>184</v>
      </c>
      <c r="E42" s="114" t="s">
        <v>185</v>
      </c>
    </row>
    <row r="43" spans="2:5" ht="22.5" x14ac:dyDescent="0.2">
      <c r="B43" s="146" t="s">
        <v>34</v>
      </c>
      <c r="C43" s="147" t="s">
        <v>233</v>
      </c>
      <c r="D43" s="148" t="s">
        <v>234</v>
      </c>
      <c r="E43" s="149">
        <v>2191.38</v>
      </c>
    </row>
    <row r="44" spans="2:5" ht="22.5" x14ac:dyDescent="0.2">
      <c r="B44" s="146" t="s">
        <v>35</v>
      </c>
      <c r="C44" s="147" t="s">
        <v>235</v>
      </c>
      <c r="D44" s="148" t="s">
        <v>234</v>
      </c>
      <c r="E44" s="149">
        <v>2191.38</v>
      </c>
    </row>
    <row r="45" spans="2:5" ht="22.5" x14ac:dyDescent="0.2">
      <c r="B45" s="146" t="s">
        <v>40</v>
      </c>
      <c r="C45" s="147" t="s">
        <v>236</v>
      </c>
      <c r="D45" s="148" t="s">
        <v>234</v>
      </c>
      <c r="E45" s="149">
        <v>1633.68</v>
      </c>
    </row>
    <row r="46" spans="2:5" ht="24.75" customHeight="1" x14ac:dyDescent="0.2">
      <c r="B46" s="146" t="s">
        <v>41</v>
      </c>
      <c r="C46" s="147" t="s">
        <v>237</v>
      </c>
      <c r="D46" s="148" t="s">
        <v>234</v>
      </c>
      <c r="E46" s="149">
        <v>1633.68</v>
      </c>
    </row>
    <row r="47" spans="2:5" ht="22.5" x14ac:dyDescent="0.2">
      <c r="B47" s="146" t="s">
        <v>32</v>
      </c>
      <c r="C47" s="147" t="s">
        <v>238</v>
      </c>
      <c r="D47" s="148" t="s">
        <v>234</v>
      </c>
      <c r="E47" s="149">
        <v>873.25</v>
      </c>
    </row>
    <row r="48" spans="2:5" ht="22.5" x14ac:dyDescent="0.2">
      <c r="B48" s="146" t="s">
        <v>33</v>
      </c>
      <c r="C48" s="147" t="s">
        <v>239</v>
      </c>
      <c r="D48" s="148" t="s">
        <v>234</v>
      </c>
      <c r="E48" s="149">
        <v>873.25</v>
      </c>
    </row>
    <row r="49" spans="2:5" x14ac:dyDescent="0.2">
      <c r="B49" s="146" t="s">
        <v>240</v>
      </c>
      <c r="C49" s="147" t="s">
        <v>241</v>
      </c>
      <c r="D49" s="148" t="s">
        <v>17</v>
      </c>
      <c r="E49" s="149">
        <v>697.07</v>
      </c>
    </row>
    <row r="50" spans="2:5" x14ac:dyDescent="0.2">
      <c r="B50" s="146" t="s">
        <v>242</v>
      </c>
      <c r="C50" s="147" t="s">
        <v>243</v>
      </c>
      <c r="D50" s="148" t="s">
        <v>17</v>
      </c>
      <c r="E50" s="149">
        <v>697.07</v>
      </c>
    </row>
    <row r="51" spans="2:5" ht="23.25" customHeight="1" x14ac:dyDescent="0.2">
      <c r="B51" s="146" t="s">
        <v>244</v>
      </c>
      <c r="C51" s="147" t="s">
        <v>245</v>
      </c>
      <c r="D51" s="148" t="s">
        <v>234</v>
      </c>
      <c r="E51" s="149">
        <v>873.25</v>
      </c>
    </row>
    <row r="52" spans="2:5" ht="22.5" x14ac:dyDescent="0.2">
      <c r="B52" s="146" t="s">
        <v>246</v>
      </c>
      <c r="C52" s="147" t="s">
        <v>247</v>
      </c>
      <c r="D52" s="148" t="s">
        <v>234</v>
      </c>
      <c r="E52" s="149">
        <v>1765.67</v>
      </c>
    </row>
    <row r="53" spans="2:5" ht="12.75" customHeight="1" x14ac:dyDescent="0.2">
      <c r="B53" s="146" t="s">
        <v>248</v>
      </c>
      <c r="C53" s="147" t="s">
        <v>249</v>
      </c>
      <c r="D53" s="148" t="s">
        <v>250</v>
      </c>
      <c r="E53" s="149">
        <v>3.17</v>
      </c>
    </row>
    <row r="54" spans="2:5" x14ac:dyDescent="0.2">
      <c r="B54" s="150">
        <v>100947</v>
      </c>
      <c r="C54" s="147" t="s">
        <v>251</v>
      </c>
      <c r="D54" s="148" t="s">
        <v>250</v>
      </c>
      <c r="E54" s="136">
        <v>2.17</v>
      </c>
    </row>
    <row r="55" spans="2:5" x14ac:dyDescent="0.2">
      <c r="B55" s="146" t="s">
        <v>252</v>
      </c>
      <c r="C55" s="147" t="s">
        <v>253</v>
      </c>
      <c r="D55" s="148" t="s">
        <v>250</v>
      </c>
      <c r="E55" s="149">
        <v>1.87</v>
      </c>
    </row>
    <row r="56" spans="2:5" x14ac:dyDescent="0.2">
      <c r="B56" s="150">
        <v>97918</v>
      </c>
      <c r="C56" s="147" t="s">
        <v>254</v>
      </c>
      <c r="D56" s="148" t="s">
        <v>250</v>
      </c>
      <c r="E56" s="136">
        <v>1.91</v>
      </c>
    </row>
    <row r="57" spans="2:5" x14ac:dyDescent="0.2">
      <c r="B57" s="150">
        <v>95878</v>
      </c>
      <c r="C57" s="147" t="s">
        <v>255</v>
      </c>
      <c r="D57" s="148" t="s">
        <v>250</v>
      </c>
      <c r="E57" s="136">
        <v>1.61</v>
      </c>
    </row>
    <row r="58" spans="2:5" x14ac:dyDescent="0.2">
      <c r="B58" s="150">
        <v>95879</v>
      </c>
      <c r="C58" s="147" t="s">
        <v>256</v>
      </c>
      <c r="D58" s="148" t="s">
        <v>250</v>
      </c>
      <c r="E58" s="136">
        <v>1.41</v>
      </c>
    </row>
    <row r="59" spans="2:5" x14ac:dyDescent="0.2">
      <c r="B59" s="150">
        <v>97914</v>
      </c>
      <c r="C59" s="147" t="s">
        <v>254</v>
      </c>
      <c r="D59" s="148" t="s">
        <v>257</v>
      </c>
      <c r="E59" s="136">
        <v>2.86</v>
      </c>
    </row>
    <row r="60" spans="2:5" x14ac:dyDescent="0.2">
      <c r="B60" s="150">
        <v>95875</v>
      </c>
      <c r="C60" s="147" t="s">
        <v>255</v>
      </c>
      <c r="D60" s="148" t="s">
        <v>257</v>
      </c>
      <c r="E60" s="136">
        <v>2.4</v>
      </c>
    </row>
    <row r="61" spans="2:5" x14ac:dyDescent="0.2">
      <c r="B61" s="150">
        <v>95876</v>
      </c>
      <c r="C61" s="147" t="s">
        <v>256</v>
      </c>
      <c r="D61" s="148" t="s">
        <v>257</v>
      </c>
      <c r="E61" s="136">
        <v>2.09</v>
      </c>
    </row>
    <row r="62" spans="2:5" ht="22.5" customHeight="1" x14ac:dyDescent="0.2">
      <c r="B62" s="150">
        <v>102331</v>
      </c>
      <c r="C62" s="147" t="s">
        <v>258</v>
      </c>
      <c r="D62" s="148" t="s">
        <v>250</v>
      </c>
      <c r="E62" s="136">
        <v>0.53</v>
      </c>
    </row>
    <row r="63" spans="2:5" ht="22.5" x14ac:dyDescent="0.2">
      <c r="B63" s="150">
        <v>102332</v>
      </c>
      <c r="C63" s="147" t="s">
        <v>259</v>
      </c>
      <c r="D63" s="148" t="s">
        <v>250</v>
      </c>
      <c r="E63" s="136">
        <v>1.78</v>
      </c>
    </row>
    <row r="64" spans="2:5" ht="15" customHeight="1" x14ac:dyDescent="0.2">
      <c r="B64" s="146" t="s">
        <v>260</v>
      </c>
      <c r="C64" s="147" t="s">
        <v>261</v>
      </c>
      <c r="D64" s="148" t="s">
        <v>250</v>
      </c>
      <c r="E64" s="149">
        <v>1.84</v>
      </c>
    </row>
    <row r="65" spans="2:5" ht="24.75" customHeight="1" x14ac:dyDescent="0.2">
      <c r="B65" s="146" t="s">
        <v>262</v>
      </c>
      <c r="C65" s="147" t="s">
        <v>263</v>
      </c>
      <c r="D65" s="148" t="s">
        <v>223</v>
      </c>
      <c r="E65" s="149">
        <v>2.5</v>
      </c>
    </row>
    <row r="66" spans="2:5" ht="22.5" x14ac:dyDescent="0.2">
      <c r="B66" s="146" t="s">
        <v>264</v>
      </c>
      <c r="C66" s="147" t="s">
        <v>265</v>
      </c>
      <c r="D66" s="148" t="s">
        <v>223</v>
      </c>
      <c r="E66" s="149">
        <v>3.08</v>
      </c>
    </row>
    <row r="67" spans="2:5" ht="22.5" x14ac:dyDescent="0.2">
      <c r="B67" s="146" t="s">
        <v>266</v>
      </c>
      <c r="C67" s="147" t="s">
        <v>267</v>
      </c>
      <c r="D67" s="148" t="s">
        <v>223</v>
      </c>
      <c r="E67" s="149">
        <v>7.71</v>
      </c>
    </row>
    <row r="68" spans="2:5" ht="22.5" x14ac:dyDescent="0.2">
      <c r="B68" s="146" t="s">
        <v>268</v>
      </c>
      <c r="C68" s="147" t="s">
        <v>269</v>
      </c>
      <c r="D68" s="148" t="s">
        <v>223</v>
      </c>
      <c r="E68" s="149">
        <v>13.51</v>
      </c>
    </row>
    <row r="69" spans="2:5" ht="22.5" x14ac:dyDescent="0.2">
      <c r="B69" s="146" t="s">
        <v>270</v>
      </c>
      <c r="C69" s="147" t="s">
        <v>271</v>
      </c>
      <c r="D69" s="148" t="s">
        <v>223</v>
      </c>
      <c r="E69" s="149">
        <v>19.29</v>
      </c>
    </row>
    <row r="70" spans="2:5" ht="22.5" x14ac:dyDescent="0.2">
      <c r="B70" s="146" t="s">
        <v>72</v>
      </c>
      <c r="C70" s="147" t="s">
        <v>272</v>
      </c>
      <c r="D70" s="148" t="s">
        <v>223</v>
      </c>
      <c r="E70" s="149">
        <v>25.08</v>
      </c>
    </row>
    <row r="71" spans="2:5" ht="22.5" x14ac:dyDescent="0.2">
      <c r="B71" s="146" t="s">
        <v>273</v>
      </c>
      <c r="C71" s="147" t="s">
        <v>274</v>
      </c>
      <c r="D71" s="148" t="s">
        <v>250</v>
      </c>
      <c r="E71" s="149">
        <v>3.43</v>
      </c>
    </row>
    <row r="72" spans="2:5" ht="22.5" x14ac:dyDescent="0.2">
      <c r="B72" s="146" t="s">
        <v>275</v>
      </c>
      <c r="C72" s="147" t="s">
        <v>276</v>
      </c>
      <c r="D72" s="148" t="s">
        <v>250</v>
      </c>
      <c r="E72" s="149">
        <v>4.4000000000000004</v>
      </c>
    </row>
    <row r="73" spans="2:5" ht="22.5" x14ac:dyDescent="0.2">
      <c r="B73" s="146" t="s">
        <v>277</v>
      </c>
      <c r="C73" s="147" t="s">
        <v>278</v>
      </c>
      <c r="D73" s="148" t="s">
        <v>234</v>
      </c>
      <c r="E73" s="149">
        <v>709.51</v>
      </c>
    </row>
    <row r="74" spans="2:5" ht="22.5" x14ac:dyDescent="0.2">
      <c r="B74" s="146" t="s">
        <v>279</v>
      </c>
      <c r="C74" s="147" t="s">
        <v>280</v>
      </c>
      <c r="D74" s="148" t="s">
        <v>234</v>
      </c>
      <c r="E74" s="149">
        <v>709.51</v>
      </c>
    </row>
    <row r="75" spans="2:5" ht="24.75" customHeight="1" x14ac:dyDescent="0.2">
      <c r="B75" s="146" t="s">
        <v>281</v>
      </c>
      <c r="C75" s="147" t="s">
        <v>282</v>
      </c>
      <c r="D75" s="148" t="s">
        <v>234</v>
      </c>
      <c r="E75" s="149">
        <v>4780.97</v>
      </c>
    </row>
    <row r="76" spans="2:5" ht="22.5" x14ac:dyDescent="0.2">
      <c r="B76" s="146" t="s">
        <v>283</v>
      </c>
      <c r="C76" s="147" t="s">
        <v>284</v>
      </c>
      <c r="D76" s="148" t="s">
        <v>234</v>
      </c>
      <c r="E76" s="149">
        <v>4780.97</v>
      </c>
    </row>
    <row r="77" spans="2:5" ht="27.75" customHeight="1" x14ac:dyDescent="0.2">
      <c r="B77" s="146" t="s">
        <v>285</v>
      </c>
      <c r="C77" s="147" t="s">
        <v>286</v>
      </c>
      <c r="D77" s="148" t="s">
        <v>234</v>
      </c>
      <c r="E77" s="149">
        <v>4780.97</v>
      </c>
    </row>
    <row r="78" spans="2:5" ht="27.75" customHeight="1" x14ac:dyDescent="0.2">
      <c r="B78" s="146" t="s">
        <v>287</v>
      </c>
      <c r="C78" s="147" t="s">
        <v>288</v>
      </c>
      <c r="D78" s="148" t="s">
        <v>234</v>
      </c>
      <c r="E78" s="149">
        <v>4780.97</v>
      </c>
    </row>
    <row r="79" spans="2:5" ht="26.25" customHeight="1" x14ac:dyDescent="0.2">
      <c r="B79" s="146" t="s">
        <v>289</v>
      </c>
      <c r="C79" s="147" t="s">
        <v>290</v>
      </c>
      <c r="D79" s="148" t="s">
        <v>234</v>
      </c>
      <c r="E79" s="149">
        <v>4780.97</v>
      </c>
    </row>
    <row r="80" spans="2:5" ht="22.5" x14ac:dyDescent="0.2">
      <c r="B80" s="146" t="s">
        <v>291</v>
      </c>
      <c r="C80" s="147" t="s">
        <v>292</v>
      </c>
      <c r="D80" s="148" t="s">
        <v>234</v>
      </c>
      <c r="E80" s="149">
        <v>4780.97</v>
      </c>
    </row>
    <row r="81" spans="2:5" ht="25.5" customHeight="1" x14ac:dyDescent="0.2">
      <c r="B81" s="146" t="s">
        <v>293</v>
      </c>
      <c r="C81" s="147" t="s">
        <v>294</v>
      </c>
      <c r="D81" s="148" t="s">
        <v>234</v>
      </c>
      <c r="E81" s="149">
        <v>691.38</v>
      </c>
    </row>
    <row r="82" spans="2:5" ht="22.5" x14ac:dyDescent="0.2">
      <c r="B82" s="146" t="s">
        <v>295</v>
      </c>
      <c r="C82" s="147" t="s">
        <v>296</v>
      </c>
      <c r="D82" s="148" t="s">
        <v>234</v>
      </c>
      <c r="E82" s="149">
        <v>691.38</v>
      </c>
    </row>
    <row r="83" spans="2:5" x14ac:dyDescent="0.2">
      <c r="B83" s="146" t="s">
        <v>297</v>
      </c>
      <c r="C83" s="147" t="s">
        <v>298</v>
      </c>
      <c r="D83" s="148" t="s">
        <v>234</v>
      </c>
      <c r="E83" s="149">
        <v>532.26</v>
      </c>
    </row>
    <row r="84" spans="2:5" x14ac:dyDescent="0.2">
      <c r="B84" s="146" t="s">
        <v>299</v>
      </c>
      <c r="C84" s="147" t="s">
        <v>300</v>
      </c>
      <c r="D84" s="148" t="s">
        <v>234</v>
      </c>
      <c r="E84" s="149">
        <v>532.26</v>
      </c>
    </row>
    <row r="85" spans="2:5" ht="22.5" x14ac:dyDescent="0.2">
      <c r="B85" s="146" t="s">
        <v>301</v>
      </c>
      <c r="C85" s="147" t="s">
        <v>302</v>
      </c>
      <c r="D85" s="148" t="s">
        <v>234</v>
      </c>
      <c r="E85" s="149">
        <v>155.08000000000001</v>
      </c>
    </row>
    <row r="86" spans="2:5" ht="22.5" x14ac:dyDescent="0.2">
      <c r="B86" s="146" t="s">
        <v>303</v>
      </c>
      <c r="C86" s="147" t="s">
        <v>304</v>
      </c>
      <c r="D86" s="148" t="s">
        <v>234</v>
      </c>
      <c r="E86" s="149">
        <v>232.62</v>
      </c>
    </row>
    <row r="87" spans="2:5" ht="22.5" x14ac:dyDescent="0.2">
      <c r="B87" s="146" t="s">
        <v>305</v>
      </c>
      <c r="C87" s="147" t="s">
        <v>306</v>
      </c>
      <c r="D87" s="148" t="s">
        <v>234</v>
      </c>
      <c r="E87" s="149">
        <v>310.16000000000003</v>
      </c>
    </row>
    <row r="88" spans="2:5" ht="22.5" x14ac:dyDescent="0.2">
      <c r="B88" s="146" t="s">
        <v>307</v>
      </c>
      <c r="C88" s="147" t="s">
        <v>308</v>
      </c>
      <c r="D88" s="148" t="s">
        <v>234</v>
      </c>
      <c r="E88" s="149">
        <v>155.08000000000001</v>
      </c>
    </row>
    <row r="89" spans="2:5" ht="23.25" thickBot="1" x14ac:dyDescent="0.25">
      <c r="B89" s="151" t="s">
        <v>309</v>
      </c>
      <c r="C89" s="152" t="s">
        <v>310</v>
      </c>
      <c r="D89" s="153" t="s">
        <v>234</v>
      </c>
      <c r="E89" s="154">
        <v>232.62</v>
      </c>
    </row>
    <row r="90" spans="2:5" x14ac:dyDescent="0.2">
      <c r="B90" s="155"/>
      <c r="C90" s="139"/>
      <c r="D90" s="156"/>
      <c r="E90" s="157"/>
    </row>
  </sheetData>
  <mergeCells count="8">
    <mergeCell ref="B21:D21"/>
    <mergeCell ref="B41:D41"/>
    <mergeCell ref="B2:B4"/>
    <mergeCell ref="C2:E2"/>
    <mergeCell ref="C3:E3"/>
    <mergeCell ref="C4:E4"/>
    <mergeCell ref="B5:D5"/>
    <mergeCell ref="B6:D6"/>
  </mergeCells>
  <printOptions horizontalCentered="1"/>
  <pageMargins left="0.39370078740157483" right="0.19685039370078741" top="0.59055118110236227" bottom="0.19685039370078741" header="0.23622047244094491" footer="0.59055118110236227"/>
  <pageSetup paperSize="9" scale="85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EBF54-E043-47C7-8B8F-4E1536AC83E4}">
  <sheetPr>
    <tabColor theme="9" tint="0.59999389629810485"/>
  </sheetPr>
  <dimension ref="B1:E649"/>
  <sheetViews>
    <sheetView zoomScaleNormal="100" workbookViewId="0"/>
  </sheetViews>
  <sheetFormatPr defaultRowHeight="12.75" x14ac:dyDescent="0.2"/>
  <cols>
    <col min="1" max="1" width="11.5703125" customWidth="1"/>
    <col min="2" max="2" width="8.42578125" bestFit="1" customWidth="1"/>
    <col min="3" max="3" width="70.5703125" customWidth="1"/>
    <col min="4" max="4" width="9.140625" customWidth="1"/>
    <col min="5" max="5" width="10.42578125" bestFit="1" customWidth="1"/>
  </cols>
  <sheetData>
    <row r="1" spans="2:5" ht="13.5" thickBot="1" x14ac:dyDescent="0.25">
      <c r="C1" s="108"/>
    </row>
    <row r="2" spans="2:5" ht="21" customHeight="1" x14ac:dyDescent="0.2">
      <c r="B2" s="940"/>
      <c r="C2" s="942" t="s">
        <v>179</v>
      </c>
      <c r="D2" s="943"/>
      <c r="E2" s="944"/>
    </row>
    <row r="3" spans="2:5" ht="21" customHeight="1" x14ac:dyDescent="0.2">
      <c r="B3" s="941"/>
      <c r="C3" s="945" t="s">
        <v>180</v>
      </c>
      <c r="D3" s="946"/>
      <c r="E3" s="947"/>
    </row>
    <row r="4" spans="2:5" ht="21" customHeight="1" thickBot="1" x14ac:dyDescent="0.25">
      <c r="B4" s="941"/>
      <c r="C4" s="948" t="s">
        <v>1604</v>
      </c>
      <c r="D4" s="949"/>
      <c r="E4" s="950"/>
    </row>
    <row r="5" spans="2:5" ht="33" customHeight="1" thickBot="1" x14ac:dyDescent="0.25">
      <c r="B5" s="951" t="s">
        <v>181</v>
      </c>
      <c r="C5" s="952"/>
      <c r="D5" s="952"/>
      <c r="E5" s="109" t="s">
        <v>182</v>
      </c>
    </row>
    <row r="6" spans="2:5" ht="14.1" customHeight="1" x14ac:dyDescent="0.2">
      <c r="B6" s="158"/>
      <c r="C6" s="159" t="s">
        <v>311</v>
      </c>
      <c r="D6" s="159"/>
      <c r="E6" s="160"/>
    </row>
    <row r="7" spans="2:5" ht="14.1" customHeight="1" thickBot="1" x14ac:dyDescent="0.25">
      <c r="B7" s="161" t="s">
        <v>28</v>
      </c>
      <c r="C7" s="162" t="s">
        <v>183</v>
      </c>
      <c r="D7" s="162" t="s">
        <v>184</v>
      </c>
      <c r="E7" s="114" t="s">
        <v>185</v>
      </c>
    </row>
    <row r="8" spans="2:5" x14ac:dyDescent="0.2">
      <c r="B8" s="163">
        <v>93358</v>
      </c>
      <c r="C8" s="164" t="s">
        <v>312</v>
      </c>
      <c r="D8" s="165" t="s">
        <v>223</v>
      </c>
      <c r="E8" s="166">
        <v>99.37</v>
      </c>
    </row>
    <row r="9" spans="2:5" ht="33.75" x14ac:dyDescent="0.2">
      <c r="B9" s="167">
        <v>90099</v>
      </c>
      <c r="C9" s="168" t="s">
        <v>313</v>
      </c>
      <c r="D9" s="169" t="s">
        <v>223</v>
      </c>
      <c r="E9" s="170">
        <v>16.260000000000002</v>
      </c>
    </row>
    <row r="10" spans="2:5" ht="33.75" x14ac:dyDescent="0.2">
      <c r="B10" s="167">
        <v>90100</v>
      </c>
      <c r="C10" s="168" t="s">
        <v>314</v>
      </c>
      <c r="D10" s="169" t="s">
        <v>223</v>
      </c>
      <c r="E10" s="170">
        <v>13.8</v>
      </c>
    </row>
    <row r="11" spans="2:5" ht="33.75" x14ac:dyDescent="0.2">
      <c r="B11" s="167">
        <v>90101</v>
      </c>
      <c r="C11" s="168" t="s">
        <v>315</v>
      </c>
      <c r="D11" s="169" t="s">
        <v>223</v>
      </c>
      <c r="E11" s="170">
        <v>13.63</v>
      </c>
    </row>
    <row r="12" spans="2:5" ht="33.75" x14ac:dyDescent="0.2">
      <c r="B12" s="167">
        <v>90102</v>
      </c>
      <c r="C12" s="168" t="s">
        <v>316</v>
      </c>
      <c r="D12" s="169" t="s">
        <v>223</v>
      </c>
      <c r="E12" s="170">
        <v>12.4</v>
      </c>
    </row>
    <row r="13" spans="2:5" ht="33.75" x14ac:dyDescent="0.2">
      <c r="B13" s="167">
        <v>90086</v>
      </c>
      <c r="C13" s="168" t="s">
        <v>317</v>
      </c>
      <c r="D13" s="169" t="s">
        <v>223</v>
      </c>
      <c r="E13" s="170">
        <v>11.06</v>
      </c>
    </row>
    <row r="14" spans="2:5" ht="33.75" x14ac:dyDescent="0.2">
      <c r="B14" s="167">
        <v>90087</v>
      </c>
      <c r="C14" s="168" t="s">
        <v>318</v>
      </c>
      <c r="D14" s="169" t="s">
        <v>223</v>
      </c>
      <c r="E14" s="170">
        <v>10.050000000000001</v>
      </c>
    </row>
    <row r="15" spans="2:5" ht="33.75" x14ac:dyDescent="0.2">
      <c r="B15" s="167">
        <v>102277</v>
      </c>
      <c r="C15" s="168" t="s">
        <v>319</v>
      </c>
      <c r="D15" s="169" t="s">
        <v>223</v>
      </c>
      <c r="E15" s="170">
        <v>10.74</v>
      </c>
    </row>
    <row r="16" spans="2:5" ht="33.75" x14ac:dyDescent="0.2">
      <c r="B16" s="167">
        <v>90090</v>
      </c>
      <c r="C16" s="168" t="s">
        <v>320</v>
      </c>
      <c r="D16" s="169" t="s">
        <v>223</v>
      </c>
      <c r="E16" s="170">
        <v>9.83</v>
      </c>
    </row>
    <row r="17" spans="2:5" ht="33.75" x14ac:dyDescent="0.2">
      <c r="B17" s="167">
        <v>90105</v>
      </c>
      <c r="C17" s="168" t="s">
        <v>321</v>
      </c>
      <c r="D17" s="169" t="s">
        <v>223</v>
      </c>
      <c r="E17" s="170">
        <v>8.9600000000000009</v>
      </c>
    </row>
    <row r="18" spans="2:5" ht="33.75" x14ac:dyDescent="0.2">
      <c r="B18" s="167">
        <v>90106</v>
      </c>
      <c r="C18" s="168" t="s">
        <v>322</v>
      </c>
      <c r="D18" s="169" t="s">
        <v>223</v>
      </c>
      <c r="E18" s="170">
        <v>7.61</v>
      </c>
    </row>
    <row r="19" spans="2:5" ht="33.75" x14ac:dyDescent="0.2">
      <c r="B19" s="167">
        <v>90107</v>
      </c>
      <c r="C19" s="168" t="s">
        <v>323</v>
      </c>
      <c r="D19" s="169" t="s">
        <v>223</v>
      </c>
      <c r="E19" s="170">
        <v>7.51</v>
      </c>
    </row>
    <row r="20" spans="2:5" ht="33.75" x14ac:dyDescent="0.2">
      <c r="B20" s="167">
        <v>90108</v>
      </c>
      <c r="C20" s="168" t="s">
        <v>324</v>
      </c>
      <c r="D20" s="169" t="s">
        <v>223</v>
      </c>
      <c r="E20" s="170">
        <v>6.84</v>
      </c>
    </row>
    <row r="21" spans="2:5" ht="33.75" x14ac:dyDescent="0.2">
      <c r="B21" s="167">
        <v>90094</v>
      </c>
      <c r="C21" s="168" t="s">
        <v>325</v>
      </c>
      <c r="D21" s="169" t="s">
        <v>223</v>
      </c>
      <c r="E21" s="170">
        <v>6.11</v>
      </c>
    </row>
    <row r="22" spans="2:5" ht="33.75" x14ac:dyDescent="0.2">
      <c r="B22" s="167">
        <v>90095</v>
      </c>
      <c r="C22" s="168" t="s">
        <v>326</v>
      </c>
      <c r="D22" s="169" t="s">
        <v>223</v>
      </c>
      <c r="E22" s="170">
        <v>5.52</v>
      </c>
    </row>
    <row r="23" spans="2:5" ht="33.75" x14ac:dyDescent="0.2">
      <c r="B23" s="167">
        <v>102294</v>
      </c>
      <c r="C23" s="168" t="s">
        <v>327</v>
      </c>
      <c r="D23" s="169" t="s">
        <v>25</v>
      </c>
      <c r="E23" s="170">
        <v>6.6</v>
      </c>
    </row>
    <row r="24" spans="2:5" ht="33.75" x14ac:dyDescent="0.2">
      <c r="B24" s="167">
        <v>90098</v>
      </c>
      <c r="C24" s="168" t="s">
        <v>328</v>
      </c>
      <c r="D24" s="169" t="s">
        <v>223</v>
      </c>
      <c r="E24" s="170">
        <v>5.43</v>
      </c>
    </row>
    <row r="25" spans="2:5" ht="12.75" customHeight="1" x14ac:dyDescent="0.2">
      <c r="B25" s="167">
        <v>101616</v>
      </c>
      <c r="C25" s="168" t="s">
        <v>329</v>
      </c>
      <c r="D25" s="169" t="s">
        <v>205</v>
      </c>
      <c r="E25" s="170">
        <v>7.4</v>
      </c>
    </row>
    <row r="26" spans="2:5" ht="22.5" x14ac:dyDescent="0.2">
      <c r="B26" s="167">
        <v>101617</v>
      </c>
      <c r="C26" s="168" t="s">
        <v>330</v>
      </c>
      <c r="D26" s="169" t="s">
        <v>205</v>
      </c>
      <c r="E26" s="170">
        <v>3.66</v>
      </c>
    </row>
    <row r="27" spans="2:5" ht="22.5" x14ac:dyDescent="0.2">
      <c r="B27" s="167">
        <v>101618</v>
      </c>
      <c r="C27" s="168" t="s">
        <v>331</v>
      </c>
      <c r="D27" s="169" t="s">
        <v>223</v>
      </c>
      <c r="E27" s="170">
        <v>242.32</v>
      </c>
    </row>
    <row r="28" spans="2:5" ht="22.5" x14ac:dyDescent="0.2">
      <c r="B28" s="167">
        <v>101619</v>
      </c>
      <c r="C28" s="168" t="s">
        <v>332</v>
      </c>
      <c r="D28" s="169" t="s">
        <v>223</v>
      </c>
      <c r="E28" s="170">
        <v>257.52</v>
      </c>
    </row>
    <row r="29" spans="2:5" ht="22.5" x14ac:dyDescent="0.2">
      <c r="B29" s="167">
        <v>101620</v>
      </c>
      <c r="C29" s="168" t="s">
        <v>333</v>
      </c>
      <c r="D29" s="169" t="s">
        <v>223</v>
      </c>
      <c r="E29" s="170">
        <v>212.62</v>
      </c>
    </row>
    <row r="30" spans="2:5" ht="22.5" x14ac:dyDescent="0.2">
      <c r="B30" s="167">
        <v>101621</v>
      </c>
      <c r="C30" s="168" t="s">
        <v>334</v>
      </c>
      <c r="D30" s="169" t="s">
        <v>223</v>
      </c>
      <c r="E30" s="170">
        <v>227.82</v>
      </c>
    </row>
    <row r="31" spans="2:5" ht="22.5" x14ac:dyDescent="0.2">
      <c r="B31" s="167">
        <v>101622</v>
      </c>
      <c r="C31" s="168" t="s">
        <v>335</v>
      </c>
      <c r="D31" s="169" t="s">
        <v>223</v>
      </c>
      <c r="E31" s="170">
        <v>200.29</v>
      </c>
    </row>
    <row r="32" spans="2:5" ht="22.5" x14ac:dyDescent="0.2">
      <c r="B32" s="167">
        <v>101623</v>
      </c>
      <c r="C32" s="168" t="s">
        <v>336</v>
      </c>
      <c r="D32" s="169" t="s">
        <v>223</v>
      </c>
      <c r="E32" s="170">
        <v>205.7</v>
      </c>
    </row>
    <row r="33" spans="2:5" ht="22.5" x14ac:dyDescent="0.2">
      <c r="B33" s="167">
        <v>101624</v>
      </c>
      <c r="C33" s="168" t="s">
        <v>337</v>
      </c>
      <c r="D33" s="169" t="s">
        <v>223</v>
      </c>
      <c r="E33" s="170">
        <v>156.22999999999999</v>
      </c>
    </row>
    <row r="34" spans="2:5" ht="22.5" x14ac:dyDescent="0.2">
      <c r="B34" s="167">
        <v>101625</v>
      </c>
      <c r="C34" s="168" t="s">
        <v>338</v>
      </c>
      <c r="D34" s="169" t="s">
        <v>223</v>
      </c>
      <c r="E34" s="170">
        <v>157.05000000000001</v>
      </c>
    </row>
    <row r="35" spans="2:5" x14ac:dyDescent="0.2">
      <c r="B35" s="167">
        <v>96995</v>
      </c>
      <c r="C35" s="168" t="s">
        <v>339</v>
      </c>
      <c r="D35" s="171" t="s">
        <v>223</v>
      </c>
      <c r="E35" s="170">
        <v>60.25</v>
      </c>
    </row>
    <row r="36" spans="2:5" x14ac:dyDescent="0.2">
      <c r="B36" s="167">
        <v>93382</v>
      </c>
      <c r="C36" s="168" t="s">
        <v>340</v>
      </c>
      <c r="D36" s="169" t="s">
        <v>223</v>
      </c>
      <c r="E36" s="170">
        <v>37.35</v>
      </c>
    </row>
    <row r="37" spans="2:5" ht="33.75" x14ac:dyDescent="0.2">
      <c r="B37" s="167">
        <v>93374</v>
      </c>
      <c r="C37" s="168" t="s">
        <v>341</v>
      </c>
      <c r="D37" s="169" t="s">
        <v>223</v>
      </c>
      <c r="E37" s="170">
        <v>28.42</v>
      </c>
    </row>
    <row r="38" spans="2:5" ht="33.75" x14ac:dyDescent="0.2">
      <c r="B38" s="167">
        <v>93375</v>
      </c>
      <c r="C38" s="168" t="s">
        <v>342</v>
      </c>
      <c r="D38" s="169" t="s">
        <v>223</v>
      </c>
      <c r="E38" s="170">
        <v>21.91</v>
      </c>
    </row>
    <row r="39" spans="2:5" ht="33.75" x14ac:dyDescent="0.2">
      <c r="B39" s="167">
        <v>93376</v>
      </c>
      <c r="C39" s="168" t="s">
        <v>343</v>
      </c>
      <c r="D39" s="169" t="s">
        <v>223</v>
      </c>
      <c r="E39" s="170">
        <v>17.87</v>
      </c>
    </row>
    <row r="40" spans="2:5" ht="33.75" x14ac:dyDescent="0.2">
      <c r="B40" s="167">
        <v>93377</v>
      </c>
      <c r="C40" s="168" t="s">
        <v>344</v>
      </c>
      <c r="D40" s="169" t="s">
        <v>223</v>
      </c>
      <c r="E40" s="170">
        <v>11.83</v>
      </c>
    </row>
    <row r="41" spans="2:5" ht="33.75" x14ac:dyDescent="0.2">
      <c r="B41" s="167">
        <v>93363</v>
      </c>
      <c r="C41" s="168" t="s">
        <v>345</v>
      </c>
      <c r="D41" s="169" t="s">
        <v>223</v>
      </c>
      <c r="E41" s="170">
        <v>15.95</v>
      </c>
    </row>
    <row r="42" spans="2:5" ht="33.75" x14ac:dyDescent="0.2">
      <c r="B42" s="167">
        <v>93364</v>
      </c>
      <c r="C42" s="168" t="s">
        <v>346</v>
      </c>
      <c r="D42" s="169" t="s">
        <v>223</v>
      </c>
      <c r="E42" s="170">
        <v>12.55</v>
      </c>
    </row>
    <row r="43" spans="2:5" ht="33.75" x14ac:dyDescent="0.2">
      <c r="B43" s="167">
        <v>93372</v>
      </c>
      <c r="C43" s="168" t="s">
        <v>347</v>
      </c>
      <c r="D43" s="169" t="s">
        <v>25</v>
      </c>
      <c r="E43" s="170">
        <v>12.52</v>
      </c>
    </row>
    <row r="44" spans="2:5" ht="33.75" x14ac:dyDescent="0.2">
      <c r="B44" s="167">
        <v>93366</v>
      </c>
      <c r="C44" s="168" t="s">
        <v>348</v>
      </c>
      <c r="D44" s="169" t="s">
        <v>223</v>
      </c>
      <c r="E44" s="170">
        <v>11.5</v>
      </c>
    </row>
    <row r="45" spans="2:5" ht="33.75" x14ac:dyDescent="0.2">
      <c r="B45" s="167">
        <v>93378</v>
      </c>
      <c r="C45" s="168" t="s">
        <v>349</v>
      </c>
      <c r="D45" s="169" t="s">
        <v>223</v>
      </c>
      <c r="E45" s="170">
        <v>26.69</v>
      </c>
    </row>
    <row r="46" spans="2:5" ht="33.75" x14ac:dyDescent="0.2">
      <c r="B46" s="167">
        <v>93379</v>
      </c>
      <c r="C46" s="168" t="s">
        <v>350</v>
      </c>
      <c r="D46" s="169" t="s">
        <v>223</v>
      </c>
      <c r="E46" s="170">
        <v>20.59</v>
      </c>
    </row>
    <row r="47" spans="2:5" ht="33.75" x14ac:dyDescent="0.2">
      <c r="B47" s="167">
        <v>93380</v>
      </c>
      <c r="C47" s="168" t="s">
        <v>351</v>
      </c>
      <c r="D47" s="169" t="s">
        <v>223</v>
      </c>
      <c r="E47" s="170">
        <v>16.86</v>
      </c>
    </row>
    <row r="48" spans="2:5" ht="33.75" x14ac:dyDescent="0.2">
      <c r="B48" s="167">
        <v>93381</v>
      </c>
      <c r="C48" s="168" t="s">
        <v>352</v>
      </c>
      <c r="D48" s="169" t="s">
        <v>223</v>
      </c>
      <c r="E48" s="170">
        <v>11.12</v>
      </c>
    </row>
    <row r="49" spans="2:5" ht="33.75" x14ac:dyDescent="0.2">
      <c r="B49" s="167">
        <v>93370</v>
      </c>
      <c r="C49" s="168" t="s">
        <v>353</v>
      </c>
      <c r="D49" s="169" t="s">
        <v>223</v>
      </c>
      <c r="E49" s="170">
        <v>14.39</v>
      </c>
    </row>
    <row r="50" spans="2:5" ht="33.75" x14ac:dyDescent="0.2">
      <c r="B50" s="167">
        <v>93371</v>
      </c>
      <c r="C50" s="168" t="s">
        <v>354</v>
      </c>
      <c r="D50" s="169" t="s">
        <v>223</v>
      </c>
      <c r="E50" s="170">
        <v>10.98</v>
      </c>
    </row>
    <row r="51" spans="2:5" ht="33.75" x14ac:dyDescent="0.2">
      <c r="B51" s="167">
        <v>93372</v>
      </c>
      <c r="C51" s="168" t="s">
        <v>355</v>
      </c>
      <c r="D51" s="169" t="s">
        <v>223</v>
      </c>
      <c r="E51" s="170">
        <v>12.52</v>
      </c>
    </row>
    <row r="52" spans="2:5" ht="33.75" x14ac:dyDescent="0.2">
      <c r="B52" s="167">
        <v>93373</v>
      </c>
      <c r="C52" s="168" t="s">
        <v>356</v>
      </c>
      <c r="D52" s="169" t="s">
        <v>223</v>
      </c>
      <c r="E52" s="170">
        <v>9.94</v>
      </c>
    </row>
    <row r="53" spans="2:5" ht="22.5" x14ac:dyDescent="0.2">
      <c r="B53" s="167">
        <v>94319</v>
      </c>
      <c r="C53" s="168" t="s">
        <v>357</v>
      </c>
      <c r="D53" s="169" t="s">
        <v>223</v>
      </c>
      <c r="E53" s="170">
        <v>84.12</v>
      </c>
    </row>
    <row r="54" spans="2:5" ht="22.5" x14ac:dyDescent="0.2">
      <c r="B54" s="167">
        <v>94342</v>
      </c>
      <c r="C54" s="168" t="s">
        <v>358</v>
      </c>
      <c r="D54" s="169" t="s">
        <v>223</v>
      </c>
      <c r="E54" s="170">
        <v>91.57</v>
      </c>
    </row>
    <row r="55" spans="2:5" ht="22.5" x14ac:dyDescent="0.2">
      <c r="B55" s="167">
        <v>94304</v>
      </c>
      <c r="C55" s="168" t="s">
        <v>359</v>
      </c>
      <c r="D55" s="169" t="s">
        <v>223</v>
      </c>
      <c r="E55" s="170">
        <v>69.87</v>
      </c>
    </row>
    <row r="56" spans="2:5" ht="22.5" x14ac:dyDescent="0.2">
      <c r="B56" s="167">
        <v>94305</v>
      </c>
      <c r="C56" s="168" t="s">
        <v>360</v>
      </c>
      <c r="D56" s="169" t="s">
        <v>223</v>
      </c>
      <c r="E56" s="170">
        <v>65.45</v>
      </c>
    </row>
    <row r="57" spans="2:5" ht="22.5" x14ac:dyDescent="0.2">
      <c r="B57" s="167">
        <v>94306</v>
      </c>
      <c r="C57" s="168" t="s">
        <v>361</v>
      </c>
      <c r="D57" s="169" t="s">
        <v>223</v>
      </c>
      <c r="E57" s="170">
        <v>59.88</v>
      </c>
    </row>
    <row r="58" spans="2:5" ht="22.5" x14ac:dyDescent="0.2">
      <c r="B58" s="167">
        <v>94307</v>
      </c>
      <c r="C58" s="168" t="s">
        <v>362</v>
      </c>
      <c r="D58" s="169" t="s">
        <v>223</v>
      </c>
      <c r="E58" s="170">
        <v>61.15</v>
      </c>
    </row>
    <row r="59" spans="2:5" ht="22.5" x14ac:dyDescent="0.2">
      <c r="B59" s="167">
        <v>94308</v>
      </c>
      <c r="C59" s="168" t="s">
        <v>363</v>
      </c>
      <c r="D59" s="169" t="s">
        <v>223</v>
      </c>
      <c r="E59" s="170">
        <v>57.75</v>
      </c>
    </row>
    <row r="60" spans="2:5" ht="22.5" x14ac:dyDescent="0.2">
      <c r="B60" s="167">
        <v>94309</v>
      </c>
      <c r="C60" s="168" t="s">
        <v>364</v>
      </c>
      <c r="D60" s="169" t="s">
        <v>223</v>
      </c>
      <c r="E60" s="170">
        <v>59.28</v>
      </c>
    </row>
    <row r="61" spans="2:5" ht="22.5" x14ac:dyDescent="0.2">
      <c r="B61" s="167">
        <v>94310</v>
      </c>
      <c r="C61" s="168" t="s">
        <v>365</v>
      </c>
      <c r="D61" s="169" t="s">
        <v>223</v>
      </c>
      <c r="E61" s="170">
        <v>56.68</v>
      </c>
    </row>
    <row r="62" spans="2:5" ht="22.5" x14ac:dyDescent="0.2">
      <c r="B62" s="167">
        <v>94315</v>
      </c>
      <c r="C62" s="168" t="s">
        <v>366</v>
      </c>
      <c r="D62" s="169" t="s">
        <v>223</v>
      </c>
      <c r="E62" s="170">
        <v>78.209999999999994</v>
      </c>
    </row>
    <row r="63" spans="2:5" ht="22.5" x14ac:dyDescent="0.2">
      <c r="B63" s="167">
        <v>94316</v>
      </c>
      <c r="C63" s="168" t="s">
        <v>367</v>
      </c>
      <c r="D63" s="169" t="s">
        <v>223</v>
      </c>
      <c r="E63" s="170">
        <v>68.11</v>
      </c>
    </row>
    <row r="64" spans="2:5" ht="22.5" x14ac:dyDescent="0.2">
      <c r="B64" s="167">
        <v>94317</v>
      </c>
      <c r="C64" s="168" t="s">
        <v>368</v>
      </c>
      <c r="D64" s="169" t="s">
        <v>223</v>
      </c>
      <c r="E64" s="170">
        <v>63.65</v>
      </c>
    </row>
    <row r="65" spans="2:5" ht="22.5" x14ac:dyDescent="0.2">
      <c r="B65" s="167">
        <v>94318</v>
      </c>
      <c r="C65" s="168" t="s">
        <v>369</v>
      </c>
      <c r="D65" s="169" t="s">
        <v>223</v>
      </c>
      <c r="E65" s="170">
        <v>57.88</v>
      </c>
    </row>
    <row r="66" spans="2:5" ht="22.5" x14ac:dyDescent="0.2">
      <c r="B66" s="167">
        <v>94327</v>
      </c>
      <c r="C66" s="168" t="s">
        <v>370</v>
      </c>
      <c r="D66" s="169" t="s">
        <v>223</v>
      </c>
      <c r="E66" s="170">
        <v>77.319999999999993</v>
      </c>
    </row>
    <row r="67" spans="2:5" ht="22.5" x14ac:dyDescent="0.2">
      <c r="B67" s="167">
        <v>94328</v>
      </c>
      <c r="C67" s="168" t="s">
        <v>371</v>
      </c>
      <c r="D67" s="169" t="s">
        <v>223</v>
      </c>
      <c r="E67" s="170">
        <v>72.900000000000006</v>
      </c>
    </row>
    <row r="68" spans="2:5" ht="22.5" x14ac:dyDescent="0.2">
      <c r="B68" s="167">
        <v>94329</v>
      </c>
      <c r="C68" s="168" t="s">
        <v>372</v>
      </c>
      <c r="D68" s="169" t="s">
        <v>223</v>
      </c>
      <c r="E68" s="170">
        <v>67.33</v>
      </c>
    </row>
    <row r="69" spans="2:5" ht="22.5" x14ac:dyDescent="0.2">
      <c r="B69" s="167">
        <v>94330</v>
      </c>
      <c r="C69" s="168" t="s">
        <v>373</v>
      </c>
      <c r="D69" s="169" t="s">
        <v>223</v>
      </c>
      <c r="E69" s="170">
        <v>68.599999999999994</v>
      </c>
    </row>
    <row r="70" spans="2:5" ht="22.5" x14ac:dyDescent="0.2">
      <c r="B70" s="167">
        <v>94331</v>
      </c>
      <c r="C70" s="168" t="s">
        <v>374</v>
      </c>
      <c r="D70" s="169" t="s">
        <v>223</v>
      </c>
      <c r="E70" s="170">
        <v>65.2</v>
      </c>
    </row>
    <row r="71" spans="2:5" ht="22.5" x14ac:dyDescent="0.2">
      <c r="B71" s="167">
        <v>94332</v>
      </c>
      <c r="C71" s="168" t="s">
        <v>375</v>
      </c>
      <c r="D71" s="169" t="s">
        <v>223</v>
      </c>
      <c r="E71" s="170">
        <v>66.73</v>
      </c>
    </row>
    <row r="72" spans="2:5" ht="22.5" x14ac:dyDescent="0.2">
      <c r="B72" s="167">
        <v>94333</v>
      </c>
      <c r="C72" s="168" t="s">
        <v>376</v>
      </c>
      <c r="D72" s="169" t="s">
        <v>223</v>
      </c>
      <c r="E72" s="170">
        <v>64.13</v>
      </c>
    </row>
    <row r="73" spans="2:5" ht="22.5" x14ac:dyDescent="0.2">
      <c r="B73" s="167">
        <v>94338</v>
      </c>
      <c r="C73" s="168" t="s">
        <v>377</v>
      </c>
      <c r="D73" s="169" t="s">
        <v>223</v>
      </c>
      <c r="E73" s="170">
        <v>85.66</v>
      </c>
    </row>
    <row r="74" spans="2:5" ht="22.5" x14ac:dyDescent="0.2">
      <c r="B74" s="167">
        <v>94339</v>
      </c>
      <c r="C74" s="168" t="s">
        <v>378</v>
      </c>
      <c r="D74" s="169" t="s">
        <v>223</v>
      </c>
      <c r="E74" s="170">
        <v>75.56</v>
      </c>
    </row>
    <row r="75" spans="2:5" ht="22.5" x14ac:dyDescent="0.2">
      <c r="B75" s="167">
        <v>94340</v>
      </c>
      <c r="C75" s="168" t="s">
        <v>379</v>
      </c>
      <c r="D75" s="169" t="s">
        <v>223</v>
      </c>
      <c r="E75" s="170">
        <v>71.099999999999994</v>
      </c>
    </row>
    <row r="76" spans="2:5" ht="22.5" x14ac:dyDescent="0.2">
      <c r="B76" s="167">
        <v>94341</v>
      </c>
      <c r="C76" s="168" t="s">
        <v>380</v>
      </c>
      <c r="D76" s="169" t="s">
        <v>223</v>
      </c>
      <c r="E76" s="170">
        <v>65.33</v>
      </c>
    </row>
    <row r="77" spans="2:5" x14ac:dyDescent="0.2">
      <c r="B77" s="167" t="s">
        <v>381</v>
      </c>
      <c r="C77" s="168" t="s">
        <v>382</v>
      </c>
      <c r="D77" s="169" t="s">
        <v>223</v>
      </c>
      <c r="E77" s="149">
        <v>134.43</v>
      </c>
    </row>
    <row r="78" spans="2:5" x14ac:dyDescent="0.2">
      <c r="B78" s="167" t="s">
        <v>383</v>
      </c>
      <c r="C78" s="168" t="s">
        <v>382</v>
      </c>
      <c r="D78" s="169" t="s">
        <v>223</v>
      </c>
      <c r="E78" s="149">
        <v>145.19999999999999</v>
      </c>
    </row>
    <row r="79" spans="2:5" x14ac:dyDescent="0.2">
      <c r="B79" s="172" t="s">
        <v>384</v>
      </c>
      <c r="C79" s="168" t="s">
        <v>385</v>
      </c>
      <c r="D79" s="173" t="s">
        <v>223</v>
      </c>
      <c r="E79" s="144">
        <v>19.260000000000002</v>
      </c>
    </row>
    <row r="80" spans="2:5" x14ac:dyDescent="0.2">
      <c r="B80" s="172" t="s">
        <v>386</v>
      </c>
      <c r="C80" s="168" t="s">
        <v>387</v>
      </c>
      <c r="D80" s="173" t="s">
        <v>223</v>
      </c>
      <c r="E80" s="144">
        <v>3.99</v>
      </c>
    </row>
    <row r="81" spans="2:5" x14ac:dyDescent="0.2">
      <c r="B81" s="167">
        <v>100973</v>
      </c>
      <c r="C81" s="168" t="s">
        <v>388</v>
      </c>
      <c r="D81" s="173" t="s">
        <v>84</v>
      </c>
      <c r="E81" s="170">
        <v>8.77</v>
      </c>
    </row>
    <row r="82" spans="2:5" x14ac:dyDescent="0.2">
      <c r="B82" s="167">
        <v>100974</v>
      </c>
      <c r="C82" s="168" t="s">
        <v>389</v>
      </c>
      <c r="D82" s="173" t="s">
        <v>84</v>
      </c>
      <c r="E82" s="170">
        <v>8.49</v>
      </c>
    </row>
    <row r="83" spans="2:5" x14ac:dyDescent="0.2">
      <c r="B83" s="167">
        <v>100975</v>
      </c>
      <c r="C83" s="168" t="s">
        <v>390</v>
      </c>
      <c r="D83" s="173" t="s">
        <v>84</v>
      </c>
      <c r="E83" s="170">
        <v>8.57</v>
      </c>
    </row>
    <row r="84" spans="2:5" ht="22.5" x14ac:dyDescent="0.2">
      <c r="B84" s="167">
        <v>100981</v>
      </c>
      <c r="C84" s="168" t="s">
        <v>391</v>
      </c>
      <c r="D84" s="173" t="s">
        <v>84</v>
      </c>
      <c r="E84" s="170">
        <v>9.25</v>
      </c>
    </row>
    <row r="85" spans="2:5" ht="22.5" x14ac:dyDescent="0.2">
      <c r="B85" s="167">
        <v>100982</v>
      </c>
      <c r="C85" s="168" t="s">
        <v>392</v>
      </c>
      <c r="D85" s="173" t="s">
        <v>84</v>
      </c>
      <c r="E85" s="170">
        <v>8.89</v>
      </c>
    </row>
    <row r="86" spans="2:5" ht="22.5" x14ac:dyDescent="0.2">
      <c r="B86" s="167">
        <v>100983</v>
      </c>
      <c r="C86" s="168" t="s">
        <v>393</v>
      </c>
      <c r="D86" s="173" t="s">
        <v>84</v>
      </c>
      <c r="E86" s="170">
        <v>8.93</v>
      </c>
    </row>
    <row r="87" spans="2:5" x14ac:dyDescent="0.2">
      <c r="B87" s="172" t="s">
        <v>394</v>
      </c>
      <c r="C87" s="168" t="s">
        <v>395</v>
      </c>
      <c r="D87" s="173" t="s">
        <v>396</v>
      </c>
      <c r="E87" s="144">
        <v>32.61</v>
      </c>
    </row>
    <row r="88" spans="2:5" x14ac:dyDescent="0.2">
      <c r="B88" s="172" t="s">
        <v>397</v>
      </c>
      <c r="C88" s="168" t="s">
        <v>398</v>
      </c>
      <c r="D88" s="173" t="s">
        <v>396</v>
      </c>
      <c r="E88" s="144">
        <v>29.85</v>
      </c>
    </row>
    <row r="89" spans="2:5" x14ac:dyDescent="0.2">
      <c r="B89" s="172" t="s">
        <v>399</v>
      </c>
      <c r="C89" s="168" t="s">
        <v>400</v>
      </c>
      <c r="D89" s="173" t="s">
        <v>396</v>
      </c>
      <c r="E89" s="144">
        <v>36.200000000000003</v>
      </c>
    </row>
    <row r="90" spans="2:5" x14ac:dyDescent="0.2">
      <c r="B90" s="172" t="s">
        <v>401</v>
      </c>
      <c r="C90" s="168" t="s">
        <v>402</v>
      </c>
      <c r="D90" s="173" t="s">
        <v>396</v>
      </c>
      <c r="E90" s="144">
        <v>37.31</v>
      </c>
    </row>
    <row r="91" spans="2:5" ht="25.5" customHeight="1" x14ac:dyDescent="0.2">
      <c r="B91" s="167" t="s">
        <v>403</v>
      </c>
      <c r="C91" s="168" t="s">
        <v>404</v>
      </c>
      <c r="D91" s="173" t="s">
        <v>42</v>
      </c>
      <c r="E91" s="144">
        <v>30.67</v>
      </c>
    </row>
    <row r="92" spans="2:5" ht="25.5" customHeight="1" x14ac:dyDescent="0.2">
      <c r="B92" s="172" t="s">
        <v>405</v>
      </c>
      <c r="C92" s="168" t="s">
        <v>406</v>
      </c>
      <c r="D92" s="173" t="s">
        <v>42</v>
      </c>
      <c r="E92" s="144">
        <v>40.9</v>
      </c>
    </row>
    <row r="93" spans="2:5" ht="25.5" customHeight="1" x14ac:dyDescent="0.2">
      <c r="B93" s="172" t="s">
        <v>407</v>
      </c>
      <c r="C93" s="168" t="s">
        <v>408</v>
      </c>
      <c r="D93" s="173" t="s">
        <v>42</v>
      </c>
      <c r="E93" s="144">
        <v>54.17</v>
      </c>
    </row>
    <row r="94" spans="2:5" x14ac:dyDescent="0.2">
      <c r="B94" s="172" t="s">
        <v>409</v>
      </c>
      <c r="C94" s="168" t="s">
        <v>410</v>
      </c>
      <c r="D94" s="173" t="s">
        <v>42</v>
      </c>
      <c r="E94" s="144">
        <v>9.91</v>
      </c>
    </row>
    <row r="95" spans="2:5" x14ac:dyDescent="0.2">
      <c r="B95" s="172" t="s">
        <v>411</v>
      </c>
      <c r="C95" s="168" t="s">
        <v>412</v>
      </c>
      <c r="D95" s="173" t="s">
        <v>42</v>
      </c>
      <c r="E95" s="144">
        <v>10.82</v>
      </c>
    </row>
    <row r="96" spans="2:5" x14ac:dyDescent="0.2">
      <c r="B96" s="172" t="s">
        <v>413</v>
      </c>
      <c r="C96" s="168" t="s">
        <v>414</v>
      </c>
      <c r="D96" s="173" t="s">
        <v>42</v>
      </c>
      <c r="E96" s="144">
        <v>11.9</v>
      </c>
    </row>
    <row r="97" spans="2:5" x14ac:dyDescent="0.2">
      <c r="B97" s="172" t="s">
        <v>415</v>
      </c>
      <c r="C97" s="168" t="s">
        <v>416</v>
      </c>
      <c r="D97" s="173" t="s">
        <v>42</v>
      </c>
      <c r="E97" s="144">
        <v>15.19</v>
      </c>
    </row>
    <row r="98" spans="2:5" x14ac:dyDescent="0.2">
      <c r="B98" s="172" t="s">
        <v>417</v>
      </c>
      <c r="C98" s="168" t="s">
        <v>418</v>
      </c>
      <c r="D98" s="173" t="s">
        <v>42</v>
      </c>
      <c r="E98" s="144">
        <v>15.5</v>
      </c>
    </row>
    <row r="99" spans="2:5" x14ac:dyDescent="0.2">
      <c r="B99" s="172" t="s">
        <v>419</v>
      </c>
      <c r="C99" s="168" t="s">
        <v>420</v>
      </c>
      <c r="D99" s="173" t="s">
        <v>42</v>
      </c>
      <c r="E99" s="144">
        <v>15.97</v>
      </c>
    </row>
    <row r="100" spans="2:5" x14ac:dyDescent="0.2">
      <c r="B100" s="172" t="s">
        <v>421</v>
      </c>
      <c r="C100" s="168" t="s">
        <v>422</v>
      </c>
      <c r="D100" s="173" t="s">
        <v>42</v>
      </c>
      <c r="E100" s="144">
        <v>22.35</v>
      </c>
    </row>
    <row r="101" spans="2:5" x14ac:dyDescent="0.2">
      <c r="B101" s="172" t="s">
        <v>423</v>
      </c>
      <c r="C101" s="168" t="s">
        <v>424</v>
      </c>
      <c r="D101" s="173" t="s">
        <v>42</v>
      </c>
      <c r="E101" s="144">
        <v>45.08</v>
      </c>
    </row>
    <row r="102" spans="2:5" x14ac:dyDescent="0.2">
      <c r="B102" s="172" t="s">
        <v>425</v>
      </c>
      <c r="C102" s="168" t="s">
        <v>426</v>
      </c>
      <c r="D102" s="173" t="s">
        <v>42</v>
      </c>
      <c r="E102" s="144">
        <v>64.290000000000006</v>
      </c>
    </row>
    <row r="103" spans="2:5" x14ac:dyDescent="0.2">
      <c r="B103" s="172" t="s">
        <v>427</v>
      </c>
      <c r="C103" s="168" t="s">
        <v>428</v>
      </c>
      <c r="D103" s="173" t="s">
        <v>42</v>
      </c>
      <c r="E103" s="144">
        <v>99.58</v>
      </c>
    </row>
    <row r="104" spans="2:5" x14ac:dyDescent="0.2">
      <c r="B104" s="172" t="s">
        <v>429</v>
      </c>
      <c r="C104" s="168" t="s">
        <v>430</v>
      </c>
      <c r="D104" s="173" t="s">
        <v>42</v>
      </c>
      <c r="E104" s="144">
        <v>132.77000000000001</v>
      </c>
    </row>
    <row r="105" spans="2:5" x14ac:dyDescent="0.2">
      <c r="B105" s="172" t="s">
        <v>431</v>
      </c>
      <c r="C105" s="168" t="s">
        <v>432</v>
      </c>
      <c r="D105" s="173" t="s">
        <v>42</v>
      </c>
      <c r="E105" s="144">
        <v>211.72</v>
      </c>
    </row>
    <row r="106" spans="2:5" x14ac:dyDescent="0.2">
      <c r="B106" s="172" t="s">
        <v>433</v>
      </c>
      <c r="C106" s="168" t="s">
        <v>434</v>
      </c>
      <c r="D106" s="173" t="s">
        <v>42</v>
      </c>
      <c r="E106" s="144">
        <v>30.18</v>
      </c>
    </row>
    <row r="107" spans="2:5" x14ac:dyDescent="0.2">
      <c r="B107" s="172" t="s">
        <v>435</v>
      </c>
      <c r="C107" s="168" t="s">
        <v>436</v>
      </c>
      <c r="D107" s="173" t="s">
        <v>42</v>
      </c>
      <c r="E107" s="144">
        <v>41.550000000000004</v>
      </c>
    </row>
    <row r="108" spans="2:5" x14ac:dyDescent="0.2">
      <c r="B108" s="172" t="s">
        <v>437</v>
      </c>
      <c r="C108" s="168" t="s">
        <v>438</v>
      </c>
      <c r="D108" s="173" t="s">
        <v>42</v>
      </c>
      <c r="E108" s="144">
        <v>53.17</v>
      </c>
    </row>
    <row r="109" spans="2:5" x14ac:dyDescent="0.2">
      <c r="B109" s="172" t="s">
        <v>439</v>
      </c>
      <c r="C109" s="168" t="s">
        <v>440</v>
      </c>
      <c r="D109" s="173" t="s">
        <v>42</v>
      </c>
      <c r="E109" s="144">
        <v>64.67</v>
      </c>
    </row>
    <row r="110" spans="2:5" x14ac:dyDescent="0.2">
      <c r="B110" s="172" t="s">
        <v>441</v>
      </c>
      <c r="C110" s="168" t="s">
        <v>442</v>
      </c>
      <c r="D110" s="173" t="s">
        <v>42</v>
      </c>
      <c r="E110" s="144">
        <v>76.78</v>
      </c>
    </row>
    <row r="111" spans="2:5" x14ac:dyDescent="0.2">
      <c r="B111" s="172" t="s">
        <v>443</v>
      </c>
      <c r="C111" s="168" t="s">
        <v>444</v>
      </c>
      <c r="D111" s="173" t="s">
        <v>42</v>
      </c>
      <c r="E111" s="144">
        <v>102.38</v>
      </c>
    </row>
    <row r="112" spans="2:5" x14ac:dyDescent="0.2">
      <c r="B112" s="172" t="s">
        <v>445</v>
      </c>
      <c r="C112" s="168" t="s">
        <v>446</v>
      </c>
      <c r="D112" s="173" t="s">
        <v>42</v>
      </c>
      <c r="E112" s="144">
        <v>132.38</v>
      </c>
    </row>
    <row r="113" spans="2:5" x14ac:dyDescent="0.2">
      <c r="B113" s="172" t="s">
        <v>447</v>
      </c>
      <c r="C113" s="168" t="s">
        <v>448</v>
      </c>
      <c r="D113" s="173" t="s">
        <v>42</v>
      </c>
      <c r="E113" s="144">
        <v>235.16</v>
      </c>
    </row>
    <row r="114" spans="2:5" x14ac:dyDescent="0.2">
      <c r="B114" s="172" t="s">
        <v>449</v>
      </c>
      <c r="C114" s="168" t="s">
        <v>450</v>
      </c>
      <c r="D114" s="173" t="s">
        <v>42</v>
      </c>
      <c r="E114" s="144">
        <v>314.26</v>
      </c>
    </row>
    <row r="115" spans="2:5" x14ac:dyDescent="0.2">
      <c r="B115" s="172" t="s">
        <v>451</v>
      </c>
      <c r="C115" s="168" t="s">
        <v>452</v>
      </c>
      <c r="D115" s="173" t="s">
        <v>42</v>
      </c>
      <c r="E115" s="144">
        <v>393.34000000000003</v>
      </c>
    </row>
    <row r="116" spans="2:5" x14ac:dyDescent="0.2">
      <c r="B116" s="172" t="s">
        <v>453</v>
      </c>
      <c r="C116" s="168" t="s">
        <v>454</v>
      </c>
      <c r="D116" s="173" t="s">
        <v>42</v>
      </c>
      <c r="E116" s="144">
        <v>439.9</v>
      </c>
    </row>
    <row r="117" spans="2:5" x14ac:dyDescent="0.2">
      <c r="B117" s="172" t="s">
        <v>455</v>
      </c>
      <c r="C117" s="168" t="s">
        <v>456</v>
      </c>
      <c r="D117" s="173" t="s">
        <v>42</v>
      </c>
      <c r="E117" s="144">
        <v>486.45</v>
      </c>
    </row>
    <row r="118" spans="2:5" ht="22.5" customHeight="1" x14ac:dyDescent="0.2">
      <c r="B118" s="172" t="s">
        <v>457</v>
      </c>
      <c r="C118" s="168" t="s">
        <v>458</v>
      </c>
      <c r="D118" s="173" t="s">
        <v>42</v>
      </c>
      <c r="E118" s="144">
        <v>51.59</v>
      </c>
    </row>
    <row r="119" spans="2:5" ht="22.5" x14ac:dyDescent="0.2">
      <c r="B119" s="167">
        <v>95567</v>
      </c>
      <c r="C119" s="168" t="s">
        <v>459</v>
      </c>
      <c r="D119" s="173" t="s">
        <v>42</v>
      </c>
      <c r="E119" s="170">
        <v>75.88</v>
      </c>
    </row>
    <row r="120" spans="2:5" ht="22.5" x14ac:dyDescent="0.2">
      <c r="B120" s="167">
        <v>95568</v>
      </c>
      <c r="C120" s="168" t="s">
        <v>460</v>
      </c>
      <c r="D120" s="173" t="s">
        <v>42</v>
      </c>
      <c r="E120" s="170">
        <v>94.32</v>
      </c>
    </row>
    <row r="121" spans="2:5" ht="22.5" x14ac:dyDescent="0.2">
      <c r="B121" s="167">
        <v>95569</v>
      </c>
      <c r="C121" s="168" t="s">
        <v>461</v>
      </c>
      <c r="D121" s="173" t="s">
        <v>42</v>
      </c>
      <c r="E121" s="170">
        <v>124.13</v>
      </c>
    </row>
    <row r="122" spans="2:5" ht="22.5" customHeight="1" x14ac:dyDescent="0.2">
      <c r="B122" s="167" t="s">
        <v>462</v>
      </c>
      <c r="C122" s="168" t="s">
        <v>463</v>
      </c>
      <c r="D122" s="173" t="s">
        <v>42</v>
      </c>
      <c r="E122" s="144">
        <v>57.61</v>
      </c>
    </row>
    <row r="123" spans="2:5" ht="22.5" x14ac:dyDescent="0.2">
      <c r="B123" s="167">
        <v>95570</v>
      </c>
      <c r="C123" s="168" t="s">
        <v>464</v>
      </c>
      <c r="D123" s="173" t="s">
        <v>42</v>
      </c>
      <c r="E123" s="170">
        <v>84.87</v>
      </c>
    </row>
    <row r="124" spans="2:5" ht="22.5" x14ac:dyDescent="0.2">
      <c r="B124" s="167">
        <v>95571</v>
      </c>
      <c r="C124" s="168" t="s">
        <v>465</v>
      </c>
      <c r="D124" s="173" t="s">
        <v>42</v>
      </c>
      <c r="E124" s="170">
        <v>105.82</v>
      </c>
    </row>
    <row r="125" spans="2:5" ht="22.5" x14ac:dyDescent="0.2">
      <c r="B125" s="167">
        <v>95572</v>
      </c>
      <c r="C125" s="168" t="s">
        <v>466</v>
      </c>
      <c r="D125" s="173" t="s">
        <v>42</v>
      </c>
      <c r="E125" s="170">
        <v>138.38</v>
      </c>
    </row>
    <row r="126" spans="2:5" ht="22.5" x14ac:dyDescent="0.2">
      <c r="B126" s="167">
        <v>95565</v>
      </c>
      <c r="C126" s="168" t="s">
        <v>467</v>
      </c>
      <c r="D126" s="173" t="s">
        <v>42</v>
      </c>
      <c r="E126" s="170">
        <v>121.99</v>
      </c>
    </row>
    <row r="127" spans="2:5" ht="22.5" x14ac:dyDescent="0.2">
      <c r="B127" s="167">
        <v>92210</v>
      </c>
      <c r="C127" s="168" t="s">
        <v>468</v>
      </c>
      <c r="D127" s="173" t="s">
        <v>42</v>
      </c>
      <c r="E127" s="170">
        <v>144.79</v>
      </c>
    </row>
    <row r="128" spans="2:5" ht="22.5" x14ac:dyDescent="0.2">
      <c r="B128" s="167">
        <v>92211</v>
      </c>
      <c r="C128" s="168" t="s">
        <v>469</v>
      </c>
      <c r="D128" s="173" t="s">
        <v>42</v>
      </c>
      <c r="E128" s="170">
        <v>174.29</v>
      </c>
    </row>
    <row r="129" spans="2:5" ht="22.5" x14ac:dyDescent="0.2">
      <c r="B129" s="167">
        <v>92212</v>
      </c>
      <c r="C129" s="168" t="s">
        <v>470</v>
      </c>
      <c r="D129" s="173" t="s">
        <v>42</v>
      </c>
      <c r="E129" s="170">
        <v>251.01</v>
      </c>
    </row>
    <row r="130" spans="2:5" ht="22.5" x14ac:dyDescent="0.2">
      <c r="B130" s="167">
        <v>92214</v>
      </c>
      <c r="C130" s="168" t="s">
        <v>471</v>
      </c>
      <c r="D130" s="173" t="s">
        <v>42</v>
      </c>
      <c r="E130" s="170">
        <v>389.52</v>
      </c>
    </row>
    <row r="131" spans="2:5" ht="22.5" customHeight="1" x14ac:dyDescent="0.2">
      <c r="B131" s="167">
        <v>92216</v>
      </c>
      <c r="C131" s="168" t="s">
        <v>472</v>
      </c>
      <c r="D131" s="173" t="s">
        <v>42</v>
      </c>
      <c r="E131" s="170">
        <v>471.26</v>
      </c>
    </row>
    <row r="132" spans="2:5" ht="22.5" customHeight="1" x14ac:dyDescent="0.2">
      <c r="B132" s="167">
        <v>92816</v>
      </c>
      <c r="C132" s="168" t="s">
        <v>473</v>
      </c>
      <c r="D132" s="173" t="s">
        <v>42</v>
      </c>
      <c r="E132" s="170">
        <v>667.53</v>
      </c>
    </row>
    <row r="133" spans="2:5" ht="22.5" customHeight="1" x14ac:dyDescent="0.2">
      <c r="B133" s="167">
        <v>92818</v>
      </c>
      <c r="C133" s="168" t="s">
        <v>474</v>
      </c>
      <c r="D133" s="173" t="s">
        <v>42</v>
      </c>
      <c r="E133" s="170">
        <v>947.82</v>
      </c>
    </row>
    <row r="134" spans="2:5" ht="22.5" x14ac:dyDescent="0.2">
      <c r="B134" s="167">
        <v>95566</v>
      </c>
      <c r="C134" s="168" t="s">
        <v>475</v>
      </c>
      <c r="D134" s="173" t="s">
        <v>42</v>
      </c>
      <c r="E134" s="170">
        <v>130.97999999999999</v>
      </c>
    </row>
    <row r="135" spans="2:5" ht="22.5" x14ac:dyDescent="0.2">
      <c r="B135" s="167">
        <v>92219</v>
      </c>
      <c r="C135" s="168" t="s">
        <v>476</v>
      </c>
      <c r="D135" s="173" t="s">
        <v>42</v>
      </c>
      <c r="E135" s="170">
        <v>156.29</v>
      </c>
    </row>
    <row r="136" spans="2:5" ht="22.5" x14ac:dyDescent="0.2">
      <c r="B136" s="167">
        <v>92220</v>
      </c>
      <c r="C136" s="168" t="s">
        <v>477</v>
      </c>
      <c r="D136" s="173" t="s">
        <v>42</v>
      </c>
      <c r="E136" s="170">
        <v>188.54</v>
      </c>
    </row>
    <row r="137" spans="2:5" ht="22.5" x14ac:dyDescent="0.2">
      <c r="B137" s="167">
        <v>92221</v>
      </c>
      <c r="C137" s="168" t="s">
        <v>478</v>
      </c>
      <c r="D137" s="173" t="s">
        <v>42</v>
      </c>
      <c r="E137" s="170">
        <v>267.70999999999998</v>
      </c>
    </row>
    <row r="138" spans="2:5" ht="22.5" x14ac:dyDescent="0.2">
      <c r="B138" s="167">
        <v>92223</v>
      </c>
      <c r="C138" s="168" t="s">
        <v>479</v>
      </c>
      <c r="D138" s="173" t="s">
        <v>42</v>
      </c>
      <c r="E138" s="170">
        <v>411.22</v>
      </c>
    </row>
    <row r="139" spans="2:5" ht="22.5" customHeight="1" x14ac:dyDescent="0.2">
      <c r="B139" s="167">
        <v>92226</v>
      </c>
      <c r="C139" s="168" t="s">
        <v>480</v>
      </c>
      <c r="D139" s="173" t="s">
        <v>42</v>
      </c>
      <c r="E139" s="170">
        <v>498.23</v>
      </c>
    </row>
    <row r="140" spans="2:5" ht="22.5" customHeight="1" x14ac:dyDescent="0.2">
      <c r="B140" s="167">
        <v>92829</v>
      </c>
      <c r="C140" s="168" t="s">
        <v>481</v>
      </c>
      <c r="D140" s="173" t="s">
        <v>42</v>
      </c>
      <c r="E140" s="170">
        <v>699.37</v>
      </c>
    </row>
    <row r="141" spans="2:5" ht="22.5" customHeight="1" x14ac:dyDescent="0.2">
      <c r="B141" s="167">
        <v>92831</v>
      </c>
      <c r="C141" s="168" t="s">
        <v>482</v>
      </c>
      <c r="D141" s="173" t="s">
        <v>42</v>
      </c>
      <c r="E141" s="170">
        <v>986.99</v>
      </c>
    </row>
    <row r="142" spans="2:5" ht="22.5" customHeight="1" x14ac:dyDescent="0.2">
      <c r="B142" s="172" t="s">
        <v>483</v>
      </c>
      <c r="C142" s="168" t="s">
        <v>484</v>
      </c>
      <c r="D142" s="173" t="s">
        <v>42</v>
      </c>
      <c r="E142" s="144">
        <v>368.96000000000004</v>
      </c>
    </row>
    <row r="143" spans="2:5" ht="22.5" customHeight="1" x14ac:dyDescent="0.2">
      <c r="B143" s="172" t="s">
        <v>485</v>
      </c>
      <c r="C143" s="168" t="s">
        <v>486</v>
      </c>
      <c r="D143" s="173" t="s">
        <v>42</v>
      </c>
      <c r="E143" s="144">
        <v>485.51</v>
      </c>
    </row>
    <row r="144" spans="2:5" ht="22.5" customHeight="1" x14ac:dyDescent="0.2">
      <c r="B144" s="172" t="s">
        <v>487</v>
      </c>
      <c r="C144" s="168" t="s">
        <v>488</v>
      </c>
      <c r="D144" s="173" t="s">
        <v>42</v>
      </c>
      <c r="E144" s="144">
        <v>753.08999999999992</v>
      </c>
    </row>
    <row r="145" spans="2:5" ht="22.5" customHeight="1" x14ac:dyDescent="0.2">
      <c r="B145" s="172" t="s">
        <v>489</v>
      </c>
      <c r="C145" s="168" t="s">
        <v>490</v>
      </c>
      <c r="D145" s="173" t="s">
        <v>42</v>
      </c>
      <c r="E145" s="144">
        <v>1060.17</v>
      </c>
    </row>
    <row r="146" spans="2:5" ht="22.5" customHeight="1" x14ac:dyDescent="0.2">
      <c r="B146" s="172" t="s">
        <v>491</v>
      </c>
      <c r="C146" s="168" t="s">
        <v>1605</v>
      </c>
      <c r="D146" s="173" t="s">
        <v>42</v>
      </c>
      <c r="E146" s="144">
        <v>2373.84</v>
      </c>
    </row>
    <row r="147" spans="2:5" ht="22.5" customHeight="1" x14ac:dyDescent="0.2">
      <c r="B147" s="172" t="s">
        <v>492</v>
      </c>
      <c r="C147" s="168" t="s">
        <v>493</v>
      </c>
      <c r="D147" s="173" t="s">
        <v>42</v>
      </c>
      <c r="E147" s="144">
        <v>2595.8900000000003</v>
      </c>
    </row>
    <row r="148" spans="2:5" ht="22.5" customHeight="1" x14ac:dyDescent="0.2">
      <c r="B148" s="172" t="s">
        <v>494</v>
      </c>
      <c r="C148" s="168" t="s">
        <v>1606</v>
      </c>
      <c r="D148" s="173" t="s">
        <v>42</v>
      </c>
      <c r="E148" s="144">
        <v>3285.67</v>
      </c>
    </row>
    <row r="149" spans="2:5" ht="22.5" x14ac:dyDescent="0.2">
      <c r="B149" s="172" t="s">
        <v>495</v>
      </c>
      <c r="C149" s="168" t="s">
        <v>496</v>
      </c>
      <c r="D149" s="173" t="s">
        <v>42</v>
      </c>
      <c r="E149" s="144">
        <v>442.70000000000005</v>
      </c>
    </row>
    <row r="150" spans="2:5" ht="33.75" x14ac:dyDescent="0.2">
      <c r="B150" s="172" t="s">
        <v>497</v>
      </c>
      <c r="C150" s="168" t="s">
        <v>498</v>
      </c>
      <c r="D150" s="173" t="s">
        <v>42</v>
      </c>
      <c r="E150" s="144">
        <v>568.51</v>
      </c>
    </row>
    <row r="151" spans="2:5" ht="22.5" x14ac:dyDescent="0.2">
      <c r="B151" s="172" t="s">
        <v>499</v>
      </c>
      <c r="C151" s="168" t="s">
        <v>500</v>
      </c>
      <c r="D151" s="173" t="s">
        <v>42</v>
      </c>
      <c r="E151" s="144">
        <v>795.01</v>
      </c>
    </row>
    <row r="152" spans="2:5" ht="33.75" x14ac:dyDescent="0.2">
      <c r="B152" s="172" t="s">
        <v>501</v>
      </c>
      <c r="C152" s="168" t="s">
        <v>502</v>
      </c>
      <c r="D152" s="173" t="s">
        <v>42</v>
      </c>
      <c r="E152" s="144">
        <v>1111.9499999999998</v>
      </c>
    </row>
    <row r="153" spans="2:5" ht="33.75" x14ac:dyDescent="0.2">
      <c r="B153" s="172" t="s">
        <v>503</v>
      </c>
      <c r="C153" s="168" t="s">
        <v>1607</v>
      </c>
      <c r="D153" s="173" t="s">
        <v>42</v>
      </c>
      <c r="E153" s="144">
        <v>2441.59</v>
      </c>
    </row>
    <row r="154" spans="2:5" ht="33.75" x14ac:dyDescent="0.2">
      <c r="B154" s="172" t="s">
        <v>504</v>
      </c>
      <c r="C154" s="168" t="s">
        <v>505</v>
      </c>
      <c r="D154" s="173" t="s">
        <v>42</v>
      </c>
      <c r="E154" s="144">
        <v>2673.62</v>
      </c>
    </row>
    <row r="155" spans="2:5" ht="33.75" x14ac:dyDescent="0.2">
      <c r="B155" s="172" t="s">
        <v>506</v>
      </c>
      <c r="C155" s="168" t="s">
        <v>1608</v>
      </c>
      <c r="D155" s="173" t="s">
        <v>42</v>
      </c>
      <c r="E155" s="144">
        <v>3360.33</v>
      </c>
    </row>
    <row r="156" spans="2:5" x14ac:dyDescent="0.2">
      <c r="B156" s="172" t="s">
        <v>507</v>
      </c>
      <c r="C156" s="168" t="s">
        <v>508</v>
      </c>
      <c r="D156" s="173" t="s">
        <v>17</v>
      </c>
      <c r="E156" s="144">
        <v>1428.75</v>
      </c>
    </row>
    <row r="157" spans="2:5" ht="22.5" x14ac:dyDescent="0.2">
      <c r="B157" s="167">
        <v>97961</v>
      </c>
      <c r="C157" s="168" t="s">
        <v>509</v>
      </c>
      <c r="D157" s="173" t="s">
        <v>17</v>
      </c>
      <c r="E157" s="170">
        <v>2230.7600000000002</v>
      </c>
    </row>
    <row r="158" spans="2:5" ht="22.5" x14ac:dyDescent="0.2">
      <c r="B158" s="167">
        <v>97973</v>
      </c>
      <c r="C158" s="168" t="s">
        <v>510</v>
      </c>
      <c r="D158" s="173" t="s">
        <v>17</v>
      </c>
      <c r="E158" s="170">
        <v>4160</v>
      </c>
    </row>
    <row r="159" spans="2:5" ht="25.5" customHeight="1" x14ac:dyDescent="0.2">
      <c r="B159" s="167">
        <v>101801</v>
      </c>
      <c r="C159" s="168" t="s">
        <v>511</v>
      </c>
      <c r="D159" s="173" t="s">
        <v>17</v>
      </c>
      <c r="E159" s="170">
        <v>1101.6199999999999</v>
      </c>
    </row>
    <row r="160" spans="2:5" ht="26.25" customHeight="1" x14ac:dyDescent="0.2">
      <c r="B160" s="172" t="s">
        <v>512</v>
      </c>
      <c r="C160" s="168" t="s">
        <v>513</v>
      </c>
      <c r="D160" s="173" t="s">
        <v>17</v>
      </c>
      <c r="E160" s="144">
        <v>1995.9199999999998</v>
      </c>
    </row>
    <row r="161" spans="2:5" x14ac:dyDescent="0.2">
      <c r="B161" s="172" t="s">
        <v>514</v>
      </c>
      <c r="C161" s="168" t="s">
        <v>515</v>
      </c>
      <c r="D161" s="173" t="s">
        <v>17</v>
      </c>
      <c r="E161" s="144">
        <v>351.03999999999996</v>
      </c>
    </row>
    <row r="162" spans="2:5" x14ac:dyDescent="0.2">
      <c r="B162" s="172" t="s">
        <v>516</v>
      </c>
      <c r="C162" s="168" t="s">
        <v>517</v>
      </c>
      <c r="D162" s="173" t="s">
        <v>17</v>
      </c>
      <c r="E162" s="144">
        <v>440.19</v>
      </c>
    </row>
    <row r="163" spans="2:5" x14ac:dyDescent="0.2">
      <c r="B163" s="172" t="s">
        <v>518</v>
      </c>
      <c r="C163" s="168" t="s">
        <v>519</v>
      </c>
      <c r="D163" s="173" t="s">
        <v>17</v>
      </c>
      <c r="E163" s="144">
        <v>638.18999999999994</v>
      </c>
    </row>
    <row r="164" spans="2:5" x14ac:dyDescent="0.2">
      <c r="B164" s="172" t="s">
        <v>520</v>
      </c>
      <c r="C164" s="168" t="s">
        <v>521</v>
      </c>
      <c r="D164" s="173" t="s">
        <v>17</v>
      </c>
      <c r="E164" s="144">
        <v>70.400000000000006</v>
      </c>
    </row>
    <row r="165" spans="2:5" ht="27" customHeight="1" x14ac:dyDescent="0.2">
      <c r="B165" s="172" t="s">
        <v>522</v>
      </c>
      <c r="C165" s="168" t="s">
        <v>523</v>
      </c>
      <c r="D165" s="173" t="s">
        <v>17</v>
      </c>
      <c r="E165" s="144">
        <v>1888.9</v>
      </c>
    </row>
    <row r="166" spans="2:5" ht="22.5" x14ac:dyDescent="0.2">
      <c r="B166" s="172" t="s">
        <v>524</v>
      </c>
      <c r="C166" s="168" t="s">
        <v>525</v>
      </c>
      <c r="D166" s="173" t="s">
        <v>17</v>
      </c>
      <c r="E166" s="144">
        <v>1876.8200000000002</v>
      </c>
    </row>
    <row r="167" spans="2:5" ht="22.5" x14ac:dyDescent="0.2">
      <c r="B167" s="172" t="s">
        <v>526</v>
      </c>
      <c r="C167" s="168" t="s">
        <v>527</v>
      </c>
      <c r="D167" s="173" t="s">
        <v>17</v>
      </c>
      <c r="E167" s="144">
        <v>1864.7400000000002</v>
      </c>
    </row>
    <row r="168" spans="2:5" ht="22.5" x14ac:dyDescent="0.2">
      <c r="B168" s="172" t="s">
        <v>528</v>
      </c>
      <c r="C168" s="168" t="s">
        <v>529</v>
      </c>
      <c r="D168" s="173" t="s">
        <v>17</v>
      </c>
      <c r="E168" s="144">
        <v>2533.2399999999998</v>
      </c>
    </row>
    <row r="169" spans="2:5" ht="22.5" x14ac:dyDescent="0.2">
      <c r="B169" s="172" t="s">
        <v>530</v>
      </c>
      <c r="C169" s="168" t="s">
        <v>531</v>
      </c>
      <c r="D169" s="173" t="s">
        <v>17</v>
      </c>
      <c r="E169" s="144">
        <v>3270.58</v>
      </c>
    </row>
    <row r="170" spans="2:5" ht="22.5" x14ac:dyDescent="0.2">
      <c r="B170" s="172" t="s">
        <v>532</v>
      </c>
      <c r="C170" s="168" t="s">
        <v>533</v>
      </c>
      <c r="D170" s="173" t="s">
        <v>17</v>
      </c>
      <c r="E170" s="144">
        <v>3908.39</v>
      </c>
    </row>
    <row r="171" spans="2:5" ht="22.5" x14ac:dyDescent="0.2">
      <c r="B171" s="172" t="s">
        <v>534</v>
      </c>
      <c r="C171" s="168" t="s">
        <v>535</v>
      </c>
      <c r="D171" s="173" t="s">
        <v>17</v>
      </c>
      <c r="E171" s="144">
        <v>5054.1499999999996</v>
      </c>
    </row>
    <row r="172" spans="2:5" ht="22.5" x14ac:dyDescent="0.2">
      <c r="B172" s="172" t="s">
        <v>536</v>
      </c>
      <c r="C172" s="168" t="s">
        <v>537</v>
      </c>
      <c r="D172" s="173" t="s">
        <v>17</v>
      </c>
      <c r="E172" s="144">
        <v>2250.67</v>
      </c>
    </row>
    <row r="173" spans="2:5" ht="22.5" customHeight="1" x14ac:dyDescent="0.2">
      <c r="B173" s="172" t="s">
        <v>538</v>
      </c>
      <c r="C173" s="168" t="s">
        <v>539</v>
      </c>
      <c r="D173" s="173" t="s">
        <v>17</v>
      </c>
      <c r="E173" s="144">
        <v>2236.58</v>
      </c>
    </row>
    <row r="174" spans="2:5" ht="22.5" customHeight="1" x14ac:dyDescent="0.2">
      <c r="B174" s="172" t="s">
        <v>540</v>
      </c>
      <c r="C174" s="168" t="s">
        <v>541</v>
      </c>
      <c r="D174" s="173" t="s">
        <v>17</v>
      </c>
      <c r="E174" s="144">
        <v>2222.4899999999998</v>
      </c>
    </row>
    <row r="175" spans="2:5" ht="22.5" x14ac:dyDescent="0.2">
      <c r="B175" s="172" t="s">
        <v>542</v>
      </c>
      <c r="C175" s="168" t="s">
        <v>543</v>
      </c>
      <c r="D175" s="173" t="s">
        <v>17</v>
      </c>
      <c r="E175" s="144">
        <v>2945.9199999999996</v>
      </c>
    </row>
    <row r="176" spans="2:5" ht="22.5" x14ac:dyDescent="0.2">
      <c r="B176" s="172" t="s">
        <v>544</v>
      </c>
      <c r="C176" s="168" t="s">
        <v>545</v>
      </c>
      <c r="D176" s="173" t="s">
        <v>17</v>
      </c>
      <c r="E176" s="144">
        <v>3712.4900000000002</v>
      </c>
    </row>
    <row r="177" spans="2:5" ht="22.5" x14ac:dyDescent="0.2">
      <c r="B177" s="172" t="s">
        <v>546</v>
      </c>
      <c r="C177" s="168" t="s">
        <v>547</v>
      </c>
      <c r="D177" s="173" t="s">
        <v>17</v>
      </c>
      <c r="E177" s="144">
        <v>4383.53</v>
      </c>
    </row>
    <row r="178" spans="2:5" ht="22.5" x14ac:dyDescent="0.2">
      <c r="B178" s="172" t="s">
        <v>548</v>
      </c>
      <c r="C178" s="168" t="s">
        <v>549</v>
      </c>
      <c r="D178" s="173" t="s">
        <v>17</v>
      </c>
      <c r="E178" s="144">
        <v>5440.4299999999994</v>
      </c>
    </row>
    <row r="179" spans="2:5" ht="22.5" x14ac:dyDescent="0.2">
      <c r="B179" s="172" t="s">
        <v>550</v>
      </c>
      <c r="C179" s="168" t="s">
        <v>551</v>
      </c>
      <c r="D179" s="173" t="s">
        <v>17</v>
      </c>
      <c r="E179" s="144">
        <v>2616.4599999999996</v>
      </c>
    </row>
    <row r="180" spans="2:5" ht="22.5" x14ac:dyDescent="0.2">
      <c r="B180" s="172" t="s">
        <v>552</v>
      </c>
      <c r="C180" s="168" t="s">
        <v>553</v>
      </c>
      <c r="D180" s="173" t="s">
        <v>17</v>
      </c>
      <c r="E180" s="144">
        <v>2604.3799999999997</v>
      </c>
    </row>
    <row r="181" spans="2:5" ht="22.5" x14ac:dyDescent="0.2">
      <c r="B181" s="172" t="s">
        <v>554</v>
      </c>
      <c r="C181" s="168" t="s">
        <v>555</v>
      </c>
      <c r="D181" s="173" t="s">
        <v>17</v>
      </c>
      <c r="E181" s="144">
        <v>2592.2999999999993</v>
      </c>
    </row>
    <row r="182" spans="2:5" ht="22.5" x14ac:dyDescent="0.2">
      <c r="B182" s="172" t="s">
        <v>556</v>
      </c>
      <c r="C182" s="168" t="s">
        <v>557</v>
      </c>
      <c r="D182" s="173" t="s">
        <v>17</v>
      </c>
      <c r="E182" s="144">
        <v>3370.6799999999994</v>
      </c>
    </row>
    <row r="183" spans="2:5" ht="22.5" x14ac:dyDescent="0.2">
      <c r="B183" s="172" t="s">
        <v>558</v>
      </c>
      <c r="C183" s="168" t="s">
        <v>559</v>
      </c>
      <c r="D183" s="173" t="s">
        <v>17</v>
      </c>
      <c r="E183" s="144">
        <v>4174.51</v>
      </c>
    </row>
    <row r="184" spans="2:5" ht="22.5" x14ac:dyDescent="0.2">
      <c r="B184" s="172" t="s">
        <v>560</v>
      </c>
      <c r="C184" s="168" t="s">
        <v>561</v>
      </c>
      <c r="D184" s="173" t="s">
        <v>17</v>
      </c>
      <c r="E184" s="144">
        <v>4874.7700000000004</v>
      </c>
    </row>
    <row r="185" spans="2:5" ht="22.5" x14ac:dyDescent="0.2">
      <c r="B185" s="172" t="s">
        <v>562</v>
      </c>
      <c r="C185" s="168" t="s">
        <v>563</v>
      </c>
      <c r="D185" s="173" t="s">
        <v>17</v>
      </c>
      <c r="E185" s="144">
        <v>5983.54</v>
      </c>
    </row>
    <row r="186" spans="2:5" ht="22.5" customHeight="1" x14ac:dyDescent="0.2">
      <c r="B186" s="172" t="s">
        <v>564</v>
      </c>
      <c r="C186" s="168" t="s">
        <v>565</v>
      </c>
      <c r="D186" s="173" t="s">
        <v>17</v>
      </c>
      <c r="E186" s="144">
        <v>2568.3700000000003</v>
      </c>
    </row>
    <row r="187" spans="2:5" ht="22.5" customHeight="1" x14ac:dyDescent="0.2">
      <c r="B187" s="172" t="s">
        <v>566</v>
      </c>
      <c r="C187" s="168" t="s">
        <v>567</v>
      </c>
      <c r="D187" s="173" t="s">
        <v>17</v>
      </c>
      <c r="E187" s="144">
        <v>2554.2800000000002</v>
      </c>
    </row>
    <row r="188" spans="2:5" ht="22.5" customHeight="1" x14ac:dyDescent="0.2">
      <c r="B188" s="172" t="s">
        <v>76</v>
      </c>
      <c r="C188" s="168" t="s">
        <v>568</v>
      </c>
      <c r="D188" s="173" t="s">
        <v>17</v>
      </c>
      <c r="E188" s="144">
        <v>2540.1900000000005</v>
      </c>
    </row>
    <row r="189" spans="2:5" ht="22.5" customHeight="1" x14ac:dyDescent="0.2">
      <c r="B189" s="172" t="s">
        <v>569</v>
      </c>
      <c r="C189" s="168" t="s">
        <v>570</v>
      </c>
      <c r="D189" s="173" t="s">
        <v>17</v>
      </c>
      <c r="E189" s="144">
        <v>2880.33</v>
      </c>
    </row>
    <row r="190" spans="2:5" ht="22.5" customHeight="1" x14ac:dyDescent="0.2">
      <c r="B190" s="172" t="s">
        <v>571</v>
      </c>
      <c r="C190" s="168" t="s">
        <v>572</v>
      </c>
      <c r="D190" s="173" t="s">
        <v>17</v>
      </c>
      <c r="E190" s="144">
        <v>3442.73</v>
      </c>
    </row>
    <row r="191" spans="2:5" ht="22.5" customHeight="1" x14ac:dyDescent="0.2">
      <c r="B191" s="172" t="s">
        <v>573</v>
      </c>
      <c r="C191" s="168" t="s">
        <v>574</v>
      </c>
      <c r="D191" s="173" t="s">
        <v>17</v>
      </c>
      <c r="E191" s="144">
        <v>4069.27</v>
      </c>
    </row>
    <row r="192" spans="2:5" ht="22.5" customHeight="1" x14ac:dyDescent="0.2">
      <c r="B192" s="172" t="s">
        <v>575</v>
      </c>
      <c r="C192" s="168" t="s">
        <v>576</v>
      </c>
      <c r="D192" s="173" t="s">
        <v>17</v>
      </c>
      <c r="E192" s="144">
        <v>5080.1600000000008</v>
      </c>
    </row>
    <row r="193" spans="2:5" ht="22.5" customHeight="1" x14ac:dyDescent="0.2">
      <c r="B193" s="172" t="s">
        <v>577</v>
      </c>
      <c r="C193" s="168" t="s">
        <v>578</v>
      </c>
      <c r="D193" s="173" t="s">
        <v>17</v>
      </c>
      <c r="E193" s="144">
        <v>2969.9400000000005</v>
      </c>
    </row>
    <row r="194" spans="2:5" ht="22.5" customHeight="1" x14ac:dyDescent="0.2">
      <c r="B194" s="172" t="s">
        <v>579</v>
      </c>
      <c r="C194" s="168" t="s">
        <v>580</v>
      </c>
      <c r="D194" s="173" t="s">
        <v>17</v>
      </c>
      <c r="E194" s="144">
        <v>2957.8700000000003</v>
      </c>
    </row>
    <row r="195" spans="2:5" ht="22.5" customHeight="1" x14ac:dyDescent="0.2">
      <c r="B195" s="172" t="s">
        <v>581</v>
      </c>
      <c r="C195" s="168" t="s">
        <v>582</v>
      </c>
      <c r="D195" s="173" t="s">
        <v>17</v>
      </c>
      <c r="E195" s="144">
        <v>2945.7900000000004</v>
      </c>
    </row>
    <row r="196" spans="2:5" ht="22.5" customHeight="1" x14ac:dyDescent="0.2">
      <c r="B196" s="172" t="s">
        <v>583</v>
      </c>
      <c r="C196" s="168" t="s">
        <v>584</v>
      </c>
      <c r="D196" s="173" t="s">
        <v>17</v>
      </c>
      <c r="E196" s="144">
        <v>3307.61</v>
      </c>
    </row>
    <row r="197" spans="2:5" ht="22.5" customHeight="1" x14ac:dyDescent="0.2">
      <c r="B197" s="172" t="s">
        <v>585</v>
      </c>
      <c r="C197" s="168" t="s">
        <v>586</v>
      </c>
      <c r="D197" s="173" t="s">
        <v>17</v>
      </c>
      <c r="E197" s="144">
        <v>3687.1200000000003</v>
      </c>
    </row>
    <row r="198" spans="2:5" ht="22.5" customHeight="1" x14ac:dyDescent="0.2">
      <c r="B198" s="172" t="s">
        <v>587</v>
      </c>
      <c r="C198" s="168" t="s">
        <v>588</v>
      </c>
      <c r="D198" s="173" t="s">
        <v>17</v>
      </c>
      <c r="E198" s="144">
        <v>4544.42</v>
      </c>
    </row>
    <row r="199" spans="2:5" ht="22.5" customHeight="1" x14ac:dyDescent="0.2">
      <c r="B199" s="172" t="s">
        <v>589</v>
      </c>
      <c r="C199" s="168" t="s">
        <v>590</v>
      </c>
      <c r="D199" s="173" t="s">
        <v>17</v>
      </c>
      <c r="E199" s="144">
        <v>5603.1500000000005</v>
      </c>
    </row>
    <row r="200" spans="2:5" ht="22.5" customHeight="1" x14ac:dyDescent="0.2">
      <c r="B200" s="172" t="s">
        <v>591</v>
      </c>
      <c r="C200" s="168" t="s">
        <v>592</v>
      </c>
      <c r="D200" s="173" t="s">
        <v>17</v>
      </c>
      <c r="E200" s="144">
        <v>3387.6200000000003</v>
      </c>
    </row>
    <row r="201" spans="2:5" ht="22.5" customHeight="1" x14ac:dyDescent="0.2">
      <c r="B201" s="172" t="s">
        <v>593</v>
      </c>
      <c r="C201" s="168" t="s">
        <v>594</v>
      </c>
      <c r="D201" s="173" t="s">
        <v>17</v>
      </c>
      <c r="E201" s="144">
        <v>3375.5400000000004</v>
      </c>
    </row>
    <row r="202" spans="2:5" ht="22.5" customHeight="1" x14ac:dyDescent="0.2">
      <c r="B202" s="172" t="s">
        <v>595</v>
      </c>
      <c r="C202" s="168" t="s">
        <v>596</v>
      </c>
      <c r="D202" s="173" t="s">
        <v>17</v>
      </c>
      <c r="E202" s="144">
        <v>3363.4600000000005</v>
      </c>
    </row>
    <row r="203" spans="2:5" ht="22.5" customHeight="1" x14ac:dyDescent="0.2">
      <c r="B203" s="172" t="s">
        <v>597</v>
      </c>
      <c r="C203" s="168" t="s">
        <v>598</v>
      </c>
      <c r="D203" s="173" t="s">
        <v>17</v>
      </c>
      <c r="E203" s="144">
        <v>3751.01</v>
      </c>
    </row>
    <row r="204" spans="2:5" ht="22.5" customHeight="1" x14ac:dyDescent="0.2">
      <c r="B204" s="172" t="s">
        <v>599</v>
      </c>
      <c r="C204" s="168" t="s">
        <v>600</v>
      </c>
      <c r="D204" s="173" t="s">
        <v>17</v>
      </c>
      <c r="E204" s="144">
        <v>4350.68</v>
      </c>
    </row>
    <row r="205" spans="2:5" ht="22.5" customHeight="1" x14ac:dyDescent="0.2">
      <c r="B205" s="172" t="s">
        <v>601</v>
      </c>
      <c r="C205" s="168" t="s">
        <v>602</v>
      </c>
      <c r="D205" s="173" t="s">
        <v>17</v>
      </c>
      <c r="E205" s="144">
        <v>5043.5099999999993</v>
      </c>
    </row>
    <row r="206" spans="2:5" ht="22.5" customHeight="1" x14ac:dyDescent="0.2">
      <c r="B206" s="172" t="s">
        <v>603</v>
      </c>
      <c r="C206" s="168" t="s">
        <v>604</v>
      </c>
      <c r="D206" s="173" t="s">
        <v>17</v>
      </c>
      <c r="E206" s="144">
        <v>6142.2400000000007</v>
      </c>
    </row>
    <row r="207" spans="2:5" ht="24.75" customHeight="1" x14ac:dyDescent="0.2">
      <c r="B207" s="174">
        <v>99254</v>
      </c>
      <c r="C207" s="168" t="s">
        <v>605</v>
      </c>
      <c r="D207" s="173" t="s">
        <v>42</v>
      </c>
      <c r="E207" s="144">
        <v>1284.3800000000001</v>
      </c>
    </row>
    <row r="208" spans="2:5" x14ac:dyDescent="0.2">
      <c r="B208" s="167">
        <v>102737</v>
      </c>
      <c r="C208" s="168" t="s">
        <v>606</v>
      </c>
      <c r="D208" s="173" t="s">
        <v>17</v>
      </c>
      <c r="E208" s="170">
        <v>1062.8900000000001</v>
      </c>
    </row>
    <row r="209" spans="2:5" x14ac:dyDescent="0.2">
      <c r="B209" s="167">
        <v>102738</v>
      </c>
      <c r="C209" s="168" t="s">
        <v>607</v>
      </c>
      <c r="D209" s="173" t="s">
        <v>17</v>
      </c>
      <c r="E209" s="170">
        <v>2174.66</v>
      </c>
    </row>
    <row r="210" spans="2:5" x14ac:dyDescent="0.2">
      <c r="B210" s="167">
        <v>102739</v>
      </c>
      <c r="C210" s="168" t="s">
        <v>608</v>
      </c>
      <c r="D210" s="173" t="s">
        <v>17</v>
      </c>
      <c r="E210" s="170">
        <v>3642.94</v>
      </c>
    </row>
    <row r="211" spans="2:5" x14ac:dyDescent="0.2">
      <c r="B211" s="167">
        <v>102740</v>
      </c>
      <c r="C211" s="168" t="s">
        <v>609</v>
      </c>
      <c r="D211" s="173" t="s">
        <v>17</v>
      </c>
      <c r="E211" s="170">
        <v>5459.81</v>
      </c>
    </row>
    <row r="212" spans="2:5" x14ac:dyDescent="0.2">
      <c r="B212" s="167">
        <v>102741</v>
      </c>
      <c r="C212" s="168" t="s">
        <v>610</v>
      </c>
      <c r="D212" s="173" t="s">
        <v>17</v>
      </c>
      <c r="E212" s="170">
        <v>7661.45</v>
      </c>
    </row>
    <row r="213" spans="2:5" x14ac:dyDescent="0.2">
      <c r="B213" s="167">
        <v>102742</v>
      </c>
      <c r="C213" s="168" t="s">
        <v>611</v>
      </c>
      <c r="D213" s="173" t="s">
        <v>17</v>
      </c>
      <c r="E213" s="170">
        <v>13260.83</v>
      </c>
    </row>
    <row r="214" spans="2:5" x14ac:dyDescent="0.2">
      <c r="B214" s="172" t="s">
        <v>612</v>
      </c>
      <c r="C214" s="168" t="s">
        <v>613</v>
      </c>
      <c r="D214" s="175" t="s">
        <v>17</v>
      </c>
      <c r="E214" s="176">
        <v>572.69000000000005</v>
      </c>
    </row>
    <row r="215" spans="2:5" x14ac:dyDescent="0.2">
      <c r="B215" s="172" t="s">
        <v>614</v>
      </c>
      <c r="C215" s="168" t="s">
        <v>610</v>
      </c>
      <c r="D215" s="173" t="s">
        <v>17</v>
      </c>
      <c r="E215" s="144">
        <v>4575.46</v>
      </c>
    </row>
    <row r="216" spans="2:5" ht="12.75" customHeight="1" x14ac:dyDescent="0.2">
      <c r="B216" s="172" t="s">
        <v>615</v>
      </c>
      <c r="C216" s="168" t="s">
        <v>611</v>
      </c>
      <c r="D216" s="173" t="s">
        <v>17</v>
      </c>
      <c r="E216" s="144">
        <v>8384.27</v>
      </c>
    </row>
    <row r="217" spans="2:5" ht="22.5" x14ac:dyDescent="0.2">
      <c r="B217" s="172" t="s">
        <v>75</v>
      </c>
      <c r="C217" s="168" t="s">
        <v>616</v>
      </c>
      <c r="D217" s="173" t="s">
        <v>223</v>
      </c>
      <c r="E217" s="144">
        <v>173.82</v>
      </c>
    </row>
    <row r="218" spans="2:5" ht="12.75" customHeight="1" x14ac:dyDescent="0.2">
      <c r="B218" s="172" t="s">
        <v>69</v>
      </c>
      <c r="C218" s="168" t="s">
        <v>617</v>
      </c>
      <c r="D218" s="173" t="s">
        <v>223</v>
      </c>
      <c r="E218" s="144">
        <v>174.73000000000002</v>
      </c>
    </row>
    <row r="219" spans="2:5" ht="12.75" customHeight="1" x14ac:dyDescent="0.2">
      <c r="B219" s="172" t="s">
        <v>618</v>
      </c>
      <c r="C219" s="168" t="s">
        <v>619</v>
      </c>
      <c r="D219" s="173" t="s">
        <v>223</v>
      </c>
      <c r="E219" s="144">
        <v>179.08999999999997</v>
      </c>
    </row>
    <row r="220" spans="2:5" ht="12.75" customHeight="1" x14ac:dyDescent="0.2">
      <c r="B220" s="172" t="s">
        <v>71</v>
      </c>
      <c r="C220" s="168" t="s">
        <v>620</v>
      </c>
      <c r="D220" s="173" t="s">
        <v>223</v>
      </c>
      <c r="E220" s="144">
        <v>179.45999999999998</v>
      </c>
    </row>
    <row r="221" spans="2:5" ht="12.75" customHeight="1" x14ac:dyDescent="0.2">
      <c r="B221" s="172" t="s">
        <v>621</v>
      </c>
      <c r="C221" s="168" t="s">
        <v>622</v>
      </c>
      <c r="D221" s="173" t="s">
        <v>223</v>
      </c>
      <c r="E221" s="144">
        <v>175.26999999999998</v>
      </c>
    </row>
    <row r="222" spans="2:5" ht="12.75" customHeight="1" x14ac:dyDescent="0.2">
      <c r="B222" s="172" t="s">
        <v>623</v>
      </c>
      <c r="C222" s="168" t="s">
        <v>624</v>
      </c>
      <c r="D222" s="173" t="s">
        <v>223</v>
      </c>
      <c r="E222" s="144">
        <v>110.41999999999999</v>
      </c>
    </row>
    <row r="223" spans="2:5" ht="12.75" customHeight="1" x14ac:dyDescent="0.2">
      <c r="B223" s="172" t="s">
        <v>625</v>
      </c>
      <c r="C223" s="168" t="s">
        <v>626</v>
      </c>
      <c r="D223" s="173" t="s">
        <v>223</v>
      </c>
      <c r="E223" s="144">
        <v>209.45</v>
      </c>
    </row>
    <row r="224" spans="2:5" ht="22.5" x14ac:dyDescent="0.2">
      <c r="B224" s="167">
        <v>101570</v>
      </c>
      <c r="C224" s="168" t="s">
        <v>627</v>
      </c>
      <c r="D224" s="173" t="s">
        <v>205</v>
      </c>
      <c r="E224" s="170">
        <v>28.28</v>
      </c>
    </row>
    <row r="225" spans="2:5" ht="22.5" x14ac:dyDescent="0.2">
      <c r="B225" s="167">
        <v>101571</v>
      </c>
      <c r="C225" s="168" t="s">
        <v>628</v>
      </c>
      <c r="D225" s="173" t="s">
        <v>205</v>
      </c>
      <c r="E225" s="170">
        <v>38.26</v>
      </c>
    </row>
    <row r="226" spans="2:5" ht="22.5" x14ac:dyDescent="0.2">
      <c r="B226" s="35">
        <v>101572</v>
      </c>
      <c r="C226" s="36" t="s">
        <v>629</v>
      </c>
      <c r="D226" s="173" t="s">
        <v>205</v>
      </c>
      <c r="E226" s="170">
        <v>22.22</v>
      </c>
    </row>
    <row r="227" spans="2:5" ht="22.5" x14ac:dyDescent="0.2">
      <c r="B227" s="35">
        <v>101573</v>
      </c>
      <c r="C227" s="36" t="s">
        <v>630</v>
      </c>
      <c r="D227" s="173" t="s">
        <v>205</v>
      </c>
      <c r="E227" s="170">
        <v>32.21</v>
      </c>
    </row>
    <row r="228" spans="2:5" ht="22.5" x14ac:dyDescent="0.2">
      <c r="B228" s="35">
        <v>101574</v>
      </c>
      <c r="C228" s="36" t="s">
        <v>631</v>
      </c>
      <c r="D228" s="173" t="s">
        <v>205</v>
      </c>
      <c r="E228" s="170">
        <v>17.059999999999999</v>
      </c>
    </row>
    <row r="229" spans="2:5" ht="22.5" x14ac:dyDescent="0.2">
      <c r="B229" s="35">
        <v>101575</v>
      </c>
      <c r="C229" s="36" t="s">
        <v>632</v>
      </c>
      <c r="D229" s="173" t="s">
        <v>205</v>
      </c>
      <c r="E229" s="170">
        <v>27.25</v>
      </c>
    </row>
    <row r="230" spans="2:5" ht="22.5" x14ac:dyDescent="0.2">
      <c r="B230" s="35">
        <v>101576</v>
      </c>
      <c r="C230" s="36" t="s">
        <v>633</v>
      </c>
      <c r="D230" s="173" t="s">
        <v>205</v>
      </c>
      <c r="E230" s="170">
        <v>51.08</v>
      </c>
    </row>
    <row r="231" spans="2:5" ht="22.5" x14ac:dyDescent="0.2">
      <c r="B231" s="35">
        <v>101577</v>
      </c>
      <c r="C231" s="36" t="s">
        <v>634</v>
      </c>
      <c r="D231" s="173" t="s">
        <v>205</v>
      </c>
      <c r="E231" s="170">
        <v>63.87</v>
      </c>
    </row>
    <row r="232" spans="2:5" ht="22.5" x14ac:dyDescent="0.2">
      <c r="B232" s="35">
        <v>101578</v>
      </c>
      <c r="C232" s="36" t="s">
        <v>635</v>
      </c>
      <c r="D232" s="173" t="s">
        <v>205</v>
      </c>
      <c r="E232" s="170">
        <v>42.3</v>
      </c>
    </row>
    <row r="233" spans="2:5" ht="22.5" x14ac:dyDescent="0.2">
      <c r="B233" s="35">
        <v>101579</v>
      </c>
      <c r="C233" s="36" t="s">
        <v>636</v>
      </c>
      <c r="D233" s="173" t="s">
        <v>205</v>
      </c>
      <c r="E233" s="170">
        <v>55.09</v>
      </c>
    </row>
    <row r="234" spans="2:5" ht="22.5" x14ac:dyDescent="0.2">
      <c r="B234" s="35">
        <v>101580</v>
      </c>
      <c r="C234" s="36" t="s">
        <v>637</v>
      </c>
      <c r="D234" s="173" t="s">
        <v>205</v>
      </c>
      <c r="E234" s="170">
        <v>37.590000000000003</v>
      </c>
    </row>
    <row r="235" spans="2:5" ht="22.5" x14ac:dyDescent="0.2">
      <c r="B235" s="35">
        <v>101581</v>
      </c>
      <c r="C235" s="36" t="s">
        <v>638</v>
      </c>
      <c r="D235" s="173" t="s">
        <v>205</v>
      </c>
      <c r="E235" s="170">
        <v>50.57</v>
      </c>
    </row>
    <row r="236" spans="2:5" ht="22.5" x14ac:dyDescent="0.2">
      <c r="B236" s="35">
        <v>101582</v>
      </c>
      <c r="C236" s="36" t="s">
        <v>639</v>
      </c>
      <c r="D236" s="173" t="s">
        <v>205</v>
      </c>
      <c r="E236" s="170">
        <v>84</v>
      </c>
    </row>
    <row r="237" spans="2:5" ht="22.5" x14ac:dyDescent="0.2">
      <c r="B237" s="35">
        <v>101583</v>
      </c>
      <c r="C237" s="36" t="s">
        <v>640</v>
      </c>
      <c r="D237" s="173" t="s">
        <v>205</v>
      </c>
      <c r="E237" s="170">
        <v>103.95</v>
      </c>
    </row>
    <row r="238" spans="2:5" ht="22.5" x14ac:dyDescent="0.2">
      <c r="B238" s="35">
        <v>101584</v>
      </c>
      <c r="C238" s="36" t="s">
        <v>641</v>
      </c>
      <c r="D238" s="173" t="s">
        <v>205</v>
      </c>
      <c r="E238" s="170">
        <v>69.16</v>
      </c>
    </row>
    <row r="239" spans="2:5" ht="22.5" x14ac:dyDescent="0.2">
      <c r="B239" s="35">
        <v>101585</v>
      </c>
      <c r="C239" s="36" t="s">
        <v>642</v>
      </c>
      <c r="D239" s="173" t="s">
        <v>205</v>
      </c>
      <c r="E239" s="170">
        <v>89.11</v>
      </c>
    </row>
    <row r="240" spans="2:5" ht="22.5" x14ac:dyDescent="0.2">
      <c r="B240" s="35">
        <v>101586</v>
      </c>
      <c r="C240" s="36" t="s">
        <v>643</v>
      </c>
      <c r="D240" s="173" t="s">
        <v>205</v>
      </c>
      <c r="E240" s="170">
        <v>59.99</v>
      </c>
    </row>
    <row r="241" spans="2:5" ht="22.5" x14ac:dyDescent="0.2">
      <c r="B241" s="35">
        <v>101587</v>
      </c>
      <c r="C241" s="36" t="s">
        <v>644</v>
      </c>
      <c r="D241" s="173" t="s">
        <v>205</v>
      </c>
      <c r="E241" s="170">
        <v>80.12</v>
      </c>
    </row>
    <row r="242" spans="2:5" ht="22.5" x14ac:dyDescent="0.2">
      <c r="B242" s="35">
        <v>101588</v>
      </c>
      <c r="C242" s="36" t="s">
        <v>645</v>
      </c>
      <c r="D242" s="173" t="s">
        <v>205</v>
      </c>
      <c r="E242" s="170">
        <v>102.3</v>
      </c>
    </row>
    <row r="243" spans="2:5" ht="22.5" x14ac:dyDescent="0.2">
      <c r="B243" s="35">
        <v>101589</v>
      </c>
      <c r="C243" s="36" t="s">
        <v>646</v>
      </c>
      <c r="D243" s="173" t="s">
        <v>205</v>
      </c>
      <c r="E243" s="170">
        <v>148.71</v>
      </c>
    </row>
    <row r="244" spans="2:5" ht="22.5" x14ac:dyDescent="0.2">
      <c r="B244" s="35">
        <v>101590</v>
      </c>
      <c r="C244" s="36" t="s">
        <v>647</v>
      </c>
      <c r="D244" s="173" t="s">
        <v>205</v>
      </c>
      <c r="E244" s="170">
        <v>77.64</v>
      </c>
    </row>
    <row r="245" spans="2:5" ht="22.5" x14ac:dyDescent="0.2">
      <c r="B245" s="35">
        <v>101591</v>
      </c>
      <c r="C245" s="36" t="s">
        <v>648</v>
      </c>
      <c r="D245" s="173" t="s">
        <v>205</v>
      </c>
      <c r="E245" s="170">
        <v>124.05</v>
      </c>
    </row>
    <row r="246" spans="2:5" ht="22.5" x14ac:dyDescent="0.2">
      <c r="B246" s="35">
        <v>101592</v>
      </c>
      <c r="C246" s="36" t="s">
        <v>649</v>
      </c>
      <c r="D246" s="173" t="s">
        <v>205</v>
      </c>
      <c r="E246" s="170">
        <v>55.04</v>
      </c>
    </row>
    <row r="247" spans="2:5" ht="22.5" x14ac:dyDescent="0.2">
      <c r="B247" s="35">
        <v>101593</v>
      </c>
      <c r="C247" s="36" t="s">
        <v>650</v>
      </c>
      <c r="D247" s="173" t="s">
        <v>205</v>
      </c>
      <c r="E247" s="170">
        <v>101.61</v>
      </c>
    </row>
    <row r="248" spans="2:5" ht="36.75" customHeight="1" x14ac:dyDescent="0.2">
      <c r="B248" s="172" t="s">
        <v>651</v>
      </c>
      <c r="C248" s="168" t="s">
        <v>652</v>
      </c>
      <c r="D248" s="173" t="s">
        <v>17</v>
      </c>
      <c r="E248" s="144">
        <v>10.92</v>
      </c>
    </row>
    <row r="249" spans="2:5" ht="12.75" customHeight="1" x14ac:dyDescent="0.2">
      <c r="B249" s="172" t="s">
        <v>653</v>
      </c>
      <c r="C249" s="168" t="s">
        <v>654</v>
      </c>
      <c r="D249" s="173" t="s">
        <v>223</v>
      </c>
      <c r="E249" s="144">
        <v>140.61000000000001</v>
      </c>
    </row>
    <row r="250" spans="2:5" ht="22.5" x14ac:dyDescent="0.2">
      <c r="B250" s="172" t="s">
        <v>655</v>
      </c>
      <c r="C250" s="168" t="s">
        <v>656</v>
      </c>
      <c r="D250" s="173" t="s">
        <v>223</v>
      </c>
      <c r="E250" s="144">
        <v>4.8099999999999996</v>
      </c>
    </row>
    <row r="251" spans="2:5" x14ac:dyDescent="0.2">
      <c r="B251" s="167">
        <v>96620</v>
      </c>
      <c r="C251" s="168" t="s">
        <v>657</v>
      </c>
      <c r="D251" s="173" t="s">
        <v>223</v>
      </c>
      <c r="E251" s="170">
        <v>596.25</v>
      </c>
    </row>
    <row r="252" spans="2:5" x14ac:dyDescent="0.2">
      <c r="B252" s="167">
        <v>94962</v>
      </c>
      <c r="C252" s="168" t="s">
        <v>658</v>
      </c>
      <c r="D252" s="173" t="s">
        <v>223</v>
      </c>
      <c r="E252" s="170">
        <v>343.55</v>
      </c>
    </row>
    <row r="253" spans="2:5" x14ac:dyDescent="0.2">
      <c r="B253" s="167">
        <v>102487</v>
      </c>
      <c r="C253" s="168" t="s">
        <v>659</v>
      </c>
      <c r="D253" s="173" t="s">
        <v>223</v>
      </c>
      <c r="E253" s="170">
        <v>550.36</v>
      </c>
    </row>
    <row r="254" spans="2:5" ht="12.75" customHeight="1" x14ac:dyDescent="0.2">
      <c r="B254" s="167">
        <v>94963</v>
      </c>
      <c r="C254" s="168" t="s">
        <v>660</v>
      </c>
      <c r="D254" s="173" t="s">
        <v>223</v>
      </c>
      <c r="E254" s="170">
        <v>381.26</v>
      </c>
    </row>
    <row r="255" spans="2:5" ht="12.75" customHeight="1" x14ac:dyDescent="0.2">
      <c r="B255" s="167">
        <v>94970</v>
      </c>
      <c r="C255" s="168" t="s">
        <v>661</v>
      </c>
      <c r="D255" s="173" t="s">
        <v>223</v>
      </c>
      <c r="E255" s="170">
        <v>402.66</v>
      </c>
    </row>
    <row r="256" spans="2:5" ht="12.75" customHeight="1" x14ac:dyDescent="0.2">
      <c r="B256" s="167">
        <v>103670</v>
      </c>
      <c r="C256" s="168" t="s">
        <v>662</v>
      </c>
      <c r="D256" s="173" t="s">
        <v>223</v>
      </c>
      <c r="E256" s="170">
        <v>346.27</v>
      </c>
    </row>
    <row r="257" spans="2:5" ht="12.75" customHeight="1" x14ac:dyDescent="0.2">
      <c r="B257" s="167">
        <v>103673</v>
      </c>
      <c r="C257" s="168" t="s">
        <v>663</v>
      </c>
      <c r="D257" s="173" t="s">
        <v>223</v>
      </c>
      <c r="E257" s="170">
        <v>48.43</v>
      </c>
    </row>
    <row r="258" spans="2:5" x14ac:dyDescent="0.2">
      <c r="B258" s="167">
        <v>14041</v>
      </c>
      <c r="C258" s="168" t="s">
        <v>664</v>
      </c>
      <c r="D258" s="173" t="s">
        <v>223</v>
      </c>
      <c r="E258" s="170">
        <v>387.12</v>
      </c>
    </row>
    <row r="259" spans="2:5" x14ac:dyDescent="0.2">
      <c r="B259" s="167">
        <v>1523</v>
      </c>
      <c r="C259" s="168" t="s">
        <v>665</v>
      </c>
      <c r="D259" s="173" t="s">
        <v>223</v>
      </c>
      <c r="E259" s="170">
        <v>393.45</v>
      </c>
    </row>
    <row r="260" spans="2:5" x14ac:dyDescent="0.2">
      <c r="B260" s="167">
        <v>34492</v>
      </c>
      <c r="C260" s="168" t="s">
        <v>666</v>
      </c>
      <c r="D260" s="173" t="s">
        <v>223</v>
      </c>
      <c r="E260" s="170">
        <v>410</v>
      </c>
    </row>
    <row r="261" spans="2:5" x14ac:dyDescent="0.2">
      <c r="B261" s="167">
        <v>1524</v>
      </c>
      <c r="C261" s="168" t="s">
        <v>667</v>
      </c>
      <c r="D261" s="173" t="s">
        <v>223</v>
      </c>
      <c r="E261" s="170">
        <v>442.63</v>
      </c>
    </row>
    <row r="262" spans="2:5" x14ac:dyDescent="0.2">
      <c r="B262" s="167">
        <v>34493</v>
      </c>
      <c r="C262" s="168" t="s">
        <v>668</v>
      </c>
      <c r="D262" s="173" t="s">
        <v>223</v>
      </c>
      <c r="E262" s="170">
        <v>421.55</v>
      </c>
    </row>
    <row r="263" spans="2:5" x14ac:dyDescent="0.2">
      <c r="B263" s="167">
        <v>1527</v>
      </c>
      <c r="C263" s="168" t="s">
        <v>669</v>
      </c>
      <c r="D263" s="173" t="s">
        <v>223</v>
      </c>
      <c r="E263" s="170">
        <v>456.68</v>
      </c>
    </row>
    <row r="264" spans="2:5" x14ac:dyDescent="0.2">
      <c r="B264" s="167">
        <v>34494</v>
      </c>
      <c r="C264" s="168" t="s">
        <v>670</v>
      </c>
      <c r="D264" s="173" t="s">
        <v>223</v>
      </c>
      <c r="E264" s="170">
        <v>435.61</v>
      </c>
    </row>
    <row r="265" spans="2:5" x14ac:dyDescent="0.2">
      <c r="B265" s="167">
        <v>1525</v>
      </c>
      <c r="C265" s="168" t="s">
        <v>671</v>
      </c>
      <c r="D265" s="173" t="s">
        <v>223</v>
      </c>
      <c r="E265" s="170">
        <v>470.73</v>
      </c>
    </row>
    <row r="266" spans="2:5" x14ac:dyDescent="0.2">
      <c r="B266" s="167">
        <v>34495</v>
      </c>
      <c r="C266" s="168" t="s">
        <v>672</v>
      </c>
      <c r="D266" s="173" t="s">
        <v>223</v>
      </c>
      <c r="E266" s="170">
        <v>449.66</v>
      </c>
    </row>
    <row r="267" spans="2:5" x14ac:dyDescent="0.2">
      <c r="B267" s="167">
        <v>11145</v>
      </c>
      <c r="C267" s="168" t="s">
        <v>673</v>
      </c>
      <c r="D267" s="173" t="s">
        <v>223</v>
      </c>
      <c r="E267" s="170">
        <v>484.79</v>
      </c>
    </row>
    <row r="268" spans="2:5" x14ac:dyDescent="0.2">
      <c r="B268" s="172" t="s">
        <v>674</v>
      </c>
      <c r="C268" s="168" t="s">
        <v>675</v>
      </c>
      <c r="D268" s="173" t="s">
        <v>205</v>
      </c>
      <c r="E268" s="144">
        <v>293.27</v>
      </c>
    </row>
    <row r="269" spans="2:5" ht="12.75" customHeight="1" x14ac:dyDescent="0.2">
      <c r="B269" s="172" t="s">
        <v>676</v>
      </c>
      <c r="C269" s="168" t="s">
        <v>677</v>
      </c>
      <c r="D269" s="173" t="s">
        <v>205</v>
      </c>
      <c r="E269" s="144">
        <v>93.37</v>
      </c>
    </row>
    <row r="270" spans="2:5" ht="25.5" customHeight="1" x14ac:dyDescent="0.2">
      <c r="B270" s="172" t="s">
        <v>678</v>
      </c>
      <c r="C270" s="168" t="s">
        <v>679</v>
      </c>
      <c r="D270" s="173" t="s">
        <v>205</v>
      </c>
      <c r="E270" s="144">
        <v>99.77000000000001</v>
      </c>
    </row>
    <row r="271" spans="2:5" x14ac:dyDescent="0.2">
      <c r="B271" s="167">
        <v>92915</v>
      </c>
      <c r="C271" s="168" t="s">
        <v>681</v>
      </c>
      <c r="D271" s="173" t="s">
        <v>680</v>
      </c>
      <c r="E271" s="170">
        <v>18.600000000000001</v>
      </c>
    </row>
    <row r="272" spans="2:5" x14ac:dyDescent="0.2">
      <c r="B272" s="167">
        <v>92916</v>
      </c>
      <c r="C272" s="168" t="s">
        <v>682</v>
      </c>
      <c r="D272" s="173" t="s">
        <v>680</v>
      </c>
      <c r="E272" s="170">
        <v>16.7</v>
      </c>
    </row>
    <row r="273" spans="2:5" x14ac:dyDescent="0.2">
      <c r="B273" s="167">
        <v>92917</v>
      </c>
      <c r="C273" s="168" t="s">
        <v>683</v>
      </c>
      <c r="D273" s="173" t="s">
        <v>680</v>
      </c>
      <c r="E273" s="170">
        <v>15.01</v>
      </c>
    </row>
    <row r="274" spans="2:5" x14ac:dyDescent="0.2">
      <c r="B274" s="167">
        <v>92919</v>
      </c>
      <c r="C274" s="168" t="s">
        <v>684</v>
      </c>
      <c r="D274" s="173" t="s">
        <v>680</v>
      </c>
      <c r="E274" s="170">
        <v>13.02</v>
      </c>
    </row>
    <row r="275" spans="2:5" x14ac:dyDescent="0.2">
      <c r="B275" s="167">
        <v>92921</v>
      </c>
      <c r="C275" s="168" t="s">
        <v>685</v>
      </c>
      <c r="D275" s="173" t="s">
        <v>680</v>
      </c>
      <c r="E275" s="170">
        <v>10.7</v>
      </c>
    </row>
    <row r="276" spans="2:5" x14ac:dyDescent="0.2">
      <c r="B276" s="167">
        <v>92922</v>
      </c>
      <c r="C276" s="168" t="s">
        <v>686</v>
      </c>
      <c r="D276" s="173" t="s">
        <v>680</v>
      </c>
      <c r="E276" s="170">
        <v>10.16</v>
      </c>
    </row>
    <row r="277" spans="2:5" x14ac:dyDescent="0.2">
      <c r="B277" s="167">
        <v>92923</v>
      </c>
      <c r="C277" s="168" t="s">
        <v>687</v>
      </c>
      <c r="D277" s="173" t="s">
        <v>680</v>
      </c>
      <c r="E277" s="170">
        <v>11.32</v>
      </c>
    </row>
    <row r="278" spans="2:5" x14ac:dyDescent="0.2">
      <c r="B278" s="167">
        <v>92924</v>
      </c>
      <c r="C278" s="168" t="s">
        <v>688</v>
      </c>
      <c r="D278" s="173" t="s">
        <v>680</v>
      </c>
      <c r="E278" s="170">
        <v>11.08</v>
      </c>
    </row>
    <row r="279" spans="2:5" x14ac:dyDescent="0.2">
      <c r="B279" s="167">
        <v>88628</v>
      </c>
      <c r="C279" s="168" t="s">
        <v>689</v>
      </c>
      <c r="D279" s="173" t="s">
        <v>223</v>
      </c>
      <c r="E279" s="170">
        <v>498.17</v>
      </c>
    </row>
    <row r="280" spans="2:5" x14ac:dyDescent="0.2">
      <c r="B280" s="172" t="s">
        <v>70</v>
      </c>
      <c r="C280" s="168" t="s">
        <v>690</v>
      </c>
      <c r="D280" s="173" t="s">
        <v>691</v>
      </c>
      <c r="E280" s="144">
        <v>24.2</v>
      </c>
    </row>
    <row r="281" spans="2:5" x14ac:dyDescent="0.2">
      <c r="B281" s="172" t="s">
        <v>692</v>
      </c>
      <c r="C281" s="168" t="s">
        <v>693</v>
      </c>
      <c r="D281" s="173" t="s">
        <v>42</v>
      </c>
      <c r="E281" s="144">
        <v>138.54</v>
      </c>
    </row>
    <row r="282" spans="2:5" x14ac:dyDescent="0.2">
      <c r="B282" s="172" t="s">
        <v>694</v>
      </c>
      <c r="C282" s="168" t="s">
        <v>695</v>
      </c>
      <c r="D282" s="173" t="s">
        <v>42</v>
      </c>
      <c r="E282" s="144">
        <v>157.85999999999999</v>
      </c>
    </row>
    <row r="283" spans="2:5" ht="22.5" x14ac:dyDescent="0.2">
      <c r="B283" s="172" t="s">
        <v>696</v>
      </c>
      <c r="C283" s="168" t="s">
        <v>697</v>
      </c>
      <c r="D283" s="173" t="s">
        <v>42</v>
      </c>
      <c r="E283" s="144">
        <v>117.91</v>
      </c>
    </row>
    <row r="284" spans="2:5" ht="12.75" customHeight="1" x14ac:dyDescent="0.2">
      <c r="B284" s="172" t="s">
        <v>698</v>
      </c>
      <c r="C284" s="168" t="s">
        <v>699</v>
      </c>
      <c r="D284" s="173" t="s">
        <v>42</v>
      </c>
      <c r="E284" s="144">
        <v>123.78</v>
      </c>
    </row>
    <row r="285" spans="2:5" ht="12.75" customHeight="1" x14ac:dyDescent="0.2">
      <c r="B285" s="172" t="s">
        <v>700</v>
      </c>
      <c r="C285" s="168" t="s">
        <v>701</v>
      </c>
      <c r="D285" s="173" t="s">
        <v>42</v>
      </c>
      <c r="E285" s="144">
        <v>161.01999999999998</v>
      </c>
    </row>
    <row r="286" spans="2:5" x14ac:dyDescent="0.2">
      <c r="B286" s="172" t="s">
        <v>702</v>
      </c>
      <c r="C286" s="168" t="s">
        <v>703</v>
      </c>
      <c r="D286" s="173" t="s">
        <v>205</v>
      </c>
      <c r="E286" s="144">
        <v>7.86</v>
      </c>
    </row>
    <row r="287" spans="2:5" x14ac:dyDescent="0.2">
      <c r="B287" s="172" t="s">
        <v>83</v>
      </c>
      <c r="C287" s="168" t="s">
        <v>704</v>
      </c>
      <c r="D287" s="173" t="s">
        <v>205</v>
      </c>
      <c r="E287" s="144">
        <v>8.73</v>
      </c>
    </row>
    <row r="288" spans="2:5" x14ac:dyDescent="0.2">
      <c r="B288" s="172" t="s">
        <v>705</v>
      </c>
      <c r="C288" s="168" t="s">
        <v>706</v>
      </c>
      <c r="D288" s="173" t="s">
        <v>205</v>
      </c>
      <c r="E288" s="144">
        <v>10.8</v>
      </c>
    </row>
    <row r="289" spans="2:5" x14ac:dyDescent="0.2">
      <c r="B289" s="172" t="s">
        <v>707</v>
      </c>
      <c r="C289" s="168" t="s">
        <v>708</v>
      </c>
      <c r="D289" s="173" t="s">
        <v>223</v>
      </c>
      <c r="E289" s="144">
        <v>354.68</v>
      </c>
    </row>
    <row r="290" spans="2:5" x14ac:dyDescent="0.2">
      <c r="B290" s="172" t="s">
        <v>709</v>
      </c>
      <c r="C290" s="168" t="s">
        <v>710</v>
      </c>
      <c r="D290" s="173" t="s">
        <v>223</v>
      </c>
      <c r="E290" s="144">
        <v>278.27999999999997</v>
      </c>
    </row>
    <row r="291" spans="2:5" x14ac:dyDescent="0.2">
      <c r="B291" s="167">
        <v>97622</v>
      </c>
      <c r="C291" s="168" t="s">
        <v>711</v>
      </c>
      <c r="D291" s="173" t="s">
        <v>223</v>
      </c>
      <c r="E291" s="170">
        <v>65.709999999999994</v>
      </c>
    </row>
    <row r="292" spans="2:5" ht="25.5" customHeight="1" thickBot="1" x14ac:dyDescent="0.25">
      <c r="B292" s="172" t="s">
        <v>712</v>
      </c>
      <c r="C292" s="168" t="s">
        <v>713</v>
      </c>
      <c r="D292" s="173" t="s">
        <v>223</v>
      </c>
      <c r="E292" s="144">
        <v>831.42</v>
      </c>
    </row>
    <row r="293" spans="2:5" ht="14.1" customHeight="1" x14ac:dyDescent="0.2">
      <c r="B293" s="937" t="s">
        <v>714</v>
      </c>
      <c r="C293" s="939"/>
      <c r="D293" s="939"/>
      <c r="E293" s="177"/>
    </row>
    <row r="294" spans="2:5" ht="14.1" customHeight="1" thickBot="1" x14ac:dyDescent="0.25">
      <c r="B294" s="111" t="s">
        <v>28</v>
      </c>
      <c r="C294" s="112" t="s">
        <v>183</v>
      </c>
      <c r="D294" s="113" t="s">
        <v>184</v>
      </c>
      <c r="E294" s="114" t="s">
        <v>185</v>
      </c>
    </row>
    <row r="295" spans="2:5" ht="23.25" customHeight="1" x14ac:dyDescent="0.2">
      <c r="B295" s="167">
        <v>92743</v>
      </c>
      <c r="C295" s="168" t="s">
        <v>715</v>
      </c>
      <c r="D295" s="173" t="s">
        <v>223</v>
      </c>
      <c r="E295" s="170">
        <v>660.93</v>
      </c>
    </row>
    <row r="296" spans="2:5" ht="23.25" customHeight="1" x14ac:dyDescent="0.2">
      <c r="B296" s="167">
        <v>92744</v>
      </c>
      <c r="C296" s="168" t="s">
        <v>716</v>
      </c>
      <c r="D296" s="173" t="s">
        <v>223</v>
      </c>
      <c r="E296" s="170">
        <v>613.36</v>
      </c>
    </row>
    <row r="297" spans="2:5" ht="23.25" customHeight="1" x14ac:dyDescent="0.2">
      <c r="B297" s="167">
        <v>92745</v>
      </c>
      <c r="C297" s="168" t="s">
        <v>717</v>
      </c>
      <c r="D297" s="173" t="s">
        <v>223</v>
      </c>
      <c r="E297" s="170">
        <v>829.05</v>
      </c>
    </row>
    <row r="298" spans="2:5" ht="23.25" customHeight="1" x14ac:dyDescent="0.2">
      <c r="B298" s="167">
        <v>92746</v>
      </c>
      <c r="C298" s="168" t="s">
        <v>718</v>
      </c>
      <c r="D298" s="173" t="s">
        <v>223</v>
      </c>
      <c r="E298" s="170">
        <v>739.65</v>
      </c>
    </row>
    <row r="299" spans="2:5" ht="23.25" customHeight="1" x14ac:dyDescent="0.2">
      <c r="B299" s="167">
        <v>92747</v>
      </c>
      <c r="C299" s="168" t="s">
        <v>719</v>
      </c>
      <c r="D299" s="173" t="s">
        <v>223</v>
      </c>
      <c r="E299" s="170">
        <v>924.62</v>
      </c>
    </row>
    <row r="300" spans="2:5" ht="23.25" customHeight="1" x14ac:dyDescent="0.2">
      <c r="B300" s="167">
        <v>92748</v>
      </c>
      <c r="C300" s="168" t="s">
        <v>720</v>
      </c>
      <c r="D300" s="173" t="s">
        <v>223</v>
      </c>
      <c r="E300" s="170">
        <v>811.92</v>
      </c>
    </row>
    <row r="301" spans="2:5" ht="23.25" customHeight="1" x14ac:dyDescent="0.2">
      <c r="B301" s="167">
        <v>92753</v>
      </c>
      <c r="C301" s="168" t="s">
        <v>721</v>
      </c>
      <c r="D301" s="173" t="s">
        <v>223</v>
      </c>
      <c r="E301" s="170">
        <v>631.71</v>
      </c>
    </row>
    <row r="302" spans="2:5" ht="36" customHeight="1" x14ac:dyDescent="0.2">
      <c r="B302" s="167">
        <v>92754</v>
      </c>
      <c r="C302" s="168" t="s">
        <v>722</v>
      </c>
      <c r="D302" s="173" t="s">
        <v>223</v>
      </c>
      <c r="E302" s="170">
        <v>573.36</v>
      </c>
    </row>
    <row r="303" spans="2:5" ht="12" customHeight="1" x14ac:dyDescent="0.2">
      <c r="B303" s="167">
        <v>92755</v>
      </c>
      <c r="C303" s="168" t="s">
        <v>723</v>
      </c>
      <c r="D303" s="173" t="s">
        <v>205</v>
      </c>
      <c r="E303" s="170">
        <v>249.36</v>
      </c>
    </row>
    <row r="304" spans="2:5" ht="12" customHeight="1" x14ac:dyDescent="0.2">
      <c r="B304" s="167">
        <v>92756</v>
      </c>
      <c r="C304" s="168" t="s">
        <v>724</v>
      </c>
      <c r="D304" s="173" t="s">
        <v>205</v>
      </c>
      <c r="E304" s="170">
        <v>281.99</v>
      </c>
    </row>
    <row r="305" spans="2:5" ht="12" customHeight="1" x14ac:dyDescent="0.2">
      <c r="B305" s="167">
        <v>92757</v>
      </c>
      <c r="C305" s="168" t="s">
        <v>725</v>
      </c>
      <c r="D305" s="173" t="s">
        <v>205</v>
      </c>
      <c r="E305" s="170">
        <v>321.66000000000003</v>
      </c>
    </row>
    <row r="306" spans="2:5" ht="23.25" customHeight="1" x14ac:dyDescent="0.2">
      <c r="B306" s="167">
        <v>92758</v>
      </c>
      <c r="C306" s="168" t="s">
        <v>726</v>
      </c>
      <c r="D306" s="173" t="s">
        <v>223</v>
      </c>
      <c r="E306" s="170">
        <v>731.41</v>
      </c>
    </row>
    <row r="307" spans="2:5" ht="36.75" customHeight="1" x14ac:dyDescent="0.2">
      <c r="B307" s="167" t="s">
        <v>727</v>
      </c>
      <c r="C307" s="168" t="s">
        <v>728</v>
      </c>
      <c r="D307" s="173" t="s">
        <v>42</v>
      </c>
      <c r="E307" s="178">
        <v>151.91</v>
      </c>
    </row>
    <row r="308" spans="2:5" ht="33.75" x14ac:dyDescent="0.2">
      <c r="B308" s="167" t="s">
        <v>729</v>
      </c>
      <c r="C308" s="168" t="s">
        <v>730</v>
      </c>
      <c r="D308" s="173" t="s">
        <v>42</v>
      </c>
      <c r="E308" s="178">
        <v>127.39</v>
      </c>
    </row>
    <row r="309" spans="2:5" ht="33.75" x14ac:dyDescent="0.2">
      <c r="B309" s="167" t="s">
        <v>731</v>
      </c>
      <c r="C309" s="168" t="s">
        <v>732</v>
      </c>
      <c r="D309" s="173" t="s">
        <v>42</v>
      </c>
      <c r="E309" s="178">
        <v>115.17</v>
      </c>
    </row>
    <row r="310" spans="2:5" ht="33.75" x14ac:dyDescent="0.2">
      <c r="B310" s="167" t="s">
        <v>733</v>
      </c>
      <c r="C310" s="168" t="s">
        <v>734</v>
      </c>
      <c r="D310" s="173" t="s">
        <v>42</v>
      </c>
      <c r="E310" s="178">
        <v>185.26000000000002</v>
      </c>
    </row>
    <row r="311" spans="2:5" ht="33.75" x14ac:dyDescent="0.2">
      <c r="B311" s="167" t="s">
        <v>735</v>
      </c>
      <c r="C311" s="168" t="s">
        <v>736</v>
      </c>
      <c r="D311" s="173" t="s">
        <v>42</v>
      </c>
      <c r="E311" s="178">
        <v>153.95000000000002</v>
      </c>
    </row>
    <row r="312" spans="2:5" ht="33.75" x14ac:dyDescent="0.2">
      <c r="B312" s="167" t="s">
        <v>737</v>
      </c>
      <c r="C312" s="168" t="s">
        <v>738</v>
      </c>
      <c r="D312" s="173" t="s">
        <v>42</v>
      </c>
      <c r="E312" s="178">
        <v>138.99</v>
      </c>
    </row>
    <row r="313" spans="2:5" ht="33.75" x14ac:dyDescent="0.2">
      <c r="B313" s="167" t="s">
        <v>739</v>
      </c>
      <c r="C313" s="168" t="s">
        <v>740</v>
      </c>
      <c r="D313" s="173" t="s">
        <v>42</v>
      </c>
      <c r="E313" s="178">
        <v>182.57</v>
      </c>
    </row>
    <row r="314" spans="2:5" ht="33.75" x14ac:dyDescent="0.2">
      <c r="B314" s="167" t="s">
        <v>741</v>
      </c>
      <c r="C314" s="168" t="s">
        <v>742</v>
      </c>
      <c r="D314" s="173" t="s">
        <v>42</v>
      </c>
      <c r="E314" s="178">
        <v>147.13</v>
      </c>
    </row>
    <row r="315" spans="2:5" ht="33.75" x14ac:dyDescent="0.2">
      <c r="B315" s="167" t="s">
        <v>743</v>
      </c>
      <c r="C315" s="168" t="s">
        <v>744</v>
      </c>
      <c r="D315" s="173" t="s">
        <v>42</v>
      </c>
      <c r="E315" s="178">
        <v>129.95999999999998</v>
      </c>
    </row>
    <row r="316" spans="2:5" ht="33.75" x14ac:dyDescent="0.2">
      <c r="B316" s="167" t="s">
        <v>745</v>
      </c>
      <c r="C316" s="168" t="s">
        <v>746</v>
      </c>
      <c r="D316" s="173" t="s">
        <v>42</v>
      </c>
      <c r="E316" s="178">
        <v>223.95000000000002</v>
      </c>
    </row>
    <row r="317" spans="2:5" ht="33.75" x14ac:dyDescent="0.2">
      <c r="B317" s="167" t="s">
        <v>747</v>
      </c>
      <c r="C317" s="168" t="s">
        <v>748</v>
      </c>
      <c r="D317" s="173" t="s">
        <v>42</v>
      </c>
      <c r="E317" s="178">
        <v>176.70000000000002</v>
      </c>
    </row>
    <row r="318" spans="2:5" ht="33.75" x14ac:dyDescent="0.2">
      <c r="B318" s="167" t="s">
        <v>749</v>
      </c>
      <c r="C318" s="168" t="s">
        <v>750</v>
      </c>
      <c r="D318" s="173" t="s">
        <v>42</v>
      </c>
      <c r="E318" s="178">
        <v>155.4</v>
      </c>
    </row>
    <row r="319" spans="2:5" ht="23.25" customHeight="1" x14ac:dyDescent="0.2">
      <c r="B319" s="167">
        <v>95108</v>
      </c>
      <c r="C319" s="168" t="s">
        <v>751</v>
      </c>
      <c r="D319" s="173" t="s">
        <v>17</v>
      </c>
      <c r="E319" s="170">
        <v>35.97</v>
      </c>
    </row>
    <row r="320" spans="2:5" ht="12.75" customHeight="1" x14ac:dyDescent="0.2">
      <c r="B320" s="167" t="s">
        <v>752</v>
      </c>
      <c r="C320" s="168" t="s">
        <v>753</v>
      </c>
      <c r="D320" s="173" t="s">
        <v>42</v>
      </c>
      <c r="E320" s="178">
        <v>109.17999999999999</v>
      </c>
    </row>
    <row r="321" spans="2:5" ht="12.75" customHeight="1" x14ac:dyDescent="0.2">
      <c r="B321" s="167" t="s">
        <v>754</v>
      </c>
      <c r="C321" s="168" t="s">
        <v>755</v>
      </c>
      <c r="D321" s="173" t="s">
        <v>42</v>
      </c>
      <c r="E321" s="178">
        <v>54.24</v>
      </c>
    </row>
    <row r="322" spans="2:5" ht="23.25" customHeight="1" x14ac:dyDescent="0.2">
      <c r="B322" s="167">
        <v>100651</v>
      </c>
      <c r="C322" s="168" t="s">
        <v>756</v>
      </c>
      <c r="D322" s="173" t="s">
        <v>42</v>
      </c>
      <c r="E322" s="170">
        <v>130.96</v>
      </c>
    </row>
    <row r="323" spans="2:5" ht="23.25" customHeight="1" x14ac:dyDescent="0.2">
      <c r="B323" s="167">
        <v>100652</v>
      </c>
      <c r="C323" s="168" t="s">
        <v>757</v>
      </c>
      <c r="D323" s="173" t="s">
        <v>42</v>
      </c>
      <c r="E323" s="170">
        <v>241.38</v>
      </c>
    </row>
    <row r="324" spans="2:5" ht="23.25" customHeight="1" x14ac:dyDescent="0.2">
      <c r="B324" s="167">
        <v>100653</v>
      </c>
      <c r="C324" s="168" t="s">
        <v>758</v>
      </c>
      <c r="D324" s="173" t="s">
        <v>42</v>
      </c>
      <c r="E324" s="170">
        <v>394.48</v>
      </c>
    </row>
    <row r="325" spans="2:5" ht="23.25" customHeight="1" x14ac:dyDescent="0.2">
      <c r="B325" s="167">
        <v>100654</v>
      </c>
      <c r="C325" s="168" t="s">
        <v>759</v>
      </c>
      <c r="D325" s="173" t="s">
        <v>42</v>
      </c>
      <c r="E325" s="170">
        <v>531.86</v>
      </c>
    </row>
    <row r="326" spans="2:5" ht="23.25" customHeight="1" x14ac:dyDescent="0.2">
      <c r="B326" s="167">
        <v>100655</v>
      </c>
      <c r="C326" s="168" t="s">
        <v>760</v>
      </c>
      <c r="D326" s="173" t="s">
        <v>42</v>
      </c>
      <c r="E326" s="170">
        <v>612.63</v>
      </c>
    </row>
    <row r="327" spans="2:5" ht="12.75" customHeight="1" x14ac:dyDescent="0.2">
      <c r="B327" s="167">
        <v>44535</v>
      </c>
      <c r="C327" s="168" t="s">
        <v>761</v>
      </c>
      <c r="D327" s="173" t="s">
        <v>223</v>
      </c>
      <c r="E327" s="170">
        <v>42.15</v>
      </c>
    </row>
    <row r="328" spans="2:5" x14ac:dyDescent="0.2">
      <c r="B328" s="167">
        <v>98655</v>
      </c>
      <c r="C328" s="168" t="s">
        <v>762</v>
      </c>
      <c r="D328" s="173" t="s">
        <v>42</v>
      </c>
      <c r="E328" s="170">
        <v>644.9</v>
      </c>
    </row>
    <row r="329" spans="2:5" x14ac:dyDescent="0.2">
      <c r="B329" s="167">
        <v>98656</v>
      </c>
      <c r="C329" s="168" t="s">
        <v>763</v>
      </c>
      <c r="D329" s="173" t="s">
        <v>42</v>
      </c>
      <c r="E329" s="170">
        <v>654.65</v>
      </c>
    </row>
    <row r="330" spans="2:5" x14ac:dyDescent="0.2">
      <c r="B330" s="167">
        <v>98657</v>
      </c>
      <c r="C330" s="168" t="s">
        <v>764</v>
      </c>
      <c r="D330" s="173" t="s">
        <v>42</v>
      </c>
      <c r="E330" s="170">
        <v>664.39</v>
      </c>
    </row>
    <row r="331" spans="2:5" x14ac:dyDescent="0.2">
      <c r="B331" s="167">
        <v>98658</v>
      </c>
      <c r="C331" s="168" t="s">
        <v>765</v>
      </c>
      <c r="D331" s="173" t="s">
        <v>42</v>
      </c>
      <c r="E331" s="170">
        <v>674.14</v>
      </c>
    </row>
    <row r="332" spans="2:5" x14ac:dyDescent="0.2">
      <c r="B332" s="167">
        <v>98659</v>
      </c>
      <c r="C332" s="168" t="s">
        <v>766</v>
      </c>
      <c r="D332" s="173" t="s">
        <v>42</v>
      </c>
      <c r="E332" s="170">
        <v>693.63</v>
      </c>
    </row>
    <row r="333" spans="2:5" x14ac:dyDescent="0.2">
      <c r="B333" s="167" t="s">
        <v>767</v>
      </c>
      <c r="C333" s="168" t="s">
        <v>768</v>
      </c>
      <c r="D333" s="173" t="s">
        <v>223</v>
      </c>
      <c r="E333" s="178">
        <v>1435.88</v>
      </c>
    </row>
    <row r="334" spans="2:5" ht="22.5" x14ac:dyDescent="0.2">
      <c r="B334" s="167" t="s">
        <v>769</v>
      </c>
      <c r="C334" s="168" t="s">
        <v>770</v>
      </c>
      <c r="D334" s="173" t="s">
        <v>223</v>
      </c>
      <c r="E334" s="178">
        <v>1326.49</v>
      </c>
    </row>
    <row r="335" spans="2:5" ht="22.5" x14ac:dyDescent="0.2">
      <c r="B335" s="167" t="s">
        <v>771</v>
      </c>
      <c r="C335" s="168" t="s">
        <v>772</v>
      </c>
      <c r="D335" s="173" t="s">
        <v>223</v>
      </c>
      <c r="E335" s="178">
        <v>1275.27</v>
      </c>
    </row>
    <row r="336" spans="2:5" x14ac:dyDescent="0.2">
      <c r="B336" s="167" t="s">
        <v>773</v>
      </c>
      <c r="C336" s="168" t="s">
        <v>774</v>
      </c>
      <c r="D336" s="173" t="s">
        <v>223</v>
      </c>
      <c r="E336" s="178">
        <v>1312.51</v>
      </c>
    </row>
    <row r="337" spans="2:5" ht="22.5" x14ac:dyDescent="0.2">
      <c r="B337" s="167" t="s">
        <v>775</v>
      </c>
      <c r="C337" s="168" t="s">
        <v>776</v>
      </c>
      <c r="D337" s="173" t="s">
        <v>223</v>
      </c>
      <c r="E337" s="178">
        <v>1240.69</v>
      </c>
    </row>
    <row r="338" spans="2:5" ht="22.5" x14ac:dyDescent="0.2">
      <c r="B338" s="167" t="s">
        <v>777</v>
      </c>
      <c r="C338" s="168" t="s">
        <v>778</v>
      </c>
      <c r="D338" s="173" t="s">
        <v>223</v>
      </c>
      <c r="E338" s="178">
        <v>1202.69</v>
      </c>
    </row>
    <row r="339" spans="2:5" x14ac:dyDescent="0.2">
      <c r="B339" s="167" t="s">
        <v>779</v>
      </c>
      <c r="C339" s="168" t="s">
        <v>780</v>
      </c>
      <c r="D339" s="173" t="s">
        <v>223</v>
      </c>
      <c r="E339" s="178">
        <v>1233.32</v>
      </c>
    </row>
    <row r="340" spans="2:5" ht="22.5" x14ac:dyDescent="0.2">
      <c r="B340" s="167" t="s">
        <v>781</v>
      </c>
      <c r="C340" s="168" t="s">
        <v>782</v>
      </c>
      <c r="D340" s="173" t="s">
        <v>223</v>
      </c>
      <c r="E340" s="178">
        <v>1175.68</v>
      </c>
    </row>
    <row r="341" spans="2:5" ht="22.5" x14ac:dyDescent="0.2">
      <c r="B341" s="167" t="s">
        <v>783</v>
      </c>
      <c r="C341" s="168" t="s">
        <v>784</v>
      </c>
      <c r="D341" s="173" t="s">
        <v>223</v>
      </c>
      <c r="E341" s="178">
        <v>1142.8200000000002</v>
      </c>
    </row>
    <row r="342" spans="2:5" x14ac:dyDescent="0.2">
      <c r="B342" s="167" t="s">
        <v>785</v>
      </c>
      <c r="C342" s="168" t="s">
        <v>786</v>
      </c>
      <c r="D342" s="173" t="s">
        <v>223</v>
      </c>
      <c r="E342" s="178">
        <v>1170.4100000000001</v>
      </c>
    </row>
    <row r="343" spans="2:5" ht="22.5" x14ac:dyDescent="0.2">
      <c r="B343" s="167" t="s">
        <v>787</v>
      </c>
      <c r="C343" s="168" t="s">
        <v>788</v>
      </c>
      <c r="D343" s="173" t="s">
        <v>223</v>
      </c>
      <c r="E343" s="178">
        <v>1121.69</v>
      </c>
    </row>
    <row r="344" spans="2:5" ht="22.5" x14ac:dyDescent="0.2">
      <c r="B344" s="167" t="s">
        <v>789</v>
      </c>
      <c r="C344" s="168" t="s">
        <v>790</v>
      </c>
      <c r="D344" s="173" t="s">
        <v>223</v>
      </c>
      <c r="E344" s="178">
        <v>1095.07</v>
      </c>
    </row>
    <row r="345" spans="2:5" ht="22.5" x14ac:dyDescent="0.2">
      <c r="B345" s="167" t="s">
        <v>791</v>
      </c>
      <c r="C345" s="168" t="s">
        <v>792</v>
      </c>
      <c r="D345" s="173" t="s">
        <v>205</v>
      </c>
      <c r="E345" s="178">
        <v>19.77</v>
      </c>
    </row>
    <row r="346" spans="2:5" ht="34.5" customHeight="1" x14ac:dyDescent="0.2">
      <c r="B346" s="167" t="s">
        <v>793</v>
      </c>
      <c r="C346" s="168" t="s">
        <v>794</v>
      </c>
      <c r="D346" s="173" t="s">
        <v>42</v>
      </c>
      <c r="E346" s="178">
        <v>2907.9700000000003</v>
      </c>
    </row>
    <row r="347" spans="2:5" ht="33.75" x14ac:dyDescent="0.2">
      <c r="B347" s="167" t="s">
        <v>795</v>
      </c>
      <c r="C347" s="168" t="s">
        <v>796</v>
      </c>
      <c r="D347" s="173" t="s">
        <v>42</v>
      </c>
      <c r="E347" s="178">
        <v>2668.6499999999996</v>
      </c>
    </row>
    <row r="348" spans="2:5" ht="33.75" x14ac:dyDescent="0.2">
      <c r="B348" s="167" t="s">
        <v>797</v>
      </c>
      <c r="C348" s="168" t="s">
        <v>798</v>
      </c>
      <c r="D348" s="173" t="s">
        <v>42</v>
      </c>
      <c r="E348" s="178">
        <v>2817.13</v>
      </c>
    </row>
    <row r="349" spans="2:5" ht="33.75" x14ac:dyDescent="0.2">
      <c r="B349" s="167" t="s">
        <v>799</v>
      </c>
      <c r="C349" s="168" t="s">
        <v>800</v>
      </c>
      <c r="D349" s="173" t="s">
        <v>42</v>
      </c>
      <c r="E349" s="178">
        <v>2948.16</v>
      </c>
    </row>
    <row r="350" spans="2:5" ht="33.75" x14ac:dyDescent="0.2">
      <c r="B350" s="167" t="s">
        <v>801</v>
      </c>
      <c r="C350" s="168" t="s">
        <v>802</v>
      </c>
      <c r="D350" s="173" t="s">
        <v>42</v>
      </c>
      <c r="E350" s="178">
        <v>3674.5599999999995</v>
      </c>
    </row>
    <row r="351" spans="2:5" ht="33.75" x14ac:dyDescent="0.2">
      <c r="B351" s="167" t="s">
        <v>803</v>
      </c>
      <c r="C351" s="168" t="s">
        <v>804</v>
      </c>
      <c r="D351" s="173" t="s">
        <v>42</v>
      </c>
      <c r="E351" s="178">
        <v>3522.2599999999998</v>
      </c>
    </row>
    <row r="352" spans="2:5" ht="33.75" x14ac:dyDescent="0.2">
      <c r="B352" s="167" t="s">
        <v>805</v>
      </c>
      <c r="C352" s="168" t="s">
        <v>806</v>
      </c>
      <c r="D352" s="173" t="s">
        <v>42</v>
      </c>
      <c r="E352" s="178">
        <v>3683.65</v>
      </c>
    </row>
    <row r="353" spans="2:5" ht="33.75" x14ac:dyDescent="0.2">
      <c r="B353" s="167" t="s">
        <v>807</v>
      </c>
      <c r="C353" s="168" t="s">
        <v>808</v>
      </c>
      <c r="D353" s="173" t="s">
        <v>42</v>
      </c>
      <c r="E353" s="178">
        <v>4183.92</v>
      </c>
    </row>
    <row r="354" spans="2:5" ht="33.75" x14ac:dyDescent="0.2">
      <c r="B354" s="167" t="s">
        <v>809</v>
      </c>
      <c r="C354" s="168" t="s">
        <v>810</v>
      </c>
      <c r="D354" s="173" t="s">
        <v>42</v>
      </c>
      <c r="E354" s="178">
        <v>4590.12</v>
      </c>
    </row>
    <row r="355" spans="2:5" ht="33.75" x14ac:dyDescent="0.2">
      <c r="B355" s="167" t="s">
        <v>811</v>
      </c>
      <c r="C355" s="168" t="s">
        <v>812</v>
      </c>
      <c r="D355" s="173" t="s">
        <v>42</v>
      </c>
      <c r="E355" s="178">
        <v>4537.38</v>
      </c>
    </row>
    <row r="356" spans="2:5" ht="33.75" x14ac:dyDescent="0.2">
      <c r="B356" s="167" t="s">
        <v>813</v>
      </c>
      <c r="C356" s="168" t="s">
        <v>814</v>
      </c>
      <c r="D356" s="173" t="s">
        <v>42</v>
      </c>
      <c r="E356" s="178">
        <v>5215.62</v>
      </c>
    </row>
    <row r="357" spans="2:5" ht="33.75" x14ac:dyDescent="0.2">
      <c r="B357" s="167" t="s">
        <v>815</v>
      </c>
      <c r="C357" s="168" t="s">
        <v>816</v>
      </c>
      <c r="D357" s="173" t="s">
        <v>42</v>
      </c>
      <c r="E357" s="178">
        <v>5406.3899999999994</v>
      </c>
    </row>
    <row r="358" spans="2:5" ht="33.75" x14ac:dyDescent="0.2">
      <c r="B358" s="167" t="s">
        <v>817</v>
      </c>
      <c r="C358" s="168" t="s">
        <v>818</v>
      </c>
      <c r="D358" s="173" t="s">
        <v>42</v>
      </c>
      <c r="E358" s="178">
        <v>5447.5499999999993</v>
      </c>
    </row>
    <row r="359" spans="2:5" ht="33.75" x14ac:dyDescent="0.2">
      <c r="B359" s="167" t="s">
        <v>819</v>
      </c>
      <c r="C359" s="168" t="s">
        <v>820</v>
      </c>
      <c r="D359" s="173" t="s">
        <v>42</v>
      </c>
      <c r="E359" s="178">
        <v>5363.62</v>
      </c>
    </row>
    <row r="360" spans="2:5" ht="33.75" x14ac:dyDescent="0.2">
      <c r="B360" s="167" t="s">
        <v>821</v>
      </c>
      <c r="C360" s="168" t="s">
        <v>822</v>
      </c>
      <c r="D360" s="173" t="s">
        <v>42</v>
      </c>
      <c r="E360" s="178">
        <v>6289.8300000000008</v>
      </c>
    </row>
    <row r="361" spans="2:5" ht="33.75" x14ac:dyDescent="0.2">
      <c r="B361" s="167" t="s">
        <v>823</v>
      </c>
      <c r="C361" s="168" t="s">
        <v>824</v>
      </c>
      <c r="D361" s="173" t="s">
        <v>42</v>
      </c>
      <c r="E361" s="178">
        <v>6934.9400000000005</v>
      </c>
    </row>
    <row r="362" spans="2:5" ht="12.75" customHeight="1" x14ac:dyDescent="0.2">
      <c r="B362" s="167" t="s">
        <v>825</v>
      </c>
      <c r="C362" s="168" t="s">
        <v>826</v>
      </c>
      <c r="D362" s="173" t="s">
        <v>205</v>
      </c>
      <c r="E362" s="178">
        <v>481.86</v>
      </c>
    </row>
    <row r="363" spans="2:5" ht="22.5" x14ac:dyDescent="0.2">
      <c r="B363" s="167" t="s">
        <v>827</v>
      </c>
      <c r="C363" s="168" t="s">
        <v>828</v>
      </c>
      <c r="D363" s="173" t="s">
        <v>205</v>
      </c>
      <c r="E363" s="178">
        <v>777.49</v>
      </c>
    </row>
    <row r="364" spans="2:5" ht="23.25" thickBot="1" x14ac:dyDescent="0.25">
      <c r="B364" s="167" t="s">
        <v>829</v>
      </c>
      <c r="C364" s="168" t="s">
        <v>830</v>
      </c>
      <c r="D364" s="173" t="s">
        <v>205</v>
      </c>
      <c r="E364" s="178">
        <v>1263.93</v>
      </c>
    </row>
    <row r="365" spans="2:5" ht="14.1" customHeight="1" x14ac:dyDescent="0.2">
      <c r="B365" s="937" t="s">
        <v>831</v>
      </c>
      <c r="C365" s="939"/>
      <c r="D365" s="939"/>
      <c r="E365" s="160"/>
    </row>
    <row r="366" spans="2:5" ht="14.1" customHeight="1" thickBot="1" x14ac:dyDescent="0.25">
      <c r="B366" s="179" t="s">
        <v>28</v>
      </c>
      <c r="C366" s="180" t="s">
        <v>183</v>
      </c>
      <c r="D366" s="180" t="s">
        <v>184</v>
      </c>
      <c r="E366" s="181"/>
    </row>
    <row r="367" spans="2:5" x14ac:dyDescent="0.2">
      <c r="B367" s="167">
        <v>101125</v>
      </c>
      <c r="C367" s="168" t="s">
        <v>832</v>
      </c>
      <c r="D367" s="173" t="s">
        <v>223</v>
      </c>
      <c r="E367" s="170">
        <v>14.24</v>
      </c>
    </row>
    <row r="368" spans="2:5" x14ac:dyDescent="0.2">
      <c r="B368" s="167" t="s">
        <v>73</v>
      </c>
      <c r="C368" s="168" t="s">
        <v>833</v>
      </c>
      <c r="D368" s="173" t="s">
        <v>223</v>
      </c>
      <c r="E368" s="178">
        <v>3.87</v>
      </c>
    </row>
    <row r="369" spans="2:5" x14ac:dyDescent="0.2">
      <c r="B369" s="167">
        <v>100973</v>
      </c>
      <c r="C369" s="168" t="s">
        <v>388</v>
      </c>
      <c r="D369" s="173" t="s">
        <v>84</v>
      </c>
      <c r="E369" s="170">
        <v>8.77</v>
      </c>
    </row>
    <row r="370" spans="2:5" x14ac:dyDescent="0.2">
      <c r="B370" s="167">
        <v>100974</v>
      </c>
      <c r="C370" s="168" t="s">
        <v>389</v>
      </c>
      <c r="D370" s="173" t="s">
        <v>84</v>
      </c>
      <c r="E370" s="170">
        <v>8.49</v>
      </c>
    </row>
    <row r="371" spans="2:5" x14ac:dyDescent="0.2">
      <c r="B371" s="167">
        <v>100975</v>
      </c>
      <c r="C371" s="168" t="s">
        <v>390</v>
      </c>
      <c r="D371" s="173" t="s">
        <v>84</v>
      </c>
      <c r="E371" s="170">
        <v>8.57</v>
      </c>
    </row>
    <row r="372" spans="2:5" ht="22.5" x14ac:dyDescent="0.2">
      <c r="B372" s="167" t="s">
        <v>74</v>
      </c>
      <c r="C372" s="168" t="s">
        <v>834</v>
      </c>
      <c r="D372" s="173" t="s">
        <v>223</v>
      </c>
      <c r="E372" s="178">
        <v>8.8800000000000008</v>
      </c>
    </row>
    <row r="373" spans="2:5" x14ac:dyDescent="0.2">
      <c r="B373" s="167">
        <v>100574</v>
      </c>
      <c r="C373" s="168" t="s">
        <v>835</v>
      </c>
      <c r="D373" s="173" t="s">
        <v>223</v>
      </c>
      <c r="E373" s="170">
        <v>1.47</v>
      </c>
    </row>
    <row r="374" spans="2:5" x14ac:dyDescent="0.2">
      <c r="B374" s="167">
        <v>100575</v>
      </c>
      <c r="C374" s="168" t="s">
        <v>836</v>
      </c>
      <c r="D374" s="173" t="s">
        <v>205</v>
      </c>
      <c r="E374" s="170">
        <v>0.13</v>
      </c>
    </row>
    <row r="375" spans="2:5" x14ac:dyDescent="0.2">
      <c r="B375" s="167" t="s">
        <v>837</v>
      </c>
      <c r="C375" s="168" t="s">
        <v>838</v>
      </c>
      <c r="D375" s="173" t="s">
        <v>223</v>
      </c>
      <c r="E375" s="178">
        <v>4.59</v>
      </c>
    </row>
    <row r="376" spans="2:5" x14ac:dyDescent="0.2">
      <c r="B376" s="167">
        <v>100576</v>
      </c>
      <c r="C376" s="168" t="s">
        <v>839</v>
      </c>
      <c r="D376" s="173" t="s">
        <v>205</v>
      </c>
      <c r="E376" s="170">
        <v>2.6</v>
      </c>
    </row>
    <row r="377" spans="2:5" ht="13.5" thickBot="1" x14ac:dyDescent="0.25">
      <c r="B377" s="182">
        <v>100577</v>
      </c>
      <c r="C377" s="183" t="s">
        <v>840</v>
      </c>
      <c r="D377" s="184" t="s">
        <v>205</v>
      </c>
      <c r="E377" s="170">
        <v>1.19</v>
      </c>
    </row>
    <row r="378" spans="2:5" ht="14.1" customHeight="1" x14ac:dyDescent="0.2">
      <c r="B378" s="937" t="s">
        <v>841</v>
      </c>
      <c r="C378" s="939"/>
      <c r="D378" s="939"/>
      <c r="E378" s="160"/>
    </row>
    <row r="379" spans="2:5" ht="14.1" customHeight="1" thickBot="1" x14ac:dyDescent="0.25">
      <c r="B379" s="111" t="s">
        <v>28</v>
      </c>
      <c r="C379" s="112" t="s">
        <v>183</v>
      </c>
      <c r="D379" s="113" t="s">
        <v>184</v>
      </c>
      <c r="E379" s="114" t="s">
        <v>185</v>
      </c>
    </row>
    <row r="380" spans="2:5" ht="24" customHeight="1" x14ac:dyDescent="0.2">
      <c r="B380" s="185" t="s">
        <v>842</v>
      </c>
      <c r="C380" s="168" t="s">
        <v>843</v>
      </c>
      <c r="D380" s="173" t="s">
        <v>223</v>
      </c>
      <c r="E380" s="178">
        <v>129.93</v>
      </c>
    </row>
    <row r="381" spans="2:5" ht="24" customHeight="1" x14ac:dyDescent="0.2">
      <c r="B381" s="185" t="s">
        <v>844</v>
      </c>
      <c r="C381" s="168" t="s">
        <v>845</v>
      </c>
      <c r="D381" s="173" t="s">
        <v>223</v>
      </c>
      <c r="E381" s="178">
        <v>105.72</v>
      </c>
    </row>
    <row r="382" spans="2:5" x14ac:dyDescent="0.2">
      <c r="B382" s="185" t="s">
        <v>66</v>
      </c>
      <c r="C382" s="168" t="s">
        <v>846</v>
      </c>
      <c r="D382" s="173" t="s">
        <v>223</v>
      </c>
      <c r="E382" s="178">
        <v>155.94999999999999</v>
      </c>
    </row>
    <row r="383" spans="2:5" x14ac:dyDescent="0.2">
      <c r="B383" s="185" t="s">
        <v>77</v>
      </c>
      <c r="C383" s="168" t="s">
        <v>847</v>
      </c>
      <c r="D383" s="173" t="s">
        <v>223</v>
      </c>
      <c r="E383" s="178">
        <v>105.65</v>
      </c>
    </row>
    <row r="384" spans="2:5" x14ac:dyDescent="0.2">
      <c r="B384" s="185" t="s">
        <v>848</v>
      </c>
      <c r="C384" s="168" t="s">
        <v>849</v>
      </c>
      <c r="D384" s="173" t="s">
        <v>223</v>
      </c>
      <c r="E384" s="178">
        <v>157.69</v>
      </c>
    </row>
    <row r="385" spans="2:5" x14ac:dyDescent="0.2">
      <c r="B385" s="185" t="s">
        <v>850</v>
      </c>
      <c r="C385" s="168" t="s">
        <v>851</v>
      </c>
      <c r="D385" s="173" t="s">
        <v>223</v>
      </c>
      <c r="E385" s="178">
        <v>111.01</v>
      </c>
    </row>
    <row r="386" spans="2:5" x14ac:dyDescent="0.2">
      <c r="B386" s="185" t="s">
        <v>852</v>
      </c>
      <c r="C386" s="168" t="s">
        <v>853</v>
      </c>
      <c r="D386" s="173" t="s">
        <v>223</v>
      </c>
      <c r="E386" s="178">
        <v>151.08000000000001</v>
      </c>
    </row>
    <row r="387" spans="2:5" x14ac:dyDescent="0.2">
      <c r="B387" s="185" t="s">
        <v>854</v>
      </c>
      <c r="C387" s="168" t="s">
        <v>855</v>
      </c>
      <c r="D387" s="173" t="s">
        <v>223</v>
      </c>
      <c r="E387" s="178">
        <v>105.65</v>
      </c>
    </row>
    <row r="388" spans="2:5" x14ac:dyDescent="0.2">
      <c r="B388" s="174">
        <v>96396</v>
      </c>
      <c r="C388" s="168" t="s">
        <v>856</v>
      </c>
      <c r="D388" s="173" t="s">
        <v>223</v>
      </c>
      <c r="E388" s="170">
        <v>112.95</v>
      </c>
    </row>
    <row r="389" spans="2:5" x14ac:dyDescent="0.2">
      <c r="B389" s="185" t="s">
        <v>857</v>
      </c>
      <c r="C389" s="168" t="s">
        <v>858</v>
      </c>
      <c r="D389" s="173" t="s">
        <v>223</v>
      </c>
      <c r="E389" s="178">
        <v>155.95999999999998</v>
      </c>
    </row>
    <row r="390" spans="2:5" x14ac:dyDescent="0.2">
      <c r="B390" s="185" t="s">
        <v>859</v>
      </c>
      <c r="C390" s="168" t="s">
        <v>860</v>
      </c>
      <c r="D390" s="173" t="s">
        <v>223</v>
      </c>
      <c r="E390" s="178">
        <v>141.44</v>
      </c>
    </row>
    <row r="391" spans="2:5" ht="12.75" customHeight="1" x14ac:dyDescent="0.2">
      <c r="B391" s="185" t="s">
        <v>861</v>
      </c>
      <c r="C391" s="168" t="s">
        <v>862</v>
      </c>
      <c r="D391" s="173" t="s">
        <v>223</v>
      </c>
      <c r="E391" s="178">
        <v>277.73</v>
      </c>
    </row>
    <row r="392" spans="2:5" ht="12.75" customHeight="1" x14ac:dyDescent="0.2">
      <c r="B392" s="185" t="s">
        <v>863</v>
      </c>
      <c r="C392" s="168" t="s">
        <v>864</v>
      </c>
      <c r="D392" s="173" t="s">
        <v>223</v>
      </c>
      <c r="E392" s="178">
        <v>259.58000000000004</v>
      </c>
    </row>
    <row r="393" spans="2:5" x14ac:dyDescent="0.2">
      <c r="B393" s="174">
        <v>96400</v>
      </c>
      <c r="C393" s="168" t="s">
        <v>865</v>
      </c>
      <c r="D393" s="173" t="s">
        <v>223</v>
      </c>
      <c r="E393" s="170">
        <v>103.58</v>
      </c>
    </row>
    <row r="394" spans="2:5" x14ac:dyDescent="0.2">
      <c r="B394" s="185" t="s">
        <v>866</v>
      </c>
      <c r="C394" s="168" t="s">
        <v>867</v>
      </c>
      <c r="D394" s="173" t="s">
        <v>223</v>
      </c>
      <c r="E394" s="178">
        <v>209.60000000000002</v>
      </c>
    </row>
    <row r="395" spans="2:5" ht="12.75" customHeight="1" x14ac:dyDescent="0.2">
      <c r="B395" s="174">
        <v>96001</v>
      </c>
      <c r="C395" s="168" t="s">
        <v>868</v>
      </c>
      <c r="D395" s="173" t="s">
        <v>205</v>
      </c>
      <c r="E395" s="170">
        <v>7.95</v>
      </c>
    </row>
    <row r="396" spans="2:5" x14ac:dyDescent="0.2">
      <c r="B396" s="185" t="s">
        <v>869</v>
      </c>
      <c r="C396" s="168" t="s">
        <v>870</v>
      </c>
      <c r="D396" s="173" t="s">
        <v>223</v>
      </c>
      <c r="E396" s="178">
        <v>106.87</v>
      </c>
    </row>
    <row r="397" spans="2:5" x14ac:dyDescent="0.2">
      <c r="B397" s="185" t="s">
        <v>871</v>
      </c>
      <c r="C397" s="168" t="s">
        <v>872</v>
      </c>
      <c r="D397" s="173" t="s">
        <v>223</v>
      </c>
      <c r="E397" s="178">
        <v>121.39</v>
      </c>
    </row>
    <row r="398" spans="2:5" ht="12.75" customHeight="1" x14ac:dyDescent="0.2">
      <c r="B398" s="185" t="s">
        <v>78</v>
      </c>
      <c r="C398" s="168" t="s">
        <v>873</v>
      </c>
      <c r="D398" s="173" t="s">
        <v>205</v>
      </c>
      <c r="E398" s="178">
        <v>2.85</v>
      </c>
    </row>
    <row r="399" spans="2:5" x14ac:dyDescent="0.2">
      <c r="B399" s="185" t="s">
        <v>874</v>
      </c>
      <c r="C399" s="168" t="s">
        <v>875</v>
      </c>
      <c r="D399" s="173" t="s">
        <v>205</v>
      </c>
      <c r="E399" s="178">
        <v>2.75</v>
      </c>
    </row>
    <row r="400" spans="2:5" x14ac:dyDescent="0.2">
      <c r="B400" s="185" t="s">
        <v>876</v>
      </c>
      <c r="C400" s="168" t="s">
        <v>877</v>
      </c>
      <c r="D400" s="173" t="s">
        <v>205</v>
      </c>
      <c r="E400" s="178">
        <v>2.83</v>
      </c>
    </row>
    <row r="401" spans="2:5" x14ac:dyDescent="0.2">
      <c r="B401" s="185" t="s">
        <v>878</v>
      </c>
      <c r="C401" s="168" t="s">
        <v>879</v>
      </c>
      <c r="D401" s="173" t="s">
        <v>205</v>
      </c>
      <c r="E401" s="178">
        <v>6.27</v>
      </c>
    </row>
    <row r="402" spans="2:5" x14ac:dyDescent="0.2">
      <c r="B402" s="185" t="s">
        <v>880</v>
      </c>
      <c r="C402" s="168" t="s">
        <v>881</v>
      </c>
      <c r="D402" s="173" t="s">
        <v>205</v>
      </c>
      <c r="E402" s="178">
        <v>6.56</v>
      </c>
    </row>
    <row r="403" spans="2:5" ht="23.25" customHeight="1" x14ac:dyDescent="0.2">
      <c r="B403" s="185" t="s">
        <v>882</v>
      </c>
      <c r="C403" s="168" t="s">
        <v>883</v>
      </c>
      <c r="D403" s="173" t="s">
        <v>205</v>
      </c>
      <c r="E403" s="170">
        <v>7.1199999999999992</v>
      </c>
    </row>
    <row r="404" spans="2:5" ht="23.25" customHeight="1" x14ac:dyDescent="0.2">
      <c r="B404" s="185" t="s">
        <v>884</v>
      </c>
      <c r="C404" s="168" t="s">
        <v>885</v>
      </c>
      <c r="D404" s="173" t="s">
        <v>205</v>
      </c>
      <c r="E404" s="170">
        <v>10.600000000000001</v>
      </c>
    </row>
    <row r="405" spans="2:5" ht="23.25" customHeight="1" x14ac:dyDescent="0.2">
      <c r="B405" s="185" t="s">
        <v>79</v>
      </c>
      <c r="C405" s="168" t="s">
        <v>886</v>
      </c>
      <c r="D405" s="173" t="s">
        <v>205</v>
      </c>
      <c r="E405" s="170">
        <v>18.16</v>
      </c>
    </row>
    <row r="406" spans="2:5" ht="23.25" customHeight="1" x14ac:dyDescent="0.2">
      <c r="B406" s="185" t="s">
        <v>887</v>
      </c>
      <c r="C406" s="168" t="s">
        <v>888</v>
      </c>
      <c r="D406" s="173" t="s">
        <v>205</v>
      </c>
      <c r="E406" s="170">
        <v>21.600000000000005</v>
      </c>
    </row>
    <row r="407" spans="2:5" ht="23.25" customHeight="1" x14ac:dyDescent="0.2">
      <c r="B407" s="185" t="s">
        <v>889</v>
      </c>
      <c r="C407" s="168" t="s">
        <v>890</v>
      </c>
      <c r="D407" s="173" t="s">
        <v>205</v>
      </c>
      <c r="E407" s="170">
        <v>24.91</v>
      </c>
    </row>
    <row r="408" spans="2:5" ht="23.25" customHeight="1" x14ac:dyDescent="0.2">
      <c r="B408" s="185" t="s">
        <v>891</v>
      </c>
      <c r="C408" s="168" t="s">
        <v>892</v>
      </c>
      <c r="D408" s="173" t="s">
        <v>205</v>
      </c>
      <c r="E408" s="170">
        <v>20.07</v>
      </c>
    </row>
    <row r="409" spans="2:5" ht="23.25" customHeight="1" x14ac:dyDescent="0.2">
      <c r="B409" s="185" t="s">
        <v>893</v>
      </c>
      <c r="C409" s="168" t="s">
        <v>894</v>
      </c>
      <c r="D409" s="173" t="s">
        <v>205</v>
      </c>
      <c r="E409" s="170">
        <v>21.650000000000002</v>
      </c>
    </row>
    <row r="410" spans="2:5" ht="23.25" customHeight="1" x14ac:dyDescent="0.2">
      <c r="B410" s="185" t="s">
        <v>895</v>
      </c>
      <c r="C410" s="168" t="s">
        <v>896</v>
      </c>
      <c r="D410" s="173" t="s">
        <v>205</v>
      </c>
      <c r="E410" s="170">
        <v>25.030000000000005</v>
      </c>
    </row>
    <row r="411" spans="2:5" x14ac:dyDescent="0.2">
      <c r="B411" s="185" t="s">
        <v>897</v>
      </c>
      <c r="C411" s="168" t="s">
        <v>898</v>
      </c>
      <c r="D411" s="173" t="s">
        <v>396</v>
      </c>
      <c r="E411" s="170">
        <v>295.83</v>
      </c>
    </row>
    <row r="412" spans="2:5" ht="22.5" x14ac:dyDescent="0.2">
      <c r="B412" s="185" t="s">
        <v>899</v>
      </c>
      <c r="C412" s="168" t="s">
        <v>900</v>
      </c>
      <c r="D412" s="173" t="s">
        <v>223</v>
      </c>
      <c r="E412" s="170">
        <v>778.8900000000001</v>
      </c>
    </row>
    <row r="413" spans="2:5" x14ac:dyDescent="0.2">
      <c r="B413" s="185" t="s">
        <v>901</v>
      </c>
      <c r="C413" s="168" t="s">
        <v>902</v>
      </c>
      <c r="D413" s="173" t="s">
        <v>396</v>
      </c>
      <c r="E413" s="170">
        <v>346.61</v>
      </c>
    </row>
    <row r="414" spans="2:5" ht="23.25" customHeight="1" x14ac:dyDescent="0.2">
      <c r="B414" s="185" t="s">
        <v>903</v>
      </c>
      <c r="C414" s="168" t="s">
        <v>904</v>
      </c>
      <c r="D414" s="173" t="s">
        <v>223</v>
      </c>
      <c r="E414" s="170">
        <v>924.06</v>
      </c>
    </row>
    <row r="415" spans="2:5" x14ac:dyDescent="0.2">
      <c r="B415" s="185" t="s">
        <v>905</v>
      </c>
      <c r="C415" s="168" t="s">
        <v>906</v>
      </c>
      <c r="D415" s="173" t="s">
        <v>396</v>
      </c>
      <c r="E415" s="178">
        <v>411.4</v>
      </c>
    </row>
    <row r="416" spans="2:5" ht="24" customHeight="1" x14ac:dyDescent="0.2">
      <c r="B416" s="185" t="s">
        <v>907</v>
      </c>
      <c r="C416" s="168" t="s">
        <v>908</v>
      </c>
      <c r="D416" s="173" t="s">
        <v>223</v>
      </c>
      <c r="E416" s="178">
        <v>1139.78</v>
      </c>
    </row>
    <row r="417" spans="2:5" x14ac:dyDescent="0.2">
      <c r="B417" s="185" t="s">
        <v>909</v>
      </c>
      <c r="C417" s="168" t="s">
        <v>910</v>
      </c>
      <c r="D417" s="173" t="s">
        <v>396</v>
      </c>
      <c r="E417" s="170">
        <v>434.75</v>
      </c>
    </row>
    <row r="418" spans="2:5" ht="22.5" x14ac:dyDescent="0.2">
      <c r="B418" s="185" t="s">
        <v>911</v>
      </c>
      <c r="C418" s="168" t="s">
        <v>912</v>
      </c>
      <c r="D418" s="173" t="s">
        <v>223</v>
      </c>
      <c r="E418" s="170">
        <v>1199.43</v>
      </c>
    </row>
    <row r="419" spans="2:5" x14ac:dyDescent="0.2">
      <c r="B419" s="185" t="s">
        <v>913</v>
      </c>
      <c r="C419" s="168" t="s">
        <v>914</v>
      </c>
      <c r="D419" s="173" t="s">
        <v>396</v>
      </c>
      <c r="E419" s="170">
        <v>471.31</v>
      </c>
    </row>
    <row r="420" spans="2:5" ht="22.5" x14ac:dyDescent="0.2">
      <c r="B420" s="185" t="s">
        <v>915</v>
      </c>
      <c r="C420" s="168" t="s">
        <v>916</v>
      </c>
      <c r="D420" s="173" t="s">
        <v>223</v>
      </c>
      <c r="E420" s="170">
        <v>1327.08</v>
      </c>
    </row>
    <row r="421" spans="2:5" ht="12.75" customHeight="1" x14ac:dyDescent="0.2">
      <c r="B421" s="185" t="s">
        <v>917</v>
      </c>
      <c r="C421" s="168" t="s">
        <v>918</v>
      </c>
      <c r="D421" s="173" t="s">
        <v>396</v>
      </c>
      <c r="E421" s="178">
        <v>451.17999999999995</v>
      </c>
    </row>
    <row r="422" spans="2:5" ht="21.75" customHeight="1" x14ac:dyDescent="0.2">
      <c r="B422" s="185" t="s">
        <v>919</v>
      </c>
      <c r="C422" s="168" t="s">
        <v>920</v>
      </c>
      <c r="D422" s="173" t="s">
        <v>223</v>
      </c>
      <c r="E422" s="178">
        <v>1241.4100000000001</v>
      </c>
    </row>
    <row r="423" spans="2:5" ht="12.75" customHeight="1" x14ac:dyDescent="0.2">
      <c r="B423" s="185" t="s">
        <v>921</v>
      </c>
      <c r="C423" s="168" t="s">
        <v>922</v>
      </c>
      <c r="D423" s="173" t="s">
        <v>396</v>
      </c>
      <c r="E423" s="178">
        <v>501.07</v>
      </c>
    </row>
    <row r="424" spans="2:5" ht="24" customHeight="1" x14ac:dyDescent="0.2">
      <c r="B424" s="185" t="s">
        <v>923</v>
      </c>
      <c r="C424" s="168" t="s">
        <v>924</v>
      </c>
      <c r="D424" s="173" t="s">
        <v>223</v>
      </c>
      <c r="E424" s="178">
        <v>1403.1100000000001</v>
      </c>
    </row>
    <row r="425" spans="2:5" ht="24" customHeight="1" x14ac:dyDescent="0.2">
      <c r="B425" s="185" t="s">
        <v>1609</v>
      </c>
      <c r="C425" s="168" t="s">
        <v>1610</v>
      </c>
      <c r="D425" s="173" t="s">
        <v>396</v>
      </c>
      <c r="E425" s="178">
        <v>618.08000000000004</v>
      </c>
    </row>
    <row r="426" spans="2:5" ht="24" customHeight="1" x14ac:dyDescent="0.2">
      <c r="B426" s="185" t="s">
        <v>1611</v>
      </c>
      <c r="C426" s="168" t="s">
        <v>1612</v>
      </c>
      <c r="D426" s="173" t="s">
        <v>223</v>
      </c>
      <c r="E426" s="178">
        <v>1702.05</v>
      </c>
    </row>
    <row r="427" spans="2:5" ht="12.75" customHeight="1" x14ac:dyDescent="0.2">
      <c r="B427" s="185" t="s">
        <v>925</v>
      </c>
      <c r="C427" s="168" t="s">
        <v>926</v>
      </c>
      <c r="D427" s="173" t="s">
        <v>205</v>
      </c>
      <c r="E427" s="178">
        <v>14.229999999999999</v>
      </c>
    </row>
    <row r="428" spans="2:5" x14ac:dyDescent="0.2">
      <c r="B428" s="185" t="s">
        <v>927</v>
      </c>
      <c r="C428" s="168" t="s">
        <v>928</v>
      </c>
      <c r="D428" s="173" t="s">
        <v>205</v>
      </c>
      <c r="E428" s="178">
        <v>20.970000000000002</v>
      </c>
    </row>
    <row r="429" spans="2:5" x14ac:dyDescent="0.2">
      <c r="B429" s="185" t="s">
        <v>929</v>
      </c>
      <c r="C429" s="168" t="s">
        <v>930</v>
      </c>
      <c r="D429" s="173" t="s">
        <v>223</v>
      </c>
      <c r="E429" s="178">
        <v>448.28999999999996</v>
      </c>
    </row>
    <row r="430" spans="2:5" ht="22.5" x14ac:dyDescent="0.2">
      <c r="B430" s="185" t="s">
        <v>931</v>
      </c>
      <c r="C430" s="168" t="s">
        <v>932</v>
      </c>
      <c r="D430" s="173" t="s">
        <v>223</v>
      </c>
      <c r="E430" s="178">
        <v>510.53999999999996</v>
      </c>
    </row>
    <row r="431" spans="2:5" ht="22.5" x14ac:dyDescent="0.2">
      <c r="B431" s="185" t="s">
        <v>933</v>
      </c>
      <c r="C431" s="168" t="s">
        <v>934</v>
      </c>
      <c r="D431" s="173" t="s">
        <v>223</v>
      </c>
      <c r="E431" s="178">
        <v>536.79</v>
      </c>
    </row>
    <row r="432" spans="2:5" ht="22.5" x14ac:dyDescent="0.2">
      <c r="B432" s="185" t="s">
        <v>935</v>
      </c>
      <c r="C432" s="168" t="s">
        <v>936</v>
      </c>
      <c r="D432" s="173" t="s">
        <v>223</v>
      </c>
      <c r="E432" s="178">
        <v>522.37</v>
      </c>
    </row>
    <row r="433" spans="2:5" ht="33.75" customHeight="1" x14ac:dyDescent="0.2">
      <c r="B433" s="185" t="s">
        <v>937</v>
      </c>
      <c r="C433" s="168" t="s">
        <v>938</v>
      </c>
      <c r="D433" s="173" t="s">
        <v>223</v>
      </c>
      <c r="E433" s="178">
        <v>548.62</v>
      </c>
    </row>
    <row r="434" spans="2:5" ht="12.75" customHeight="1" x14ac:dyDescent="0.2">
      <c r="B434" s="185" t="s">
        <v>939</v>
      </c>
      <c r="C434" s="168" t="s">
        <v>940</v>
      </c>
      <c r="D434" s="173" t="s">
        <v>223</v>
      </c>
      <c r="E434" s="178">
        <v>602.91000000000008</v>
      </c>
    </row>
    <row r="435" spans="2:5" x14ac:dyDescent="0.2">
      <c r="B435" s="185" t="s">
        <v>941</v>
      </c>
      <c r="C435" s="168" t="s">
        <v>942</v>
      </c>
      <c r="D435" s="173" t="s">
        <v>223</v>
      </c>
      <c r="E435" s="178">
        <v>629.16000000000008</v>
      </c>
    </row>
    <row r="436" spans="2:5" ht="22.5" customHeight="1" x14ac:dyDescent="0.2">
      <c r="B436" s="185" t="s">
        <v>943</v>
      </c>
      <c r="C436" s="168" t="s">
        <v>944</v>
      </c>
      <c r="D436" s="173" t="s">
        <v>223</v>
      </c>
      <c r="E436" s="178">
        <v>537.42999999999995</v>
      </c>
    </row>
    <row r="437" spans="2:5" ht="12.75" customHeight="1" x14ac:dyDescent="0.2">
      <c r="B437" s="174">
        <v>97113</v>
      </c>
      <c r="C437" s="168" t="s">
        <v>945</v>
      </c>
      <c r="D437" s="173" t="s">
        <v>205</v>
      </c>
      <c r="E437" s="170">
        <v>3.15</v>
      </c>
    </row>
    <row r="438" spans="2:5" x14ac:dyDescent="0.2">
      <c r="B438" s="185" t="s">
        <v>946</v>
      </c>
      <c r="C438" s="168" t="s">
        <v>947</v>
      </c>
      <c r="D438" s="173" t="s">
        <v>205</v>
      </c>
      <c r="E438" s="178">
        <v>5.26</v>
      </c>
    </row>
    <row r="439" spans="2:5" x14ac:dyDescent="0.2">
      <c r="B439" s="185" t="s">
        <v>948</v>
      </c>
      <c r="C439" s="168" t="s">
        <v>949</v>
      </c>
      <c r="D439" s="173" t="s">
        <v>205</v>
      </c>
      <c r="E439" s="178">
        <v>7.14</v>
      </c>
    </row>
    <row r="440" spans="2:5" x14ac:dyDescent="0.2">
      <c r="B440" s="185" t="s">
        <v>950</v>
      </c>
      <c r="C440" s="168" t="s">
        <v>951</v>
      </c>
      <c r="D440" s="173" t="s">
        <v>205</v>
      </c>
      <c r="E440" s="178">
        <v>28.09</v>
      </c>
    </row>
    <row r="441" spans="2:5" x14ac:dyDescent="0.2">
      <c r="B441" s="185" t="s">
        <v>952</v>
      </c>
      <c r="C441" s="168" t="s">
        <v>953</v>
      </c>
      <c r="D441" s="173" t="s">
        <v>205</v>
      </c>
      <c r="E441" s="178">
        <v>55.64</v>
      </c>
    </row>
    <row r="442" spans="2:5" ht="22.5" x14ac:dyDescent="0.2">
      <c r="B442" s="185" t="s">
        <v>954</v>
      </c>
      <c r="C442" s="168" t="s">
        <v>955</v>
      </c>
      <c r="D442" s="173" t="s">
        <v>42</v>
      </c>
      <c r="E442" s="178">
        <v>106.01</v>
      </c>
    </row>
    <row r="443" spans="2:5" ht="22.5" x14ac:dyDescent="0.2">
      <c r="B443" s="185" t="s">
        <v>956</v>
      </c>
      <c r="C443" s="168" t="s">
        <v>957</v>
      </c>
      <c r="D443" s="173" t="s">
        <v>42</v>
      </c>
      <c r="E443" s="178">
        <v>173.08562499999999</v>
      </c>
    </row>
    <row r="444" spans="2:5" ht="22.5" x14ac:dyDescent="0.2">
      <c r="B444" s="185" t="s">
        <v>958</v>
      </c>
      <c r="C444" s="168" t="s">
        <v>959</v>
      </c>
      <c r="D444" s="173" t="s">
        <v>42</v>
      </c>
      <c r="E444" s="178">
        <v>12.13</v>
      </c>
    </row>
    <row r="445" spans="2:5" ht="22.5" x14ac:dyDescent="0.2">
      <c r="B445" s="185" t="s">
        <v>960</v>
      </c>
      <c r="C445" s="168" t="s">
        <v>961</v>
      </c>
      <c r="D445" s="173" t="s">
        <v>42</v>
      </c>
      <c r="E445" s="178">
        <v>9.73</v>
      </c>
    </row>
    <row r="446" spans="2:5" ht="22.5" x14ac:dyDescent="0.2">
      <c r="B446" s="174">
        <v>101167</v>
      </c>
      <c r="C446" s="168" t="s">
        <v>962</v>
      </c>
      <c r="D446" s="173" t="s">
        <v>963</v>
      </c>
      <c r="E446" s="170">
        <v>91.49</v>
      </c>
    </row>
    <row r="447" spans="2:5" ht="22.5" x14ac:dyDescent="0.2">
      <c r="B447" s="174">
        <v>101169</v>
      </c>
      <c r="C447" s="168" t="s">
        <v>964</v>
      </c>
      <c r="D447" s="173" t="s">
        <v>963</v>
      </c>
      <c r="E447" s="170">
        <v>105.87</v>
      </c>
    </row>
    <row r="448" spans="2:5" ht="12.75" customHeight="1" x14ac:dyDescent="0.2">
      <c r="B448" s="185" t="s">
        <v>965</v>
      </c>
      <c r="C448" s="168" t="s">
        <v>966</v>
      </c>
      <c r="D448" s="173" t="s">
        <v>42</v>
      </c>
      <c r="E448" s="178">
        <v>50.410000000000004</v>
      </c>
    </row>
    <row r="449" spans="2:5" ht="22.5" customHeight="1" x14ac:dyDescent="0.2">
      <c r="B449" s="185" t="s">
        <v>967</v>
      </c>
      <c r="C449" s="168" t="s">
        <v>968</v>
      </c>
      <c r="D449" s="173" t="s">
        <v>42</v>
      </c>
      <c r="E449" s="178">
        <v>55.550000000000004</v>
      </c>
    </row>
    <row r="450" spans="2:5" ht="23.25" customHeight="1" x14ac:dyDescent="0.2">
      <c r="B450" s="185" t="s">
        <v>969</v>
      </c>
      <c r="C450" s="168" t="s">
        <v>970</v>
      </c>
      <c r="D450" s="173" t="s">
        <v>42</v>
      </c>
      <c r="E450" s="178">
        <v>79.61</v>
      </c>
    </row>
    <row r="451" spans="2:5" ht="23.25" customHeight="1" x14ac:dyDescent="0.2">
      <c r="B451" s="185" t="s">
        <v>971</v>
      </c>
      <c r="C451" s="168" t="s">
        <v>972</v>
      </c>
      <c r="D451" s="173" t="s">
        <v>42</v>
      </c>
      <c r="E451" s="178">
        <v>89.41</v>
      </c>
    </row>
    <row r="452" spans="2:5" ht="23.25" customHeight="1" x14ac:dyDescent="0.2">
      <c r="B452" s="185" t="s">
        <v>973</v>
      </c>
      <c r="C452" s="168" t="s">
        <v>974</v>
      </c>
      <c r="D452" s="173" t="s">
        <v>42</v>
      </c>
      <c r="E452" s="178">
        <v>49.320000000000007</v>
      </c>
    </row>
    <row r="453" spans="2:5" ht="22.5" customHeight="1" x14ac:dyDescent="0.2">
      <c r="B453" s="185" t="s">
        <v>975</v>
      </c>
      <c r="C453" s="168" t="s">
        <v>976</v>
      </c>
      <c r="D453" s="173" t="s">
        <v>42</v>
      </c>
      <c r="E453" s="178">
        <v>69.36</v>
      </c>
    </row>
    <row r="454" spans="2:5" ht="22.5" customHeight="1" x14ac:dyDescent="0.2">
      <c r="B454" s="185" t="s">
        <v>977</v>
      </c>
      <c r="C454" s="168" t="s">
        <v>978</v>
      </c>
      <c r="D454" s="173" t="s">
        <v>42</v>
      </c>
      <c r="E454" s="178">
        <v>48.44</v>
      </c>
    </row>
    <row r="455" spans="2:5" ht="22.5" customHeight="1" x14ac:dyDescent="0.2">
      <c r="B455" s="185" t="s">
        <v>979</v>
      </c>
      <c r="C455" s="168" t="s">
        <v>980</v>
      </c>
      <c r="D455" s="173" t="s">
        <v>42</v>
      </c>
      <c r="E455" s="178">
        <v>54.81</v>
      </c>
    </row>
    <row r="456" spans="2:5" ht="24.75" customHeight="1" x14ac:dyDescent="0.2">
      <c r="B456" s="185" t="s">
        <v>981</v>
      </c>
      <c r="C456" s="168" t="s">
        <v>982</v>
      </c>
      <c r="D456" s="173" t="s">
        <v>42</v>
      </c>
      <c r="E456" s="178">
        <v>43.31</v>
      </c>
    </row>
    <row r="457" spans="2:5" x14ac:dyDescent="0.2">
      <c r="B457" s="185" t="s">
        <v>983</v>
      </c>
      <c r="C457" s="168" t="s">
        <v>984</v>
      </c>
      <c r="D457" s="173" t="s">
        <v>42</v>
      </c>
      <c r="E457" s="178">
        <v>24.72</v>
      </c>
    </row>
    <row r="458" spans="2:5" x14ac:dyDescent="0.2">
      <c r="B458" s="185" t="s">
        <v>985</v>
      </c>
      <c r="C458" s="168" t="s">
        <v>986</v>
      </c>
      <c r="D458" s="173" t="s">
        <v>42</v>
      </c>
      <c r="E458" s="178">
        <v>54.980000000000004</v>
      </c>
    </row>
    <row r="459" spans="2:5" x14ac:dyDescent="0.2">
      <c r="B459" s="185" t="s">
        <v>987</v>
      </c>
      <c r="C459" s="168" t="s">
        <v>988</v>
      </c>
      <c r="D459" s="173" t="s">
        <v>205</v>
      </c>
      <c r="E459" s="178">
        <v>15.07</v>
      </c>
    </row>
    <row r="460" spans="2:5" x14ac:dyDescent="0.2">
      <c r="B460" s="185" t="s">
        <v>989</v>
      </c>
      <c r="C460" s="168" t="s">
        <v>990</v>
      </c>
      <c r="D460" s="173" t="s">
        <v>205</v>
      </c>
      <c r="E460" s="178">
        <v>20.09</v>
      </c>
    </row>
    <row r="461" spans="2:5" ht="12.75" customHeight="1" x14ac:dyDescent="0.2">
      <c r="B461" s="185" t="s">
        <v>991</v>
      </c>
      <c r="C461" s="168" t="s">
        <v>992</v>
      </c>
      <c r="D461" s="173" t="s">
        <v>42</v>
      </c>
      <c r="E461" s="178">
        <v>14.06</v>
      </c>
    </row>
    <row r="462" spans="2:5" x14ac:dyDescent="0.2">
      <c r="B462" s="185" t="s">
        <v>993</v>
      </c>
      <c r="C462" s="168" t="s">
        <v>994</v>
      </c>
      <c r="D462" s="173" t="s">
        <v>42</v>
      </c>
      <c r="E462" s="178">
        <v>20.09</v>
      </c>
    </row>
    <row r="463" spans="2:5" x14ac:dyDescent="0.2">
      <c r="B463" s="185" t="s">
        <v>995</v>
      </c>
      <c r="C463" s="168" t="s">
        <v>996</v>
      </c>
      <c r="D463" s="173" t="s">
        <v>42</v>
      </c>
      <c r="E463" s="178">
        <v>7.53</v>
      </c>
    </row>
    <row r="464" spans="2:5" x14ac:dyDescent="0.2">
      <c r="B464" s="185" t="s">
        <v>997</v>
      </c>
      <c r="C464" s="168" t="s">
        <v>998</v>
      </c>
      <c r="D464" s="173" t="s">
        <v>42</v>
      </c>
      <c r="E464" s="178">
        <v>10.039999999999999</v>
      </c>
    </row>
    <row r="465" spans="2:5" ht="12.75" customHeight="1" x14ac:dyDescent="0.2">
      <c r="B465" s="185" t="s">
        <v>999</v>
      </c>
      <c r="C465" s="168" t="s">
        <v>1000</v>
      </c>
      <c r="D465" s="173" t="s">
        <v>205</v>
      </c>
      <c r="E465" s="178">
        <v>67.94</v>
      </c>
    </row>
    <row r="466" spans="2:5" ht="12.75" customHeight="1" x14ac:dyDescent="0.2">
      <c r="B466" s="185" t="s">
        <v>1001</v>
      </c>
      <c r="C466" s="168" t="s">
        <v>1002</v>
      </c>
      <c r="D466" s="173" t="s">
        <v>205</v>
      </c>
      <c r="E466" s="178">
        <v>93.55</v>
      </c>
    </row>
    <row r="467" spans="2:5" ht="12.75" customHeight="1" x14ac:dyDescent="0.2">
      <c r="B467" s="185" t="s">
        <v>1003</v>
      </c>
      <c r="C467" s="168" t="s">
        <v>1004</v>
      </c>
      <c r="D467" s="173" t="s">
        <v>42</v>
      </c>
      <c r="E467" s="178">
        <v>39.22</v>
      </c>
    </row>
    <row r="468" spans="2:5" ht="12.75" customHeight="1" x14ac:dyDescent="0.2">
      <c r="B468" s="185" t="s">
        <v>1005</v>
      </c>
      <c r="C468" s="168" t="s">
        <v>1006</v>
      </c>
      <c r="D468" s="173" t="s">
        <v>42</v>
      </c>
      <c r="E468" s="178">
        <v>53.900000000000006</v>
      </c>
    </row>
    <row r="469" spans="2:5" ht="12.75" customHeight="1" x14ac:dyDescent="0.2">
      <c r="B469" s="185" t="s">
        <v>1007</v>
      </c>
      <c r="C469" s="168" t="s">
        <v>1008</v>
      </c>
      <c r="D469" s="173" t="s">
        <v>42</v>
      </c>
      <c r="E469" s="178">
        <v>23.18</v>
      </c>
    </row>
    <row r="470" spans="2:5" ht="12.75" customHeight="1" x14ac:dyDescent="0.2">
      <c r="B470" s="185" t="s">
        <v>1009</v>
      </c>
      <c r="C470" s="168" t="s">
        <v>1010</v>
      </c>
      <c r="D470" s="173" t="s">
        <v>42</v>
      </c>
      <c r="E470" s="178">
        <v>46.85</v>
      </c>
    </row>
    <row r="471" spans="2:5" ht="12.75" customHeight="1" x14ac:dyDescent="0.2">
      <c r="B471" s="185" t="s">
        <v>1011</v>
      </c>
      <c r="C471" s="168" t="s">
        <v>1012</v>
      </c>
      <c r="D471" s="173" t="s">
        <v>42</v>
      </c>
      <c r="E471" s="178">
        <v>59.61</v>
      </c>
    </row>
    <row r="472" spans="2:5" x14ac:dyDescent="0.2">
      <c r="B472" s="185" t="s">
        <v>1013</v>
      </c>
      <c r="C472" s="168" t="s">
        <v>1014</v>
      </c>
      <c r="D472" s="173" t="s">
        <v>223</v>
      </c>
      <c r="E472" s="178">
        <v>124.26</v>
      </c>
    </row>
    <row r="473" spans="2:5" x14ac:dyDescent="0.2">
      <c r="B473" s="185" t="s">
        <v>1015</v>
      </c>
      <c r="C473" s="168" t="s">
        <v>1016</v>
      </c>
      <c r="D473" s="173" t="s">
        <v>223</v>
      </c>
      <c r="E473" s="178">
        <v>47.81</v>
      </c>
    </row>
    <row r="474" spans="2:5" x14ac:dyDescent="0.2">
      <c r="B474" s="185" t="s">
        <v>1017</v>
      </c>
      <c r="C474" s="168" t="s">
        <v>1018</v>
      </c>
      <c r="D474" s="173" t="s">
        <v>205</v>
      </c>
      <c r="E474" s="178">
        <v>4.78</v>
      </c>
    </row>
    <row r="475" spans="2:5" x14ac:dyDescent="0.2">
      <c r="B475" s="185" t="s">
        <v>1019</v>
      </c>
      <c r="C475" s="168" t="s">
        <v>1020</v>
      </c>
      <c r="D475" s="173" t="s">
        <v>205</v>
      </c>
      <c r="E475" s="178">
        <v>0.73</v>
      </c>
    </row>
    <row r="476" spans="2:5" ht="24" customHeight="1" x14ac:dyDescent="0.2">
      <c r="B476" s="185" t="s">
        <v>1021</v>
      </c>
      <c r="C476" s="168" t="s">
        <v>1022</v>
      </c>
      <c r="D476" s="173" t="s">
        <v>42</v>
      </c>
      <c r="E476" s="178">
        <v>7.6</v>
      </c>
    </row>
    <row r="477" spans="2:5" ht="22.5" x14ac:dyDescent="0.2">
      <c r="B477" s="185" t="s">
        <v>1023</v>
      </c>
      <c r="C477" s="168" t="s">
        <v>1024</v>
      </c>
      <c r="D477" s="173" t="s">
        <v>42</v>
      </c>
      <c r="E477" s="178">
        <v>8.4499999999999993</v>
      </c>
    </row>
    <row r="478" spans="2:5" ht="23.25" customHeight="1" x14ac:dyDescent="0.2">
      <c r="B478" s="120" t="s">
        <v>1025</v>
      </c>
      <c r="C478" s="121" t="s">
        <v>1026</v>
      </c>
      <c r="D478" s="122" t="s">
        <v>223</v>
      </c>
      <c r="E478" s="137">
        <v>140.19999999999999</v>
      </c>
    </row>
    <row r="479" spans="2:5" ht="12.75" customHeight="1" x14ac:dyDescent="0.2">
      <c r="B479" s="186" t="s">
        <v>1027</v>
      </c>
      <c r="C479" s="143" t="s">
        <v>1028</v>
      </c>
      <c r="D479" s="187" t="s">
        <v>42</v>
      </c>
      <c r="E479" s="188">
        <v>22.32</v>
      </c>
    </row>
    <row r="480" spans="2:5" ht="12.75" customHeight="1" x14ac:dyDescent="0.2">
      <c r="B480" s="186" t="s">
        <v>1029</v>
      </c>
      <c r="C480" s="143" t="s">
        <v>1030</v>
      </c>
      <c r="D480" s="187" t="s">
        <v>223</v>
      </c>
      <c r="E480" s="188">
        <v>190.72</v>
      </c>
    </row>
    <row r="481" spans="2:5" ht="12.75" customHeight="1" thickBot="1" x14ac:dyDescent="0.25">
      <c r="B481" s="189" t="s">
        <v>1031</v>
      </c>
      <c r="C481" s="129" t="s">
        <v>1032</v>
      </c>
      <c r="D481" s="190" t="s">
        <v>223</v>
      </c>
      <c r="E481" s="191">
        <v>140.28</v>
      </c>
    </row>
    <row r="482" spans="2:5" ht="14.1" customHeight="1" x14ac:dyDescent="0.2">
      <c r="B482" s="937" t="s">
        <v>1033</v>
      </c>
      <c r="C482" s="938"/>
      <c r="D482" s="939"/>
      <c r="E482" s="160"/>
    </row>
    <row r="483" spans="2:5" ht="14.1" customHeight="1" thickBot="1" x14ac:dyDescent="0.25">
      <c r="B483" s="111" t="s">
        <v>28</v>
      </c>
      <c r="C483" s="112" t="s">
        <v>183</v>
      </c>
      <c r="D483" s="113" t="s">
        <v>184</v>
      </c>
      <c r="E483" s="114" t="s">
        <v>185</v>
      </c>
    </row>
    <row r="484" spans="2:5" ht="12.75" customHeight="1" x14ac:dyDescent="0.2">
      <c r="B484" s="185" t="s">
        <v>1034</v>
      </c>
      <c r="C484" s="168" t="s">
        <v>1035</v>
      </c>
      <c r="D484" s="173" t="s">
        <v>205</v>
      </c>
      <c r="E484" s="178">
        <v>18.600000000000001</v>
      </c>
    </row>
    <row r="485" spans="2:5" ht="23.25" customHeight="1" x14ac:dyDescent="0.2">
      <c r="B485" s="185" t="s">
        <v>1036</v>
      </c>
      <c r="C485" s="168" t="s">
        <v>1037</v>
      </c>
      <c r="D485" s="173" t="s">
        <v>205</v>
      </c>
      <c r="E485" s="178">
        <v>60.06</v>
      </c>
    </row>
    <row r="486" spans="2:5" ht="12.75" customHeight="1" x14ac:dyDescent="0.2">
      <c r="B486" s="185" t="s">
        <v>1038</v>
      </c>
      <c r="C486" s="168" t="s">
        <v>1039</v>
      </c>
      <c r="D486" s="173" t="s">
        <v>205</v>
      </c>
      <c r="E486" s="178">
        <v>413.32</v>
      </c>
    </row>
    <row r="487" spans="2:5" ht="12.75" customHeight="1" x14ac:dyDescent="0.2">
      <c r="B487" s="185" t="s">
        <v>1040</v>
      </c>
      <c r="C487" s="168" t="s">
        <v>1041</v>
      </c>
      <c r="D487" s="173" t="s">
        <v>205</v>
      </c>
      <c r="E487" s="178">
        <v>747.89</v>
      </c>
    </row>
    <row r="488" spans="2:5" ht="23.25" customHeight="1" x14ac:dyDescent="0.2">
      <c r="B488" s="185" t="s">
        <v>1042</v>
      </c>
      <c r="C488" s="168" t="s">
        <v>1043</v>
      </c>
      <c r="D488" s="173" t="s">
        <v>17</v>
      </c>
      <c r="E488" s="178">
        <v>626.27</v>
      </c>
    </row>
    <row r="489" spans="2:5" ht="23.25" customHeight="1" x14ac:dyDescent="0.2">
      <c r="B489" s="185" t="s">
        <v>1044</v>
      </c>
      <c r="C489" s="168" t="s">
        <v>1045</v>
      </c>
      <c r="D489" s="173" t="s">
        <v>17</v>
      </c>
      <c r="E489" s="178">
        <v>535.21</v>
      </c>
    </row>
    <row r="490" spans="2:5" ht="23.25" customHeight="1" x14ac:dyDescent="0.2">
      <c r="B490" s="185" t="s">
        <v>1046</v>
      </c>
      <c r="C490" s="168" t="s">
        <v>1047</v>
      </c>
      <c r="D490" s="173" t="s">
        <v>17</v>
      </c>
      <c r="E490" s="178">
        <v>391.32</v>
      </c>
    </row>
    <row r="491" spans="2:5" ht="23.25" customHeight="1" x14ac:dyDescent="0.2">
      <c r="B491" s="185" t="s">
        <v>1048</v>
      </c>
      <c r="C491" s="168" t="s">
        <v>1049</v>
      </c>
      <c r="D491" s="173" t="s">
        <v>17</v>
      </c>
      <c r="E491" s="178">
        <v>523.4899999999999</v>
      </c>
    </row>
    <row r="492" spans="2:5" ht="23.25" customHeight="1" x14ac:dyDescent="0.2">
      <c r="B492" s="185" t="s">
        <v>1050</v>
      </c>
      <c r="C492" s="168" t="s">
        <v>1051</v>
      </c>
      <c r="D492" s="173" t="s">
        <v>17</v>
      </c>
      <c r="E492" s="178">
        <v>598.63</v>
      </c>
    </row>
    <row r="493" spans="2:5" ht="23.25" customHeight="1" x14ac:dyDescent="0.2">
      <c r="B493" s="185" t="s">
        <v>1052</v>
      </c>
      <c r="C493" s="168" t="s">
        <v>1053</v>
      </c>
      <c r="D493" s="173" t="s">
        <v>17</v>
      </c>
      <c r="E493" s="178">
        <v>681.31</v>
      </c>
    </row>
    <row r="494" spans="2:5" ht="23.25" customHeight="1" x14ac:dyDescent="0.2">
      <c r="B494" s="185" t="s">
        <v>1054</v>
      </c>
      <c r="C494" s="168" t="s">
        <v>1055</v>
      </c>
      <c r="D494" s="173" t="s">
        <v>17</v>
      </c>
      <c r="E494" s="178">
        <v>728.43</v>
      </c>
    </row>
    <row r="495" spans="2:5" ht="23.25" customHeight="1" x14ac:dyDescent="0.2">
      <c r="B495" s="185" t="s">
        <v>1056</v>
      </c>
      <c r="C495" s="168" t="s">
        <v>1057</v>
      </c>
      <c r="D495" s="173" t="s">
        <v>17</v>
      </c>
      <c r="E495" s="178">
        <v>993.28</v>
      </c>
    </row>
    <row r="496" spans="2:5" ht="23.25" customHeight="1" x14ac:dyDescent="0.2">
      <c r="B496" s="185" t="s">
        <v>1058</v>
      </c>
      <c r="C496" s="168" t="s">
        <v>1059</v>
      </c>
      <c r="D496" s="173" t="s">
        <v>17</v>
      </c>
      <c r="E496" s="178">
        <v>613.03</v>
      </c>
    </row>
    <row r="497" spans="2:5" ht="23.25" customHeight="1" x14ac:dyDescent="0.2">
      <c r="B497" s="185" t="s">
        <v>1060</v>
      </c>
      <c r="C497" s="168" t="s">
        <v>1061</v>
      </c>
      <c r="D497" s="173" t="s">
        <v>17</v>
      </c>
      <c r="E497" s="178">
        <v>665.79000000000008</v>
      </c>
    </row>
    <row r="498" spans="2:5" ht="23.25" customHeight="1" x14ac:dyDescent="0.2">
      <c r="B498" s="185" t="s">
        <v>1062</v>
      </c>
      <c r="C498" s="168" t="s">
        <v>1063</v>
      </c>
      <c r="D498" s="173" t="s">
        <v>17</v>
      </c>
      <c r="E498" s="178">
        <v>728.15</v>
      </c>
    </row>
    <row r="499" spans="2:5" ht="23.25" customHeight="1" x14ac:dyDescent="0.2">
      <c r="B499" s="185" t="s">
        <v>1064</v>
      </c>
      <c r="C499" s="168" t="s">
        <v>1065</v>
      </c>
      <c r="D499" s="173" t="s">
        <v>17</v>
      </c>
      <c r="E499" s="178">
        <v>839.75</v>
      </c>
    </row>
    <row r="500" spans="2:5" ht="23.25" customHeight="1" x14ac:dyDescent="0.2">
      <c r="B500" s="185" t="s">
        <v>1066</v>
      </c>
      <c r="C500" s="168" t="s">
        <v>1067</v>
      </c>
      <c r="D500" s="173" t="s">
        <v>17</v>
      </c>
      <c r="E500" s="178">
        <v>1074.0700000000002</v>
      </c>
    </row>
    <row r="501" spans="2:5" ht="23.25" customHeight="1" x14ac:dyDescent="0.2">
      <c r="B501" s="185" t="s">
        <v>1068</v>
      </c>
      <c r="C501" s="168" t="s">
        <v>1069</v>
      </c>
      <c r="D501" s="173" t="s">
        <v>17</v>
      </c>
      <c r="E501" s="178">
        <v>682</v>
      </c>
    </row>
    <row r="502" spans="2:5" ht="23.25" customHeight="1" x14ac:dyDescent="0.2">
      <c r="B502" s="185" t="s">
        <v>1070</v>
      </c>
      <c r="C502" s="168" t="s">
        <v>1071</v>
      </c>
      <c r="D502" s="173" t="s">
        <v>17</v>
      </c>
      <c r="E502" s="178">
        <v>705.03</v>
      </c>
    </row>
    <row r="503" spans="2:5" ht="23.25" customHeight="1" x14ac:dyDescent="0.2">
      <c r="B503" s="185" t="s">
        <v>1072</v>
      </c>
      <c r="C503" s="168" t="s">
        <v>1073</v>
      </c>
      <c r="D503" s="173" t="s">
        <v>17</v>
      </c>
      <c r="E503" s="178">
        <v>785.68</v>
      </c>
    </row>
    <row r="504" spans="2:5" ht="23.25" customHeight="1" x14ac:dyDescent="0.2">
      <c r="B504" s="185" t="s">
        <v>1074</v>
      </c>
      <c r="C504" s="168" t="s">
        <v>1075</v>
      </c>
      <c r="D504" s="173" t="s">
        <v>17</v>
      </c>
      <c r="E504" s="178">
        <v>900.96</v>
      </c>
    </row>
    <row r="505" spans="2:5" ht="23.25" customHeight="1" x14ac:dyDescent="0.2">
      <c r="B505" s="185" t="s">
        <v>1076</v>
      </c>
      <c r="C505" s="168" t="s">
        <v>1077</v>
      </c>
      <c r="D505" s="173" t="s">
        <v>17</v>
      </c>
      <c r="E505" s="178">
        <v>1074.0700000000002</v>
      </c>
    </row>
    <row r="506" spans="2:5" ht="23.25" customHeight="1" x14ac:dyDescent="0.2">
      <c r="B506" s="185" t="s">
        <v>1078</v>
      </c>
      <c r="C506" s="168" t="s">
        <v>1079</v>
      </c>
      <c r="D506" s="173" t="s">
        <v>17</v>
      </c>
      <c r="E506" s="178">
        <v>665.79000000000008</v>
      </c>
    </row>
    <row r="507" spans="2:5" ht="23.25" customHeight="1" x14ac:dyDescent="0.2">
      <c r="B507" s="185" t="s">
        <v>1080</v>
      </c>
      <c r="C507" s="168" t="s">
        <v>1081</v>
      </c>
      <c r="D507" s="173" t="s">
        <v>17</v>
      </c>
      <c r="E507" s="178">
        <v>839.42</v>
      </c>
    </row>
    <row r="508" spans="2:5" ht="23.25" customHeight="1" x14ac:dyDescent="0.2">
      <c r="B508" s="185" t="s">
        <v>1082</v>
      </c>
      <c r="C508" s="168" t="s">
        <v>1083</v>
      </c>
      <c r="D508" s="173" t="s">
        <v>17</v>
      </c>
      <c r="E508" s="178">
        <v>737.16</v>
      </c>
    </row>
    <row r="509" spans="2:5" ht="23.25" customHeight="1" x14ac:dyDescent="0.2">
      <c r="B509" s="185" t="s">
        <v>1084</v>
      </c>
      <c r="C509" s="168" t="s">
        <v>1085</v>
      </c>
      <c r="D509" s="173" t="s">
        <v>17</v>
      </c>
      <c r="E509" s="178">
        <v>717.02</v>
      </c>
    </row>
    <row r="510" spans="2:5" ht="23.25" customHeight="1" x14ac:dyDescent="0.2">
      <c r="B510" s="185" t="s">
        <v>1086</v>
      </c>
      <c r="C510" s="168" t="s">
        <v>1087</v>
      </c>
      <c r="D510" s="173" t="s">
        <v>17</v>
      </c>
      <c r="E510" s="178">
        <v>206.39</v>
      </c>
    </row>
    <row r="511" spans="2:5" ht="23.25" customHeight="1" x14ac:dyDescent="0.2">
      <c r="B511" s="185" t="s">
        <v>1088</v>
      </c>
      <c r="C511" s="168" t="s">
        <v>1089</v>
      </c>
      <c r="D511" s="173" t="s">
        <v>17</v>
      </c>
      <c r="E511" s="178">
        <v>159.06</v>
      </c>
    </row>
    <row r="512" spans="2:5" ht="23.25" customHeight="1" x14ac:dyDescent="0.2">
      <c r="B512" s="185" t="s">
        <v>1090</v>
      </c>
      <c r="C512" s="168" t="s">
        <v>1091</v>
      </c>
      <c r="D512" s="173" t="s">
        <v>17</v>
      </c>
      <c r="E512" s="178">
        <v>198.23</v>
      </c>
    </row>
    <row r="513" spans="2:5" ht="23.25" customHeight="1" x14ac:dyDescent="0.2">
      <c r="B513" s="185" t="s">
        <v>1092</v>
      </c>
      <c r="C513" s="168" t="s">
        <v>1093</v>
      </c>
      <c r="D513" s="173" t="s">
        <v>17</v>
      </c>
      <c r="E513" s="178">
        <v>272.67</v>
      </c>
    </row>
    <row r="514" spans="2:5" ht="23.25" customHeight="1" x14ac:dyDescent="0.2">
      <c r="B514" s="185" t="s">
        <v>1094</v>
      </c>
      <c r="C514" s="168" t="s">
        <v>1095</v>
      </c>
      <c r="D514" s="173" t="s">
        <v>17</v>
      </c>
      <c r="E514" s="178">
        <v>258.90999999999997</v>
      </c>
    </row>
    <row r="515" spans="2:5" ht="23.25" customHeight="1" x14ac:dyDescent="0.2">
      <c r="B515" s="185" t="s">
        <v>1096</v>
      </c>
      <c r="C515" s="168" t="s">
        <v>1097</v>
      </c>
      <c r="D515" s="173" t="s">
        <v>17</v>
      </c>
      <c r="E515" s="178">
        <v>537.77</v>
      </c>
    </row>
    <row r="516" spans="2:5" ht="23.25" customHeight="1" x14ac:dyDescent="0.2">
      <c r="B516" s="185" t="s">
        <v>1098</v>
      </c>
      <c r="C516" s="168" t="s">
        <v>1099</v>
      </c>
      <c r="D516" s="173" t="s">
        <v>17</v>
      </c>
      <c r="E516" s="178">
        <v>5937.0300000000007</v>
      </c>
    </row>
    <row r="517" spans="2:5" ht="23.25" customHeight="1" x14ac:dyDescent="0.2">
      <c r="B517" s="185" t="s">
        <v>1100</v>
      </c>
      <c r="C517" s="168" t="s">
        <v>1101</v>
      </c>
      <c r="D517" s="173" t="s">
        <v>17</v>
      </c>
      <c r="E517" s="178">
        <v>4023.95</v>
      </c>
    </row>
    <row r="518" spans="2:5" ht="23.25" customHeight="1" x14ac:dyDescent="0.2">
      <c r="B518" s="185" t="s">
        <v>1102</v>
      </c>
      <c r="C518" s="168" t="s">
        <v>1103</v>
      </c>
      <c r="D518" s="173" t="s">
        <v>17</v>
      </c>
      <c r="E518" s="178">
        <v>55868.740000000005</v>
      </c>
    </row>
    <row r="519" spans="2:5" ht="12.75" customHeight="1" x14ac:dyDescent="0.2">
      <c r="B519" s="185" t="s">
        <v>1104</v>
      </c>
      <c r="C519" s="168" t="s">
        <v>1105</v>
      </c>
      <c r="D519" s="173" t="s">
        <v>17</v>
      </c>
      <c r="E519" s="178">
        <v>21.58</v>
      </c>
    </row>
    <row r="520" spans="2:5" ht="12.75" customHeight="1" x14ac:dyDescent="0.2">
      <c r="B520" s="185" t="s">
        <v>1106</v>
      </c>
      <c r="C520" s="168" t="s">
        <v>1107</v>
      </c>
      <c r="D520" s="173" t="s">
        <v>17</v>
      </c>
      <c r="E520" s="178">
        <v>66.16</v>
      </c>
    </row>
    <row r="521" spans="2:5" ht="22.5" customHeight="1" x14ac:dyDescent="0.2">
      <c r="B521" s="185" t="s">
        <v>1108</v>
      </c>
      <c r="C521" s="168" t="s">
        <v>1109</v>
      </c>
      <c r="D521" s="173" t="s">
        <v>17</v>
      </c>
      <c r="E521" s="178">
        <v>24.62</v>
      </c>
    </row>
    <row r="522" spans="2:5" ht="23.25" customHeight="1" x14ac:dyDescent="0.2">
      <c r="B522" s="185" t="s">
        <v>1110</v>
      </c>
      <c r="C522" s="168" t="s">
        <v>1111</v>
      </c>
      <c r="D522" s="173" t="s">
        <v>17</v>
      </c>
      <c r="E522" s="178">
        <v>27.35</v>
      </c>
    </row>
    <row r="523" spans="2:5" ht="24.75" customHeight="1" x14ac:dyDescent="0.2">
      <c r="B523" s="185" t="s">
        <v>1112</v>
      </c>
      <c r="C523" s="168" t="s">
        <v>1113</v>
      </c>
      <c r="D523" s="173" t="s">
        <v>17</v>
      </c>
      <c r="E523" s="178">
        <v>92.08</v>
      </c>
    </row>
    <row r="524" spans="2:5" ht="12.75" customHeight="1" x14ac:dyDescent="0.2">
      <c r="B524" s="185" t="s">
        <v>1114</v>
      </c>
      <c r="C524" s="168" t="s">
        <v>1115</v>
      </c>
      <c r="D524" s="173" t="s">
        <v>17</v>
      </c>
      <c r="E524" s="178">
        <v>93.53</v>
      </c>
    </row>
    <row r="525" spans="2:5" ht="21.75" customHeight="1" x14ac:dyDescent="0.2">
      <c r="B525" s="185" t="s">
        <v>1116</v>
      </c>
      <c r="C525" s="168" t="s">
        <v>1117</v>
      </c>
      <c r="D525" s="173" t="s">
        <v>205</v>
      </c>
      <c r="E525" s="178">
        <v>13.46</v>
      </c>
    </row>
    <row r="526" spans="2:5" ht="21.75" customHeight="1" x14ac:dyDescent="0.2">
      <c r="B526" s="185" t="s">
        <v>1118</v>
      </c>
      <c r="C526" s="168" t="s">
        <v>1119</v>
      </c>
      <c r="D526" s="173" t="s">
        <v>205</v>
      </c>
      <c r="E526" s="178">
        <v>46.03</v>
      </c>
    </row>
    <row r="527" spans="2:5" ht="21.75" customHeight="1" x14ac:dyDescent="0.2">
      <c r="B527" s="185" t="s">
        <v>1120</v>
      </c>
      <c r="C527" s="168" t="s">
        <v>1121</v>
      </c>
      <c r="D527" s="173" t="s">
        <v>205</v>
      </c>
      <c r="E527" s="178">
        <v>59.61</v>
      </c>
    </row>
    <row r="528" spans="2:5" ht="21.75" customHeight="1" x14ac:dyDescent="0.2">
      <c r="B528" s="185" t="s">
        <v>1122</v>
      </c>
      <c r="C528" s="168" t="s">
        <v>1123</v>
      </c>
      <c r="D528" s="173" t="s">
        <v>205</v>
      </c>
      <c r="E528" s="178">
        <v>91.94</v>
      </c>
    </row>
    <row r="529" spans="2:5" ht="21.75" customHeight="1" x14ac:dyDescent="0.2">
      <c r="B529" s="185" t="s">
        <v>1124</v>
      </c>
      <c r="C529" s="168" t="s">
        <v>1125</v>
      </c>
      <c r="D529" s="173" t="s">
        <v>205</v>
      </c>
      <c r="E529" s="178">
        <v>336.01</v>
      </c>
    </row>
    <row r="530" spans="2:5" ht="21.75" customHeight="1" x14ac:dyDescent="0.2">
      <c r="B530" s="185" t="s">
        <v>1126</v>
      </c>
      <c r="C530" s="168" t="s">
        <v>1127</v>
      </c>
      <c r="D530" s="173" t="s">
        <v>205</v>
      </c>
      <c r="E530" s="178">
        <v>150.09</v>
      </c>
    </row>
    <row r="531" spans="2:5" ht="21.75" customHeight="1" x14ac:dyDescent="0.2">
      <c r="B531" s="185" t="s">
        <v>39</v>
      </c>
      <c r="C531" s="168" t="s">
        <v>1613</v>
      </c>
      <c r="D531" s="173" t="s">
        <v>205</v>
      </c>
      <c r="E531" s="178">
        <v>47.56</v>
      </c>
    </row>
    <row r="532" spans="2:5" ht="21.75" customHeight="1" x14ac:dyDescent="0.2">
      <c r="B532" s="185" t="s">
        <v>1614</v>
      </c>
      <c r="C532" s="168" t="s">
        <v>1615</v>
      </c>
      <c r="D532" s="173" t="s">
        <v>205</v>
      </c>
      <c r="E532" s="178">
        <v>48.31</v>
      </c>
    </row>
    <row r="533" spans="2:5" ht="12.75" customHeight="1" x14ac:dyDescent="0.2">
      <c r="B533" s="185" t="s">
        <v>1128</v>
      </c>
      <c r="C533" s="168" t="s">
        <v>1129</v>
      </c>
      <c r="D533" s="173" t="s">
        <v>223</v>
      </c>
      <c r="E533" s="178">
        <v>206</v>
      </c>
    </row>
    <row r="534" spans="2:5" ht="21.75" customHeight="1" x14ac:dyDescent="0.2">
      <c r="B534" s="185" t="s">
        <v>1130</v>
      </c>
      <c r="C534" s="168" t="s">
        <v>1131</v>
      </c>
      <c r="D534" s="173" t="s">
        <v>205</v>
      </c>
      <c r="E534" s="178">
        <v>122.15</v>
      </c>
    </row>
    <row r="535" spans="2:5" ht="21.75" customHeight="1" x14ac:dyDescent="0.2">
      <c r="B535" s="185" t="s">
        <v>1132</v>
      </c>
      <c r="C535" s="168" t="s">
        <v>1133</v>
      </c>
      <c r="D535" s="173" t="s">
        <v>205</v>
      </c>
      <c r="E535" s="178">
        <v>97.72</v>
      </c>
    </row>
    <row r="536" spans="2:5" ht="21.75" customHeight="1" x14ac:dyDescent="0.2">
      <c r="B536" s="185" t="s">
        <v>1134</v>
      </c>
      <c r="C536" s="168" t="s">
        <v>1135</v>
      </c>
      <c r="D536" s="173" t="s">
        <v>205</v>
      </c>
      <c r="E536" s="178">
        <v>214.09</v>
      </c>
    </row>
    <row r="537" spans="2:5" ht="21.75" customHeight="1" x14ac:dyDescent="0.2">
      <c r="B537" s="185" t="s">
        <v>1136</v>
      </c>
      <c r="C537" s="168" t="s">
        <v>1137</v>
      </c>
      <c r="D537" s="173" t="s">
        <v>205</v>
      </c>
      <c r="E537" s="178">
        <v>189.66</v>
      </c>
    </row>
    <row r="538" spans="2:5" ht="21.75" customHeight="1" x14ac:dyDescent="0.2">
      <c r="B538" s="185" t="s">
        <v>1138</v>
      </c>
      <c r="C538" s="168" t="s">
        <v>1139</v>
      </c>
      <c r="D538" s="173" t="s">
        <v>205</v>
      </c>
      <c r="E538" s="178">
        <v>275.33</v>
      </c>
    </row>
    <row r="539" spans="2:5" ht="21.75" customHeight="1" x14ac:dyDescent="0.2">
      <c r="B539" s="185" t="s">
        <v>1140</v>
      </c>
      <c r="C539" s="168" t="s">
        <v>1141</v>
      </c>
      <c r="D539" s="173" t="s">
        <v>42</v>
      </c>
      <c r="E539" s="178">
        <v>345.1</v>
      </c>
    </row>
    <row r="540" spans="2:5" ht="21.75" customHeight="1" x14ac:dyDescent="0.2">
      <c r="B540" s="185" t="s">
        <v>1142</v>
      </c>
      <c r="C540" s="168" t="s">
        <v>1143</v>
      </c>
      <c r="D540" s="173" t="s">
        <v>42</v>
      </c>
      <c r="E540" s="178">
        <v>376.97</v>
      </c>
    </row>
    <row r="541" spans="2:5" ht="21.75" customHeight="1" x14ac:dyDescent="0.2">
      <c r="B541" s="185" t="s">
        <v>1144</v>
      </c>
      <c r="C541" s="168" t="s">
        <v>1145</v>
      </c>
      <c r="D541" s="173" t="s">
        <v>205</v>
      </c>
      <c r="E541" s="178">
        <v>44.86</v>
      </c>
    </row>
    <row r="542" spans="2:5" ht="12.75" customHeight="1" x14ac:dyDescent="0.2">
      <c r="B542" s="185" t="s">
        <v>1146</v>
      </c>
      <c r="C542" s="168" t="s">
        <v>1147</v>
      </c>
      <c r="D542" s="173" t="s">
        <v>17</v>
      </c>
      <c r="E542" s="178">
        <v>33.900000000000006</v>
      </c>
    </row>
    <row r="543" spans="2:5" ht="21.75" customHeight="1" x14ac:dyDescent="0.2">
      <c r="B543" s="185" t="s">
        <v>1148</v>
      </c>
      <c r="C543" s="168" t="s">
        <v>1149</v>
      </c>
      <c r="D543" s="173" t="s">
        <v>17</v>
      </c>
      <c r="E543" s="178">
        <v>26.45</v>
      </c>
    </row>
    <row r="544" spans="2:5" ht="21.75" customHeight="1" x14ac:dyDescent="0.2">
      <c r="B544" s="185" t="s">
        <v>1150</v>
      </c>
      <c r="C544" s="168" t="s">
        <v>1151</v>
      </c>
      <c r="D544" s="173" t="s">
        <v>42</v>
      </c>
      <c r="E544" s="178">
        <v>1.1400000000000001</v>
      </c>
    </row>
    <row r="545" spans="2:5" ht="21.75" customHeight="1" thickBot="1" x14ac:dyDescent="0.25">
      <c r="B545" s="185" t="s">
        <v>1152</v>
      </c>
      <c r="C545" s="168" t="s">
        <v>1153</v>
      </c>
      <c r="D545" s="173" t="s">
        <v>42</v>
      </c>
      <c r="E545" s="178">
        <v>0.12000000000000001</v>
      </c>
    </row>
    <row r="546" spans="2:5" ht="14.1" customHeight="1" x14ac:dyDescent="0.2">
      <c r="B546" s="937" t="s">
        <v>1154</v>
      </c>
      <c r="C546" s="939"/>
      <c r="D546" s="939"/>
      <c r="E546" s="160"/>
    </row>
    <row r="547" spans="2:5" ht="14.1" customHeight="1" thickBot="1" x14ac:dyDescent="0.25">
      <c r="B547" s="111" t="s">
        <v>28</v>
      </c>
      <c r="C547" s="112" t="s">
        <v>183</v>
      </c>
      <c r="D547" s="113" t="s">
        <v>184</v>
      </c>
      <c r="E547" s="114" t="s">
        <v>185</v>
      </c>
    </row>
    <row r="548" spans="2:5" ht="12.75" customHeight="1" x14ac:dyDescent="0.2">
      <c r="B548" s="185" t="s">
        <v>1155</v>
      </c>
      <c r="C548" s="168" t="s">
        <v>1156</v>
      </c>
      <c r="D548" s="173" t="s">
        <v>205</v>
      </c>
      <c r="E548" s="178">
        <v>3.76</v>
      </c>
    </row>
    <row r="549" spans="2:5" x14ac:dyDescent="0.2">
      <c r="B549" s="185" t="s">
        <v>1157</v>
      </c>
      <c r="C549" s="168" t="s">
        <v>1158</v>
      </c>
      <c r="D549" s="173" t="s">
        <v>205</v>
      </c>
      <c r="E549" s="178">
        <v>7.53</v>
      </c>
    </row>
    <row r="550" spans="2:5" ht="25.5" customHeight="1" x14ac:dyDescent="0.2">
      <c r="B550" s="185" t="s">
        <v>1159</v>
      </c>
      <c r="C550" s="168" t="s">
        <v>1160</v>
      </c>
      <c r="D550" s="173" t="s">
        <v>205</v>
      </c>
      <c r="E550" s="178">
        <v>91.26</v>
      </c>
    </row>
    <row r="551" spans="2:5" ht="12.75" customHeight="1" x14ac:dyDescent="0.2">
      <c r="B551" s="174">
        <v>92393</v>
      </c>
      <c r="C551" s="168" t="s">
        <v>1161</v>
      </c>
      <c r="D551" s="173" t="s">
        <v>205</v>
      </c>
      <c r="E551" s="170">
        <v>47.29</v>
      </c>
    </row>
    <row r="552" spans="2:5" ht="12.75" customHeight="1" x14ac:dyDescent="0.2">
      <c r="B552" s="174">
        <v>92394</v>
      </c>
      <c r="C552" s="168" t="s">
        <v>1162</v>
      </c>
      <c r="D552" s="173" t="s">
        <v>205</v>
      </c>
      <c r="E552" s="170">
        <v>58.85</v>
      </c>
    </row>
    <row r="553" spans="2:5" ht="12.75" customHeight="1" x14ac:dyDescent="0.2">
      <c r="B553" s="174">
        <v>92395</v>
      </c>
      <c r="C553" s="168" t="s">
        <v>1163</v>
      </c>
      <c r="D553" s="173" t="s">
        <v>205</v>
      </c>
      <c r="E553" s="170">
        <v>71.12</v>
      </c>
    </row>
    <row r="554" spans="2:5" ht="12.75" customHeight="1" x14ac:dyDescent="0.2">
      <c r="B554" s="185" t="s">
        <v>1164</v>
      </c>
      <c r="C554" s="168" t="s">
        <v>1616</v>
      </c>
      <c r="D554" s="173" t="s">
        <v>205</v>
      </c>
      <c r="E554" s="178">
        <v>140.94999999999999</v>
      </c>
    </row>
    <row r="555" spans="2:5" x14ac:dyDescent="0.2">
      <c r="B555" s="185" t="s">
        <v>1165</v>
      </c>
      <c r="C555" s="168" t="s">
        <v>1617</v>
      </c>
      <c r="D555" s="173" t="s">
        <v>205</v>
      </c>
      <c r="E555" s="178">
        <v>137.82</v>
      </c>
    </row>
    <row r="556" spans="2:5" x14ac:dyDescent="0.2">
      <c r="B556" s="185" t="s">
        <v>1618</v>
      </c>
      <c r="C556" s="168" t="s">
        <v>1619</v>
      </c>
      <c r="D556" s="173" t="s">
        <v>205</v>
      </c>
      <c r="E556" s="178">
        <v>134.31</v>
      </c>
    </row>
    <row r="557" spans="2:5" x14ac:dyDescent="0.2">
      <c r="B557" s="185" t="s">
        <v>1620</v>
      </c>
      <c r="C557" s="168" t="s">
        <v>1621</v>
      </c>
      <c r="D557" s="173" t="s">
        <v>205</v>
      </c>
      <c r="E557" s="178">
        <v>138.29</v>
      </c>
    </row>
    <row r="558" spans="2:5" ht="22.5" customHeight="1" x14ac:dyDescent="0.2">
      <c r="B558" s="174">
        <v>92396</v>
      </c>
      <c r="C558" s="168" t="s">
        <v>1166</v>
      </c>
      <c r="D558" s="173" t="s">
        <v>205</v>
      </c>
      <c r="E558" s="170">
        <v>62.05</v>
      </c>
    </row>
    <row r="559" spans="2:5" ht="22.5" customHeight="1" x14ac:dyDescent="0.2">
      <c r="B559" s="174">
        <v>92397</v>
      </c>
      <c r="C559" s="168" t="s">
        <v>1167</v>
      </c>
      <c r="D559" s="173" t="s">
        <v>205</v>
      </c>
      <c r="E559" s="170">
        <v>51.45</v>
      </c>
    </row>
    <row r="560" spans="2:5" ht="22.5" customHeight="1" x14ac:dyDescent="0.2">
      <c r="B560" s="174">
        <v>92398</v>
      </c>
      <c r="C560" s="168" t="s">
        <v>1168</v>
      </c>
      <c r="D560" s="173" t="s">
        <v>205</v>
      </c>
      <c r="E560" s="170">
        <v>64.040000000000006</v>
      </c>
    </row>
    <row r="561" spans="2:5" ht="22.5" customHeight="1" x14ac:dyDescent="0.2">
      <c r="B561" s="174">
        <v>92400</v>
      </c>
      <c r="C561" s="168" t="s">
        <v>1169</v>
      </c>
      <c r="D561" s="173" t="s">
        <v>205</v>
      </c>
      <c r="E561" s="170">
        <v>75.31</v>
      </c>
    </row>
    <row r="562" spans="2:5" ht="22.5" customHeight="1" x14ac:dyDescent="0.2">
      <c r="B562" s="174">
        <v>93679</v>
      </c>
      <c r="C562" s="168" t="s">
        <v>1170</v>
      </c>
      <c r="D562" s="173" t="s">
        <v>205</v>
      </c>
      <c r="E562" s="170">
        <v>67.739999999999995</v>
      </c>
    </row>
    <row r="563" spans="2:5" ht="22.5" customHeight="1" x14ac:dyDescent="0.2">
      <c r="B563" s="174">
        <v>93680</v>
      </c>
      <c r="C563" s="168" t="s">
        <v>1171</v>
      </c>
      <c r="D563" s="173" t="s">
        <v>205</v>
      </c>
      <c r="E563" s="170">
        <v>56.99</v>
      </c>
    </row>
    <row r="564" spans="2:5" ht="22.5" customHeight="1" x14ac:dyDescent="0.2">
      <c r="B564" s="174">
        <v>93681</v>
      </c>
      <c r="C564" s="168" t="s">
        <v>1172</v>
      </c>
      <c r="D564" s="173" t="s">
        <v>205</v>
      </c>
      <c r="E564" s="170">
        <v>68.47</v>
      </c>
    </row>
    <row r="565" spans="2:5" ht="22.5" x14ac:dyDescent="0.2">
      <c r="B565" s="185" t="s">
        <v>1173</v>
      </c>
      <c r="C565" s="168" t="s">
        <v>1174</v>
      </c>
      <c r="D565" s="173" t="s">
        <v>205</v>
      </c>
      <c r="E565" s="178">
        <v>126.92999999999999</v>
      </c>
    </row>
    <row r="566" spans="2:5" ht="22.5" x14ac:dyDescent="0.2">
      <c r="B566" s="185" t="s">
        <v>1175</v>
      </c>
      <c r="C566" s="168" t="s">
        <v>1176</v>
      </c>
      <c r="D566" s="173" t="s">
        <v>205</v>
      </c>
      <c r="E566" s="178">
        <v>155.53</v>
      </c>
    </row>
    <row r="567" spans="2:5" ht="22.5" x14ac:dyDescent="0.2">
      <c r="B567" s="185" t="s">
        <v>1177</v>
      </c>
      <c r="C567" s="168" t="s">
        <v>1178</v>
      </c>
      <c r="D567" s="173" t="s">
        <v>205</v>
      </c>
      <c r="E567" s="178">
        <v>161.75</v>
      </c>
    </row>
    <row r="568" spans="2:5" ht="22.5" x14ac:dyDescent="0.2">
      <c r="B568" s="185" t="s">
        <v>1179</v>
      </c>
      <c r="C568" s="168" t="s">
        <v>1180</v>
      </c>
      <c r="D568" s="173" t="s">
        <v>205</v>
      </c>
      <c r="E568" s="178">
        <v>161.66</v>
      </c>
    </row>
    <row r="569" spans="2:5" x14ac:dyDescent="0.2">
      <c r="B569" s="185" t="s">
        <v>1181</v>
      </c>
      <c r="C569" s="168" t="s">
        <v>1182</v>
      </c>
      <c r="D569" s="173" t="s">
        <v>42</v>
      </c>
      <c r="E569" s="178">
        <v>35.410000000000004</v>
      </c>
    </row>
    <row r="570" spans="2:5" ht="23.25" customHeight="1" x14ac:dyDescent="0.2">
      <c r="B570" s="185" t="s">
        <v>1183</v>
      </c>
      <c r="C570" s="168" t="s">
        <v>1184</v>
      </c>
      <c r="D570" s="173" t="s">
        <v>42</v>
      </c>
      <c r="E570" s="178">
        <v>14.9</v>
      </c>
    </row>
    <row r="571" spans="2:5" ht="22.5" x14ac:dyDescent="0.2">
      <c r="B571" s="185" t="s">
        <v>1185</v>
      </c>
      <c r="C571" s="168" t="s">
        <v>1186</v>
      </c>
      <c r="D571" s="173" t="s">
        <v>42</v>
      </c>
      <c r="E571" s="178">
        <v>17.37</v>
      </c>
    </row>
    <row r="572" spans="2:5" ht="12.75" customHeight="1" x14ac:dyDescent="0.2">
      <c r="B572" s="185" t="s">
        <v>1187</v>
      </c>
      <c r="C572" s="168" t="s">
        <v>1188</v>
      </c>
      <c r="D572" s="173" t="s">
        <v>205</v>
      </c>
      <c r="E572" s="178">
        <v>25.01</v>
      </c>
    </row>
    <row r="573" spans="2:5" x14ac:dyDescent="0.2">
      <c r="B573" s="185" t="s">
        <v>1189</v>
      </c>
      <c r="C573" s="168" t="s">
        <v>1190</v>
      </c>
      <c r="D573" s="173" t="s">
        <v>223</v>
      </c>
      <c r="E573" s="178">
        <v>243.98</v>
      </c>
    </row>
    <row r="574" spans="2:5" x14ac:dyDescent="0.2">
      <c r="B574" s="185" t="s">
        <v>1191</v>
      </c>
      <c r="C574" s="168" t="s">
        <v>1192</v>
      </c>
      <c r="D574" s="173" t="s">
        <v>205</v>
      </c>
      <c r="E574" s="178">
        <v>5.78</v>
      </c>
    </row>
    <row r="575" spans="2:5" x14ac:dyDescent="0.2">
      <c r="B575" s="185" t="s">
        <v>1193</v>
      </c>
      <c r="C575" s="168" t="s">
        <v>1194</v>
      </c>
      <c r="D575" s="173" t="s">
        <v>205</v>
      </c>
      <c r="E575" s="178">
        <v>11.58</v>
      </c>
    </row>
    <row r="576" spans="2:5" x14ac:dyDescent="0.2">
      <c r="B576" s="185" t="s">
        <v>1195</v>
      </c>
      <c r="C576" s="168" t="s">
        <v>1196</v>
      </c>
      <c r="D576" s="173" t="s">
        <v>205</v>
      </c>
      <c r="E576" s="178">
        <v>11.58</v>
      </c>
    </row>
    <row r="577" spans="2:5" x14ac:dyDescent="0.2">
      <c r="B577" s="185" t="s">
        <v>1197</v>
      </c>
      <c r="C577" s="168" t="s">
        <v>1198</v>
      </c>
      <c r="D577" s="173" t="s">
        <v>205</v>
      </c>
      <c r="E577" s="178">
        <v>11.58</v>
      </c>
    </row>
    <row r="578" spans="2:5" x14ac:dyDescent="0.2">
      <c r="B578" s="185" t="s">
        <v>1199</v>
      </c>
      <c r="C578" s="168" t="s">
        <v>1200</v>
      </c>
      <c r="D578" s="173" t="s">
        <v>205</v>
      </c>
      <c r="E578" s="178">
        <v>11.58</v>
      </c>
    </row>
    <row r="579" spans="2:5" x14ac:dyDescent="0.2">
      <c r="B579" s="185" t="s">
        <v>1201</v>
      </c>
      <c r="C579" s="168" t="s">
        <v>1202</v>
      </c>
      <c r="D579" s="173" t="s">
        <v>205</v>
      </c>
      <c r="E579" s="178">
        <v>5.78</v>
      </c>
    </row>
    <row r="580" spans="2:5" ht="23.25" customHeight="1" x14ac:dyDescent="0.2">
      <c r="B580" s="185" t="s">
        <v>1203</v>
      </c>
      <c r="C580" s="168" t="s">
        <v>1204</v>
      </c>
      <c r="D580" s="173" t="s">
        <v>205</v>
      </c>
      <c r="E580" s="178">
        <v>5.78</v>
      </c>
    </row>
    <row r="581" spans="2:5" ht="12.75" customHeight="1" x14ac:dyDescent="0.2">
      <c r="B581" s="185" t="s">
        <v>1205</v>
      </c>
      <c r="C581" s="168" t="s">
        <v>1206</v>
      </c>
      <c r="D581" s="173" t="s">
        <v>42</v>
      </c>
      <c r="E581" s="178">
        <v>5.78</v>
      </c>
    </row>
    <row r="582" spans="2:5" x14ac:dyDescent="0.2">
      <c r="B582" s="185" t="s">
        <v>1207</v>
      </c>
      <c r="C582" s="168" t="s">
        <v>1208</v>
      </c>
      <c r="D582" s="173" t="s">
        <v>205</v>
      </c>
      <c r="E582" s="178">
        <v>4.2699999999999996</v>
      </c>
    </row>
    <row r="583" spans="2:5" x14ac:dyDescent="0.2">
      <c r="B583" s="185" t="s">
        <v>1209</v>
      </c>
      <c r="C583" s="168" t="s">
        <v>1210</v>
      </c>
      <c r="D583" s="173" t="s">
        <v>205</v>
      </c>
      <c r="E583" s="178">
        <v>44.150000000000006</v>
      </c>
    </row>
    <row r="584" spans="2:5" ht="22.5" customHeight="1" x14ac:dyDescent="0.2">
      <c r="B584" s="174">
        <v>101857</v>
      </c>
      <c r="C584" s="168" t="s">
        <v>1211</v>
      </c>
      <c r="D584" s="173" t="s">
        <v>205</v>
      </c>
      <c r="E584" s="170">
        <v>34.79</v>
      </c>
    </row>
    <row r="585" spans="2:5" ht="22.5" customHeight="1" x14ac:dyDescent="0.2">
      <c r="B585" s="174">
        <v>101858</v>
      </c>
      <c r="C585" s="168" t="s">
        <v>1212</v>
      </c>
      <c r="D585" s="173" t="s">
        <v>205</v>
      </c>
      <c r="E585" s="170">
        <v>27.91</v>
      </c>
    </row>
    <row r="586" spans="2:5" ht="22.5" customHeight="1" x14ac:dyDescent="0.2">
      <c r="B586" s="174">
        <v>101859</v>
      </c>
      <c r="C586" s="168" t="s">
        <v>1213</v>
      </c>
      <c r="D586" s="173" t="s">
        <v>205</v>
      </c>
      <c r="E586" s="170">
        <v>31.13</v>
      </c>
    </row>
    <row r="587" spans="2:5" ht="22.5" customHeight="1" x14ac:dyDescent="0.2">
      <c r="B587" s="174">
        <v>101860</v>
      </c>
      <c r="C587" s="168" t="s">
        <v>1214</v>
      </c>
      <c r="D587" s="173" t="s">
        <v>205</v>
      </c>
      <c r="E587" s="170">
        <v>36.21</v>
      </c>
    </row>
    <row r="588" spans="2:5" ht="22.5" x14ac:dyDescent="0.2">
      <c r="B588" s="174">
        <v>101862</v>
      </c>
      <c r="C588" s="168" t="s">
        <v>1215</v>
      </c>
      <c r="D588" s="173" t="s">
        <v>205</v>
      </c>
      <c r="E588" s="170">
        <v>36.97</v>
      </c>
    </row>
    <row r="589" spans="2:5" ht="22.5" x14ac:dyDescent="0.2">
      <c r="B589" s="174">
        <v>101863</v>
      </c>
      <c r="C589" s="168" t="s">
        <v>1216</v>
      </c>
      <c r="D589" s="173" t="s">
        <v>205</v>
      </c>
      <c r="E589" s="170">
        <v>28.36</v>
      </c>
    </row>
    <row r="590" spans="2:5" ht="22.5" x14ac:dyDescent="0.2">
      <c r="B590" s="174">
        <v>101864</v>
      </c>
      <c r="C590" s="168" t="s">
        <v>1217</v>
      </c>
      <c r="D590" s="173" t="s">
        <v>205</v>
      </c>
      <c r="E590" s="170">
        <v>33.42</v>
      </c>
    </row>
    <row r="591" spans="2:5" ht="22.5" x14ac:dyDescent="0.2">
      <c r="B591" s="174">
        <v>101865</v>
      </c>
      <c r="C591" s="168" t="s">
        <v>1218</v>
      </c>
      <c r="D591" s="173" t="s">
        <v>205</v>
      </c>
      <c r="E591" s="170">
        <v>38.5</v>
      </c>
    </row>
    <row r="592" spans="2:5" x14ac:dyDescent="0.2">
      <c r="B592" s="185" t="s">
        <v>1219</v>
      </c>
      <c r="C592" s="168" t="s">
        <v>1220</v>
      </c>
      <c r="D592" s="173" t="s">
        <v>205</v>
      </c>
      <c r="E592" s="178">
        <v>71.349999999999994</v>
      </c>
    </row>
    <row r="593" spans="2:5" x14ac:dyDescent="0.2">
      <c r="B593" s="185" t="s">
        <v>1221</v>
      </c>
      <c r="C593" s="168" t="s">
        <v>1222</v>
      </c>
      <c r="D593" s="173" t="s">
        <v>205</v>
      </c>
      <c r="E593" s="178">
        <v>100.84</v>
      </c>
    </row>
    <row r="594" spans="2:5" ht="13.5" customHeight="1" x14ac:dyDescent="0.2">
      <c r="B594" s="185" t="s">
        <v>1223</v>
      </c>
      <c r="C594" s="168" t="s">
        <v>1224</v>
      </c>
      <c r="D594" s="173" t="s">
        <v>205</v>
      </c>
      <c r="E594" s="178">
        <v>46.04</v>
      </c>
    </row>
    <row r="595" spans="2:5" x14ac:dyDescent="0.2">
      <c r="B595" s="185" t="s">
        <v>1225</v>
      </c>
      <c r="C595" s="168" t="s">
        <v>1226</v>
      </c>
      <c r="D595" s="173" t="s">
        <v>205</v>
      </c>
      <c r="E595" s="178">
        <v>17.21</v>
      </c>
    </row>
    <row r="596" spans="2:5" x14ac:dyDescent="0.2">
      <c r="B596" s="185" t="s">
        <v>1227</v>
      </c>
      <c r="C596" s="168" t="s">
        <v>1228</v>
      </c>
      <c r="D596" s="173" t="s">
        <v>205</v>
      </c>
      <c r="E596" s="178">
        <v>5.77</v>
      </c>
    </row>
    <row r="597" spans="2:5" x14ac:dyDescent="0.2">
      <c r="B597" s="185" t="s">
        <v>1229</v>
      </c>
      <c r="C597" s="168" t="s">
        <v>1230</v>
      </c>
      <c r="D597" s="173" t="s">
        <v>205</v>
      </c>
      <c r="E597" s="178">
        <v>7.53</v>
      </c>
    </row>
    <row r="598" spans="2:5" x14ac:dyDescent="0.2">
      <c r="B598" s="185" t="s">
        <v>1231</v>
      </c>
      <c r="C598" s="168" t="s">
        <v>1232</v>
      </c>
      <c r="D598" s="173" t="s">
        <v>205</v>
      </c>
      <c r="E598" s="178">
        <v>11.3</v>
      </c>
    </row>
    <row r="599" spans="2:5" x14ac:dyDescent="0.2">
      <c r="B599" s="185" t="s">
        <v>1233</v>
      </c>
      <c r="C599" s="168" t="s">
        <v>1234</v>
      </c>
      <c r="D599" s="173" t="s">
        <v>205</v>
      </c>
      <c r="E599" s="178">
        <v>10.8</v>
      </c>
    </row>
    <row r="600" spans="2:5" x14ac:dyDescent="0.2">
      <c r="B600" s="185" t="s">
        <v>1235</v>
      </c>
      <c r="C600" s="168" t="s">
        <v>1236</v>
      </c>
      <c r="D600" s="173" t="s">
        <v>205</v>
      </c>
      <c r="E600" s="178">
        <v>10.8</v>
      </c>
    </row>
    <row r="601" spans="2:5" x14ac:dyDescent="0.2">
      <c r="B601" s="185" t="s">
        <v>1237</v>
      </c>
      <c r="C601" s="168" t="s">
        <v>1238</v>
      </c>
      <c r="D601" s="173" t="s">
        <v>205</v>
      </c>
      <c r="E601" s="178">
        <v>5.0199999999999996</v>
      </c>
    </row>
    <row r="602" spans="2:5" x14ac:dyDescent="0.2">
      <c r="B602" s="185" t="s">
        <v>1239</v>
      </c>
      <c r="C602" s="168" t="s">
        <v>1240</v>
      </c>
      <c r="D602" s="173" t="s">
        <v>205</v>
      </c>
      <c r="E602" s="178">
        <v>7.53</v>
      </c>
    </row>
    <row r="603" spans="2:5" x14ac:dyDescent="0.2">
      <c r="B603" s="185" t="s">
        <v>1241</v>
      </c>
      <c r="C603" s="168" t="s">
        <v>1242</v>
      </c>
      <c r="D603" s="173" t="s">
        <v>205</v>
      </c>
      <c r="E603" s="178">
        <v>8.7899999999999991</v>
      </c>
    </row>
    <row r="604" spans="2:5" x14ac:dyDescent="0.2">
      <c r="B604" s="185" t="s">
        <v>1243</v>
      </c>
      <c r="C604" s="168" t="s">
        <v>1244</v>
      </c>
      <c r="D604" s="173" t="s">
        <v>205</v>
      </c>
      <c r="E604" s="178">
        <v>14.06</v>
      </c>
    </row>
    <row r="605" spans="2:5" x14ac:dyDescent="0.2">
      <c r="B605" s="185" t="s">
        <v>1245</v>
      </c>
      <c r="C605" s="168" t="s">
        <v>1246</v>
      </c>
      <c r="D605" s="173" t="s">
        <v>42</v>
      </c>
      <c r="E605" s="178">
        <v>11.05</v>
      </c>
    </row>
    <row r="606" spans="2:5" x14ac:dyDescent="0.2">
      <c r="B606" s="185" t="s">
        <v>1247</v>
      </c>
      <c r="C606" s="168" t="s">
        <v>1248</v>
      </c>
      <c r="D606" s="173" t="s">
        <v>42</v>
      </c>
      <c r="E606" s="178">
        <v>12.05</v>
      </c>
    </row>
    <row r="607" spans="2:5" ht="23.25" customHeight="1" x14ac:dyDescent="0.2">
      <c r="B607" s="185" t="s">
        <v>1249</v>
      </c>
      <c r="C607" s="168" t="s">
        <v>1250</v>
      </c>
      <c r="D607" s="173" t="s">
        <v>17</v>
      </c>
      <c r="E607" s="178">
        <v>571.17000000000007</v>
      </c>
    </row>
    <row r="608" spans="2:5" ht="22.5" x14ac:dyDescent="0.2">
      <c r="B608" s="185" t="s">
        <v>1251</v>
      </c>
      <c r="C608" s="168" t="s">
        <v>1252</v>
      </c>
      <c r="D608" s="173" t="s">
        <v>17</v>
      </c>
      <c r="E608" s="178">
        <v>397.03</v>
      </c>
    </row>
    <row r="609" spans="2:5" ht="22.5" x14ac:dyDescent="0.2">
      <c r="B609" s="185" t="s">
        <v>1253</v>
      </c>
      <c r="C609" s="168" t="s">
        <v>1254</v>
      </c>
      <c r="D609" s="173" t="s">
        <v>17</v>
      </c>
      <c r="E609" s="178">
        <v>304.83999999999997</v>
      </c>
    </row>
    <row r="610" spans="2:5" ht="22.5" x14ac:dyDescent="0.2">
      <c r="B610" s="185" t="s">
        <v>1255</v>
      </c>
      <c r="C610" s="168" t="s">
        <v>1256</v>
      </c>
      <c r="D610" s="173" t="s">
        <v>205</v>
      </c>
      <c r="E610" s="178">
        <v>75.23</v>
      </c>
    </row>
    <row r="611" spans="2:5" ht="22.5" x14ac:dyDescent="0.2">
      <c r="B611" s="185" t="s">
        <v>1257</v>
      </c>
      <c r="C611" s="168" t="s">
        <v>1258</v>
      </c>
      <c r="D611" s="173" t="s">
        <v>1259</v>
      </c>
      <c r="E611" s="178">
        <v>584.99</v>
      </c>
    </row>
    <row r="612" spans="2:5" ht="21.75" customHeight="1" x14ac:dyDescent="0.2">
      <c r="B612" s="174">
        <v>98529</v>
      </c>
      <c r="C612" s="168" t="s">
        <v>1260</v>
      </c>
      <c r="D612" s="173" t="s">
        <v>17</v>
      </c>
      <c r="E612" s="170">
        <v>79.19</v>
      </c>
    </row>
    <row r="613" spans="2:5" ht="21.75" customHeight="1" x14ac:dyDescent="0.2">
      <c r="B613" s="174">
        <v>98530</v>
      </c>
      <c r="C613" s="168" t="s">
        <v>1261</v>
      </c>
      <c r="D613" s="173" t="s">
        <v>17</v>
      </c>
      <c r="E613" s="170">
        <v>141.06</v>
      </c>
    </row>
    <row r="614" spans="2:5" ht="12.75" customHeight="1" x14ac:dyDescent="0.2">
      <c r="B614" s="174">
        <v>98531</v>
      </c>
      <c r="C614" s="168" t="s">
        <v>1262</v>
      </c>
      <c r="D614" s="173" t="s">
        <v>17</v>
      </c>
      <c r="E614" s="170">
        <v>337.53</v>
      </c>
    </row>
    <row r="615" spans="2:5" ht="22.5" x14ac:dyDescent="0.2">
      <c r="B615" s="174">
        <v>98526</v>
      </c>
      <c r="C615" s="168" t="s">
        <v>1263</v>
      </c>
      <c r="D615" s="173" t="s">
        <v>17</v>
      </c>
      <c r="E615" s="170">
        <v>88.21</v>
      </c>
    </row>
    <row r="616" spans="2:5" ht="22.5" x14ac:dyDescent="0.2">
      <c r="B616" s="174">
        <v>98527</v>
      </c>
      <c r="C616" s="168" t="s">
        <v>1264</v>
      </c>
      <c r="D616" s="173" t="s">
        <v>17</v>
      </c>
      <c r="E616" s="170">
        <v>189.89</v>
      </c>
    </row>
    <row r="617" spans="2:5" ht="22.5" x14ac:dyDescent="0.2">
      <c r="B617" s="174">
        <v>98528</v>
      </c>
      <c r="C617" s="168" t="s">
        <v>1265</v>
      </c>
      <c r="D617" s="173" t="s">
        <v>17</v>
      </c>
      <c r="E617" s="170">
        <v>277.68</v>
      </c>
    </row>
    <row r="618" spans="2:5" x14ac:dyDescent="0.2">
      <c r="B618" s="185" t="s">
        <v>1266</v>
      </c>
      <c r="C618" s="168" t="s">
        <v>1267</v>
      </c>
      <c r="D618" s="173" t="s">
        <v>17</v>
      </c>
      <c r="E618" s="178">
        <v>146.54</v>
      </c>
    </row>
    <row r="619" spans="2:5" x14ac:dyDescent="0.2">
      <c r="B619" s="185" t="s">
        <v>1268</v>
      </c>
      <c r="C619" s="168" t="s">
        <v>1269</v>
      </c>
      <c r="D619" s="173" t="s">
        <v>17</v>
      </c>
      <c r="E619" s="178">
        <v>88.76</v>
      </c>
    </row>
    <row r="620" spans="2:5" x14ac:dyDescent="0.2">
      <c r="B620" s="185" t="s">
        <v>1270</v>
      </c>
      <c r="C620" s="168" t="s">
        <v>1271</v>
      </c>
      <c r="D620" s="173" t="s">
        <v>17</v>
      </c>
      <c r="E620" s="178">
        <v>224.17</v>
      </c>
    </row>
    <row r="621" spans="2:5" x14ac:dyDescent="0.2">
      <c r="B621" s="185" t="s">
        <v>1272</v>
      </c>
      <c r="C621" s="168" t="s">
        <v>1273</v>
      </c>
      <c r="D621" s="173" t="s">
        <v>17</v>
      </c>
      <c r="E621" s="178">
        <v>239.24</v>
      </c>
    </row>
    <row r="622" spans="2:5" ht="23.25" customHeight="1" x14ac:dyDescent="0.2">
      <c r="B622" s="185" t="s">
        <v>1274</v>
      </c>
      <c r="C622" s="168" t="s">
        <v>1275</v>
      </c>
      <c r="D622" s="173" t="s">
        <v>17</v>
      </c>
      <c r="E622" s="178">
        <v>121.75999999999999</v>
      </c>
    </row>
    <row r="623" spans="2:5" ht="22.5" x14ac:dyDescent="0.2">
      <c r="B623" s="185" t="s">
        <v>1276</v>
      </c>
      <c r="C623" s="168" t="s">
        <v>1277</v>
      </c>
      <c r="D623" s="173" t="s">
        <v>17</v>
      </c>
      <c r="E623" s="178">
        <v>140.57000000000002</v>
      </c>
    </row>
    <row r="624" spans="2:5" x14ac:dyDescent="0.2">
      <c r="B624" s="185" t="s">
        <v>1278</v>
      </c>
      <c r="C624" s="168" t="s">
        <v>1279</v>
      </c>
      <c r="D624" s="173" t="s">
        <v>17</v>
      </c>
      <c r="E624" s="178">
        <v>268.66000000000003</v>
      </c>
    </row>
    <row r="625" spans="2:5" ht="22.5" x14ac:dyDescent="0.2">
      <c r="B625" s="185" t="s">
        <v>1280</v>
      </c>
      <c r="C625" s="168" t="s">
        <v>1281</v>
      </c>
      <c r="D625" s="173" t="s">
        <v>17</v>
      </c>
      <c r="E625" s="178">
        <v>51.06</v>
      </c>
    </row>
    <row r="626" spans="2:5" ht="21.75" customHeight="1" x14ac:dyDescent="0.2">
      <c r="B626" s="185" t="s">
        <v>1282</v>
      </c>
      <c r="C626" s="168" t="s">
        <v>1283</v>
      </c>
      <c r="D626" s="173" t="s">
        <v>205</v>
      </c>
      <c r="E626" s="178">
        <v>66.48</v>
      </c>
    </row>
    <row r="627" spans="2:5" x14ac:dyDescent="0.2">
      <c r="B627" s="185" t="s">
        <v>1284</v>
      </c>
      <c r="C627" s="168" t="s">
        <v>1285</v>
      </c>
      <c r="D627" s="173" t="s">
        <v>205</v>
      </c>
      <c r="E627" s="178">
        <v>76.849999999999994</v>
      </c>
    </row>
    <row r="628" spans="2:5" ht="22.5" x14ac:dyDescent="0.2">
      <c r="B628" s="174">
        <v>94990</v>
      </c>
      <c r="C628" s="168" t="s">
        <v>1286</v>
      </c>
      <c r="D628" s="173" t="s">
        <v>84</v>
      </c>
      <c r="E628" s="170">
        <v>713.68</v>
      </c>
    </row>
    <row r="629" spans="2:5" ht="22.5" x14ac:dyDescent="0.2">
      <c r="B629" s="174">
        <v>94991</v>
      </c>
      <c r="C629" s="168" t="s">
        <v>1287</v>
      </c>
      <c r="D629" s="173" t="s">
        <v>84</v>
      </c>
      <c r="E629" s="170">
        <v>629.91</v>
      </c>
    </row>
    <row r="630" spans="2:5" ht="25.5" customHeight="1" x14ac:dyDescent="0.2">
      <c r="B630" s="174">
        <v>94992</v>
      </c>
      <c r="C630" s="168" t="s">
        <v>1288</v>
      </c>
      <c r="D630" s="173" t="s">
        <v>963</v>
      </c>
      <c r="E630" s="170">
        <v>84.5</v>
      </c>
    </row>
    <row r="631" spans="2:5" ht="22.5" x14ac:dyDescent="0.2">
      <c r="B631" s="174">
        <v>94993</v>
      </c>
      <c r="C631" s="168" t="s">
        <v>1289</v>
      </c>
      <c r="D631" s="173" t="s">
        <v>963</v>
      </c>
      <c r="E631" s="170">
        <v>79.48</v>
      </c>
    </row>
    <row r="632" spans="2:5" ht="22.5" x14ac:dyDescent="0.2">
      <c r="B632" s="174">
        <v>94994</v>
      </c>
      <c r="C632" s="168" t="s">
        <v>1290</v>
      </c>
      <c r="D632" s="173" t="s">
        <v>963</v>
      </c>
      <c r="E632" s="170">
        <v>99.26</v>
      </c>
    </row>
    <row r="633" spans="2:5" ht="22.5" x14ac:dyDescent="0.2">
      <c r="B633" s="174">
        <v>94995</v>
      </c>
      <c r="C633" s="168" t="s">
        <v>1291</v>
      </c>
      <c r="D633" s="173" t="s">
        <v>963</v>
      </c>
      <c r="E633" s="170">
        <v>92.56</v>
      </c>
    </row>
    <row r="634" spans="2:5" x14ac:dyDescent="0.2">
      <c r="B634" s="174">
        <v>101747</v>
      </c>
      <c r="C634" s="168" t="s">
        <v>1622</v>
      </c>
      <c r="D634" s="173" t="s">
        <v>963</v>
      </c>
      <c r="E634" s="170">
        <v>72.64</v>
      </c>
    </row>
    <row r="635" spans="2:5" ht="12.75" customHeight="1" x14ac:dyDescent="0.2">
      <c r="B635" s="192">
        <v>98509</v>
      </c>
      <c r="C635" s="183" t="s">
        <v>1293</v>
      </c>
      <c r="D635" s="184" t="s">
        <v>17</v>
      </c>
      <c r="E635" s="170">
        <v>31.71</v>
      </c>
    </row>
    <row r="636" spans="2:5" ht="22.5" customHeight="1" x14ac:dyDescent="0.2">
      <c r="B636" s="192">
        <v>98510</v>
      </c>
      <c r="C636" s="183" t="s">
        <v>1294</v>
      </c>
      <c r="D636" s="184" t="s">
        <v>17</v>
      </c>
      <c r="E636" s="170">
        <v>57.03</v>
      </c>
    </row>
    <row r="637" spans="2:5" ht="22.5" x14ac:dyDescent="0.2">
      <c r="B637" s="192">
        <v>98511</v>
      </c>
      <c r="C637" s="183" t="s">
        <v>1295</v>
      </c>
      <c r="D637" s="184" t="s">
        <v>17</v>
      </c>
      <c r="E637" s="170">
        <v>102.8</v>
      </c>
    </row>
    <row r="638" spans="2:5" x14ac:dyDescent="0.2">
      <c r="B638" s="192">
        <v>98516</v>
      </c>
      <c r="C638" s="183" t="s">
        <v>1296</v>
      </c>
      <c r="D638" s="184" t="s">
        <v>17</v>
      </c>
      <c r="E638" s="170">
        <v>348.96</v>
      </c>
    </row>
    <row r="639" spans="2:5" x14ac:dyDescent="0.2">
      <c r="B639" s="193">
        <v>98505</v>
      </c>
      <c r="C639" s="121" t="s">
        <v>1297</v>
      </c>
      <c r="D639" s="122" t="s">
        <v>17</v>
      </c>
      <c r="E639" s="194">
        <v>46.68</v>
      </c>
    </row>
    <row r="640" spans="2:5" x14ac:dyDescent="0.2">
      <c r="B640" s="195" t="s">
        <v>1623</v>
      </c>
      <c r="C640" s="143" t="s">
        <v>1624</v>
      </c>
      <c r="D640" s="187" t="s">
        <v>42</v>
      </c>
      <c r="E640" s="196">
        <v>357.11999999999995</v>
      </c>
    </row>
    <row r="641" spans="2:5" x14ac:dyDescent="0.2">
      <c r="B641" s="195" t="s">
        <v>1625</v>
      </c>
      <c r="C641" s="143" t="s">
        <v>1626</v>
      </c>
      <c r="D641" s="187" t="s">
        <v>42</v>
      </c>
      <c r="E641" s="196">
        <v>192.67000000000004</v>
      </c>
    </row>
    <row r="642" spans="2:5" x14ac:dyDescent="0.2">
      <c r="B642" s="195" t="s">
        <v>1627</v>
      </c>
      <c r="C642" s="143" t="s">
        <v>1628</v>
      </c>
      <c r="D642" s="187" t="s">
        <v>42</v>
      </c>
      <c r="E642" s="196">
        <v>117.53</v>
      </c>
    </row>
    <row r="643" spans="2:5" ht="13.5" thickBot="1" x14ac:dyDescent="0.25">
      <c r="B643" s="195" t="s">
        <v>1629</v>
      </c>
      <c r="C643" s="143" t="s">
        <v>1630</v>
      </c>
      <c r="D643" s="187" t="s">
        <v>42</v>
      </c>
      <c r="E643" s="196">
        <v>79.740000000000009</v>
      </c>
    </row>
    <row r="644" spans="2:5" x14ac:dyDescent="0.2">
      <c r="B644" s="953" t="s">
        <v>1298</v>
      </c>
      <c r="C644" s="954"/>
      <c r="D644" s="955"/>
      <c r="E644" s="160"/>
    </row>
    <row r="645" spans="2:5" ht="13.5" thickBot="1" x14ac:dyDescent="0.25">
      <c r="B645" s="161" t="s">
        <v>28</v>
      </c>
      <c r="C645" s="162" t="s">
        <v>183</v>
      </c>
      <c r="D645" s="162" t="s">
        <v>184</v>
      </c>
      <c r="E645" s="114" t="s">
        <v>185</v>
      </c>
    </row>
    <row r="646" spans="2:5" ht="33.75" x14ac:dyDescent="0.2">
      <c r="B646" s="197" t="s">
        <v>1299</v>
      </c>
      <c r="C646" s="183" t="s">
        <v>1300</v>
      </c>
      <c r="D646" s="184" t="s">
        <v>1301</v>
      </c>
      <c r="E646" s="198">
        <v>89.6</v>
      </c>
    </row>
    <row r="647" spans="2:5" ht="33.75" x14ac:dyDescent="0.2">
      <c r="B647" s="197" t="s">
        <v>1302</v>
      </c>
      <c r="C647" s="183" t="s">
        <v>1303</v>
      </c>
      <c r="D647" s="184" t="s">
        <v>1301</v>
      </c>
      <c r="E647" s="199">
        <v>86.69</v>
      </c>
    </row>
    <row r="648" spans="2:5" ht="33.75" x14ac:dyDescent="0.2">
      <c r="B648" s="197" t="s">
        <v>1304</v>
      </c>
      <c r="C648" s="183" t="s">
        <v>1305</v>
      </c>
      <c r="D648" s="184" t="s">
        <v>1301</v>
      </c>
      <c r="E648" s="199">
        <v>91.25</v>
      </c>
    </row>
    <row r="649" spans="2:5" ht="23.25" thickBot="1" x14ac:dyDescent="0.25">
      <c r="B649" s="200" t="s">
        <v>1306</v>
      </c>
      <c r="C649" s="201" t="s">
        <v>1307</v>
      </c>
      <c r="D649" s="202" t="s">
        <v>1301</v>
      </c>
      <c r="E649" s="203">
        <v>84.65</v>
      </c>
    </row>
  </sheetData>
  <mergeCells count="11">
    <mergeCell ref="B644:D644"/>
    <mergeCell ref="B365:D365"/>
    <mergeCell ref="B378:D378"/>
    <mergeCell ref="B546:D546"/>
    <mergeCell ref="B2:B4"/>
    <mergeCell ref="C2:E2"/>
    <mergeCell ref="C3:E3"/>
    <mergeCell ref="C4:E4"/>
    <mergeCell ref="B5:D5"/>
    <mergeCell ref="B293:D293"/>
    <mergeCell ref="B482:D482"/>
  </mergeCells>
  <printOptions horizontalCentered="1"/>
  <pageMargins left="0.39370078740157483" right="0.19685039370078741" top="0.59055118110236227" bottom="0.19685039370078741" header="0.23622047244094491" footer="0.59055118110236227"/>
  <pageSetup paperSize="9" scale="85" orientation="portrait" r:id="rId1"/>
  <rowBreaks count="1" manualBreakCount="1">
    <brk id="643" min="1" max="4" man="1"/>
  </row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CB5885-C108-4D01-AEBE-C506766475ED}">
  <sheetPr>
    <tabColor theme="9" tint="0.59999389629810485"/>
  </sheetPr>
  <dimension ref="A1:E67"/>
  <sheetViews>
    <sheetView workbookViewId="0"/>
  </sheetViews>
  <sheetFormatPr defaultColWidth="9.140625" defaultRowHeight="12.75" x14ac:dyDescent="0.2"/>
  <cols>
    <col min="1" max="1" width="67.5703125" style="58" customWidth="1"/>
    <col min="2" max="2" width="20.85546875" style="58" customWidth="1"/>
    <col min="3" max="3" width="67.5703125" style="58" customWidth="1"/>
    <col min="4" max="4" width="20.85546875" style="58" customWidth="1"/>
    <col min="5" max="16384" width="9.140625" style="58"/>
  </cols>
  <sheetData>
    <row r="1" spans="1:5" ht="13.5" thickBot="1" x14ac:dyDescent="0.25"/>
    <row r="2" spans="1:5" ht="13.5" thickTop="1" x14ac:dyDescent="0.2">
      <c r="A2" s="73"/>
      <c r="B2" s="74"/>
      <c r="C2" s="73"/>
      <c r="D2" s="75"/>
    </row>
    <row r="3" spans="1:5" x14ac:dyDescent="0.2">
      <c r="A3" s="76"/>
      <c r="B3" s="77"/>
      <c r="C3" s="76"/>
      <c r="D3" s="78"/>
    </row>
    <row r="4" spans="1:5" x14ac:dyDescent="0.2">
      <c r="A4" s="76"/>
      <c r="B4" s="77"/>
      <c r="C4" s="76"/>
      <c r="D4" s="78"/>
    </row>
    <row r="5" spans="1:5" x14ac:dyDescent="0.2">
      <c r="A5" s="76"/>
      <c r="B5" s="77"/>
      <c r="C5" s="76"/>
      <c r="D5" s="78"/>
    </row>
    <row r="6" spans="1:5" x14ac:dyDescent="0.2">
      <c r="A6" s="76"/>
      <c r="B6" s="77"/>
      <c r="C6" s="76"/>
      <c r="D6" s="78"/>
    </row>
    <row r="7" spans="1:5" x14ac:dyDescent="0.2">
      <c r="A7" s="76"/>
      <c r="B7" s="77"/>
      <c r="C7" s="76"/>
      <c r="D7" s="78"/>
    </row>
    <row r="8" spans="1:5" x14ac:dyDescent="0.2">
      <c r="A8" s="76"/>
      <c r="B8" s="77"/>
      <c r="C8" s="76"/>
      <c r="D8" s="78"/>
    </row>
    <row r="9" spans="1:5" ht="15.75" x14ac:dyDescent="0.25">
      <c r="A9" s="956" t="s">
        <v>1341</v>
      </c>
      <c r="B9" s="957"/>
      <c r="C9" s="956" t="s">
        <v>1341</v>
      </c>
      <c r="D9" s="957"/>
    </row>
    <row r="10" spans="1:5" x14ac:dyDescent="0.2">
      <c r="A10" s="79"/>
      <c r="B10" s="80"/>
      <c r="C10" s="79"/>
      <c r="D10" s="80"/>
    </row>
    <row r="11" spans="1:5" ht="15.75" x14ac:dyDescent="0.25">
      <c r="A11" s="956" t="s">
        <v>86</v>
      </c>
      <c r="B11" s="957"/>
      <c r="C11" s="956" t="s">
        <v>86</v>
      </c>
      <c r="D11" s="957"/>
    </row>
    <row r="12" spans="1:5" x14ac:dyDescent="0.2">
      <c r="A12" s="958" t="s">
        <v>1631</v>
      </c>
      <c r="B12" s="959"/>
      <c r="C12" s="958" t="s">
        <v>1631</v>
      </c>
      <c r="D12" s="959"/>
      <c r="E12" s="81"/>
    </row>
    <row r="13" spans="1:5" x14ac:dyDescent="0.2">
      <c r="A13" s="82"/>
      <c r="B13" s="83"/>
      <c r="C13" s="82"/>
      <c r="D13" s="83"/>
      <c r="E13" s="81"/>
    </row>
    <row r="14" spans="1:5" ht="18.75" customHeight="1" x14ac:dyDescent="0.2">
      <c r="A14" s="84" t="s">
        <v>1342</v>
      </c>
      <c r="B14" s="85" t="s">
        <v>1343</v>
      </c>
      <c r="C14" s="84" t="s">
        <v>1342</v>
      </c>
      <c r="D14" s="85" t="s">
        <v>1344</v>
      </c>
    </row>
    <row r="15" spans="1:5" x14ac:dyDescent="0.2">
      <c r="A15" s="86"/>
      <c r="B15" s="87"/>
      <c r="C15" s="86"/>
      <c r="D15" s="87"/>
    </row>
    <row r="16" spans="1:5" x14ac:dyDescent="0.2">
      <c r="A16" s="88" t="s">
        <v>1345</v>
      </c>
      <c r="B16" s="89">
        <v>0.2</v>
      </c>
      <c r="C16" s="88" t="s">
        <v>1345</v>
      </c>
      <c r="D16" s="89">
        <v>0.2</v>
      </c>
    </row>
    <row r="17" spans="1:4" x14ac:dyDescent="0.2">
      <c r="A17" s="90" t="s">
        <v>1346</v>
      </c>
      <c r="B17" s="91">
        <v>1.4999999999999999E-2</v>
      </c>
      <c r="C17" s="90" t="s">
        <v>1346</v>
      </c>
      <c r="D17" s="91">
        <v>1.4999999999999999E-2</v>
      </c>
    </row>
    <row r="18" spans="1:4" x14ac:dyDescent="0.2">
      <c r="A18" s="90" t="s">
        <v>1347</v>
      </c>
      <c r="B18" s="91">
        <v>0.01</v>
      </c>
      <c r="C18" s="90" t="s">
        <v>1347</v>
      </c>
      <c r="D18" s="91">
        <v>0.01</v>
      </c>
    </row>
    <row r="19" spans="1:4" x14ac:dyDescent="0.2">
      <c r="A19" s="90" t="s">
        <v>1348</v>
      </c>
      <c r="B19" s="91">
        <v>2E-3</v>
      </c>
      <c r="C19" s="90" t="s">
        <v>1348</v>
      </c>
      <c r="D19" s="91">
        <v>2E-3</v>
      </c>
    </row>
    <row r="20" spans="1:4" x14ac:dyDescent="0.2">
      <c r="A20" s="90" t="s">
        <v>1349</v>
      </c>
      <c r="B20" s="91">
        <v>6.0000000000000001E-3</v>
      </c>
      <c r="C20" s="90" t="s">
        <v>1349</v>
      </c>
      <c r="D20" s="91">
        <v>6.0000000000000001E-3</v>
      </c>
    </row>
    <row r="21" spans="1:4" x14ac:dyDescent="0.2">
      <c r="A21" s="90" t="s">
        <v>1350</v>
      </c>
      <c r="B21" s="91">
        <v>2.5000000000000001E-2</v>
      </c>
      <c r="C21" s="90" t="s">
        <v>1350</v>
      </c>
      <c r="D21" s="91">
        <v>2.5000000000000001E-2</v>
      </c>
    </row>
    <row r="22" spans="1:4" x14ac:dyDescent="0.2">
      <c r="A22" s="90" t="s">
        <v>1351</v>
      </c>
      <c r="B22" s="91">
        <v>0.08</v>
      </c>
      <c r="C22" s="90" t="s">
        <v>1351</v>
      </c>
      <c r="D22" s="91">
        <v>0.08</v>
      </c>
    </row>
    <row r="23" spans="1:4" x14ac:dyDescent="0.2">
      <c r="A23" s="90" t="s">
        <v>1352</v>
      </c>
      <c r="B23" s="91">
        <v>0.03</v>
      </c>
      <c r="C23" s="90" t="s">
        <v>1352</v>
      </c>
      <c r="D23" s="91">
        <v>0.03</v>
      </c>
    </row>
    <row r="24" spans="1:4" x14ac:dyDescent="0.2">
      <c r="A24" s="90" t="s">
        <v>1353</v>
      </c>
      <c r="B24" s="91">
        <v>0.01</v>
      </c>
      <c r="C24" s="90" t="s">
        <v>1353</v>
      </c>
      <c r="D24" s="91">
        <v>0.01</v>
      </c>
    </row>
    <row r="25" spans="1:4" x14ac:dyDescent="0.2">
      <c r="A25" s="90"/>
      <c r="B25" s="91"/>
      <c r="C25" s="90"/>
      <c r="D25" s="91" t="s">
        <v>1354</v>
      </c>
    </row>
    <row r="26" spans="1:4" s="93" customFormat="1" x14ac:dyDescent="0.2">
      <c r="A26" s="86" t="s">
        <v>1355</v>
      </c>
      <c r="B26" s="92">
        <f>SUM(B16:B25)</f>
        <v>0.37800000000000011</v>
      </c>
      <c r="C26" s="86" t="s">
        <v>1355</v>
      </c>
      <c r="D26" s="92">
        <f>SUM(D16:D25)</f>
        <v>0.37800000000000011</v>
      </c>
    </row>
    <row r="27" spans="1:4" x14ac:dyDescent="0.2">
      <c r="A27" s="90"/>
      <c r="B27" s="91"/>
      <c r="C27" s="90"/>
      <c r="D27" s="91"/>
    </row>
    <row r="28" spans="1:4" x14ac:dyDescent="0.2">
      <c r="A28" s="94" t="s">
        <v>1356</v>
      </c>
      <c r="B28" s="95"/>
      <c r="C28" s="94" t="s">
        <v>1356</v>
      </c>
      <c r="D28" s="95"/>
    </row>
    <row r="29" spans="1:4" x14ac:dyDescent="0.2">
      <c r="A29" s="90" t="s">
        <v>1357</v>
      </c>
      <c r="B29" s="91">
        <v>0.1794</v>
      </c>
      <c r="C29" s="90" t="s">
        <v>1357</v>
      </c>
      <c r="D29" s="91">
        <v>0</v>
      </c>
    </row>
    <row r="30" spans="1:4" x14ac:dyDescent="0.2">
      <c r="A30" s="90" t="s">
        <v>1358</v>
      </c>
      <c r="B30" s="91">
        <v>3.9699999999999999E-2</v>
      </c>
      <c r="C30" s="90" t="s">
        <v>1358</v>
      </c>
      <c r="D30" s="91">
        <v>0</v>
      </c>
    </row>
    <row r="31" spans="1:4" x14ac:dyDescent="0.2">
      <c r="A31" s="90" t="s">
        <v>1359</v>
      </c>
      <c r="B31" s="91">
        <v>8.8000000000000005E-3</v>
      </c>
      <c r="C31" s="90" t="s">
        <v>1359</v>
      </c>
      <c r="D31" s="91">
        <v>6.6E-3</v>
      </c>
    </row>
    <row r="32" spans="1:4" x14ac:dyDescent="0.2">
      <c r="A32" s="90" t="s">
        <v>1360</v>
      </c>
      <c r="B32" s="91">
        <v>0.111</v>
      </c>
      <c r="C32" s="90" t="s">
        <v>1360</v>
      </c>
      <c r="D32" s="91">
        <v>8.3299999999999999E-2</v>
      </c>
    </row>
    <row r="33" spans="1:4" x14ac:dyDescent="0.2">
      <c r="A33" s="90" t="s">
        <v>1361</v>
      </c>
      <c r="B33" s="91">
        <v>6.9999999999999999E-4</v>
      </c>
      <c r="C33" s="90" t="s">
        <v>1361</v>
      </c>
      <c r="D33" s="91">
        <v>5.0000000000000001E-4</v>
      </c>
    </row>
    <row r="34" spans="1:4" x14ac:dyDescent="0.2">
      <c r="A34" s="90" t="s">
        <v>1362</v>
      </c>
      <c r="B34" s="91">
        <v>7.4000000000000003E-3</v>
      </c>
      <c r="C34" s="90" t="s">
        <v>1362</v>
      </c>
      <c r="D34" s="91">
        <v>5.5999999999999999E-3</v>
      </c>
    </row>
    <row r="35" spans="1:4" ht="12.75" customHeight="1" x14ac:dyDescent="0.2">
      <c r="A35" s="90" t="s">
        <v>1363</v>
      </c>
      <c r="B35" s="91">
        <v>1.8499999999999999E-2</v>
      </c>
      <c r="C35" s="90" t="s">
        <v>1363</v>
      </c>
      <c r="D35" s="91">
        <v>0</v>
      </c>
    </row>
    <row r="36" spans="1:4" ht="14.25" customHeight="1" x14ac:dyDescent="0.2">
      <c r="A36" s="90" t="s">
        <v>1364</v>
      </c>
      <c r="B36" s="91">
        <v>1.1000000000000001E-3</v>
      </c>
      <c r="C36" s="90" t="s">
        <v>1364</v>
      </c>
      <c r="D36" s="91">
        <v>8.0000000000000004E-4</v>
      </c>
    </row>
    <row r="37" spans="1:4" ht="14.25" customHeight="1" x14ac:dyDescent="0.2">
      <c r="A37" s="90" t="s">
        <v>1365</v>
      </c>
      <c r="B37" s="91">
        <v>0.1275</v>
      </c>
      <c r="C37" s="90" t="s">
        <v>1365</v>
      </c>
      <c r="D37" s="91">
        <v>9.5699999999999993E-2</v>
      </c>
    </row>
    <row r="38" spans="1:4" ht="14.25" customHeight="1" x14ac:dyDescent="0.2">
      <c r="A38" s="90" t="s">
        <v>1366</v>
      </c>
      <c r="B38" s="91">
        <v>4.0000000000000002E-4</v>
      </c>
      <c r="C38" s="90" t="s">
        <v>1366</v>
      </c>
      <c r="D38" s="91">
        <v>2.9999999999999997E-4</v>
      </c>
    </row>
    <row r="39" spans="1:4" x14ac:dyDescent="0.2">
      <c r="A39" s="96"/>
      <c r="B39" s="91"/>
      <c r="C39" s="96"/>
      <c r="D39" s="91"/>
    </row>
    <row r="40" spans="1:4" s="93" customFormat="1" x14ac:dyDescent="0.2">
      <c r="A40" s="86" t="s">
        <v>1367</v>
      </c>
      <c r="B40" s="92">
        <f>SUM(B29:B38)</f>
        <v>0.49450000000000005</v>
      </c>
      <c r="C40" s="86" t="s">
        <v>1367</v>
      </c>
      <c r="D40" s="92">
        <f>SUM(D29:D38)</f>
        <v>0.19279999999999997</v>
      </c>
    </row>
    <row r="41" spans="1:4" x14ac:dyDescent="0.2">
      <c r="A41" s="90" t="s">
        <v>26</v>
      </c>
      <c r="B41" s="91"/>
      <c r="C41" s="90" t="s">
        <v>26</v>
      </c>
      <c r="D41" s="91"/>
    </row>
    <row r="42" spans="1:4" x14ac:dyDescent="0.2">
      <c r="A42" s="94" t="s">
        <v>1368</v>
      </c>
      <c r="B42" s="95"/>
      <c r="C42" s="94" t="s">
        <v>1368</v>
      </c>
      <c r="D42" s="95"/>
    </row>
    <row r="43" spans="1:4" x14ac:dyDescent="0.2">
      <c r="A43" s="90" t="s">
        <v>1369</v>
      </c>
      <c r="B43" s="91">
        <v>5.4899999999999997E-2</v>
      </c>
      <c r="C43" s="90" t="s">
        <v>1369</v>
      </c>
      <c r="D43" s="91">
        <v>4.1200000000000001E-2</v>
      </c>
    </row>
    <row r="44" spans="1:4" x14ac:dyDescent="0.2">
      <c r="A44" s="90" t="s">
        <v>1370</v>
      </c>
      <c r="B44" s="91">
        <v>1.2999999999999999E-3</v>
      </c>
      <c r="C44" s="90" t="s">
        <v>1370</v>
      </c>
      <c r="D44" s="91">
        <v>1E-3</v>
      </c>
    </row>
    <row r="45" spans="1:4" x14ac:dyDescent="0.2">
      <c r="A45" s="90" t="s">
        <v>1371</v>
      </c>
      <c r="B45" s="91">
        <v>1.7100000000000001E-2</v>
      </c>
      <c r="C45" s="90" t="s">
        <v>1371</v>
      </c>
      <c r="D45" s="91">
        <v>1.2800000000000001E-2</v>
      </c>
    </row>
    <row r="46" spans="1:4" x14ac:dyDescent="0.2">
      <c r="A46" s="90" t="s">
        <v>1372</v>
      </c>
      <c r="B46" s="91">
        <v>2.7799999999999998E-2</v>
      </c>
      <c r="C46" s="90" t="s">
        <v>1372</v>
      </c>
      <c r="D46" s="91">
        <v>2.0899999999999998E-2</v>
      </c>
    </row>
    <row r="47" spans="1:4" x14ac:dyDescent="0.2">
      <c r="A47" s="90" t="s">
        <v>1373</v>
      </c>
      <c r="B47" s="91">
        <v>4.5999999999999999E-3</v>
      </c>
      <c r="C47" s="90" t="s">
        <v>1373</v>
      </c>
      <c r="D47" s="91">
        <v>3.5000000000000001E-3</v>
      </c>
    </row>
    <row r="48" spans="1:4" x14ac:dyDescent="0.2">
      <c r="A48" s="90"/>
      <c r="B48" s="91"/>
      <c r="C48" s="90"/>
      <c r="D48" s="91"/>
    </row>
    <row r="49" spans="1:5" s="93" customFormat="1" x14ac:dyDescent="0.2">
      <c r="A49" s="97" t="s">
        <v>1374</v>
      </c>
      <c r="B49" s="98">
        <f>SUM(B43:B48)</f>
        <v>0.10569999999999999</v>
      </c>
      <c r="C49" s="97" t="s">
        <v>1374</v>
      </c>
      <c r="D49" s="98">
        <f>SUM(D43:D48)</f>
        <v>7.9399999999999998E-2</v>
      </c>
    </row>
    <row r="50" spans="1:5" x14ac:dyDescent="0.2">
      <c r="A50" s="90" t="s">
        <v>26</v>
      </c>
      <c r="B50" s="91"/>
      <c r="C50" s="90" t="s">
        <v>26</v>
      </c>
      <c r="D50" s="91"/>
    </row>
    <row r="51" spans="1:5" x14ac:dyDescent="0.2">
      <c r="A51" s="94" t="s">
        <v>1375</v>
      </c>
      <c r="B51" s="91"/>
      <c r="C51" s="94" t="s">
        <v>1375</v>
      </c>
      <c r="D51" s="91"/>
    </row>
    <row r="52" spans="1:5" x14ac:dyDescent="0.2">
      <c r="A52" s="90" t="s">
        <v>1376</v>
      </c>
      <c r="B52" s="91">
        <f>ROUND(B26*B40,4)</f>
        <v>0.18690000000000001</v>
      </c>
      <c r="C52" s="90" t="s">
        <v>1376</v>
      </c>
      <c r="D52" s="91">
        <f>ROUND(D26*D40,4)</f>
        <v>7.2900000000000006E-2</v>
      </c>
    </row>
    <row r="53" spans="1:5" x14ac:dyDescent="0.2">
      <c r="A53" s="90" t="s">
        <v>1377</v>
      </c>
      <c r="B53" s="91">
        <f>ROUND((B26*B44)+(B22*B43),4)</f>
        <v>4.8999999999999998E-3</v>
      </c>
      <c r="C53" s="90" t="s">
        <v>1377</v>
      </c>
      <c r="D53" s="91">
        <f>ROUND((D26*D44)+(D22*D43),4)</f>
        <v>3.7000000000000002E-3</v>
      </c>
    </row>
    <row r="54" spans="1:5" x14ac:dyDescent="0.2">
      <c r="A54" s="90" t="s">
        <v>26</v>
      </c>
      <c r="B54" s="91"/>
      <c r="C54" s="90" t="s">
        <v>26</v>
      </c>
      <c r="D54" s="91"/>
    </row>
    <row r="55" spans="1:5" s="93" customFormat="1" x14ac:dyDescent="0.2">
      <c r="A55" s="97" t="s">
        <v>1378</v>
      </c>
      <c r="B55" s="98">
        <f>SUM(B52:B54)</f>
        <v>0.1918</v>
      </c>
      <c r="C55" s="97" t="s">
        <v>1378</v>
      </c>
      <c r="D55" s="98">
        <f>SUM(D52:D54)</f>
        <v>7.6600000000000001E-2</v>
      </c>
    </row>
    <row r="56" spans="1:5" s="93" customFormat="1" x14ac:dyDescent="0.2">
      <c r="A56" s="97"/>
      <c r="B56" s="98"/>
      <c r="C56" s="97"/>
      <c r="D56" s="98"/>
    </row>
    <row r="57" spans="1:5" x14ac:dyDescent="0.2">
      <c r="A57" s="90"/>
      <c r="B57" s="91"/>
      <c r="C57" s="90"/>
      <c r="D57" s="91"/>
    </row>
    <row r="58" spans="1:5" s="93" customFormat="1" x14ac:dyDescent="0.2">
      <c r="A58" s="97" t="s">
        <v>1379</v>
      </c>
      <c r="B58" s="98">
        <f>B26+B40+B49+B55</f>
        <v>1.1700000000000002</v>
      </c>
      <c r="C58" s="97" t="s">
        <v>1379</v>
      </c>
      <c r="D58" s="98">
        <f>D26+D40+D49+D55</f>
        <v>0.72680000000000011</v>
      </c>
    </row>
    <row r="59" spans="1:5" ht="13.5" thickBot="1" x14ac:dyDescent="0.25">
      <c r="A59" s="99"/>
      <c r="B59" s="100"/>
      <c r="C59" s="99"/>
      <c r="D59" s="100"/>
      <c r="E59" s="76"/>
    </row>
    <row r="60" spans="1:5" ht="13.5" thickTop="1" x14ac:dyDescent="0.2">
      <c r="A60" s="101"/>
      <c r="B60" s="101"/>
    </row>
    <row r="61" spans="1:5" x14ac:dyDescent="0.2">
      <c r="A61" s="101"/>
      <c r="B61" s="101"/>
    </row>
    <row r="62" spans="1:5" x14ac:dyDescent="0.2">
      <c r="A62" s="101"/>
      <c r="B62" s="101"/>
    </row>
    <row r="63" spans="1:5" x14ac:dyDescent="0.2">
      <c r="A63" s="101"/>
      <c r="B63" s="101"/>
    </row>
    <row r="64" spans="1:5" x14ac:dyDescent="0.2">
      <c r="A64" s="101"/>
      <c r="B64" s="101"/>
    </row>
    <row r="65" spans="1:2" x14ac:dyDescent="0.2">
      <c r="A65" s="101"/>
      <c r="B65" s="101"/>
    </row>
    <row r="66" spans="1:2" x14ac:dyDescent="0.2">
      <c r="A66" s="101"/>
      <c r="B66" s="101"/>
    </row>
    <row r="67" spans="1:2" x14ac:dyDescent="0.2">
      <c r="A67" s="101"/>
      <c r="B67" s="101"/>
    </row>
  </sheetData>
  <mergeCells count="6">
    <mergeCell ref="A9:B9"/>
    <mergeCell ref="C9:D9"/>
    <mergeCell ref="A11:B11"/>
    <mergeCell ref="C11:D11"/>
    <mergeCell ref="A12:B12"/>
    <mergeCell ref="C12:D12"/>
  </mergeCells>
  <printOptions horizontalCentered="1"/>
  <pageMargins left="0.98425196850393704" right="0.39370078740157483" top="0.39370078740157483" bottom="0.19685039370078741" header="0.43307086614173229" footer="0.31496062992125984"/>
  <pageSetup paperSize="9" scale="90" orientation="portrait" horizontalDpi="300" verticalDpi="300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D79A5E-47D8-4A81-B23A-690E8DD01686}">
  <sheetPr>
    <tabColor theme="9" tint="0.59999389629810485"/>
  </sheetPr>
  <dimension ref="A1:E176"/>
  <sheetViews>
    <sheetView workbookViewId="0"/>
  </sheetViews>
  <sheetFormatPr defaultColWidth="11.42578125" defaultRowHeight="12.75" x14ac:dyDescent="0.2"/>
  <cols>
    <col min="1" max="1" width="12.42578125" customWidth="1"/>
    <col min="2" max="2" width="56.5703125" customWidth="1"/>
    <col min="3" max="3" width="20" customWidth="1"/>
    <col min="4" max="4" width="10" customWidth="1"/>
  </cols>
  <sheetData>
    <row r="1" spans="1:5" ht="16.5" thickBot="1" x14ac:dyDescent="0.3">
      <c r="B1" s="204"/>
      <c r="C1" s="29"/>
      <c r="D1" s="29"/>
    </row>
    <row r="2" spans="1:5" ht="27" customHeight="1" thickBot="1" x14ac:dyDescent="0.25">
      <c r="A2" s="963"/>
      <c r="B2" s="966" t="s">
        <v>85</v>
      </c>
      <c r="C2" s="967"/>
      <c r="D2" s="967"/>
      <c r="E2" s="968"/>
    </row>
    <row r="3" spans="1:5" ht="17.25" customHeight="1" thickBot="1" x14ac:dyDescent="0.25">
      <c r="A3" s="964"/>
      <c r="B3" s="969" t="s">
        <v>86</v>
      </c>
      <c r="C3" s="970"/>
      <c r="D3" s="970"/>
      <c r="E3" s="971"/>
    </row>
    <row r="4" spans="1:5" ht="18.75" customHeight="1" thickBot="1" x14ac:dyDescent="0.25">
      <c r="A4" s="965"/>
      <c r="B4" s="960" t="s">
        <v>1632</v>
      </c>
      <c r="C4" s="961"/>
      <c r="D4" s="961"/>
      <c r="E4" s="962"/>
    </row>
    <row r="5" spans="1:5" ht="9" customHeight="1" thickBot="1" x14ac:dyDescent="0.25">
      <c r="A5" s="108"/>
      <c r="B5" s="205"/>
      <c r="C5" s="205"/>
      <c r="D5" s="205"/>
    </row>
    <row r="6" spans="1:5" ht="17.25" thickBot="1" x14ac:dyDescent="0.25">
      <c r="A6" s="972" t="s">
        <v>87</v>
      </c>
      <c r="B6" s="973"/>
      <c r="C6" s="973"/>
      <c r="D6" s="973"/>
      <c r="E6" s="974"/>
    </row>
    <row r="7" spans="1:5" ht="9" customHeight="1" thickBot="1" x14ac:dyDescent="0.25">
      <c r="A7" s="108"/>
      <c r="B7" s="205"/>
      <c r="C7" s="205"/>
      <c r="D7" s="205"/>
    </row>
    <row r="8" spans="1:5" ht="18.75" customHeight="1" thickBot="1" x14ac:dyDescent="0.25">
      <c r="A8" s="206" t="s">
        <v>88</v>
      </c>
      <c r="B8" s="207" t="s">
        <v>1633</v>
      </c>
      <c r="C8" s="960" t="s">
        <v>1634</v>
      </c>
      <c r="D8" s="961"/>
      <c r="E8" s="962"/>
    </row>
    <row r="9" spans="1:5" s="208" customFormat="1" ht="9" customHeight="1" x14ac:dyDescent="0.25">
      <c r="B9" s="209"/>
      <c r="C9" s="30"/>
      <c r="D9" s="30"/>
    </row>
    <row r="10" spans="1:5" s="58" customFormat="1" ht="43.5" customHeight="1" x14ac:dyDescent="0.2">
      <c r="A10" s="210" t="s">
        <v>28</v>
      </c>
      <c r="B10" s="211" t="s">
        <v>89</v>
      </c>
      <c r="C10" s="212" t="s">
        <v>90</v>
      </c>
      <c r="D10" s="212" t="s">
        <v>67</v>
      </c>
      <c r="E10" s="31" t="s">
        <v>91</v>
      </c>
    </row>
    <row r="11" spans="1:5" x14ac:dyDescent="0.2">
      <c r="A11" s="213">
        <v>88247</v>
      </c>
      <c r="B11" s="214" t="s">
        <v>92</v>
      </c>
      <c r="C11" s="215">
        <v>27.06</v>
      </c>
      <c r="D11" s="215" t="s">
        <v>93</v>
      </c>
      <c r="E11" s="33">
        <v>1.17</v>
      </c>
    </row>
    <row r="12" spans="1:5" x14ac:dyDescent="0.2">
      <c r="A12" s="213">
        <v>101375</v>
      </c>
      <c r="B12" s="214" t="s">
        <v>92</v>
      </c>
      <c r="C12" s="216">
        <v>4813.96</v>
      </c>
      <c r="D12" s="216" t="s">
        <v>18</v>
      </c>
      <c r="E12" s="105">
        <v>0.7268</v>
      </c>
    </row>
    <row r="13" spans="1:5" x14ac:dyDescent="0.2">
      <c r="A13" s="213">
        <v>200025</v>
      </c>
      <c r="B13" s="214" t="s">
        <v>94</v>
      </c>
      <c r="C13" s="216">
        <v>26.972919999999998</v>
      </c>
      <c r="D13" s="216" t="s">
        <v>93</v>
      </c>
      <c r="E13" s="105">
        <v>1.17</v>
      </c>
    </row>
    <row r="14" spans="1:5" ht="12.75" customHeight="1" x14ac:dyDescent="0.2">
      <c r="A14" s="213">
        <v>200026</v>
      </c>
      <c r="B14" s="214" t="s">
        <v>94</v>
      </c>
      <c r="C14" s="216">
        <v>4806.3546959999994</v>
      </c>
      <c r="D14" s="216" t="s">
        <v>18</v>
      </c>
      <c r="E14" s="105">
        <v>0.7268</v>
      </c>
    </row>
    <row r="15" spans="1:5" ht="12.75" customHeight="1" x14ac:dyDescent="0.2">
      <c r="A15" s="213">
        <v>88248</v>
      </c>
      <c r="B15" s="217" t="s">
        <v>95</v>
      </c>
      <c r="C15" s="216">
        <v>26.01</v>
      </c>
      <c r="D15" s="216" t="s">
        <v>93</v>
      </c>
      <c r="E15" s="105">
        <v>1.17</v>
      </c>
    </row>
    <row r="16" spans="1:5" x14ac:dyDescent="0.2">
      <c r="A16" s="213">
        <v>101384</v>
      </c>
      <c r="B16" s="217" t="s">
        <v>95</v>
      </c>
      <c r="C16" s="216">
        <v>4638.62</v>
      </c>
      <c r="D16" s="216" t="s">
        <v>18</v>
      </c>
      <c r="E16" s="105">
        <v>0.7268</v>
      </c>
    </row>
    <row r="17" spans="1:5" x14ac:dyDescent="0.2">
      <c r="A17" s="213">
        <v>88249</v>
      </c>
      <c r="B17" s="217" t="s">
        <v>96</v>
      </c>
      <c r="C17" s="216">
        <v>28.01</v>
      </c>
      <c r="D17" s="216" t="s">
        <v>93</v>
      </c>
      <c r="E17" s="105">
        <v>1.17</v>
      </c>
    </row>
    <row r="18" spans="1:5" x14ac:dyDescent="0.2">
      <c r="A18" s="213">
        <v>101385</v>
      </c>
      <c r="B18" s="217" t="s">
        <v>96</v>
      </c>
      <c r="C18" s="216">
        <v>4926.26</v>
      </c>
      <c r="D18" s="216" t="s">
        <v>18</v>
      </c>
      <c r="E18" s="105">
        <v>0.7268</v>
      </c>
    </row>
    <row r="19" spans="1:5" x14ac:dyDescent="0.2">
      <c r="A19" s="213">
        <v>88251</v>
      </c>
      <c r="B19" s="218" t="s">
        <v>97</v>
      </c>
      <c r="C19" s="216">
        <v>26.57</v>
      </c>
      <c r="D19" s="216" t="s">
        <v>93</v>
      </c>
      <c r="E19" s="105">
        <v>1.17</v>
      </c>
    </row>
    <row r="20" spans="1:5" x14ac:dyDescent="0.2">
      <c r="A20" s="213">
        <v>101379</v>
      </c>
      <c r="B20" s="218" t="s">
        <v>97</v>
      </c>
      <c r="C20" s="216">
        <v>4751.5</v>
      </c>
      <c r="D20" s="216" t="s">
        <v>18</v>
      </c>
      <c r="E20" s="105">
        <v>0.7268</v>
      </c>
    </row>
    <row r="21" spans="1:5" x14ac:dyDescent="0.2">
      <c r="A21" s="213">
        <v>88253</v>
      </c>
      <c r="B21" s="217" t="s">
        <v>98</v>
      </c>
      <c r="C21" s="216">
        <v>12.9</v>
      </c>
      <c r="D21" s="216" t="s">
        <v>93</v>
      </c>
      <c r="E21" s="105">
        <v>1.17</v>
      </c>
    </row>
    <row r="22" spans="1:5" x14ac:dyDescent="0.2">
      <c r="A22" s="213">
        <v>101389</v>
      </c>
      <c r="B22" s="217" t="s">
        <v>98</v>
      </c>
      <c r="C22" s="216">
        <v>2285.65</v>
      </c>
      <c r="D22" s="216" t="s">
        <v>18</v>
      </c>
      <c r="E22" s="105">
        <v>0.7268</v>
      </c>
    </row>
    <row r="23" spans="1:5" x14ac:dyDescent="0.2">
      <c r="A23" s="213">
        <v>100300</v>
      </c>
      <c r="B23" s="217" t="s">
        <v>99</v>
      </c>
      <c r="C23" s="216">
        <v>20.59</v>
      </c>
      <c r="D23" s="216" t="s">
        <v>93</v>
      </c>
      <c r="E23" s="105">
        <v>1.17</v>
      </c>
    </row>
    <row r="24" spans="1:5" x14ac:dyDescent="0.2">
      <c r="A24" s="213">
        <v>100316</v>
      </c>
      <c r="B24" s="217" t="s">
        <v>99</v>
      </c>
      <c r="C24" s="216">
        <v>3629.86</v>
      </c>
      <c r="D24" s="216" t="s">
        <v>18</v>
      </c>
      <c r="E24" s="105">
        <v>0.7268</v>
      </c>
    </row>
    <row r="25" spans="1:5" x14ac:dyDescent="0.2">
      <c r="A25" s="213">
        <v>88238</v>
      </c>
      <c r="B25" s="217" t="s">
        <v>100</v>
      </c>
      <c r="C25" s="216">
        <v>25.1</v>
      </c>
      <c r="D25" s="216" t="s">
        <v>93</v>
      </c>
      <c r="E25" s="105">
        <v>1.17</v>
      </c>
    </row>
    <row r="26" spans="1:5" x14ac:dyDescent="0.2">
      <c r="A26" s="213">
        <v>101374</v>
      </c>
      <c r="B26" s="217" t="s">
        <v>100</v>
      </c>
      <c r="C26" s="216">
        <v>4497</v>
      </c>
      <c r="D26" s="216" t="s">
        <v>18</v>
      </c>
      <c r="E26" s="105">
        <v>0.7268</v>
      </c>
    </row>
    <row r="27" spans="1:5" x14ac:dyDescent="0.2">
      <c r="A27" s="213">
        <v>88239</v>
      </c>
      <c r="B27" s="217" t="s">
        <v>101</v>
      </c>
      <c r="C27" s="216">
        <v>26.45</v>
      </c>
      <c r="D27" s="216" t="s">
        <v>93</v>
      </c>
      <c r="E27" s="105">
        <v>1.17</v>
      </c>
    </row>
    <row r="28" spans="1:5" x14ac:dyDescent="0.2">
      <c r="A28" s="213">
        <v>101395</v>
      </c>
      <c r="B28" s="217" t="s">
        <v>101</v>
      </c>
      <c r="C28" s="216">
        <v>4726.4799999999996</v>
      </c>
      <c r="D28" s="216" t="s">
        <v>18</v>
      </c>
      <c r="E28" s="105">
        <v>0.7268</v>
      </c>
    </row>
    <row r="29" spans="1:5" x14ac:dyDescent="0.2">
      <c r="A29" s="213">
        <v>100301</v>
      </c>
      <c r="B29" s="217" t="s">
        <v>102</v>
      </c>
      <c r="C29" s="216">
        <v>27.98</v>
      </c>
      <c r="D29" s="216" t="s">
        <v>93</v>
      </c>
      <c r="E29" s="105">
        <v>1.17</v>
      </c>
    </row>
    <row r="30" spans="1:5" x14ac:dyDescent="0.2">
      <c r="A30" s="213">
        <v>101378</v>
      </c>
      <c r="B30" s="217" t="s">
        <v>102</v>
      </c>
      <c r="C30" s="216">
        <v>5012.25</v>
      </c>
      <c r="D30" s="216" t="s">
        <v>18</v>
      </c>
      <c r="E30" s="105">
        <v>0.7268</v>
      </c>
    </row>
    <row r="31" spans="1:5" x14ac:dyDescent="0.2">
      <c r="A31" s="213">
        <v>100303</v>
      </c>
      <c r="B31" s="217" t="s">
        <v>103</v>
      </c>
      <c r="C31" s="216">
        <v>25.16</v>
      </c>
      <c r="D31" s="216" t="s">
        <v>93</v>
      </c>
      <c r="E31" s="105">
        <v>1.17</v>
      </c>
    </row>
    <row r="32" spans="1:5" x14ac:dyDescent="0.2">
      <c r="A32" s="213">
        <v>101383</v>
      </c>
      <c r="B32" s="217" t="s">
        <v>103</v>
      </c>
      <c r="C32" s="216">
        <v>4504.6099999999997</v>
      </c>
      <c r="D32" s="216" t="s">
        <v>18</v>
      </c>
      <c r="E32" s="105">
        <v>0.7268</v>
      </c>
    </row>
    <row r="33" spans="1:5" x14ac:dyDescent="0.2">
      <c r="A33" s="213">
        <v>88242</v>
      </c>
      <c r="B33" s="217" t="s">
        <v>104</v>
      </c>
      <c r="C33" s="216">
        <v>25.16</v>
      </c>
      <c r="D33" s="216" t="s">
        <v>93</v>
      </c>
      <c r="E33" s="105">
        <v>1.17</v>
      </c>
    </row>
    <row r="34" spans="1:5" x14ac:dyDescent="0.2">
      <c r="A34" s="213">
        <v>101387</v>
      </c>
      <c r="B34" s="217" t="s">
        <v>104</v>
      </c>
      <c r="C34" s="216">
        <v>4504.6099999999997</v>
      </c>
      <c r="D34" s="216" t="s">
        <v>18</v>
      </c>
      <c r="E34" s="105">
        <v>0.7268</v>
      </c>
    </row>
    <row r="35" spans="1:5" x14ac:dyDescent="0.2">
      <c r="A35" s="213">
        <v>88240</v>
      </c>
      <c r="B35" s="217" t="s">
        <v>105</v>
      </c>
      <c r="C35" s="216">
        <v>23.02</v>
      </c>
      <c r="D35" s="216" t="s">
        <v>93</v>
      </c>
      <c r="E35" s="105">
        <v>1.17</v>
      </c>
    </row>
    <row r="36" spans="1:5" x14ac:dyDescent="0.2">
      <c r="A36" s="213">
        <v>101376</v>
      </c>
      <c r="B36" s="217" t="s">
        <v>105</v>
      </c>
      <c r="C36" s="216">
        <v>4113.8900000000003</v>
      </c>
      <c r="D36" s="216" t="s">
        <v>18</v>
      </c>
      <c r="E36" s="105">
        <v>0.7268</v>
      </c>
    </row>
    <row r="37" spans="1:5" x14ac:dyDescent="0.2">
      <c r="A37" s="213">
        <v>90772</v>
      </c>
      <c r="B37" s="214" t="s">
        <v>106</v>
      </c>
      <c r="C37" s="216">
        <v>21.45</v>
      </c>
      <c r="D37" s="216" t="s">
        <v>93</v>
      </c>
      <c r="E37" s="105">
        <v>1.17</v>
      </c>
    </row>
    <row r="38" spans="1:5" x14ac:dyDescent="0.2">
      <c r="A38" s="213">
        <v>93566</v>
      </c>
      <c r="B38" s="214" t="s">
        <v>107</v>
      </c>
      <c r="C38" s="216">
        <v>3780.98</v>
      </c>
      <c r="D38" s="216" t="s">
        <v>18</v>
      </c>
      <c r="E38" s="105">
        <v>0.7268</v>
      </c>
    </row>
    <row r="39" spans="1:5" x14ac:dyDescent="0.2">
      <c r="A39" s="213">
        <v>88255</v>
      </c>
      <c r="B39" s="214" t="s">
        <v>108</v>
      </c>
      <c r="C39" s="216">
        <v>40.090000000000003</v>
      </c>
      <c r="D39" s="216" t="s">
        <v>93</v>
      </c>
      <c r="E39" s="105">
        <v>1.17</v>
      </c>
    </row>
    <row r="40" spans="1:5" x14ac:dyDescent="0.2">
      <c r="A40" s="213">
        <v>101390</v>
      </c>
      <c r="B40" s="214" t="s">
        <v>108</v>
      </c>
      <c r="C40" s="216">
        <v>7036.5</v>
      </c>
      <c r="D40" s="216" t="s">
        <v>18</v>
      </c>
      <c r="E40" s="105">
        <v>0.7268</v>
      </c>
    </row>
    <row r="41" spans="1:5" x14ac:dyDescent="0.2">
      <c r="A41" s="213">
        <v>90766</v>
      </c>
      <c r="B41" s="217" t="s">
        <v>109</v>
      </c>
      <c r="C41" s="216">
        <v>26.29</v>
      </c>
      <c r="D41" s="216" t="s">
        <v>93</v>
      </c>
      <c r="E41" s="105">
        <v>1.17</v>
      </c>
    </row>
    <row r="42" spans="1:5" x14ac:dyDescent="0.2">
      <c r="A42" s="213">
        <v>93563</v>
      </c>
      <c r="B42" s="217" t="s">
        <v>109</v>
      </c>
      <c r="C42" s="216">
        <v>4624.97</v>
      </c>
      <c r="D42" s="216" t="s">
        <v>18</v>
      </c>
      <c r="E42" s="105">
        <v>0.7268</v>
      </c>
    </row>
    <row r="43" spans="1:5" x14ac:dyDescent="0.2">
      <c r="A43" s="213">
        <v>90767</v>
      </c>
      <c r="B43" s="217" t="s">
        <v>110</v>
      </c>
      <c r="C43" s="216">
        <v>23.79</v>
      </c>
      <c r="D43" s="216" t="s">
        <v>93</v>
      </c>
      <c r="E43" s="105">
        <v>1.17</v>
      </c>
    </row>
    <row r="44" spans="1:5" x14ac:dyDescent="0.2">
      <c r="A44" s="213">
        <v>93564</v>
      </c>
      <c r="B44" s="217" t="s">
        <v>111</v>
      </c>
      <c r="C44" s="216">
        <v>4173.6099999999997</v>
      </c>
      <c r="D44" s="216" t="s">
        <v>18</v>
      </c>
      <c r="E44" s="105">
        <v>0.7268</v>
      </c>
    </row>
    <row r="45" spans="1:5" x14ac:dyDescent="0.2">
      <c r="A45" s="213">
        <v>90775</v>
      </c>
      <c r="B45" s="217" t="s">
        <v>112</v>
      </c>
      <c r="C45" s="216">
        <v>21.85</v>
      </c>
      <c r="D45" s="216" t="s">
        <v>93</v>
      </c>
      <c r="E45" s="105">
        <v>1.17</v>
      </c>
    </row>
    <row r="46" spans="1:5" x14ac:dyDescent="0.2">
      <c r="A46" s="213">
        <v>93561</v>
      </c>
      <c r="B46" s="217" t="s">
        <v>112</v>
      </c>
      <c r="C46" s="216">
        <v>3850.82</v>
      </c>
      <c r="D46" s="216" t="s">
        <v>18</v>
      </c>
      <c r="E46" s="105">
        <v>0.7268</v>
      </c>
    </row>
    <row r="47" spans="1:5" x14ac:dyDescent="0.2">
      <c r="A47" s="213">
        <v>88316</v>
      </c>
      <c r="B47" s="217" t="s">
        <v>113</v>
      </c>
      <c r="C47" s="216">
        <v>25.12</v>
      </c>
      <c r="D47" s="216" t="s">
        <v>93</v>
      </c>
      <c r="E47" s="105">
        <v>1.17</v>
      </c>
    </row>
    <row r="48" spans="1:5" x14ac:dyDescent="0.2">
      <c r="A48" s="213">
        <v>101452</v>
      </c>
      <c r="B48" s="217" t="s">
        <v>113</v>
      </c>
      <c r="C48" s="216">
        <v>4487.3999999999996</v>
      </c>
      <c r="D48" s="216" t="s">
        <v>18</v>
      </c>
      <c r="E48" s="105">
        <v>0.7268</v>
      </c>
    </row>
    <row r="49" spans="1:5" x14ac:dyDescent="0.2">
      <c r="A49" s="213">
        <v>200001</v>
      </c>
      <c r="B49" s="217" t="s">
        <v>114</v>
      </c>
      <c r="C49" s="216">
        <v>31.619800000000001</v>
      </c>
      <c r="D49" s="216" t="s">
        <v>93</v>
      </c>
      <c r="E49" s="105">
        <v>1.17</v>
      </c>
    </row>
    <row r="50" spans="1:5" x14ac:dyDescent="0.2">
      <c r="A50" s="213">
        <v>200002</v>
      </c>
      <c r="B50" s="217" t="s">
        <v>114</v>
      </c>
      <c r="C50" s="216">
        <v>5612.4060768663594</v>
      </c>
      <c r="D50" s="216" t="s">
        <v>18</v>
      </c>
      <c r="E50" s="105">
        <v>0.7268</v>
      </c>
    </row>
    <row r="51" spans="1:5" x14ac:dyDescent="0.2">
      <c r="A51" s="213">
        <v>200003</v>
      </c>
      <c r="B51" s="217" t="s">
        <v>115</v>
      </c>
      <c r="C51" s="216">
        <v>25.926100000000002</v>
      </c>
      <c r="D51" s="216" t="s">
        <v>93</v>
      </c>
      <c r="E51" s="105">
        <v>1.17</v>
      </c>
    </row>
    <row r="52" spans="1:5" x14ac:dyDescent="0.2">
      <c r="A52" s="213">
        <v>200004</v>
      </c>
      <c r="B52" s="217" t="s">
        <v>115</v>
      </c>
      <c r="C52" s="216">
        <v>4615.3308168663589</v>
      </c>
      <c r="D52" s="216" t="s">
        <v>18</v>
      </c>
      <c r="E52" s="105">
        <v>0.7268</v>
      </c>
    </row>
    <row r="53" spans="1:5" x14ac:dyDescent="0.2">
      <c r="A53" s="213">
        <v>88314</v>
      </c>
      <c r="B53" s="217" t="s">
        <v>116</v>
      </c>
      <c r="C53" s="216">
        <v>22.84</v>
      </c>
      <c r="D53" s="216" t="s">
        <v>93</v>
      </c>
      <c r="E53" s="105">
        <v>1.17</v>
      </c>
    </row>
    <row r="54" spans="1:5" x14ac:dyDescent="0.2">
      <c r="A54" s="213">
        <v>101450</v>
      </c>
      <c r="B54" s="217" t="s">
        <v>116</v>
      </c>
      <c r="C54" s="216">
        <v>4088.81</v>
      </c>
      <c r="D54" s="216" t="s">
        <v>18</v>
      </c>
      <c r="E54" s="105">
        <v>0.7268</v>
      </c>
    </row>
    <row r="55" spans="1:5" x14ac:dyDescent="0.2">
      <c r="A55" s="213">
        <v>88269</v>
      </c>
      <c r="B55" s="217" t="s">
        <v>117</v>
      </c>
      <c r="C55" s="216">
        <v>31.16</v>
      </c>
      <c r="D55" s="216" t="s">
        <v>93</v>
      </c>
      <c r="E55" s="105">
        <v>1.17</v>
      </c>
    </row>
    <row r="56" spans="1:5" x14ac:dyDescent="0.2">
      <c r="A56" s="213">
        <v>101407</v>
      </c>
      <c r="B56" s="217" t="s">
        <v>117</v>
      </c>
      <c r="C56" s="216">
        <v>5553.45</v>
      </c>
      <c r="D56" s="216" t="s">
        <v>18</v>
      </c>
      <c r="E56" s="105">
        <v>0.7268</v>
      </c>
    </row>
    <row r="57" spans="1:5" x14ac:dyDescent="0.2">
      <c r="A57" s="213">
        <v>88245</v>
      </c>
      <c r="B57" s="217" t="s">
        <v>118</v>
      </c>
      <c r="C57" s="216">
        <v>32.31</v>
      </c>
      <c r="D57" s="216" t="s">
        <v>93</v>
      </c>
      <c r="E57" s="105">
        <v>1.17</v>
      </c>
    </row>
    <row r="58" spans="1:5" x14ac:dyDescent="0.2">
      <c r="A58" s="213">
        <v>101381</v>
      </c>
      <c r="B58" s="217" t="s">
        <v>119</v>
      </c>
      <c r="C58" s="216">
        <v>5751.65</v>
      </c>
      <c r="D58" s="216" t="s">
        <v>18</v>
      </c>
      <c r="E58" s="105">
        <v>0.7268</v>
      </c>
    </row>
    <row r="59" spans="1:5" x14ac:dyDescent="0.2">
      <c r="A59" s="213">
        <v>88246</v>
      </c>
      <c r="B59" s="217" t="s">
        <v>120</v>
      </c>
      <c r="C59" s="216">
        <v>29.35</v>
      </c>
      <c r="D59" s="216" t="s">
        <v>93</v>
      </c>
      <c r="E59" s="105">
        <v>1.17</v>
      </c>
    </row>
    <row r="60" spans="1:5" x14ac:dyDescent="0.2">
      <c r="A60" s="213">
        <v>101382</v>
      </c>
      <c r="B60" s="217" t="s">
        <v>120</v>
      </c>
      <c r="C60" s="216">
        <v>5217.57</v>
      </c>
      <c r="D60" s="216" t="s">
        <v>18</v>
      </c>
      <c r="E60" s="105">
        <v>0.7268</v>
      </c>
    </row>
    <row r="61" spans="1:5" x14ac:dyDescent="0.2">
      <c r="A61" s="213">
        <v>88256</v>
      </c>
      <c r="B61" s="214" t="s">
        <v>121</v>
      </c>
      <c r="C61" s="216">
        <v>32.39</v>
      </c>
      <c r="D61" s="216" t="s">
        <v>93</v>
      </c>
      <c r="E61" s="105">
        <v>1.17</v>
      </c>
    </row>
    <row r="62" spans="1:5" x14ac:dyDescent="0.2">
      <c r="A62" s="213">
        <v>101391</v>
      </c>
      <c r="B62" s="214" t="s">
        <v>121</v>
      </c>
      <c r="C62" s="216">
        <v>5762.44</v>
      </c>
      <c r="D62" s="216" t="s">
        <v>18</v>
      </c>
      <c r="E62" s="105">
        <v>0.7268</v>
      </c>
    </row>
    <row r="63" spans="1:5" x14ac:dyDescent="0.2">
      <c r="A63" s="213">
        <v>88260</v>
      </c>
      <c r="B63" s="214" t="s">
        <v>122</v>
      </c>
      <c r="C63" s="216">
        <v>28.61</v>
      </c>
      <c r="D63" s="216" t="s">
        <v>93</v>
      </c>
      <c r="E63" s="105">
        <v>1.17</v>
      </c>
    </row>
    <row r="64" spans="1:5" x14ac:dyDescent="0.2">
      <c r="A64" s="213">
        <v>101394</v>
      </c>
      <c r="B64" s="214" t="s">
        <v>122</v>
      </c>
      <c r="C64" s="216">
        <v>5109.95</v>
      </c>
      <c r="D64" s="216" t="s">
        <v>18</v>
      </c>
      <c r="E64" s="105">
        <v>0.7268</v>
      </c>
    </row>
    <row r="65" spans="1:5" x14ac:dyDescent="0.2">
      <c r="A65" s="213">
        <v>88261</v>
      </c>
      <c r="B65" s="214" t="s">
        <v>123</v>
      </c>
      <c r="C65" s="216">
        <v>30.78</v>
      </c>
      <c r="D65" s="216" t="s">
        <v>93</v>
      </c>
      <c r="E65" s="105">
        <v>1.17</v>
      </c>
    </row>
    <row r="66" spans="1:5" x14ac:dyDescent="0.2">
      <c r="A66" s="213">
        <v>101396</v>
      </c>
      <c r="B66" s="214" t="s">
        <v>123</v>
      </c>
      <c r="C66" s="216">
        <v>5479.56</v>
      </c>
      <c r="D66" s="216" t="s">
        <v>18</v>
      </c>
      <c r="E66" s="105">
        <v>0.7268</v>
      </c>
    </row>
    <row r="67" spans="1:5" x14ac:dyDescent="0.2">
      <c r="A67" s="213">
        <v>88262</v>
      </c>
      <c r="B67" s="217" t="s">
        <v>124</v>
      </c>
      <c r="C67" s="216">
        <v>32.130000000000003</v>
      </c>
      <c r="D67" s="216" t="s">
        <v>93</v>
      </c>
      <c r="E67" s="105">
        <v>1.17</v>
      </c>
    </row>
    <row r="68" spans="1:5" x14ac:dyDescent="0.2">
      <c r="A68" s="213">
        <v>101397</v>
      </c>
      <c r="B68" s="217" t="s">
        <v>124</v>
      </c>
      <c r="C68" s="216">
        <v>5718.38</v>
      </c>
      <c r="D68" s="216" t="s">
        <v>18</v>
      </c>
      <c r="E68" s="105">
        <v>0.7268</v>
      </c>
    </row>
    <row r="69" spans="1:5" x14ac:dyDescent="0.2">
      <c r="A69" s="213">
        <v>88264</v>
      </c>
      <c r="B69" s="217" t="s">
        <v>125</v>
      </c>
      <c r="C69" s="216">
        <v>32.950000000000003</v>
      </c>
      <c r="D69" s="216" t="s">
        <v>93</v>
      </c>
      <c r="E69" s="105">
        <v>1.17</v>
      </c>
    </row>
    <row r="70" spans="1:5" x14ac:dyDescent="0.2">
      <c r="A70" s="213">
        <v>101399</v>
      </c>
      <c r="B70" s="217" t="s">
        <v>125</v>
      </c>
      <c r="C70" s="216">
        <v>5834.3</v>
      </c>
      <c r="D70" s="216" t="s">
        <v>18</v>
      </c>
      <c r="E70" s="105">
        <v>0.7268</v>
      </c>
    </row>
    <row r="71" spans="1:5" x14ac:dyDescent="0.2">
      <c r="A71" s="213">
        <v>200015</v>
      </c>
      <c r="B71" s="34" t="s">
        <v>126</v>
      </c>
      <c r="C71" s="216">
        <v>34.414680000000004</v>
      </c>
      <c r="D71" s="216" t="s">
        <v>93</v>
      </c>
      <c r="E71" s="105">
        <v>1.17</v>
      </c>
    </row>
    <row r="72" spans="1:5" x14ac:dyDescent="0.2">
      <c r="A72" s="213">
        <v>200016</v>
      </c>
      <c r="B72" s="34" t="s">
        <v>126</v>
      </c>
      <c r="C72" s="216">
        <v>6111.3243839999996</v>
      </c>
      <c r="D72" s="216" t="s">
        <v>18</v>
      </c>
      <c r="E72" s="105">
        <v>0.7268</v>
      </c>
    </row>
    <row r="73" spans="1:5" x14ac:dyDescent="0.2">
      <c r="A73" s="213">
        <v>200017</v>
      </c>
      <c r="B73" s="34" t="s">
        <v>127</v>
      </c>
      <c r="C73" s="216">
        <v>36.981790000000004</v>
      </c>
      <c r="D73" s="216" t="s">
        <v>93</v>
      </c>
      <c r="E73" s="105">
        <v>1.17</v>
      </c>
    </row>
    <row r="74" spans="1:5" x14ac:dyDescent="0.2">
      <c r="A74" s="213">
        <v>200018</v>
      </c>
      <c r="B74" s="34" t="s">
        <v>127</v>
      </c>
      <c r="C74" s="216">
        <v>6560.7413520000009</v>
      </c>
      <c r="D74" s="216" t="s">
        <v>18</v>
      </c>
      <c r="E74" s="105">
        <v>0.7268</v>
      </c>
    </row>
    <row r="75" spans="1:5" x14ac:dyDescent="0.2">
      <c r="A75" s="213">
        <v>88267</v>
      </c>
      <c r="B75" s="217" t="s">
        <v>128</v>
      </c>
      <c r="C75" s="216">
        <v>31.79</v>
      </c>
      <c r="D75" s="216" t="s">
        <v>93</v>
      </c>
      <c r="E75" s="105">
        <v>1.17</v>
      </c>
    </row>
    <row r="76" spans="1:5" x14ac:dyDescent="0.2">
      <c r="A76" s="213">
        <v>101402</v>
      </c>
      <c r="B76" s="217" t="s">
        <v>128</v>
      </c>
      <c r="C76" s="216">
        <v>5643.83</v>
      </c>
      <c r="D76" s="216" t="s">
        <v>18</v>
      </c>
      <c r="E76" s="105">
        <v>0.7268</v>
      </c>
    </row>
    <row r="77" spans="1:5" x14ac:dyDescent="0.2">
      <c r="A77" s="213">
        <v>88441</v>
      </c>
      <c r="B77" s="214" t="s">
        <v>129</v>
      </c>
      <c r="C77" s="216">
        <v>26.16</v>
      </c>
      <c r="D77" s="216" t="s">
        <v>93</v>
      </c>
      <c r="E77" s="105">
        <v>1.17</v>
      </c>
    </row>
    <row r="78" spans="1:5" x14ac:dyDescent="0.2">
      <c r="A78" s="213">
        <v>101410</v>
      </c>
      <c r="B78" s="217" t="s">
        <v>129</v>
      </c>
      <c r="C78" s="216">
        <v>4686.67</v>
      </c>
      <c r="D78" s="216" t="s">
        <v>18</v>
      </c>
      <c r="E78" s="105">
        <v>0.7268</v>
      </c>
    </row>
    <row r="79" spans="1:5" x14ac:dyDescent="0.2">
      <c r="A79" s="213">
        <v>88284</v>
      </c>
      <c r="B79" s="217" t="s">
        <v>130</v>
      </c>
      <c r="C79" s="216">
        <v>29.06</v>
      </c>
      <c r="D79" s="216" t="s">
        <v>93</v>
      </c>
      <c r="E79" s="105">
        <v>1.17</v>
      </c>
    </row>
    <row r="80" spans="1:5" x14ac:dyDescent="0.2">
      <c r="A80" s="213">
        <v>101422</v>
      </c>
      <c r="B80" s="214" t="s">
        <v>130</v>
      </c>
      <c r="C80" s="216">
        <v>5173.95</v>
      </c>
      <c r="D80" s="216" t="s">
        <v>18</v>
      </c>
      <c r="E80" s="105">
        <v>0.7268</v>
      </c>
    </row>
    <row r="81" spans="1:5" x14ac:dyDescent="0.2">
      <c r="A81" s="213">
        <v>88282</v>
      </c>
      <c r="B81" s="214" t="s">
        <v>131</v>
      </c>
      <c r="C81" s="216">
        <v>27.2</v>
      </c>
      <c r="D81" s="216" t="s">
        <v>93</v>
      </c>
      <c r="E81" s="105">
        <v>1.17</v>
      </c>
    </row>
    <row r="82" spans="1:5" ht="12.75" customHeight="1" x14ac:dyDescent="0.2">
      <c r="A82" s="213">
        <v>93558</v>
      </c>
      <c r="B82" s="214" t="s">
        <v>131</v>
      </c>
      <c r="C82" s="216">
        <v>4849.26</v>
      </c>
      <c r="D82" s="216" t="s">
        <v>18</v>
      </c>
      <c r="E82" s="105">
        <v>0.7268</v>
      </c>
    </row>
    <row r="83" spans="1:5" ht="12.75" customHeight="1" x14ac:dyDescent="0.2">
      <c r="A83" s="213">
        <v>88285</v>
      </c>
      <c r="B83" s="214" t="s">
        <v>132</v>
      </c>
      <c r="C83" s="216">
        <v>29.89</v>
      </c>
      <c r="D83" s="216" t="s">
        <v>93</v>
      </c>
      <c r="E83" s="105">
        <v>1.17</v>
      </c>
    </row>
    <row r="84" spans="1:5" ht="12.75" customHeight="1" x14ac:dyDescent="0.2">
      <c r="A84" s="213">
        <v>200005</v>
      </c>
      <c r="B84" s="214" t="s">
        <v>133</v>
      </c>
      <c r="C84" s="216">
        <v>5299.4572935483866</v>
      </c>
      <c r="D84" s="216" t="s">
        <v>18</v>
      </c>
      <c r="E84" s="105">
        <v>0.7268</v>
      </c>
    </row>
    <row r="85" spans="1:5" x14ac:dyDescent="0.2">
      <c r="A85" s="213">
        <v>88283</v>
      </c>
      <c r="B85" s="214" t="s">
        <v>134</v>
      </c>
      <c r="C85" s="216">
        <v>34.08</v>
      </c>
      <c r="D85" s="216" t="s">
        <v>93</v>
      </c>
      <c r="E85" s="105">
        <v>1.17</v>
      </c>
    </row>
    <row r="86" spans="1:5" x14ac:dyDescent="0.2">
      <c r="A86" s="213">
        <v>101421</v>
      </c>
      <c r="B86" s="214" t="s">
        <v>134</v>
      </c>
      <c r="C86" s="216">
        <v>6053.29</v>
      </c>
      <c r="D86" s="216" t="s">
        <v>18</v>
      </c>
      <c r="E86" s="105">
        <v>0.7268</v>
      </c>
    </row>
    <row r="87" spans="1:5" x14ac:dyDescent="0.2">
      <c r="A87" s="213">
        <v>88286</v>
      </c>
      <c r="B87" s="214" t="s">
        <v>135</v>
      </c>
      <c r="C87" s="216">
        <v>30.78</v>
      </c>
      <c r="D87" s="216" t="s">
        <v>93</v>
      </c>
      <c r="E87" s="105">
        <v>1.17</v>
      </c>
    </row>
    <row r="88" spans="1:5" x14ac:dyDescent="0.2">
      <c r="A88" s="213">
        <v>101424</v>
      </c>
      <c r="B88" s="214" t="s">
        <v>135</v>
      </c>
      <c r="C88" s="216">
        <v>5462.92</v>
      </c>
      <c r="D88" s="216" t="s">
        <v>18</v>
      </c>
      <c r="E88" s="105">
        <v>0.7268</v>
      </c>
    </row>
    <row r="89" spans="1:5" x14ac:dyDescent="0.2">
      <c r="A89" s="213">
        <v>88302</v>
      </c>
      <c r="B89" s="214" t="s">
        <v>136</v>
      </c>
      <c r="C89" s="216">
        <v>30.67</v>
      </c>
      <c r="D89" s="216" t="s">
        <v>93</v>
      </c>
      <c r="E89" s="105">
        <v>1.17</v>
      </c>
    </row>
    <row r="90" spans="1:5" x14ac:dyDescent="0.2">
      <c r="A90" s="213">
        <v>101440</v>
      </c>
      <c r="B90" s="214" t="s">
        <v>136</v>
      </c>
      <c r="C90" s="216">
        <v>5452.83</v>
      </c>
      <c r="D90" s="216" t="s">
        <v>18</v>
      </c>
      <c r="E90" s="105">
        <v>0.7268</v>
      </c>
    </row>
    <row r="91" spans="1:5" x14ac:dyDescent="0.2">
      <c r="A91" s="213">
        <v>200011</v>
      </c>
      <c r="B91" s="214" t="s">
        <v>137</v>
      </c>
      <c r="C91" s="216">
        <v>27.331399999999999</v>
      </c>
      <c r="D91" s="216" t="s">
        <v>93</v>
      </c>
      <c r="E91" s="105">
        <v>1.17</v>
      </c>
    </row>
    <row r="92" spans="1:5" ht="12.75" customHeight="1" x14ac:dyDescent="0.2">
      <c r="A92" s="213">
        <v>200012</v>
      </c>
      <c r="B92" s="217" t="s">
        <v>137</v>
      </c>
      <c r="C92" s="216">
        <v>4852.51242</v>
      </c>
      <c r="D92" s="216" t="s">
        <v>18</v>
      </c>
      <c r="E92" s="105">
        <v>0.7268</v>
      </c>
    </row>
    <row r="93" spans="1:5" ht="12.75" customHeight="1" x14ac:dyDescent="0.2">
      <c r="A93" s="213">
        <v>88293</v>
      </c>
      <c r="B93" s="217" t="s">
        <v>138</v>
      </c>
      <c r="C93" s="216">
        <v>29.53</v>
      </c>
      <c r="D93" s="216" t="s">
        <v>93</v>
      </c>
      <c r="E93" s="105">
        <v>1.17</v>
      </c>
    </row>
    <row r="94" spans="1:5" x14ac:dyDescent="0.2">
      <c r="A94" s="213">
        <v>101430</v>
      </c>
      <c r="B94" s="217" t="s">
        <v>138</v>
      </c>
      <c r="C94" s="216">
        <v>5253.17</v>
      </c>
      <c r="D94" s="216" t="s">
        <v>18</v>
      </c>
      <c r="E94" s="105">
        <v>0.7268</v>
      </c>
    </row>
    <row r="95" spans="1:5" x14ac:dyDescent="0.2">
      <c r="A95" s="213">
        <v>88294</v>
      </c>
      <c r="B95" s="217" t="s">
        <v>139</v>
      </c>
      <c r="C95" s="216">
        <v>31.81</v>
      </c>
      <c r="D95" s="216" t="s">
        <v>93</v>
      </c>
      <c r="E95" s="105">
        <v>1.17</v>
      </c>
    </row>
    <row r="96" spans="1:5" x14ac:dyDescent="0.2">
      <c r="A96" s="213">
        <v>101431</v>
      </c>
      <c r="B96" s="214" t="s">
        <v>139</v>
      </c>
      <c r="C96" s="216">
        <v>5645.41</v>
      </c>
      <c r="D96" s="216" t="s">
        <v>18</v>
      </c>
      <c r="E96" s="105">
        <v>0.7268</v>
      </c>
    </row>
    <row r="97" spans="1:5" x14ac:dyDescent="0.2">
      <c r="A97" s="213">
        <v>200006</v>
      </c>
      <c r="B97" s="217" t="s">
        <v>140</v>
      </c>
      <c r="C97" s="216">
        <v>31.684799999999999</v>
      </c>
      <c r="D97" s="216" t="s">
        <v>93</v>
      </c>
      <c r="E97" s="105">
        <v>1.17</v>
      </c>
    </row>
    <row r="98" spans="1:5" x14ac:dyDescent="0.2">
      <c r="A98" s="213">
        <v>200007</v>
      </c>
      <c r="B98" s="217" t="s">
        <v>140</v>
      </c>
      <c r="C98" s="216">
        <v>5614.3556399999998</v>
      </c>
      <c r="D98" s="216" t="s">
        <v>18</v>
      </c>
      <c r="E98" s="105">
        <v>0.7268</v>
      </c>
    </row>
    <row r="99" spans="1:5" x14ac:dyDescent="0.2">
      <c r="A99" s="213">
        <v>88302</v>
      </c>
      <c r="B99" s="217" t="s">
        <v>141</v>
      </c>
      <c r="C99" s="216">
        <v>30.67</v>
      </c>
      <c r="D99" s="216" t="s">
        <v>93</v>
      </c>
      <c r="E99" s="105">
        <v>1.17</v>
      </c>
    </row>
    <row r="100" spans="1:5" ht="12.75" customHeight="1" x14ac:dyDescent="0.2">
      <c r="A100" s="213">
        <v>101440</v>
      </c>
      <c r="B100" s="217" t="s">
        <v>141</v>
      </c>
      <c r="C100" s="216">
        <v>5452.83</v>
      </c>
      <c r="D100" s="216" t="s">
        <v>18</v>
      </c>
      <c r="E100" s="105">
        <v>0.7268</v>
      </c>
    </row>
    <row r="101" spans="1:5" ht="12.75" customHeight="1" x14ac:dyDescent="0.2">
      <c r="A101" s="213">
        <v>200008</v>
      </c>
      <c r="B101" s="217" t="s">
        <v>142</v>
      </c>
      <c r="C101" s="216">
        <v>25.565399999999997</v>
      </c>
      <c r="D101" s="216" t="s">
        <v>93</v>
      </c>
      <c r="E101" s="105">
        <v>1.17</v>
      </c>
    </row>
    <row r="102" spans="1:5" x14ac:dyDescent="0.2">
      <c r="A102" s="213">
        <v>200009</v>
      </c>
      <c r="B102" s="217" t="s">
        <v>142</v>
      </c>
      <c r="C102" s="216">
        <v>4543.0489199999993</v>
      </c>
      <c r="D102" s="216" t="s">
        <v>18</v>
      </c>
      <c r="E102" s="105">
        <v>0.7268</v>
      </c>
    </row>
    <row r="103" spans="1:5" x14ac:dyDescent="0.2">
      <c r="A103" s="213">
        <v>88300</v>
      </c>
      <c r="B103" s="217" t="s">
        <v>143</v>
      </c>
      <c r="C103" s="216">
        <v>35.200000000000003</v>
      </c>
      <c r="D103" s="216" t="s">
        <v>93</v>
      </c>
      <c r="E103" s="105">
        <v>1.17</v>
      </c>
    </row>
    <row r="104" spans="1:5" x14ac:dyDescent="0.2">
      <c r="A104" s="213">
        <v>101438</v>
      </c>
      <c r="B104" s="217" t="s">
        <v>143</v>
      </c>
      <c r="C104" s="216">
        <v>6242.44</v>
      </c>
      <c r="D104" s="216" t="s">
        <v>18</v>
      </c>
      <c r="E104" s="105">
        <v>0.7268</v>
      </c>
    </row>
    <row r="105" spans="1:5" x14ac:dyDescent="0.2">
      <c r="A105" s="213">
        <v>88301</v>
      </c>
      <c r="B105" s="217" t="s">
        <v>144</v>
      </c>
      <c r="C105" s="216">
        <v>30.26</v>
      </c>
      <c r="D105" s="216" t="s">
        <v>93</v>
      </c>
      <c r="E105" s="105">
        <v>1.17</v>
      </c>
    </row>
    <row r="106" spans="1:5" x14ac:dyDescent="0.2">
      <c r="A106" s="213">
        <v>101439</v>
      </c>
      <c r="B106" s="217" t="s">
        <v>145</v>
      </c>
      <c r="C106" s="216">
        <v>5379.39</v>
      </c>
      <c r="D106" s="216" t="s">
        <v>18</v>
      </c>
      <c r="E106" s="105">
        <v>0.7268</v>
      </c>
    </row>
    <row r="107" spans="1:5" x14ac:dyDescent="0.2">
      <c r="A107" s="213">
        <v>88294</v>
      </c>
      <c r="B107" s="217" t="s">
        <v>146</v>
      </c>
      <c r="C107" s="216">
        <v>31.81</v>
      </c>
      <c r="D107" s="216" t="s">
        <v>93</v>
      </c>
      <c r="E107" s="105">
        <v>1.17</v>
      </c>
    </row>
    <row r="108" spans="1:5" ht="12.75" customHeight="1" x14ac:dyDescent="0.2">
      <c r="A108" s="213">
        <v>101431</v>
      </c>
      <c r="B108" s="217" t="s">
        <v>146</v>
      </c>
      <c r="C108" s="216">
        <v>5645.41</v>
      </c>
      <c r="D108" s="216" t="s">
        <v>18</v>
      </c>
      <c r="E108" s="105">
        <v>0.7268</v>
      </c>
    </row>
    <row r="109" spans="1:5" ht="12.75" customHeight="1" x14ac:dyDescent="0.2">
      <c r="A109" s="213">
        <v>88303</v>
      </c>
      <c r="B109" s="217" t="s">
        <v>147</v>
      </c>
      <c r="C109" s="216">
        <v>27.59</v>
      </c>
      <c r="D109" s="216" t="s">
        <v>93</v>
      </c>
      <c r="E109" s="105">
        <v>1.17</v>
      </c>
    </row>
    <row r="110" spans="1:5" x14ac:dyDescent="0.2">
      <c r="A110" s="213">
        <v>101441</v>
      </c>
      <c r="B110" s="217" t="s">
        <v>147</v>
      </c>
      <c r="C110" s="216">
        <v>4914.9399999999996</v>
      </c>
      <c r="D110" s="216" t="s">
        <v>18</v>
      </c>
      <c r="E110" s="105">
        <v>0.7268</v>
      </c>
    </row>
    <row r="111" spans="1:5" x14ac:dyDescent="0.2">
      <c r="A111" s="213">
        <v>88324</v>
      </c>
      <c r="B111" s="217" t="s">
        <v>148</v>
      </c>
      <c r="C111" s="216">
        <v>33.17</v>
      </c>
      <c r="D111" s="216" t="s">
        <v>93</v>
      </c>
      <c r="E111" s="105">
        <v>1.17</v>
      </c>
    </row>
    <row r="112" spans="1:5" x14ac:dyDescent="0.2">
      <c r="A112" s="213">
        <v>101442</v>
      </c>
      <c r="B112" s="217" t="s">
        <v>148</v>
      </c>
      <c r="C112" s="216">
        <v>5885.8</v>
      </c>
      <c r="D112" s="216" t="s">
        <v>18</v>
      </c>
      <c r="E112" s="105">
        <v>0.7268</v>
      </c>
    </row>
    <row r="113" spans="1:5" x14ac:dyDescent="0.2">
      <c r="A113" s="213">
        <v>200010</v>
      </c>
      <c r="B113" s="217" t="s">
        <v>149</v>
      </c>
      <c r="C113" s="216">
        <v>25.595399999999998</v>
      </c>
      <c r="D113" s="216" t="s">
        <v>93</v>
      </c>
      <c r="E113" s="105">
        <v>1.17</v>
      </c>
    </row>
    <row r="114" spans="1:5" x14ac:dyDescent="0.2">
      <c r="A114" s="213">
        <v>101435</v>
      </c>
      <c r="B114" s="217" t="s">
        <v>150</v>
      </c>
      <c r="C114" s="216">
        <v>5573.87</v>
      </c>
      <c r="D114" s="216" t="s">
        <v>18</v>
      </c>
      <c r="E114" s="105">
        <v>0.7268</v>
      </c>
    </row>
    <row r="115" spans="1:5" x14ac:dyDescent="0.2">
      <c r="A115" s="213">
        <v>88304</v>
      </c>
      <c r="B115" s="217" t="s">
        <v>151</v>
      </c>
      <c r="C115" s="216">
        <v>27.27</v>
      </c>
      <c r="D115" s="216" t="s">
        <v>93</v>
      </c>
      <c r="E115" s="105">
        <v>1.17</v>
      </c>
    </row>
    <row r="116" spans="1:5" ht="12.75" customHeight="1" x14ac:dyDescent="0.2">
      <c r="A116" s="213">
        <v>101443</v>
      </c>
      <c r="B116" s="217" t="s">
        <v>151</v>
      </c>
      <c r="C116" s="216">
        <v>4860.6499999999996</v>
      </c>
      <c r="D116" s="216" t="s">
        <v>18</v>
      </c>
      <c r="E116" s="105">
        <v>0.7268</v>
      </c>
    </row>
    <row r="117" spans="1:5" ht="12.75" customHeight="1" x14ac:dyDescent="0.2">
      <c r="A117" s="213">
        <v>88298</v>
      </c>
      <c r="B117" s="217" t="s">
        <v>152</v>
      </c>
      <c r="C117" s="216">
        <v>26.49</v>
      </c>
      <c r="D117" s="216" t="s">
        <v>93</v>
      </c>
      <c r="E117" s="105">
        <v>1.17</v>
      </c>
    </row>
    <row r="118" spans="1:5" x14ac:dyDescent="0.2">
      <c r="A118" s="213">
        <v>101436</v>
      </c>
      <c r="B118" s="217" t="s">
        <v>152</v>
      </c>
      <c r="C118" s="216">
        <v>4723.05</v>
      </c>
      <c r="D118" s="216" t="s">
        <v>18</v>
      </c>
      <c r="E118" s="105">
        <v>0.7268</v>
      </c>
    </row>
    <row r="119" spans="1:5" x14ac:dyDescent="0.2">
      <c r="A119" s="213">
        <v>200013</v>
      </c>
      <c r="B119" s="217" t="s">
        <v>153</v>
      </c>
      <c r="C119" s="216">
        <v>27.301399999999997</v>
      </c>
      <c r="D119" s="216" t="s">
        <v>93</v>
      </c>
      <c r="E119" s="105">
        <v>1.17</v>
      </c>
    </row>
    <row r="120" spans="1:5" x14ac:dyDescent="0.2">
      <c r="A120" s="213">
        <v>200014</v>
      </c>
      <c r="B120" s="217" t="s">
        <v>153</v>
      </c>
      <c r="C120" s="216">
        <v>4846.9657200000001</v>
      </c>
      <c r="D120" s="216" t="s">
        <v>18</v>
      </c>
      <c r="E120" s="105">
        <v>0.7268</v>
      </c>
    </row>
    <row r="121" spans="1:5" x14ac:dyDescent="0.2">
      <c r="A121" s="213">
        <v>88309</v>
      </c>
      <c r="B121" s="217" t="s">
        <v>154</v>
      </c>
      <c r="C121" s="216">
        <v>32.549999999999997</v>
      </c>
      <c r="D121" s="216" t="s">
        <v>93</v>
      </c>
      <c r="E121" s="105">
        <v>1.17</v>
      </c>
    </row>
    <row r="122" spans="1:5" x14ac:dyDescent="0.2">
      <c r="A122" s="213">
        <v>101445</v>
      </c>
      <c r="B122" s="217" t="s">
        <v>155</v>
      </c>
      <c r="C122" s="216">
        <v>5783.96</v>
      </c>
      <c r="D122" s="216" t="s">
        <v>18</v>
      </c>
      <c r="E122" s="105">
        <v>0.7268</v>
      </c>
    </row>
    <row r="123" spans="1:5" x14ac:dyDescent="0.2">
      <c r="A123" s="213">
        <v>88310</v>
      </c>
      <c r="B123" s="217" t="s">
        <v>156</v>
      </c>
      <c r="C123" s="216">
        <v>33.74</v>
      </c>
      <c r="D123" s="216" t="s">
        <v>93</v>
      </c>
      <c r="E123" s="105">
        <v>1.17</v>
      </c>
    </row>
    <row r="124" spans="1:5" x14ac:dyDescent="0.2">
      <c r="A124" s="213">
        <v>101446</v>
      </c>
      <c r="B124" s="217" t="s">
        <v>156</v>
      </c>
      <c r="C124" s="216">
        <v>6014.94</v>
      </c>
      <c r="D124" s="216" t="s">
        <v>18</v>
      </c>
      <c r="E124" s="105">
        <v>0.7268</v>
      </c>
    </row>
    <row r="125" spans="1:5" x14ac:dyDescent="0.2">
      <c r="A125" s="213">
        <v>88315</v>
      </c>
      <c r="B125" s="218" t="s">
        <v>157</v>
      </c>
      <c r="C125" s="216">
        <v>32.31</v>
      </c>
      <c r="D125" s="216" t="s">
        <v>93</v>
      </c>
      <c r="E125" s="105">
        <v>1.17</v>
      </c>
    </row>
    <row r="126" spans="1:5" x14ac:dyDescent="0.2">
      <c r="A126" s="213">
        <v>101451</v>
      </c>
      <c r="B126" s="218" t="s">
        <v>157</v>
      </c>
      <c r="C126" s="216">
        <v>5751.65</v>
      </c>
      <c r="D126" s="216" t="s">
        <v>18</v>
      </c>
      <c r="E126" s="105">
        <v>0.7268</v>
      </c>
    </row>
    <row r="127" spans="1:5" x14ac:dyDescent="0.2">
      <c r="A127" s="213">
        <v>88317</v>
      </c>
      <c r="B127" s="217" t="s">
        <v>158</v>
      </c>
      <c r="C127" s="216">
        <v>33.83</v>
      </c>
      <c r="D127" s="216" t="s">
        <v>93</v>
      </c>
      <c r="E127" s="105">
        <v>1.17</v>
      </c>
    </row>
    <row r="128" spans="1:5" x14ac:dyDescent="0.2">
      <c r="A128" s="213">
        <v>101453</v>
      </c>
      <c r="B128" s="217" t="s">
        <v>158</v>
      </c>
      <c r="C128" s="216">
        <v>6029.29</v>
      </c>
      <c r="D128" s="216" t="s">
        <v>18</v>
      </c>
      <c r="E128" s="105">
        <v>0.7268</v>
      </c>
    </row>
    <row r="129" spans="1:5" x14ac:dyDescent="0.2">
      <c r="A129" s="213">
        <v>88323</v>
      </c>
      <c r="B129" s="217" t="s">
        <v>159</v>
      </c>
      <c r="C129" s="216">
        <v>31.81</v>
      </c>
      <c r="D129" s="216" t="s">
        <v>93</v>
      </c>
      <c r="E129" s="105">
        <v>1.17</v>
      </c>
    </row>
    <row r="130" spans="1:5" x14ac:dyDescent="0.2">
      <c r="A130" s="213">
        <v>101458</v>
      </c>
      <c r="B130" s="217" t="s">
        <v>159</v>
      </c>
      <c r="C130" s="216">
        <v>5667.66</v>
      </c>
      <c r="D130" s="216" t="s">
        <v>18</v>
      </c>
      <c r="E130" s="105">
        <v>0.7268</v>
      </c>
    </row>
    <row r="131" spans="1:5" x14ac:dyDescent="0.2">
      <c r="A131" s="213">
        <v>90781</v>
      </c>
      <c r="B131" s="217" t="s">
        <v>160</v>
      </c>
      <c r="C131" s="216">
        <v>26.32</v>
      </c>
      <c r="D131" s="216" t="s">
        <v>93</v>
      </c>
      <c r="E131" s="105">
        <v>1.17</v>
      </c>
    </row>
    <row r="132" spans="1:5" x14ac:dyDescent="0.2">
      <c r="A132" s="213">
        <v>94296</v>
      </c>
      <c r="B132" s="217" t="s">
        <v>160</v>
      </c>
      <c r="C132" s="216">
        <v>4626.34</v>
      </c>
      <c r="D132" s="216" t="s">
        <v>18</v>
      </c>
      <c r="E132" s="105">
        <v>0.7268</v>
      </c>
    </row>
    <row r="133" spans="1:5" x14ac:dyDescent="0.2">
      <c r="A133" s="213">
        <v>88325</v>
      </c>
      <c r="B133" s="217" t="s">
        <v>161</v>
      </c>
      <c r="C133" s="216">
        <v>32.729999999999997</v>
      </c>
      <c r="D133" s="216" t="s">
        <v>93</v>
      </c>
      <c r="E133" s="105">
        <v>1.17</v>
      </c>
    </row>
    <row r="134" spans="1:5" x14ac:dyDescent="0.2">
      <c r="A134" s="213">
        <v>101459</v>
      </c>
      <c r="B134" s="217" t="s">
        <v>161</v>
      </c>
      <c r="C134" s="216">
        <v>5827.46</v>
      </c>
      <c r="D134" s="216" t="s">
        <v>18</v>
      </c>
      <c r="E134" s="105">
        <v>0.7268</v>
      </c>
    </row>
    <row r="135" spans="1:5" x14ac:dyDescent="0.2">
      <c r="A135" s="213">
        <v>200027</v>
      </c>
      <c r="B135" s="34" t="s">
        <v>162</v>
      </c>
      <c r="C135" s="216">
        <v>40.113100000000003</v>
      </c>
      <c r="D135" s="216" t="s">
        <v>93</v>
      </c>
      <c r="E135" s="105">
        <v>1.17</v>
      </c>
    </row>
    <row r="136" spans="1:5" x14ac:dyDescent="0.2">
      <c r="A136" s="213">
        <v>200028</v>
      </c>
      <c r="B136" s="34" t="s">
        <v>162</v>
      </c>
      <c r="C136" s="216">
        <v>7108.9312800000007</v>
      </c>
      <c r="D136" s="216" t="s">
        <v>18</v>
      </c>
      <c r="E136" s="105">
        <v>0.7268</v>
      </c>
    </row>
    <row r="137" spans="1:5" x14ac:dyDescent="0.2">
      <c r="A137" s="213">
        <v>200019</v>
      </c>
      <c r="B137" s="34" t="s">
        <v>163</v>
      </c>
      <c r="C137" s="216">
        <v>47.532330000000009</v>
      </c>
      <c r="D137" s="216" t="s">
        <v>93</v>
      </c>
      <c r="E137" s="105">
        <v>1.17</v>
      </c>
    </row>
    <row r="138" spans="1:5" ht="12.75" customHeight="1" x14ac:dyDescent="0.2">
      <c r="A138" s="213">
        <v>200020</v>
      </c>
      <c r="B138" s="34" t="s">
        <v>163</v>
      </c>
      <c r="C138" s="216">
        <v>8407.7957040000001</v>
      </c>
      <c r="D138" s="216" t="s">
        <v>18</v>
      </c>
      <c r="E138" s="105">
        <v>0.7268</v>
      </c>
    </row>
    <row r="139" spans="1:5" ht="12.75" customHeight="1" x14ac:dyDescent="0.2">
      <c r="A139" s="213">
        <v>200021</v>
      </c>
      <c r="B139" s="32" t="s">
        <v>164</v>
      </c>
      <c r="C139" s="216">
        <v>49.817340000000002</v>
      </c>
      <c r="D139" s="216" t="s">
        <v>93</v>
      </c>
      <c r="E139" s="105">
        <v>1.17</v>
      </c>
    </row>
    <row r="140" spans="1:5" x14ac:dyDescent="0.2">
      <c r="A140" s="213">
        <v>200022</v>
      </c>
      <c r="B140" s="32" t="s">
        <v>164</v>
      </c>
      <c r="C140" s="216">
        <v>8807.8261920000004</v>
      </c>
      <c r="D140" s="216" t="s">
        <v>18</v>
      </c>
      <c r="E140" s="105">
        <v>0.7268</v>
      </c>
    </row>
    <row r="141" spans="1:5" x14ac:dyDescent="0.2">
      <c r="A141" s="213">
        <v>90776</v>
      </c>
      <c r="B141" s="217" t="s">
        <v>165</v>
      </c>
      <c r="C141" s="216">
        <v>39.9</v>
      </c>
      <c r="D141" s="216" t="s">
        <v>93</v>
      </c>
      <c r="E141" s="105">
        <v>1.17</v>
      </c>
    </row>
    <row r="142" spans="1:5" x14ac:dyDescent="0.2">
      <c r="A142" s="213">
        <v>93572</v>
      </c>
      <c r="B142" s="214" t="s">
        <v>165</v>
      </c>
      <c r="C142" s="216">
        <v>6987.63</v>
      </c>
      <c r="D142" s="216" t="s">
        <v>18</v>
      </c>
      <c r="E142" s="105">
        <v>0.7268</v>
      </c>
    </row>
    <row r="143" spans="1:5" x14ac:dyDescent="0.2">
      <c r="A143" s="213">
        <v>200023</v>
      </c>
      <c r="B143" s="217" t="s">
        <v>166</v>
      </c>
      <c r="C143" s="216">
        <v>46.376669999999997</v>
      </c>
      <c r="D143" s="216" t="s">
        <v>93</v>
      </c>
      <c r="E143" s="105">
        <v>1.17</v>
      </c>
    </row>
    <row r="144" spans="1:5" x14ac:dyDescent="0.2">
      <c r="A144" s="213">
        <v>200024</v>
      </c>
      <c r="B144" s="217" t="s">
        <v>166</v>
      </c>
      <c r="C144" s="216">
        <v>8151.4524959999999</v>
      </c>
      <c r="D144" s="216" t="s">
        <v>18</v>
      </c>
      <c r="E144" s="105">
        <v>0.7268</v>
      </c>
    </row>
    <row r="145" spans="1:5" x14ac:dyDescent="0.2">
      <c r="A145" s="213">
        <v>200029</v>
      </c>
      <c r="B145" s="217" t="s">
        <v>167</v>
      </c>
      <c r="C145" s="216">
        <v>37.992399999999996</v>
      </c>
      <c r="D145" s="216" t="s">
        <v>93</v>
      </c>
      <c r="E145" s="105">
        <v>1.17</v>
      </c>
    </row>
    <row r="146" spans="1:5" ht="12.75" customHeight="1" x14ac:dyDescent="0.2">
      <c r="A146" s="213">
        <v>200030</v>
      </c>
      <c r="B146" s="217" t="s">
        <v>167</v>
      </c>
      <c r="C146" s="216">
        <v>6689.3383199999989</v>
      </c>
      <c r="D146" s="216" t="s">
        <v>18</v>
      </c>
      <c r="E146" s="105">
        <v>0.7268</v>
      </c>
    </row>
    <row r="147" spans="1:5" ht="12.75" customHeight="1" x14ac:dyDescent="0.2">
      <c r="A147" s="213">
        <v>90780</v>
      </c>
      <c r="B147" s="217" t="s">
        <v>168</v>
      </c>
      <c r="C147" s="216">
        <v>66.569999999999993</v>
      </c>
      <c r="D147" s="216" t="s">
        <v>93</v>
      </c>
      <c r="E147" s="105">
        <v>1.17</v>
      </c>
    </row>
    <row r="148" spans="1:5" x14ac:dyDescent="0.2">
      <c r="A148" s="213">
        <v>94295</v>
      </c>
      <c r="B148" s="217" t="s">
        <v>168</v>
      </c>
      <c r="C148" s="216">
        <v>11631.63</v>
      </c>
      <c r="D148" s="216" t="s">
        <v>18</v>
      </c>
      <c r="E148" s="105">
        <v>0.7268</v>
      </c>
    </row>
    <row r="149" spans="1:5" x14ac:dyDescent="0.2">
      <c r="A149" s="213">
        <v>90769</v>
      </c>
      <c r="B149" s="214" t="s">
        <v>169</v>
      </c>
      <c r="C149" s="216">
        <v>117.21</v>
      </c>
      <c r="D149" s="216" t="s">
        <v>93</v>
      </c>
      <c r="E149" s="105">
        <v>1.17</v>
      </c>
    </row>
    <row r="150" spans="1:5" x14ac:dyDescent="0.2">
      <c r="A150" s="213">
        <v>93570</v>
      </c>
      <c r="B150" s="214" t="s">
        <v>169</v>
      </c>
      <c r="C150" s="216">
        <v>20506.55</v>
      </c>
      <c r="D150" s="216" t="s">
        <v>18</v>
      </c>
      <c r="E150" s="105">
        <v>0.7268</v>
      </c>
    </row>
    <row r="151" spans="1:5" s="58" customFormat="1" x14ac:dyDescent="0.2">
      <c r="A151" s="213">
        <v>90777</v>
      </c>
      <c r="B151" s="214" t="s">
        <v>170</v>
      </c>
      <c r="C151" s="216">
        <v>112.79</v>
      </c>
      <c r="D151" s="216" t="s">
        <v>93</v>
      </c>
      <c r="E151" s="105">
        <v>1.17</v>
      </c>
    </row>
    <row r="152" spans="1:5" s="58" customFormat="1" x14ac:dyDescent="0.2">
      <c r="A152" s="213">
        <v>93565</v>
      </c>
      <c r="B152" s="214" t="s">
        <v>170</v>
      </c>
      <c r="C152" s="216">
        <v>19699.849999999999</v>
      </c>
      <c r="D152" s="216" t="s">
        <v>18</v>
      </c>
      <c r="E152" s="105">
        <v>0.7268</v>
      </c>
    </row>
    <row r="153" spans="1:5" s="58" customFormat="1" x14ac:dyDescent="0.2">
      <c r="A153" s="213">
        <v>90778</v>
      </c>
      <c r="B153" s="214" t="s">
        <v>171</v>
      </c>
      <c r="C153" s="216">
        <v>128.1</v>
      </c>
      <c r="D153" s="216" t="s">
        <v>93</v>
      </c>
      <c r="E153" s="105">
        <v>1.17</v>
      </c>
    </row>
    <row r="154" spans="1:5" s="58" customFormat="1" x14ac:dyDescent="0.2">
      <c r="A154" s="213">
        <v>93567</v>
      </c>
      <c r="B154" s="214" t="s">
        <v>171</v>
      </c>
      <c r="C154" s="216">
        <v>22372.12</v>
      </c>
      <c r="D154" s="216" t="s">
        <v>18</v>
      </c>
      <c r="E154" s="105">
        <v>0.7268</v>
      </c>
    </row>
    <row r="155" spans="1:5" s="58" customFormat="1" x14ac:dyDescent="0.2">
      <c r="A155" s="213">
        <v>90779</v>
      </c>
      <c r="B155" s="214" t="s">
        <v>172</v>
      </c>
      <c r="C155" s="216">
        <v>174.4</v>
      </c>
      <c r="D155" s="216" t="s">
        <v>93</v>
      </c>
      <c r="E155" s="105">
        <v>1.17</v>
      </c>
    </row>
    <row r="156" spans="1:5" s="58" customFormat="1" x14ac:dyDescent="0.2">
      <c r="A156" s="213">
        <v>93568</v>
      </c>
      <c r="B156" s="214" t="s">
        <v>172</v>
      </c>
      <c r="C156" s="216">
        <v>30448.34</v>
      </c>
      <c r="D156" s="216" t="s">
        <v>18</v>
      </c>
      <c r="E156" s="105">
        <v>0.7268</v>
      </c>
    </row>
    <row r="157" spans="1:5" x14ac:dyDescent="0.2">
      <c r="A157" s="213">
        <v>91677</v>
      </c>
      <c r="B157" s="34" t="s">
        <v>173</v>
      </c>
      <c r="C157" s="216">
        <v>113.39</v>
      </c>
      <c r="D157" s="216" t="s">
        <v>93</v>
      </c>
      <c r="E157" s="105">
        <v>1.17</v>
      </c>
    </row>
    <row r="158" spans="1:5" x14ac:dyDescent="0.2">
      <c r="A158" s="213">
        <v>101404</v>
      </c>
      <c r="B158" s="34" t="s">
        <v>173</v>
      </c>
      <c r="C158" s="216">
        <v>19713.64</v>
      </c>
      <c r="D158" s="216" t="s">
        <v>18</v>
      </c>
      <c r="E158" s="105">
        <v>0.7268</v>
      </c>
    </row>
    <row r="159" spans="1:5" x14ac:dyDescent="0.2">
      <c r="A159" s="213">
        <v>200031</v>
      </c>
      <c r="B159" s="217" t="s">
        <v>174</v>
      </c>
      <c r="C159" s="216">
        <v>53.885776545454547</v>
      </c>
      <c r="D159" s="216" t="s">
        <v>93</v>
      </c>
      <c r="E159" s="105">
        <v>1.17</v>
      </c>
    </row>
    <row r="160" spans="1:5" x14ac:dyDescent="0.2">
      <c r="A160" s="213">
        <v>200032</v>
      </c>
      <c r="B160" s="217" t="s">
        <v>174</v>
      </c>
      <c r="C160" s="216">
        <v>9459.3719136</v>
      </c>
      <c r="D160" s="216" t="s">
        <v>18</v>
      </c>
      <c r="E160" s="105">
        <v>0.7268</v>
      </c>
    </row>
    <row r="161" spans="1:5" x14ac:dyDescent="0.2">
      <c r="A161" s="213">
        <v>88321</v>
      </c>
      <c r="B161" s="217" t="s">
        <v>175</v>
      </c>
      <c r="C161" s="216">
        <v>37.64</v>
      </c>
      <c r="D161" s="216" t="s">
        <v>93</v>
      </c>
      <c r="E161" s="105">
        <v>1.17</v>
      </c>
    </row>
    <row r="162" spans="1:5" x14ac:dyDescent="0.2">
      <c r="A162" s="213">
        <v>101456</v>
      </c>
      <c r="B162" s="217" t="s">
        <v>175</v>
      </c>
      <c r="C162" s="216">
        <v>6606.06</v>
      </c>
      <c r="D162" s="216" t="s">
        <v>18</v>
      </c>
      <c r="E162" s="105">
        <v>0.7268</v>
      </c>
    </row>
    <row r="163" spans="1:5" ht="12.75" customHeight="1" x14ac:dyDescent="0.2">
      <c r="A163" s="213">
        <v>88322</v>
      </c>
      <c r="B163" s="217" t="s">
        <v>176</v>
      </c>
      <c r="C163" s="216">
        <v>28.08</v>
      </c>
      <c r="D163" s="216" t="s">
        <v>93</v>
      </c>
      <c r="E163" s="105">
        <v>1.17</v>
      </c>
    </row>
    <row r="164" spans="1:5" x14ac:dyDescent="0.2">
      <c r="A164" s="213">
        <v>101457</v>
      </c>
      <c r="B164" s="217" t="s">
        <v>176</v>
      </c>
      <c r="C164" s="216">
        <v>5806.91</v>
      </c>
      <c r="D164" s="216" t="s">
        <v>18</v>
      </c>
      <c r="E164" s="105">
        <v>0.7268</v>
      </c>
    </row>
    <row r="165" spans="1:5" x14ac:dyDescent="0.2">
      <c r="A165" s="213">
        <v>100309</v>
      </c>
      <c r="B165" s="217" t="s">
        <v>177</v>
      </c>
      <c r="C165" s="216">
        <v>34.86</v>
      </c>
      <c r="D165" s="216" t="s">
        <v>93</v>
      </c>
      <c r="E165" s="105">
        <v>1.17</v>
      </c>
    </row>
    <row r="166" spans="1:5" x14ac:dyDescent="0.2">
      <c r="A166" s="213">
        <v>100321</v>
      </c>
      <c r="B166" s="217" t="s">
        <v>177</v>
      </c>
      <c r="C166" s="216">
        <v>6105.99</v>
      </c>
      <c r="D166" s="216" t="s">
        <v>18</v>
      </c>
      <c r="E166" s="105">
        <v>0.7268</v>
      </c>
    </row>
    <row r="167" spans="1:5" x14ac:dyDescent="0.2">
      <c r="A167" s="213">
        <v>88278</v>
      </c>
      <c r="B167" s="217" t="s">
        <v>178</v>
      </c>
      <c r="C167" s="216">
        <v>29.7</v>
      </c>
      <c r="D167" s="216" t="s">
        <v>93</v>
      </c>
      <c r="E167" s="105">
        <v>1.17</v>
      </c>
    </row>
    <row r="168" spans="1:5" x14ac:dyDescent="0.2">
      <c r="A168" s="213">
        <v>101418</v>
      </c>
      <c r="B168" s="217" t="s">
        <v>178</v>
      </c>
      <c r="C168" s="216">
        <v>5277.44</v>
      </c>
      <c r="D168" s="216" t="s">
        <v>18</v>
      </c>
      <c r="E168" s="105">
        <v>0.7268</v>
      </c>
    </row>
    <row r="169" spans="1:5" x14ac:dyDescent="0.2">
      <c r="A169" s="213"/>
      <c r="B169" s="217"/>
      <c r="C169" s="216"/>
      <c r="D169" s="216"/>
      <c r="E169" s="105"/>
    </row>
    <row r="170" spans="1:5" x14ac:dyDescent="0.2">
      <c r="A170" s="213"/>
      <c r="B170" s="217"/>
      <c r="C170" s="219"/>
      <c r="D170" s="219"/>
      <c r="E170" s="33"/>
    </row>
    <row r="171" spans="1:5" x14ac:dyDescent="0.2">
      <c r="A171" s="213"/>
      <c r="B171" s="214"/>
      <c r="C171" s="220"/>
      <c r="D171" s="220"/>
      <c r="E171" s="33"/>
    </row>
    <row r="172" spans="1:5" x14ac:dyDescent="0.2">
      <c r="A172" s="213"/>
      <c r="B172" s="214"/>
      <c r="C172" s="220"/>
      <c r="D172" s="220"/>
      <c r="E172" s="33"/>
    </row>
    <row r="173" spans="1:5" x14ac:dyDescent="0.2">
      <c r="B173" s="93"/>
      <c r="C173" s="221"/>
      <c r="D173" s="221"/>
    </row>
    <row r="174" spans="1:5" x14ac:dyDescent="0.2">
      <c r="B174" s="93"/>
      <c r="C174" s="93"/>
      <c r="D174" s="93"/>
    </row>
    <row r="175" spans="1:5" x14ac:dyDescent="0.2">
      <c r="B175" s="93"/>
      <c r="C175" s="93"/>
      <c r="D175" s="93"/>
    </row>
    <row r="176" spans="1:5" x14ac:dyDescent="0.2">
      <c r="B176" s="93"/>
      <c r="C176" s="93"/>
      <c r="D176" s="93"/>
    </row>
  </sheetData>
  <autoFilter ref="A10:E172" xr:uid="{6482D807-BAA8-4A87-BA59-122AF6463AFD}"/>
  <mergeCells count="6">
    <mergeCell ref="C8:E8"/>
    <mergeCell ref="A2:A4"/>
    <mergeCell ref="B2:E2"/>
    <mergeCell ref="B3:E3"/>
    <mergeCell ref="B4:E4"/>
    <mergeCell ref="A6:E6"/>
  </mergeCells>
  <printOptions horizontalCentered="1"/>
  <pageMargins left="0.98425196850393704" right="0.19685039370078741" top="0.98425196850393704" bottom="0.98425196850393704" header="0.51181102362204722" footer="0.51181102362204722"/>
  <pageSetup orientation="portrait" horizontalDpi="300" verticalDpi="300" r:id="rId1"/>
  <headerFooter alignWithMargins="0">
    <oddFooter>Página &amp;P de &amp;N</oddFoot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841091-DFDE-46C4-B29C-8CC17CEDF785}">
  <sheetPr>
    <tabColor theme="9" tint="0.59999389629810485"/>
  </sheetPr>
  <dimension ref="A1:H135"/>
  <sheetViews>
    <sheetView workbookViewId="0"/>
  </sheetViews>
  <sheetFormatPr defaultColWidth="11.42578125" defaultRowHeight="12.75" x14ac:dyDescent="0.2"/>
  <cols>
    <col min="1" max="1" width="13" bestFit="1" customWidth="1"/>
    <col min="2" max="2" width="58.42578125" customWidth="1"/>
    <col min="3" max="3" width="10.5703125" bestFit="1" customWidth="1"/>
    <col min="4" max="4" width="9.5703125" customWidth="1"/>
  </cols>
  <sheetData>
    <row r="1" spans="1:4" ht="11.25" customHeight="1" thickBot="1" x14ac:dyDescent="0.3">
      <c r="B1" s="204"/>
      <c r="C1" s="103"/>
      <c r="D1" s="103"/>
    </row>
    <row r="2" spans="1:4" ht="14.25" customHeight="1" x14ac:dyDescent="0.2">
      <c r="A2" s="963"/>
      <c r="B2" s="975" t="s">
        <v>85</v>
      </c>
      <c r="C2" s="976"/>
      <c r="D2" s="977"/>
    </row>
    <row r="3" spans="1:4" ht="16.5" customHeight="1" x14ac:dyDescent="0.2">
      <c r="A3" s="964"/>
      <c r="B3" s="978" t="s">
        <v>86</v>
      </c>
      <c r="C3" s="946"/>
      <c r="D3" s="947"/>
    </row>
    <row r="4" spans="1:4" ht="14.25" customHeight="1" thickBot="1" x14ac:dyDescent="0.25">
      <c r="A4" s="965"/>
      <c r="B4" s="979" t="s">
        <v>1635</v>
      </c>
      <c r="C4" s="980"/>
      <c r="D4" s="981"/>
    </row>
    <row r="5" spans="1:4" ht="9" customHeight="1" thickBot="1" x14ac:dyDescent="0.25">
      <c r="A5" s="222"/>
      <c r="B5" s="205"/>
      <c r="C5" s="205"/>
      <c r="D5" s="205"/>
    </row>
    <row r="6" spans="1:4" ht="13.5" thickBot="1" x14ac:dyDescent="0.25">
      <c r="A6" s="982" t="s">
        <v>1387</v>
      </c>
      <c r="B6" s="983"/>
      <c r="C6" s="983"/>
      <c r="D6" s="984"/>
    </row>
    <row r="7" spans="1:4" ht="9" customHeight="1" thickBot="1" x14ac:dyDescent="0.25">
      <c r="A7" s="222"/>
      <c r="B7" s="205"/>
      <c r="C7" s="205"/>
      <c r="D7" s="205"/>
    </row>
    <row r="8" spans="1:4" ht="12.75" customHeight="1" thickBot="1" x14ac:dyDescent="0.25">
      <c r="A8" s="206" t="s">
        <v>88</v>
      </c>
      <c r="B8" s="207" t="s">
        <v>1636</v>
      </c>
      <c r="C8" s="960" t="s">
        <v>1637</v>
      </c>
      <c r="D8" s="962"/>
    </row>
    <row r="9" spans="1:4" ht="12" customHeight="1" thickBot="1" x14ac:dyDescent="0.25">
      <c r="A9" s="223"/>
      <c r="B9" s="205"/>
      <c r="C9" s="960" t="s">
        <v>1638</v>
      </c>
      <c r="D9" s="962"/>
    </row>
    <row r="10" spans="1:4" ht="12" customHeight="1" x14ac:dyDescent="0.2">
      <c r="A10" s="224"/>
      <c r="B10" s="205"/>
      <c r="C10" s="205"/>
      <c r="D10" s="205"/>
    </row>
    <row r="11" spans="1:4" s="208" customFormat="1" ht="9" customHeight="1" thickBot="1" x14ac:dyDescent="0.3">
      <c r="A11" s="225"/>
      <c r="B11" s="209"/>
    </row>
    <row r="12" spans="1:4" s="58" customFormat="1" ht="43.5" customHeight="1" x14ac:dyDescent="0.2">
      <c r="A12" s="226" t="s">
        <v>28</v>
      </c>
      <c r="B12" s="227" t="s">
        <v>1388</v>
      </c>
      <c r="C12" s="228" t="s">
        <v>1389</v>
      </c>
      <c r="D12" s="229" t="s">
        <v>1390</v>
      </c>
    </row>
    <row r="13" spans="1:4" x14ac:dyDescent="0.2">
      <c r="A13" s="230" t="s">
        <v>1391</v>
      </c>
      <c r="B13" s="231" t="s">
        <v>1392</v>
      </c>
      <c r="C13" s="232">
        <v>4.34</v>
      </c>
      <c r="D13" s="233">
        <v>1.38</v>
      </c>
    </row>
    <row r="14" spans="1:4" x14ac:dyDescent="0.2">
      <c r="A14" s="230" t="s">
        <v>1393</v>
      </c>
      <c r="B14" s="231" t="s">
        <v>1394</v>
      </c>
      <c r="C14" s="232">
        <v>5.04</v>
      </c>
      <c r="D14" s="233">
        <v>0.45</v>
      </c>
    </row>
    <row r="15" spans="1:4" x14ac:dyDescent="0.2">
      <c r="A15" s="234" t="s">
        <v>1395</v>
      </c>
      <c r="B15" s="235" t="s">
        <v>1396</v>
      </c>
      <c r="C15" s="232">
        <v>1.46</v>
      </c>
      <c r="D15" s="233">
        <v>0.33</v>
      </c>
    </row>
    <row r="16" spans="1:4" x14ac:dyDescent="0.2">
      <c r="A16" s="230" t="s">
        <v>1397</v>
      </c>
      <c r="B16" s="231" t="s">
        <v>1398</v>
      </c>
      <c r="C16" s="232">
        <v>48.642899999999997</v>
      </c>
      <c r="D16" s="233">
        <v>31.0791</v>
      </c>
    </row>
    <row r="17" spans="1:5" x14ac:dyDescent="0.2">
      <c r="A17" s="236" t="s">
        <v>1399</v>
      </c>
      <c r="B17" s="237" t="s">
        <v>1400</v>
      </c>
      <c r="C17" s="232">
        <v>22.419699999999999</v>
      </c>
      <c r="D17" s="233">
        <v>13.5154</v>
      </c>
    </row>
    <row r="18" spans="1:5" x14ac:dyDescent="0.2">
      <c r="A18" s="236" t="s">
        <v>1401</v>
      </c>
      <c r="B18" s="237" t="s">
        <v>1402</v>
      </c>
      <c r="C18" s="232">
        <v>321.81</v>
      </c>
      <c r="D18" s="233">
        <v>80.44</v>
      </c>
      <c r="E18" s="238"/>
    </row>
    <row r="19" spans="1:5" x14ac:dyDescent="0.2">
      <c r="A19" s="236" t="s">
        <v>1403</v>
      </c>
      <c r="B19" s="237" t="s">
        <v>1404</v>
      </c>
      <c r="C19" s="232">
        <v>293.67039999999997</v>
      </c>
      <c r="D19" s="233">
        <v>86.513999999999996</v>
      </c>
      <c r="E19" s="238"/>
    </row>
    <row r="20" spans="1:5" x14ac:dyDescent="0.2">
      <c r="A20" s="236" t="s">
        <v>1405</v>
      </c>
      <c r="B20" s="237" t="s">
        <v>1406</v>
      </c>
      <c r="C20" s="232">
        <v>192.3115</v>
      </c>
      <c r="D20" s="233">
        <v>72.984399999999994</v>
      </c>
      <c r="E20" s="238"/>
    </row>
    <row r="21" spans="1:5" x14ac:dyDescent="0.2">
      <c r="A21" s="236" t="s">
        <v>1407</v>
      </c>
      <c r="B21" s="237" t="s">
        <v>1408</v>
      </c>
      <c r="C21" s="232">
        <v>277.98649999999998</v>
      </c>
      <c r="D21" s="233">
        <v>78.583699999999993</v>
      </c>
      <c r="E21" s="239"/>
    </row>
    <row r="22" spans="1:5" x14ac:dyDescent="0.2">
      <c r="A22" s="236" t="s">
        <v>1409</v>
      </c>
      <c r="B22" s="237" t="s">
        <v>1410</v>
      </c>
      <c r="C22" s="232">
        <v>152.6283</v>
      </c>
      <c r="D22" s="233">
        <v>58.993499999999997</v>
      </c>
      <c r="E22" s="240"/>
    </row>
    <row r="23" spans="1:5" x14ac:dyDescent="0.2">
      <c r="A23" s="236" t="s">
        <v>1411</v>
      </c>
      <c r="B23" s="237" t="s">
        <v>1412</v>
      </c>
      <c r="C23" s="232">
        <v>187.51490000000001</v>
      </c>
      <c r="D23" s="233">
        <v>70.646500000000003</v>
      </c>
      <c r="E23" s="238"/>
    </row>
    <row r="24" spans="1:5" ht="16.5" customHeight="1" x14ac:dyDescent="0.2">
      <c r="A24" s="236" t="s">
        <v>1413</v>
      </c>
      <c r="B24" s="237" t="s">
        <v>1414</v>
      </c>
      <c r="C24" s="232">
        <v>746.7722</v>
      </c>
      <c r="D24" s="233">
        <v>232.34</v>
      </c>
      <c r="E24" s="238"/>
    </row>
    <row r="25" spans="1:5" x14ac:dyDescent="0.2">
      <c r="A25" s="236" t="s">
        <v>1415</v>
      </c>
      <c r="B25" s="237" t="s">
        <v>1416</v>
      </c>
      <c r="C25" s="232">
        <v>263.6823</v>
      </c>
      <c r="D25" s="233">
        <v>73.077799999999996</v>
      </c>
      <c r="E25" s="238"/>
    </row>
    <row r="26" spans="1:5" ht="25.5" x14ac:dyDescent="0.2">
      <c r="A26" s="236" t="s">
        <v>1417</v>
      </c>
      <c r="B26" s="237" t="s">
        <v>1418</v>
      </c>
      <c r="C26" s="232">
        <v>319.3596</v>
      </c>
      <c r="D26" s="233">
        <v>116.7214</v>
      </c>
      <c r="E26" s="240"/>
    </row>
    <row r="27" spans="1:5" x14ac:dyDescent="0.2">
      <c r="A27" s="236" t="s">
        <v>1419</v>
      </c>
      <c r="B27" s="237" t="s">
        <v>1420</v>
      </c>
      <c r="C27" s="232">
        <v>342.55380000000002</v>
      </c>
      <c r="D27" s="233">
        <v>83.721900000000005</v>
      </c>
      <c r="E27" s="238"/>
    </row>
    <row r="28" spans="1:5" x14ac:dyDescent="0.2">
      <c r="A28" s="236" t="s">
        <v>1421</v>
      </c>
      <c r="B28" s="237" t="s">
        <v>1422</v>
      </c>
      <c r="C28" s="232">
        <v>200.2424</v>
      </c>
      <c r="D28" s="233">
        <v>96.063299999999998</v>
      </c>
      <c r="E28" s="238"/>
    </row>
    <row r="29" spans="1:5" x14ac:dyDescent="0.2">
      <c r="A29" s="236" t="s">
        <v>1423</v>
      </c>
      <c r="B29" s="237" t="s">
        <v>1424</v>
      </c>
      <c r="C29" s="232">
        <v>20.9817</v>
      </c>
      <c r="D29" s="233">
        <v>13.227</v>
      </c>
      <c r="E29" s="240"/>
    </row>
    <row r="30" spans="1:5" x14ac:dyDescent="0.2">
      <c r="A30" s="236" t="s">
        <v>1425</v>
      </c>
      <c r="B30" s="237" t="s">
        <v>1426</v>
      </c>
      <c r="C30" s="232">
        <v>4.8647999999999998</v>
      </c>
      <c r="D30" s="233">
        <v>0.79200000000000004</v>
      </c>
      <c r="E30" s="238"/>
    </row>
    <row r="31" spans="1:5" x14ac:dyDescent="0.2">
      <c r="A31" s="236" t="s">
        <v>1427</v>
      </c>
      <c r="B31" s="237" t="s">
        <v>1428</v>
      </c>
      <c r="C31" s="232">
        <v>125.2012</v>
      </c>
      <c r="D31" s="233">
        <v>24.595099999999999</v>
      </c>
      <c r="E31" s="238"/>
    </row>
    <row r="32" spans="1:5" x14ac:dyDescent="0.2">
      <c r="A32" s="236" t="s">
        <v>1429</v>
      </c>
      <c r="B32" s="237" t="s">
        <v>1430</v>
      </c>
      <c r="C32" s="232">
        <v>30.7727</v>
      </c>
      <c r="D32" s="233">
        <v>29.316400000000002</v>
      </c>
      <c r="E32" s="241"/>
    </row>
    <row r="33" spans="1:5" x14ac:dyDescent="0.2">
      <c r="A33" s="236" t="s">
        <v>1431</v>
      </c>
      <c r="B33" s="237" t="s">
        <v>1432</v>
      </c>
      <c r="C33" s="232">
        <v>13.542</v>
      </c>
      <c r="D33" s="233">
        <v>8.7202000000000002</v>
      </c>
      <c r="E33" s="238"/>
    </row>
    <row r="34" spans="1:5" x14ac:dyDescent="0.2">
      <c r="A34" s="236" t="s">
        <v>1433</v>
      </c>
      <c r="B34" s="237" t="s">
        <v>1434</v>
      </c>
      <c r="C34" s="232">
        <v>47.825400000000002</v>
      </c>
      <c r="D34" s="233">
        <v>41.661200000000001</v>
      </c>
      <c r="E34" s="238"/>
    </row>
    <row r="35" spans="1:5" x14ac:dyDescent="0.2">
      <c r="A35" s="236" t="s">
        <v>1435</v>
      </c>
      <c r="B35" s="237" t="s">
        <v>1436</v>
      </c>
      <c r="C35" s="232">
        <v>334.70440000000002</v>
      </c>
      <c r="D35" s="233">
        <v>150.39099999999999</v>
      </c>
    </row>
    <row r="36" spans="1:5" ht="25.5" x14ac:dyDescent="0.2">
      <c r="A36" s="236" t="s">
        <v>1437</v>
      </c>
      <c r="B36" s="237" t="s">
        <v>1438</v>
      </c>
      <c r="C36" s="232">
        <v>275.12369999999999</v>
      </c>
      <c r="D36" s="233">
        <v>75.138999999999996</v>
      </c>
    </row>
    <row r="37" spans="1:5" x14ac:dyDescent="0.2">
      <c r="A37" s="236" t="s">
        <v>1439</v>
      </c>
      <c r="B37" s="237" t="s">
        <v>1440</v>
      </c>
      <c r="C37" s="232">
        <v>4.5949</v>
      </c>
      <c r="D37" s="233">
        <v>3.1455000000000002</v>
      </c>
      <c r="E37" s="238"/>
    </row>
    <row r="38" spans="1:5" x14ac:dyDescent="0.2">
      <c r="A38" s="236" t="s">
        <v>1441</v>
      </c>
      <c r="B38" s="237" t="s">
        <v>1442</v>
      </c>
      <c r="C38" s="232">
        <v>584.17629999999997</v>
      </c>
      <c r="D38" s="233">
        <v>220.45949999999999</v>
      </c>
      <c r="E38" s="240"/>
    </row>
    <row r="39" spans="1:5" x14ac:dyDescent="0.2">
      <c r="A39" s="236" t="s">
        <v>1443</v>
      </c>
      <c r="B39" s="237" t="s">
        <v>1444</v>
      </c>
      <c r="C39" s="232">
        <v>0.2051</v>
      </c>
      <c r="D39" s="233">
        <v>0.1361</v>
      </c>
    </row>
    <row r="40" spans="1:5" x14ac:dyDescent="0.2">
      <c r="A40" s="236" t="s">
        <v>1445</v>
      </c>
      <c r="B40" s="237" t="s">
        <v>1446</v>
      </c>
      <c r="C40" s="232">
        <v>4.7762000000000002</v>
      </c>
      <c r="D40" s="233">
        <v>3.3260999999999998</v>
      </c>
    </row>
    <row r="41" spans="1:5" x14ac:dyDescent="0.2">
      <c r="A41" s="236" t="s">
        <v>1447</v>
      </c>
      <c r="B41" s="237" t="s">
        <v>1448</v>
      </c>
      <c r="C41" s="232">
        <v>8.5330999999999992</v>
      </c>
      <c r="D41" s="233">
        <v>5.4241000000000001</v>
      </c>
      <c r="E41" s="240"/>
    </row>
    <row r="42" spans="1:5" s="242" customFormat="1" x14ac:dyDescent="0.2">
      <c r="A42" s="236" t="s">
        <v>1449</v>
      </c>
      <c r="B42" s="237" t="s">
        <v>1450</v>
      </c>
      <c r="C42" s="232">
        <v>14.696</v>
      </c>
      <c r="D42" s="233">
        <v>9.3415999999999997</v>
      </c>
      <c r="E42"/>
    </row>
    <row r="43" spans="1:5" s="243" customFormat="1" x14ac:dyDescent="0.2">
      <c r="A43" s="236" t="s">
        <v>1451</v>
      </c>
      <c r="B43" s="237" t="s">
        <v>1452</v>
      </c>
      <c r="C43" s="232">
        <v>30.545100000000001</v>
      </c>
      <c r="D43" s="233">
        <v>29.190799999999999</v>
      </c>
      <c r="E43" s="238"/>
    </row>
    <row r="44" spans="1:5" s="243" customFormat="1" x14ac:dyDescent="0.2">
      <c r="A44" s="236" t="s">
        <v>1453</v>
      </c>
      <c r="B44" s="237" t="s">
        <v>1454</v>
      </c>
      <c r="C44" s="232">
        <v>18.86</v>
      </c>
      <c r="D44" s="233">
        <v>0.25</v>
      </c>
      <c r="E44" s="241"/>
    </row>
    <row r="45" spans="1:5" s="243" customFormat="1" x14ac:dyDescent="0.2">
      <c r="A45" s="236" t="s">
        <v>1455</v>
      </c>
      <c r="B45" s="237" t="s">
        <v>1456</v>
      </c>
      <c r="C45" s="232">
        <v>33.514200000000002</v>
      </c>
      <c r="D45" s="233">
        <v>28.826499999999999</v>
      </c>
    </row>
    <row r="46" spans="1:5" s="243" customFormat="1" x14ac:dyDescent="0.2">
      <c r="A46" s="236" t="s">
        <v>1457</v>
      </c>
      <c r="B46" s="237" t="s">
        <v>1458</v>
      </c>
      <c r="C46" s="232">
        <v>1.9216</v>
      </c>
      <c r="D46" s="233">
        <v>1.2746</v>
      </c>
    </row>
    <row r="47" spans="1:5" s="243" customFormat="1" x14ac:dyDescent="0.2">
      <c r="A47" s="236" t="s">
        <v>1459</v>
      </c>
      <c r="B47" s="237" t="s">
        <v>1460</v>
      </c>
      <c r="C47" s="232">
        <v>407.3175</v>
      </c>
      <c r="D47" s="233">
        <v>190.08070000000001</v>
      </c>
    </row>
    <row r="48" spans="1:5" x14ac:dyDescent="0.2">
      <c r="A48" s="236" t="s">
        <v>1461</v>
      </c>
      <c r="B48" s="237" t="s">
        <v>1462</v>
      </c>
      <c r="C48" s="232">
        <v>853.98059999999998</v>
      </c>
      <c r="D48" s="233">
        <v>338.56</v>
      </c>
    </row>
    <row r="49" spans="1:4" x14ac:dyDescent="0.2">
      <c r="A49" s="236" t="s">
        <v>1463</v>
      </c>
      <c r="B49" s="237" t="s">
        <v>1464</v>
      </c>
      <c r="C49" s="232">
        <v>1368.8195000000001</v>
      </c>
      <c r="D49" s="233">
        <v>417.60050000000001</v>
      </c>
    </row>
    <row r="50" spans="1:4" x14ac:dyDescent="0.2">
      <c r="A50" s="236" t="s">
        <v>1465</v>
      </c>
      <c r="B50" s="237" t="s">
        <v>1466</v>
      </c>
      <c r="C50" s="232">
        <v>7.1928999999999998</v>
      </c>
      <c r="D50" s="233">
        <v>0.53480000000000005</v>
      </c>
    </row>
    <row r="51" spans="1:4" x14ac:dyDescent="0.2">
      <c r="A51" s="236" t="s">
        <v>1467</v>
      </c>
      <c r="B51" s="237" t="s">
        <v>1468</v>
      </c>
      <c r="C51" s="232">
        <v>157.0994</v>
      </c>
      <c r="D51" s="233">
        <v>76.914299999999997</v>
      </c>
    </row>
    <row r="52" spans="1:4" x14ac:dyDescent="0.2">
      <c r="A52" s="236" t="s">
        <v>1469</v>
      </c>
      <c r="B52" s="237" t="s">
        <v>1470</v>
      </c>
      <c r="C52" s="232">
        <v>7.5355999999999996</v>
      </c>
      <c r="D52" s="233">
        <v>0.4516</v>
      </c>
    </row>
    <row r="53" spans="1:4" x14ac:dyDescent="0.2">
      <c r="A53" s="236" t="s">
        <v>1471</v>
      </c>
      <c r="B53" s="237" t="s">
        <v>1472</v>
      </c>
      <c r="C53" s="232">
        <v>190.2929</v>
      </c>
      <c r="D53" s="233">
        <v>77.153700000000001</v>
      </c>
    </row>
    <row r="54" spans="1:4" x14ac:dyDescent="0.2">
      <c r="A54" s="236" t="s">
        <v>1473</v>
      </c>
      <c r="B54" s="237" t="s">
        <v>1474</v>
      </c>
      <c r="C54" s="232">
        <v>100.1979</v>
      </c>
      <c r="D54" s="233">
        <v>54.012599999999999</v>
      </c>
    </row>
    <row r="55" spans="1:4" x14ac:dyDescent="0.2">
      <c r="A55" s="236" t="s">
        <v>1475</v>
      </c>
      <c r="B55" s="237" t="s">
        <v>1476</v>
      </c>
      <c r="C55" s="232">
        <v>238.4007</v>
      </c>
      <c r="D55" s="233">
        <v>110.9004</v>
      </c>
    </row>
    <row r="56" spans="1:4" x14ac:dyDescent="0.2">
      <c r="A56" s="236" t="s">
        <v>1477</v>
      </c>
      <c r="B56" s="237" t="s">
        <v>1478</v>
      </c>
      <c r="C56" s="232">
        <v>230.24</v>
      </c>
      <c r="D56" s="233">
        <v>82.77</v>
      </c>
    </row>
    <row r="57" spans="1:4" x14ac:dyDescent="0.2">
      <c r="A57" s="236" t="s">
        <v>1479</v>
      </c>
      <c r="B57" s="237" t="s">
        <v>1480</v>
      </c>
      <c r="C57" s="232">
        <v>203.90209999999999</v>
      </c>
      <c r="D57" s="233">
        <v>76.846000000000004</v>
      </c>
    </row>
    <row r="58" spans="1:4" x14ac:dyDescent="0.2">
      <c r="A58" s="236" t="s">
        <v>1481</v>
      </c>
      <c r="B58" s="237" t="s">
        <v>1482</v>
      </c>
      <c r="C58" s="232">
        <v>18.444299999999998</v>
      </c>
      <c r="D58" s="233">
        <v>1.7808999999999999</v>
      </c>
    </row>
    <row r="59" spans="1:4" x14ac:dyDescent="0.2">
      <c r="A59" s="236" t="s">
        <v>1483</v>
      </c>
      <c r="B59" s="237" t="s">
        <v>1484</v>
      </c>
      <c r="C59" s="232">
        <v>52.788499999999999</v>
      </c>
      <c r="D59" s="233">
        <v>36.058399999999999</v>
      </c>
    </row>
    <row r="60" spans="1:4" s="242" customFormat="1" x14ac:dyDescent="0.2">
      <c r="A60" s="236" t="s">
        <v>1485</v>
      </c>
      <c r="B60" s="237" t="s">
        <v>1486</v>
      </c>
      <c r="C60" s="232">
        <v>226.71860000000001</v>
      </c>
      <c r="D60" s="233">
        <v>89.429500000000004</v>
      </c>
    </row>
    <row r="61" spans="1:4" s="242" customFormat="1" x14ac:dyDescent="0.2">
      <c r="A61" s="236" t="s">
        <v>1487</v>
      </c>
      <c r="B61" s="237" t="s">
        <v>1488</v>
      </c>
      <c r="C61" s="232">
        <v>132.38640000000001</v>
      </c>
      <c r="D61" s="233">
        <v>41.195900000000002</v>
      </c>
    </row>
    <row r="62" spans="1:4" x14ac:dyDescent="0.2">
      <c r="A62" s="236" t="s">
        <v>1489</v>
      </c>
      <c r="B62" s="237" t="s">
        <v>1490</v>
      </c>
      <c r="C62" s="232">
        <v>1100.8624</v>
      </c>
      <c r="D62" s="233">
        <v>582.93730000000005</v>
      </c>
    </row>
    <row r="63" spans="1:4" x14ac:dyDescent="0.2">
      <c r="A63" s="236" t="s">
        <v>1491</v>
      </c>
      <c r="B63" s="237" t="s">
        <v>1492</v>
      </c>
      <c r="C63" s="232">
        <v>218.37729999999999</v>
      </c>
      <c r="D63" s="233">
        <v>143.5986</v>
      </c>
    </row>
    <row r="64" spans="1:4" x14ac:dyDescent="0.2">
      <c r="A64" s="236" t="s">
        <v>1493</v>
      </c>
      <c r="B64" s="237" t="s">
        <v>1494</v>
      </c>
      <c r="C64" s="232">
        <v>78.818600000000004</v>
      </c>
      <c r="D64" s="233">
        <v>41.500399999999999</v>
      </c>
    </row>
    <row r="65" spans="1:8" x14ac:dyDescent="0.2">
      <c r="A65" s="236" t="s">
        <v>1495</v>
      </c>
      <c r="B65" s="237" t="s">
        <v>1496</v>
      </c>
      <c r="C65" s="232">
        <v>10.6875</v>
      </c>
      <c r="D65" s="233">
        <v>6.8821000000000003</v>
      </c>
    </row>
    <row r="66" spans="1:8" x14ac:dyDescent="0.2">
      <c r="A66" s="236" t="s">
        <v>1497</v>
      </c>
      <c r="B66" s="237" t="s">
        <v>1498</v>
      </c>
      <c r="C66" s="232">
        <v>7.5255999999999998</v>
      </c>
      <c r="D66" s="233">
        <v>0.80430000000000001</v>
      </c>
    </row>
    <row r="67" spans="1:8" x14ac:dyDescent="0.2">
      <c r="A67" s="236" t="s">
        <v>1499</v>
      </c>
      <c r="B67" s="237" t="s">
        <v>1500</v>
      </c>
      <c r="C67" s="232">
        <v>1.18</v>
      </c>
      <c r="D67" s="233">
        <v>0.5</v>
      </c>
    </row>
    <row r="68" spans="1:8" x14ac:dyDescent="0.2">
      <c r="A68" s="230" t="s">
        <v>1501</v>
      </c>
      <c r="B68" s="237" t="s">
        <v>1502</v>
      </c>
      <c r="C68" s="232">
        <v>340.20530000000002</v>
      </c>
      <c r="D68" s="233">
        <v>151.10939999999999</v>
      </c>
    </row>
    <row r="69" spans="1:8" x14ac:dyDescent="0.2">
      <c r="A69" s="244" t="s">
        <v>1503</v>
      </c>
      <c r="B69" s="237" t="s">
        <v>1504</v>
      </c>
      <c r="C69" s="232">
        <v>6.1368</v>
      </c>
      <c r="D69" s="233">
        <v>0.84889999999999999</v>
      </c>
    </row>
    <row r="70" spans="1:8" x14ac:dyDescent="0.2">
      <c r="A70" s="236" t="s">
        <v>1505</v>
      </c>
      <c r="B70" s="237" t="s">
        <v>1506</v>
      </c>
      <c r="C70" s="232">
        <v>425.71100000000001</v>
      </c>
      <c r="D70" s="233">
        <v>125.6679</v>
      </c>
    </row>
    <row r="71" spans="1:8" ht="25.5" x14ac:dyDescent="0.2">
      <c r="A71" s="245" t="s">
        <v>1507</v>
      </c>
      <c r="B71" s="237" t="s">
        <v>1508</v>
      </c>
      <c r="C71" s="232">
        <v>414.83109999999999</v>
      </c>
      <c r="D71" s="233">
        <v>136.79689999999999</v>
      </c>
    </row>
    <row r="72" spans="1:8" ht="25.5" x14ac:dyDescent="0.2">
      <c r="A72" s="245" t="s">
        <v>1509</v>
      </c>
      <c r="B72" s="237" t="s">
        <v>1510</v>
      </c>
      <c r="C72" s="232">
        <v>162.85</v>
      </c>
      <c r="D72" s="233">
        <v>93.52</v>
      </c>
    </row>
    <row r="73" spans="1:8" ht="25.5" x14ac:dyDescent="0.2">
      <c r="A73" s="245" t="s">
        <v>1511</v>
      </c>
      <c r="B73" s="237" t="s">
        <v>1512</v>
      </c>
      <c r="C73" s="232">
        <v>7.97</v>
      </c>
      <c r="D73" s="233">
        <v>0.9</v>
      </c>
      <c r="E73" s="246"/>
      <c r="F73" s="106"/>
      <c r="G73" s="106"/>
      <c r="H73" s="106"/>
    </row>
    <row r="74" spans="1:8" x14ac:dyDescent="0.2">
      <c r="A74" s="245" t="s">
        <v>1513</v>
      </c>
      <c r="B74" s="237" t="s">
        <v>1514</v>
      </c>
      <c r="C74" s="232">
        <v>451.42</v>
      </c>
      <c r="D74" s="233">
        <v>87.76</v>
      </c>
      <c r="E74" s="246"/>
      <c r="F74" s="106"/>
      <c r="G74" s="106"/>
      <c r="H74" s="106"/>
    </row>
    <row r="75" spans="1:8" x14ac:dyDescent="0.2">
      <c r="A75" s="245" t="s">
        <v>1515</v>
      </c>
      <c r="B75" s="237" t="s">
        <v>1516</v>
      </c>
      <c r="C75" s="232">
        <v>392.99</v>
      </c>
      <c r="D75" s="233">
        <v>73.150000000000006</v>
      </c>
      <c r="E75" s="246"/>
      <c r="F75" s="106"/>
      <c r="G75" s="106"/>
      <c r="H75" s="106"/>
    </row>
    <row r="76" spans="1:8" x14ac:dyDescent="0.2">
      <c r="A76" s="245" t="s">
        <v>1517</v>
      </c>
      <c r="B76" s="237" t="s">
        <v>1518</v>
      </c>
      <c r="C76" s="232">
        <v>958.34010000000001</v>
      </c>
      <c r="D76" s="233">
        <v>456.74110000000002</v>
      </c>
      <c r="E76" s="246"/>
      <c r="F76" s="106"/>
      <c r="G76" s="106"/>
      <c r="H76" s="106"/>
    </row>
    <row r="77" spans="1:8" x14ac:dyDescent="0.2">
      <c r="A77" s="245" t="s">
        <v>1519</v>
      </c>
      <c r="B77" s="237" t="s">
        <v>1520</v>
      </c>
      <c r="C77" s="232">
        <v>393.42809999999997</v>
      </c>
      <c r="D77" s="233">
        <v>119.9389</v>
      </c>
      <c r="E77" s="246"/>
      <c r="F77" s="106"/>
      <c r="G77" s="106"/>
      <c r="H77" s="106"/>
    </row>
    <row r="78" spans="1:8" x14ac:dyDescent="0.2">
      <c r="A78" s="245" t="s">
        <v>1521</v>
      </c>
      <c r="B78" s="237" t="s">
        <v>1522</v>
      </c>
      <c r="C78" s="232">
        <v>1434.2918</v>
      </c>
      <c r="D78" s="233">
        <v>589.97149999999999</v>
      </c>
      <c r="E78" s="246"/>
      <c r="F78" s="106"/>
      <c r="G78" s="106"/>
      <c r="H78" s="106"/>
    </row>
    <row r="79" spans="1:8" ht="25.5" x14ac:dyDescent="0.2">
      <c r="A79" s="245" t="s">
        <v>1523</v>
      </c>
      <c r="B79" s="237" t="s">
        <v>1639</v>
      </c>
      <c r="C79" s="232">
        <v>790.56000000000006</v>
      </c>
      <c r="D79" s="233">
        <v>344.23</v>
      </c>
      <c r="E79" s="246"/>
      <c r="F79" s="106"/>
      <c r="G79" s="106"/>
      <c r="H79" s="106"/>
    </row>
    <row r="80" spans="1:8" ht="17.25" customHeight="1" x14ac:dyDescent="0.2">
      <c r="A80" s="245" t="s">
        <v>1525</v>
      </c>
      <c r="B80" s="237" t="s">
        <v>1526</v>
      </c>
      <c r="C80" s="232">
        <v>12.49</v>
      </c>
      <c r="D80" s="233">
        <v>4.29</v>
      </c>
      <c r="E80" s="246"/>
      <c r="F80" s="106"/>
      <c r="G80" s="106"/>
      <c r="H80" s="106"/>
    </row>
    <row r="81" spans="1:8" x14ac:dyDescent="0.2">
      <c r="A81" s="245" t="s">
        <v>1527</v>
      </c>
      <c r="B81" s="237" t="s">
        <v>1528</v>
      </c>
      <c r="C81" s="232">
        <v>28.535599999999999</v>
      </c>
      <c r="D81" s="233">
        <v>28.216200000000001</v>
      </c>
      <c r="E81" s="246"/>
      <c r="F81" s="106"/>
      <c r="G81" s="106"/>
      <c r="H81" s="106"/>
    </row>
    <row r="82" spans="1:8" x14ac:dyDescent="0.2">
      <c r="A82" s="245" t="s">
        <v>1529</v>
      </c>
      <c r="B82" s="237" t="s">
        <v>1530</v>
      </c>
      <c r="C82" s="232">
        <v>18.1904</v>
      </c>
      <c r="D82" s="233">
        <v>3.8348</v>
      </c>
      <c r="E82" s="246"/>
      <c r="F82" s="106"/>
      <c r="G82" s="106"/>
      <c r="H82" s="106"/>
    </row>
    <row r="83" spans="1:8" x14ac:dyDescent="0.2">
      <c r="A83" s="245" t="s">
        <v>1531</v>
      </c>
      <c r="B83" s="237" t="s">
        <v>1532</v>
      </c>
      <c r="C83" s="232">
        <v>0.1477</v>
      </c>
      <c r="D83" s="233">
        <v>8.1500000000000003E-2</v>
      </c>
      <c r="E83" s="246"/>
      <c r="F83" s="106"/>
      <c r="G83" s="107"/>
      <c r="H83" s="107"/>
    </row>
    <row r="84" spans="1:8" x14ac:dyDescent="0.2">
      <c r="A84" s="245" t="s">
        <v>1533</v>
      </c>
      <c r="B84" s="237" t="s">
        <v>1534</v>
      </c>
      <c r="C84" s="232">
        <v>238.72630000000001</v>
      </c>
      <c r="D84" s="233">
        <v>108.56950000000001</v>
      </c>
      <c r="E84" s="246"/>
      <c r="F84" s="106"/>
      <c r="G84" s="106"/>
      <c r="H84" s="106"/>
    </row>
    <row r="85" spans="1:8" x14ac:dyDescent="0.2">
      <c r="A85" s="245" t="s">
        <v>1535</v>
      </c>
      <c r="B85" s="237" t="s">
        <v>1536</v>
      </c>
      <c r="C85" s="232">
        <v>39.177599999999998</v>
      </c>
      <c r="D85" s="233">
        <v>3.6315</v>
      </c>
      <c r="E85" s="246"/>
      <c r="F85" s="106"/>
      <c r="G85" s="106"/>
    </row>
    <row r="86" spans="1:8" x14ac:dyDescent="0.2">
      <c r="A86" s="245" t="s">
        <v>1537</v>
      </c>
      <c r="B86" s="237" t="s">
        <v>1538</v>
      </c>
      <c r="C86" s="232">
        <v>111.5401</v>
      </c>
      <c r="D86" s="233">
        <v>81.214500000000001</v>
      </c>
      <c r="E86" s="246"/>
      <c r="F86" s="106"/>
      <c r="G86" s="106"/>
    </row>
    <row r="87" spans="1:8" x14ac:dyDescent="0.2">
      <c r="A87" s="245" t="s">
        <v>1539</v>
      </c>
      <c r="B87" s="237" t="s">
        <v>1540</v>
      </c>
      <c r="C87" s="232">
        <v>423.637</v>
      </c>
      <c r="D87" s="233">
        <v>206.61529999999999</v>
      </c>
      <c r="E87" s="246"/>
      <c r="F87" s="106"/>
      <c r="G87" s="106"/>
      <c r="H87" s="106"/>
    </row>
    <row r="88" spans="1:8" x14ac:dyDescent="0.2">
      <c r="A88" s="245" t="s">
        <v>1541</v>
      </c>
      <c r="B88" s="237" t="s">
        <v>1542</v>
      </c>
      <c r="C88" s="232">
        <v>610.97260000000006</v>
      </c>
      <c r="D88" s="233">
        <v>283.19720000000001</v>
      </c>
    </row>
    <row r="89" spans="1:8" x14ac:dyDescent="0.2">
      <c r="A89" s="245" t="s">
        <v>1543</v>
      </c>
      <c r="B89" s="237" t="s">
        <v>1544</v>
      </c>
      <c r="C89" s="232">
        <v>30.058199999999999</v>
      </c>
      <c r="D89" s="233">
        <v>29.005099999999999</v>
      </c>
      <c r="E89" s="246"/>
      <c r="F89" s="106"/>
      <c r="G89" s="106"/>
    </row>
    <row r="90" spans="1:8" x14ac:dyDescent="0.2">
      <c r="A90" s="245" t="s">
        <v>1545</v>
      </c>
      <c r="B90" s="237" t="s">
        <v>1546</v>
      </c>
      <c r="C90" s="247">
        <v>38.635969914491596</v>
      </c>
      <c r="D90" s="233">
        <v>35.304038072518694</v>
      </c>
      <c r="E90" s="246"/>
      <c r="F90" s="106"/>
      <c r="G90" s="106"/>
    </row>
    <row r="91" spans="1:8" x14ac:dyDescent="0.2">
      <c r="A91" s="245" t="s">
        <v>1547</v>
      </c>
      <c r="B91" s="237" t="s">
        <v>1548</v>
      </c>
      <c r="C91" s="232">
        <v>253.5591</v>
      </c>
      <c r="D91" s="233">
        <v>103.28270000000001</v>
      </c>
      <c r="E91" s="246"/>
      <c r="F91" s="106"/>
      <c r="G91" s="106"/>
    </row>
    <row r="92" spans="1:8" x14ac:dyDescent="0.2">
      <c r="A92" s="245" t="s">
        <v>1491</v>
      </c>
      <c r="B92" s="237" t="s">
        <v>1549</v>
      </c>
      <c r="C92" s="232">
        <v>218.37729999999999</v>
      </c>
      <c r="D92" s="233">
        <v>143.5986</v>
      </c>
      <c r="E92" s="246"/>
      <c r="F92" s="106"/>
      <c r="G92" s="106"/>
    </row>
    <row r="93" spans="1:8" x14ac:dyDescent="0.2">
      <c r="A93" s="245" t="s">
        <v>1445</v>
      </c>
      <c r="B93" s="237" t="s">
        <v>1550</v>
      </c>
      <c r="C93" s="232">
        <v>4.7762000000000002</v>
      </c>
      <c r="D93" s="233">
        <v>3.3260999999999998</v>
      </c>
      <c r="E93" s="246"/>
      <c r="F93" s="106"/>
      <c r="G93" s="106"/>
    </row>
    <row r="94" spans="1:8" ht="15.75" customHeight="1" x14ac:dyDescent="0.2">
      <c r="A94" s="245" t="s">
        <v>1551</v>
      </c>
      <c r="B94" s="237" t="s">
        <v>1552</v>
      </c>
      <c r="C94" s="232">
        <v>160.59</v>
      </c>
      <c r="D94" s="233">
        <v>64.47</v>
      </c>
      <c r="E94" s="246"/>
      <c r="F94" s="106"/>
      <c r="G94" s="106"/>
    </row>
    <row r="95" spans="1:8" x14ac:dyDescent="0.2">
      <c r="A95" s="245" t="s">
        <v>1483</v>
      </c>
      <c r="B95" s="237" t="s">
        <v>1553</v>
      </c>
      <c r="C95" s="232">
        <v>52.788499999999999</v>
      </c>
      <c r="D95" s="233">
        <v>36.058399999999999</v>
      </c>
      <c r="E95" s="246"/>
      <c r="F95" s="106"/>
      <c r="G95" s="106"/>
    </row>
    <row r="96" spans="1:8" x14ac:dyDescent="0.2">
      <c r="A96" s="245" t="s">
        <v>1554</v>
      </c>
      <c r="B96" s="237" t="s">
        <v>1555</v>
      </c>
      <c r="C96" s="232">
        <v>18.579999999999998</v>
      </c>
      <c r="D96" s="233">
        <v>4.83</v>
      </c>
      <c r="E96" s="246"/>
      <c r="F96" s="106"/>
      <c r="G96" s="106"/>
    </row>
    <row r="97" spans="1:7" x14ac:dyDescent="0.2">
      <c r="A97" s="245" t="s">
        <v>1556</v>
      </c>
      <c r="B97" s="237" t="s">
        <v>1557</v>
      </c>
      <c r="C97" s="232">
        <v>19.247499999999999</v>
      </c>
      <c r="D97" s="233">
        <v>10.7393</v>
      </c>
      <c r="E97" s="246"/>
      <c r="F97" s="106"/>
      <c r="G97" s="106"/>
    </row>
    <row r="98" spans="1:7" x14ac:dyDescent="0.2">
      <c r="A98" s="245" t="s">
        <v>1558</v>
      </c>
      <c r="B98" s="237" t="s">
        <v>1559</v>
      </c>
      <c r="C98" s="232">
        <v>0.87270000000000003</v>
      </c>
      <c r="D98" s="233">
        <v>0.48159999999999997</v>
      </c>
      <c r="E98" s="246"/>
      <c r="F98" s="106"/>
      <c r="G98" s="106"/>
    </row>
    <row r="99" spans="1:7" x14ac:dyDescent="0.2">
      <c r="A99" s="245" t="s">
        <v>1560</v>
      </c>
      <c r="B99" s="237" t="s">
        <v>1561</v>
      </c>
      <c r="C99" s="232">
        <v>385.97030000000001</v>
      </c>
      <c r="D99" s="233">
        <v>156.45949999999999</v>
      </c>
      <c r="E99" s="246"/>
      <c r="F99" s="106"/>
      <c r="G99" s="107"/>
    </row>
    <row r="100" spans="1:7" x14ac:dyDescent="0.2">
      <c r="A100" s="245" t="s">
        <v>1562</v>
      </c>
      <c r="B100" s="237" t="s">
        <v>1563</v>
      </c>
      <c r="C100" s="232">
        <v>533.20510000000002</v>
      </c>
      <c r="D100" s="233">
        <v>223.05629999999999</v>
      </c>
      <c r="E100" s="246"/>
      <c r="F100" s="106"/>
      <c r="G100" s="106"/>
    </row>
    <row r="101" spans="1:7" x14ac:dyDescent="0.2">
      <c r="A101" s="248" t="s">
        <v>1564</v>
      </c>
      <c r="B101" s="249" t="s">
        <v>1565</v>
      </c>
      <c r="C101" s="232">
        <v>241.44159999999999</v>
      </c>
      <c r="D101" s="233">
        <v>107.0347</v>
      </c>
      <c r="E101" s="246"/>
      <c r="F101" s="106"/>
      <c r="G101" s="106"/>
    </row>
    <row r="102" spans="1:7" ht="25.5" x14ac:dyDescent="0.2">
      <c r="A102" s="250" t="s">
        <v>1566</v>
      </c>
      <c r="B102" s="249" t="s">
        <v>1567</v>
      </c>
      <c r="C102" s="232">
        <v>2.54</v>
      </c>
      <c r="D102" s="233">
        <v>0.54</v>
      </c>
      <c r="E102" s="246"/>
      <c r="F102" s="106"/>
      <c r="G102" s="106"/>
    </row>
    <row r="103" spans="1:7" x14ac:dyDescent="0.2">
      <c r="A103" s="250" t="s">
        <v>1568</v>
      </c>
      <c r="B103" s="249" t="s">
        <v>1569</v>
      </c>
      <c r="C103" s="232">
        <v>436.19</v>
      </c>
      <c r="D103" s="233">
        <v>183.07</v>
      </c>
      <c r="E103" s="246"/>
      <c r="F103" s="106"/>
      <c r="G103" s="106"/>
    </row>
    <row r="104" spans="1:7" x14ac:dyDescent="0.2">
      <c r="A104" s="250" t="s">
        <v>1517</v>
      </c>
      <c r="B104" s="249" t="s">
        <v>1518</v>
      </c>
      <c r="C104" s="232">
        <v>958.34010000000001</v>
      </c>
      <c r="D104" s="233">
        <v>456.74110000000002</v>
      </c>
    </row>
    <row r="105" spans="1:7" ht="25.5" x14ac:dyDescent="0.2">
      <c r="A105" s="250" t="s">
        <v>1499</v>
      </c>
      <c r="B105" s="249" t="s">
        <v>1570</v>
      </c>
      <c r="C105" s="232">
        <v>1.18</v>
      </c>
      <c r="D105" s="233">
        <v>0.5</v>
      </c>
    </row>
    <row r="106" spans="1:7" ht="17.25" customHeight="1" x14ac:dyDescent="0.2">
      <c r="A106" s="250" t="s">
        <v>1571</v>
      </c>
      <c r="B106" s="251" t="s">
        <v>1572</v>
      </c>
      <c r="C106" s="232">
        <v>100.82</v>
      </c>
      <c r="D106" s="233">
        <v>44.17</v>
      </c>
    </row>
    <row r="107" spans="1:7" x14ac:dyDescent="0.2">
      <c r="A107" s="252" t="s">
        <v>1640</v>
      </c>
      <c r="B107" s="251" t="s">
        <v>1641</v>
      </c>
      <c r="C107" s="232">
        <v>0.20519999999999999</v>
      </c>
      <c r="D107" s="233">
        <v>0.1361</v>
      </c>
    </row>
    <row r="108" spans="1:7" x14ac:dyDescent="0.2">
      <c r="A108" s="252" t="s">
        <v>1642</v>
      </c>
      <c r="B108" s="251" t="s">
        <v>1574</v>
      </c>
      <c r="C108" s="232">
        <v>0.89000000000000012</v>
      </c>
      <c r="D108" s="233">
        <v>0.55000000000000004</v>
      </c>
    </row>
    <row r="109" spans="1:7" ht="15.75" customHeight="1" x14ac:dyDescent="0.2">
      <c r="A109" s="245" t="s">
        <v>1643</v>
      </c>
      <c r="B109" s="253" t="s">
        <v>1644</v>
      </c>
      <c r="C109" s="232">
        <v>346.6103</v>
      </c>
      <c r="D109" s="233">
        <v>144.0925</v>
      </c>
    </row>
    <row r="110" spans="1:7" x14ac:dyDescent="0.2">
      <c r="A110" s="236" t="s">
        <v>1576</v>
      </c>
      <c r="B110" s="237" t="s">
        <v>1428</v>
      </c>
      <c r="C110" s="232">
        <v>45.297400000000003</v>
      </c>
      <c r="D110" s="233">
        <v>10.1921</v>
      </c>
    </row>
    <row r="111" spans="1:7" x14ac:dyDescent="0.2">
      <c r="A111" s="245" t="s">
        <v>1577</v>
      </c>
      <c r="B111" s="237" t="s">
        <v>1578</v>
      </c>
      <c r="C111" s="232">
        <v>45.807600000000001</v>
      </c>
      <c r="D111" s="233">
        <v>32.811100000000003</v>
      </c>
    </row>
    <row r="112" spans="1:7" x14ac:dyDescent="0.2">
      <c r="A112" s="245" t="s">
        <v>1579</v>
      </c>
      <c r="B112" s="253" t="s">
        <v>1580</v>
      </c>
      <c r="C112" s="232">
        <v>24.9</v>
      </c>
      <c r="D112" s="233">
        <v>6.41</v>
      </c>
    </row>
    <row r="113" spans="1:4" ht="25.5" x14ac:dyDescent="0.2">
      <c r="A113" s="245" t="s">
        <v>1581</v>
      </c>
      <c r="B113" s="253" t="s">
        <v>1582</v>
      </c>
      <c r="C113" s="232">
        <v>41.541400000000003</v>
      </c>
      <c r="D113" s="233">
        <v>40.042000000000002</v>
      </c>
    </row>
    <row r="114" spans="1:4" x14ac:dyDescent="0.2">
      <c r="A114" s="245" t="s">
        <v>1583</v>
      </c>
      <c r="B114" s="253" t="s">
        <v>1584</v>
      </c>
      <c r="C114" s="232">
        <v>446.81349999999998</v>
      </c>
      <c r="D114" s="233">
        <v>124.7881</v>
      </c>
    </row>
    <row r="115" spans="1:4" x14ac:dyDescent="0.2">
      <c r="A115" s="245" t="s">
        <v>1585</v>
      </c>
      <c r="B115" s="253" t="s">
        <v>1586</v>
      </c>
      <c r="C115" s="232">
        <v>281.6995</v>
      </c>
      <c r="D115" s="233">
        <v>94.218699999999998</v>
      </c>
    </row>
    <row r="116" spans="1:4" x14ac:dyDescent="0.2">
      <c r="A116" s="245" t="s">
        <v>1587</v>
      </c>
      <c r="B116" s="253" t="s">
        <v>1588</v>
      </c>
      <c r="C116" s="232">
        <v>203.27600000000001</v>
      </c>
      <c r="D116" s="233">
        <v>107.5817</v>
      </c>
    </row>
    <row r="117" spans="1:4" x14ac:dyDescent="0.2">
      <c r="A117" s="245" t="s">
        <v>1589</v>
      </c>
      <c r="B117" s="253" t="s">
        <v>1590</v>
      </c>
      <c r="C117" s="232">
        <v>799.64390000000003</v>
      </c>
      <c r="D117" s="233">
        <v>416.94799999999998</v>
      </c>
    </row>
    <row r="118" spans="1:4" ht="25.5" x14ac:dyDescent="0.2">
      <c r="A118" s="254" t="s">
        <v>1591</v>
      </c>
      <c r="B118" s="251" t="s">
        <v>1592</v>
      </c>
      <c r="C118" s="232">
        <v>30.96</v>
      </c>
      <c r="D118" s="233">
        <v>30.19</v>
      </c>
    </row>
    <row r="119" spans="1:4" ht="25.5" x14ac:dyDescent="0.2">
      <c r="A119" s="245" t="s">
        <v>1593</v>
      </c>
      <c r="B119" s="251" t="s">
        <v>1594</v>
      </c>
      <c r="C119" s="232">
        <v>32.4</v>
      </c>
      <c r="D119" s="233">
        <v>31.47</v>
      </c>
    </row>
    <row r="120" spans="1:4" x14ac:dyDescent="0.2">
      <c r="A120" s="255" t="s">
        <v>1595</v>
      </c>
      <c r="B120" s="256" t="s">
        <v>1596</v>
      </c>
      <c r="C120" s="257">
        <v>55.317799999999998</v>
      </c>
      <c r="D120" s="258">
        <v>45.882399999999997</v>
      </c>
    </row>
    <row r="121" spans="1:4" x14ac:dyDescent="0.2">
      <c r="A121" s="255" t="s">
        <v>1597</v>
      </c>
      <c r="B121" s="256" t="s">
        <v>1598</v>
      </c>
      <c r="C121" s="259">
        <v>239.51</v>
      </c>
      <c r="D121" s="260">
        <v>130.38999999999999</v>
      </c>
    </row>
    <row r="122" spans="1:4" x14ac:dyDescent="0.2">
      <c r="A122" s="255" t="s">
        <v>1573</v>
      </c>
      <c r="B122" s="256" t="s">
        <v>1645</v>
      </c>
      <c r="C122" s="261">
        <v>352.18999999999994</v>
      </c>
      <c r="D122" s="262">
        <v>167.42000000000002</v>
      </c>
    </row>
    <row r="123" spans="1:4" x14ac:dyDescent="0.2">
      <c r="A123" s="255" t="s">
        <v>1646</v>
      </c>
      <c r="B123" s="256" t="s">
        <v>1647</v>
      </c>
      <c r="C123" s="257">
        <v>104.5</v>
      </c>
      <c r="D123" s="258">
        <v>58.35</v>
      </c>
    </row>
    <row r="124" spans="1:4" x14ac:dyDescent="0.2">
      <c r="A124" s="255"/>
      <c r="B124" s="263"/>
      <c r="C124" s="257"/>
      <c r="D124" s="258"/>
    </row>
    <row r="125" spans="1:4" ht="13.5" thickBot="1" x14ac:dyDescent="0.25">
      <c r="A125" s="264"/>
      <c r="B125" s="265"/>
      <c r="C125" s="266"/>
      <c r="D125" s="267"/>
    </row>
    <row r="126" spans="1:4" x14ac:dyDescent="0.2">
      <c r="B126" s="268"/>
      <c r="C126" s="268"/>
      <c r="D126" s="268"/>
    </row>
    <row r="127" spans="1:4" x14ac:dyDescent="0.2">
      <c r="B127" s="268"/>
      <c r="C127" s="268"/>
      <c r="D127" s="268"/>
    </row>
    <row r="128" spans="1:4" x14ac:dyDescent="0.2">
      <c r="B128" s="268"/>
      <c r="C128" s="268"/>
      <c r="D128" s="268"/>
    </row>
    <row r="129" spans="2:4" x14ac:dyDescent="0.2">
      <c r="B129" s="93"/>
      <c r="C129" s="93"/>
      <c r="D129" s="93"/>
    </row>
    <row r="130" spans="2:4" x14ac:dyDescent="0.2">
      <c r="B130" s="93"/>
      <c r="C130" s="93"/>
      <c r="D130" s="93"/>
    </row>
    <row r="131" spans="2:4" x14ac:dyDescent="0.2">
      <c r="B131" s="269"/>
      <c r="C131" s="270"/>
      <c r="D131" s="270"/>
    </row>
    <row r="132" spans="2:4" x14ac:dyDescent="0.2">
      <c r="B132" s="93"/>
      <c r="C132" s="93"/>
      <c r="D132" s="93"/>
    </row>
    <row r="133" spans="2:4" x14ac:dyDescent="0.2">
      <c r="B133" s="93"/>
      <c r="C133" s="270"/>
      <c r="D133" s="270"/>
    </row>
    <row r="134" spans="2:4" x14ac:dyDescent="0.2">
      <c r="B134" s="93"/>
      <c r="C134" s="93"/>
      <c r="D134" s="93"/>
    </row>
    <row r="135" spans="2:4" x14ac:dyDescent="0.2">
      <c r="B135" s="93"/>
      <c r="C135" s="270"/>
      <c r="D135" s="270"/>
    </row>
  </sheetData>
  <mergeCells count="7">
    <mergeCell ref="C9:D9"/>
    <mergeCell ref="A2:A4"/>
    <mergeCell ref="B2:D2"/>
    <mergeCell ref="B3:D3"/>
    <mergeCell ref="B4:D4"/>
    <mergeCell ref="A6:D6"/>
    <mergeCell ref="C8:D8"/>
  </mergeCells>
  <printOptions horizontalCentered="1"/>
  <pageMargins left="0.98425196850393704" right="0.19685039370078741" top="0.98425196850393704" bottom="0.98425196850393704" header="0.51181102362204722" footer="0.51181102362204722"/>
  <pageSetup scale="90" orientation="portrait" horizontalDpi="300" verticalDpi="300" r:id="rId1"/>
  <headerFooter alignWithMargins="0">
    <oddFooter>Página &amp;P de &amp;N</oddFoot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4E676-601B-48D7-ABC8-B1CE088052B0}">
  <sheetPr>
    <tabColor rgb="FFEEFB9D"/>
  </sheetPr>
  <dimension ref="B1:H90"/>
  <sheetViews>
    <sheetView workbookViewId="0"/>
  </sheetViews>
  <sheetFormatPr defaultRowHeight="12.75" x14ac:dyDescent="0.2"/>
  <cols>
    <col min="1" max="1" width="5.5703125" customWidth="1"/>
    <col min="2" max="2" width="11.5703125" customWidth="1"/>
    <col min="3" max="3" width="70.5703125" customWidth="1"/>
    <col min="4" max="4" width="8.5703125" customWidth="1"/>
    <col min="5" max="5" width="14.5703125" customWidth="1"/>
  </cols>
  <sheetData>
    <row r="1" spans="2:8" ht="13.5" thickBot="1" x14ac:dyDescent="0.25">
      <c r="C1" s="108"/>
    </row>
    <row r="2" spans="2:8" ht="21" customHeight="1" x14ac:dyDescent="0.2">
      <c r="B2" s="940"/>
      <c r="C2" s="942" t="s">
        <v>179</v>
      </c>
      <c r="D2" s="942"/>
      <c r="E2" s="986"/>
      <c r="H2" s="271"/>
    </row>
    <row r="3" spans="2:8" ht="21" customHeight="1" x14ac:dyDescent="0.2">
      <c r="B3" s="941"/>
      <c r="C3" s="945" t="s">
        <v>180</v>
      </c>
      <c r="D3" s="945"/>
      <c r="E3" s="987"/>
      <c r="H3" s="271"/>
    </row>
    <row r="4" spans="2:8" ht="21" customHeight="1" thickBot="1" x14ac:dyDescent="0.25">
      <c r="B4" s="985"/>
      <c r="C4" s="948" t="s">
        <v>1603</v>
      </c>
      <c r="D4" s="948"/>
      <c r="E4" s="988"/>
    </row>
    <row r="5" spans="2:8" ht="33" customHeight="1" thickBot="1" x14ac:dyDescent="0.25">
      <c r="B5" s="951" t="s">
        <v>1601</v>
      </c>
      <c r="C5" s="989"/>
      <c r="D5" s="990"/>
      <c r="E5" s="109" t="s">
        <v>182</v>
      </c>
    </row>
    <row r="6" spans="2:8" ht="14.1" customHeight="1" x14ac:dyDescent="0.2">
      <c r="B6" s="937" t="s">
        <v>60</v>
      </c>
      <c r="C6" s="939"/>
      <c r="D6" s="939"/>
      <c r="E6" s="110"/>
    </row>
    <row r="7" spans="2:8" ht="14.1" customHeight="1" thickBot="1" x14ac:dyDescent="0.25">
      <c r="B7" s="111" t="s">
        <v>28</v>
      </c>
      <c r="C7" s="112" t="s">
        <v>183</v>
      </c>
      <c r="D7" s="113" t="s">
        <v>184</v>
      </c>
      <c r="E7" s="114" t="s">
        <v>185</v>
      </c>
    </row>
    <row r="8" spans="2:8" ht="22.5" customHeight="1" x14ac:dyDescent="0.2">
      <c r="B8" s="115" t="s">
        <v>186</v>
      </c>
      <c r="C8" s="116" t="s">
        <v>187</v>
      </c>
      <c r="D8" s="117" t="s">
        <v>81</v>
      </c>
      <c r="E8" s="118">
        <v>3322.87</v>
      </c>
    </row>
    <row r="9" spans="2:8" x14ac:dyDescent="0.2">
      <c r="B9" s="115" t="s">
        <v>188</v>
      </c>
      <c r="C9" s="116" t="s">
        <v>189</v>
      </c>
      <c r="D9" s="117" t="s">
        <v>81</v>
      </c>
      <c r="E9" s="119">
        <v>4076.02</v>
      </c>
    </row>
    <row r="10" spans="2:8" ht="22.5" x14ac:dyDescent="0.2">
      <c r="B10" s="115" t="s">
        <v>65</v>
      </c>
      <c r="C10" s="116" t="s">
        <v>80</v>
      </c>
      <c r="D10" s="117" t="s">
        <v>81</v>
      </c>
      <c r="E10" s="119">
        <v>16978.349999999999</v>
      </c>
    </row>
    <row r="11" spans="2:8" x14ac:dyDescent="0.2">
      <c r="B11" s="115" t="s">
        <v>190</v>
      </c>
      <c r="C11" s="116" t="s">
        <v>191</v>
      </c>
      <c r="D11" s="117" t="s">
        <v>81</v>
      </c>
      <c r="E11" s="119">
        <v>1453.5</v>
      </c>
    </row>
    <row r="12" spans="2:8" x14ac:dyDescent="0.2">
      <c r="B12" s="115" t="s">
        <v>62</v>
      </c>
      <c r="C12" s="116" t="s">
        <v>82</v>
      </c>
      <c r="D12" s="117" t="s">
        <v>81</v>
      </c>
      <c r="E12" s="119">
        <v>779.39</v>
      </c>
    </row>
    <row r="13" spans="2:8" ht="27.75" customHeight="1" x14ac:dyDescent="0.2">
      <c r="B13" s="115" t="s">
        <v>61</v>
      </c>
      <c r="C13" s="116" t="s">
        <v>192</v>
      </c>
      <c r="D13" s="117" t="s">
        <v>81</v>
      </c>
      <c r="E13" s="119">
        <v>972.72</v>
      </c>
    </row>
    <row r="14" spans="2:8" ht="27.75" customHeight="1" x14ac:dyDescent="0.2">
      <c r="B14" s="115" t="s">
        <v>193</v>
      </c>
      <c r="C14" s="116" t="s">
        <v>194</v>
      </c>
      <c r="D14" s="117" t="s">
        <v>81</v>
      </c>
      <c r="E14" s="119">
        <v>1101.3600000000001</v>
      </c>
    </row>
    <row r="15" spans="2:8" x14ac:dyDescent="0.2">
      <c r="B15" s="115" t="s">
        <v>195</v>
      </c>
      <c r="C15" s="116" t="s">
        <v>196</v>
      </c>
      <c r="D15" s="117" t="s">
        <v>81</v>
      </c>
      <c r="E15" s="119">
        <v>764.9</v>
      </c>
    </row>
    <row r="16" spans="2:8" x14ac:dyDescent="0.2">
      <c r="B16" s="115" t="s">
        <v>64</v>
      </c>
      <c r="C16" s="116" t="s">
        <v>30</v>
      </c>
      <c r="D16" s="117" t="s">
        <v>81</v>
      </c>
      <c r="E16" s="119">
        <v>655.37999999999988</v>
      </c>
    </row>
    <row r="17" spans="2:5" x14ac:dyDescent="0.2">
      <c r="B17" s="115" t="s">
        <v>63</v>
      </c>
      <c r="C17" s="116" t="s">
        <v>29</v>
      </c>
      <c r="D17" s="117" t="s">
        <v>81</v>
      </c>
      <c r="E17" s="119">
        <v>364.04</v>
      </c>
    </row>
    <row r="18" spans="2:5" ht="25.5" customHeight="1" x14ac:dyDescent="0.2">
      <c r="B18" s="120" t="s">
        <v>197</v>
      </c>
      <c r="C18" s="121" t="s">
        <v>198</v>
      </c>
      <c r="D18" s="122" t="s">
        <v>81</v>
      </c>
      <c r="E18" s="272">
        <v>2174.9499999999998</v>
      </c>
    </row>
    <row r="19" spans="2:5" ht="24.75" customHeight="1" x14ac:dyDescent="0.2">
      <c r="B19" s="124">
        <v>20193</v>
      </c>
      <c r="C19" s="125" t="s">
        <v>199</v>
      </c>
      <c r="D19" s="126" t="s">
        <v>200</v>
      </c>
      <c r="E19" s="127">
        <v>6.49</v>
      </c>
    </row>
    <row r="20" spans="2:5" ht="24.75" customHeight="1" thickBot="1" x14ac:dyDescent="0.25">
      <c r="B20" s="128">
        <v>10527</v>
      </c>
      <c r="C20" s="129" t="s">
        <v>201</v>
      </c>
      <c r="D20" s="130" t="s">
        <v>202</v>
      </c>
      <c r="E20" s="131">
        <v>19.5</v>
      </c>
    </row>
    <row r="21" spans="2:5" ht="14.1" customHeight="1" x14ac:dyDescent="0.2">
      <c r="B21" s="937" t="s">
        <v>203</v>
      </c>
      <c r="C21" s="939"/>
      <c r="D21" s="939"/>
      <c r="E21" s="132"/>
    </row>
    <row r="22" spans="2:5" ht="14.1" customHeight="1" thickBot="1" x14ac:dyDescent="0.25">
      <c r="B22" s="111" t="s">
        <v>28</v>
      </c>
      <c r="C22" s="112" t="s">
        <v>183</v>
      </c>
      <c r="D22" s="113" t="s">
        <v>184</v>
      </c>
      <c r="E22" s="114" t="s">
        <v>185</v>
      </c>
    </row>
    <row r="23" spans="2:5" ht="12.75" customHeight="1" x14ac:dyDescent="0.2">
      <c r="B23" s="115" t="s">
        <v>36</v>
      </c>
      <c r="C23" s="116" t="s">
        <v>204</v>
      </c>
      <c r="D23" s="117" t="s">
        <v>205</v>
      </c>
      <c r="E23" s="133">
        <v>388.15</v>
      </c>
    </row>
    <row r="24" spans="2:5" ht="22.5" x14ac:dyDescent="0.2">
      <c r="B24" s="115" t="s">
        <v>37</v>
      </c>
      <c r="C24" s="116" t="s">
        <v>206</v>
      </c>
      <c r="D24" s="117" t="s">
        <v>17</v>
      </c>
      <c r="E24" s="133">
        <v>208.65</v>
      </c>
    </row>
    <row r="25" spans="2:5" ht="22.5" x14ac:dyDescent="0.2">
      <c r="B25" s="115" t="s">
        <v>207</v>
      </c>
      <c r="C25" s="116" t="s">
        <v>208</v>
      </c>
      <c r="D25" s="117" t="s">
        <v>17</v>
      </c>
      <c r="E25" s="133">
        <v>386.46000000000004</v>
      </c>
    </row>
    <row r="26" spans="2:5" x14ac:dyDescent="0.2">
      <c r="B26" s="115" t="s">
        <v>209</v>
      </c>
      <c r="C26" s="116" t="s">
        <v>210</v>
      </c>
      <c r="D26" s="117" t="s">
        <v>17</v>
      </c>
      <c r="E26" s="133">
        <v>298.26000000000005</v>
      </c>
    </row>
    <row r="27" spans="2:5" x14ac:dyDescent="0.2">
      <c r="B27" s="115" t="s">
        <v>211</v>
      </c>
      <c r="C27" s="116" t="s">
        <v>212</v>
      </c>
      <c r="D27" s="117" t="s">
        <v>17</v>
      </c>
      <c r="E27" s="133">
        <v>438.3</v>
      </c>
    </row>
    <row r="28" spans="2:5" ht="25.5" customHeight="1" x14ac:dyDescent="0.2">
      <c r="B28" s="115" t="s">
        <v>38</v>
      </c>
      <c r="C28" s="116" t="s">
        <v>213</v>
      </c>
      <c r="D28" s="117" t="s">
        <v>17</v>
      </c>
      <c r="E28" s="133">
        <v>0.59</v>
      </c>
    </row>
    <row r="29" spans="2:5" ht="39" customHeight="1" x14ac:dyDescent="0.2">
      <c r="B29" s="134">
        <v>93584</v>
      </c>
      <c r="C29" s="135" t="s">
        <v>214</v>
      </c>
      <c r="D29" s="117" t="s">
        <v>205</v>
      </c>
      <c r="E29" s="136">
        <v>1091.8900000000001</v>
      </c>
    </row>
    <row r="30" spans="2:5" x14ac:dyDescent="0.2">
      <c r="B30" s="134">
        <v>98458</v>
      </c>
      <c r="C30" s="116" t="s">
        <v>215</v>
      </c>
      <c r="D30" s="117" t="s">
        <v>205</v>
      </c>
      <c r="E30" s="136">
        <v>166.95</v>
      </c>
    </row>
    <row r="31" spans="2:5" x14ac:dyDescent="0.2">
      <c r="B31" s="134">
        <v>98459</v>
      </c>
      <c r="C31" s="116" t="s">
        <v>216</v>
      </c>
      <c r="D31" s="117" t="s">
        <v>205</v>
      </c>
      <c r="E31" s="136">
        <v>139.91</v>
      </c>
    </row>
    <row r="32" spans="2:5" ht="22.5" x14ac:dyDescent="0.2">
      <c r="B32" s="134">
        <v>99059</v>
      </c>
      <c r="C32" s="116" t="s">
        <v>217</v>
      </c>
      <c r="D32" s="117" t="s">
        <v>42</v>
      </c>
      <c r="E32" s="136">
        <v>63.8</v>
      </c>
    </row>
    <row r="33" spans="2:5" x14ac:dyDescent="0.2">
      <c r="B33" s="115" t="s">
        <v>218</v>
      </c>
      <c r="C33" s="116" t="s">
        <v>219</v>
      </c>
      <c r="D33" s="117" t="s">
        <v>42</v>
      </c>
      <c r="E33" s="133">
        <v>117.52</v>
      </c>
    </row>
    <row r="34" spans="2:5" x14ac:dyDescent="0.2">
      <c r="B34" s="115" t="s">
        <v>220</v>
      </c>
      <c r="C34" s="116" t="s">
        <v>221</v>
      </c>
      <c r="D34" s="117" t="s">
        <v>205</v>
      </c>
      <c r="E34" s="133">
        <v>17.39</v>
      </c>
    </row>
    <row r="35" spans="2:5" x14ac:dyDescent="0.2">
      <c r="B35" s="115" t="s">
        <v>222</v>
      </c>
      <c r="C35" s="116" t="s">
        <v>221</v>
      </c>
      <c r="D35" s="117" t="s">
        <v>223</v>
      </c>
      <c r="E35" s="133">
        <v>101.05</v>
      </c>
    </row>
    <row r="36" spans="2:5" ht="22.5" x14ac:dyDescent="0.2">
      <c r="B36" s="120" t="s">
        <v>224</v>
      </c>
      <c r="C36" s="121" t="s">
        <v>225</v>
      </c>
      <c r="D36" s="122" t="s">
        <v>205</v>
      </c>
      <c r="E36" s="137">
        <v>0.42</v>
      </c>
    </row>
    <row r="37" spans="2:5" x14ac:dyDescent="0.2">
      <c r="B37" s="138" t="s">
        <v>226</v>
      </c>
      <c r="C37" s="139" t="s">
        <v>227</v>
      </c>
      <c r="D37" s="140" t="s">
        <v>17</v>
      </c>
      <c r="E37" s="141">
        <v>656.05</v>
      </c>
    </row>
    <row r="38" spans="2:5" x14ac:dyDescent="0.2">
      <c r="B38" s="138" t="s">
        <v>228</v>
      </c>
      <c r="C38" s="139" t="s">
        <v>229</v>
      </c>
      <c r="D38" s="140" t="s">
        <v>17</v>
      </c>
      <c r="E38" s="141">
        <v>2600.08</v>
      </c>
    </row>
    <row r="39" spans="2:5" x14ac:dyDescent="0.2">
      <c r="B39" s="142">
        <v>97063</v>
      </c>
      <c r="C39" s="143" t="s">
        <v>230</v>
      </c>
      <c r="D39" s="122" t="s">
        <v>205</v>
      </c>
      <c r="E39" s="144">
        <v>11.48</v>
      </c>
    </row>
    <row r="40" spans="2:5" ht="13.5" thickBot="1" x14ac:dyDescent="0.25">
      <c r="B40" s="128">
        <v>97064</v>
      </c>
      <c r="C40" s="129" t="s">
        <v>231</v>
      </c>
      <c r="D40" s="117" t="s">
        <v>42</v>
      </c>
      <c r="E40" s="145">
        <v>21.11</v>
      </c>
    </row>
    <row r="41" spans="2:5" ht="14.1" customHeight="1" x14ac:dyDescent="0.2">
      <c r="B41" s="937" t="s">
        <v>232</v>
      </c>
      <c r="C41" s="939"/>
      <c r="D41" s="939"/>
      <c r="E41" s="132"/>
    </row>
    <row r="42" spans="2:5" ht="14.1" customHeight="1" thickBot="1" x14ac:dyDescent="0.25">
      <c r="B42" s="111" t="s">
        <v>28</v>
      </c>
      <c r="C42" s="112" t="s">
        <v>183</v>
      </c>
      <c r="D42" s="113" t="s">
        <v>184</v>
      </c>
      <c r="E42" s="114" t="s">
        <v>185</v>
      </c>
    </row>
    <row r="43" spans="2:5" ht="22.5" x14ac:dyDescent="0.2">
      <c r="B43" s="146" t="s">
        <v>34</v>
      </c>
      <c r="C43" s="147" t="s">
        <v>233</v>
      </c>
      <c r="D43" s="148" t="s">
        <v>234</v>
      </c>
      <c r="E43" s="149">
        <v>2173.59</v>
      </c>
    </row>
    <row r="44" spans="2:5" ht="22.5" x14ac:dyDescent="0.2">
      <c r="B44" s="146" t="s">
        <v>35</v>
      </c>
      <c r="C44" s="147" t="s">
        <v>235</v>
      </c>
      <c r="D44" s="148" t="s">
        <v>234</v>
      </c>
      <c r="E44" s="149">
        <v>2173.59</v>
      </c>
    </row>
    <row r="45" spans="2:5" ht="22.5" x14ac:dyDescent="0.2">
      <c r="B45" s="146" t="s">
        <v>40</v>
      </c>
      <c r="C45" s="147" t="s">
        <v>236</v>
      </c>
      <c r="D45" s="148" t="s">
        <v>234</v>
      </c>
      <c r="E45" s="149">
        <v>1618.25</v>
      </c>
    </row>
    <row r="46" spans="2:5" ht="24.75" customHeight="1" x14ac:dyDescent="0.2">
      <c r="B46" s="146" t="s">
        <v>41</v>
      </c>
      <c r="C46" s="147" t="s">
        <v>237</v>
      </c>
      <c r="D46" s="148" t="s">
        <v>234</v>
      </c>
      <c r="E46" s="149">
        <v>1618.25</v>
      </c>
    </row>
    <row r="47" spans="2:5" ht="22.5" x14ac:dyDescent="0.2">
      <c r="B47" s="146" t="s">
        <v>32</v>
      </c>
      <c r="C47" s="147" t="s">
        <v>238</v>
      </c>
      <c r="D47" s="148" t="s">
        <v>234</v>
      </c>
      <c r="E47" s="149">
        <v>861.92</v>
      </c>
    </row>
    <row r="48" spans="2:5" ht="22.5" x14ac:dyDescent="0.2">
      <c r="B48" s="146" t="s">
        <v>33</v>
      </c>
      <c r="C48" s="147" t="s">
        <v>239</v>
      </c>
      <c r="D48" s="148" t="s">
        <v>234</v>
      </c>
      <c r="E48" s="149">
        <v>861.92</v>
      </c>
    </row>
    <row r="49" spans="2:5" x14ac:dyDescent="0.2">
      <c r="B49" s="146" t="s">
        <v>240</v>
      </c>
      <c r="C49" s="147" t="s">
        <v>241</v>
      </c>
      <c r="D49" s="148" t="s">
        <v>17</v>
      </c>
      <c r="E49" s="149">
        <v>681.87</v>
      </c>
    </row>
    <row r="50" spans="2:5" x14ac:dyDescent="0.2">
      <c r="B50" s="146" t="s">
        <v>242</v>
      </c>
      <c r="C50" s="147" t="s">
        <v>243</v>
      </c>
      <c r="D50" s="148" t="s">
        <v>17</v>
      </c>
      <c r="E50" s="149">
        <v>681.87</v>
      </c>
    </row>
    <row r="51" spans="2:5" ht="23.25" customHeight="1" x14ac:dyDescent="0.2">
      <c r="B51" s="146" t="s">
        <v>244</v>
      </c>
      <c r="C51" s="147" t="s">
        <v>245</v>
      </c>
      <c r="D51" s="148" t="s">
        <v>234</v>
      </c>
      <c r="E51" s="149">
        <v>861.92</v>
      </c>
    </row>
    <row r="52" spans="2:5" ht="22.5" x14ac:dyDescent="0.2">
      <c r="B52" s="146" t="s">
        <v>246</v>
      </c>
      <c r="C52" s="147" t="s">
        <v>247</v>
      </c>
      <c r="D52" s="148" t="s">
        <v>234</v>
      </c>
      <c r="E52" s="149">
        <v>1751.12</v>
      </c>
    </row>
    <row r="53" spans="2:5" ht="12.75" customHeight="1" x14ac:dyDescent="0.2">
      <c r="B53" s="146" t="s">
        <v>248</v>
      </c>
      <c r="C53" s="147" t="s">
        <v>249</v>
      </c>
      <c r="D53" s="148" t="s">
        <v>250</v>
      </c>
      <c r="E53" s="149">
        <v>3.09</v>
      </c>
    </row>
    <row r="54" spans="2:5" x14ac:dyDescent="0.2">
      <c r="B54" s="150">
        <v>100947</v>
      </c>
      <c r="C54" s="147" t="s">
        <v>251</v>
      </c>
      <c r="D54" s="148" t="s">
        <v>250</v>
      </c>
      <c r="E54" s="136">
        <v>2.13</v>
      </c>
    </row>
    <row r="55" spans="2:5" x14ac:dyDescent="0.2">
      <c r="B55" s="146" t="s">
        <v>252</v>
      </c>
      <c r="C55" s="147" t="s">
        <v>253</v>
      </c>
      <c r="D55" s="148" t="s">
        <v>250</v>
      </c>
      <c r="E55" s="149">
        <v>1.84</v>
      </c>
    </row>
    <row r="56" spans="2:5" x14ac:dyDescent="0.2">
      <c r="B56" s="150">
        <v>97918</v>
      </c>
      <c r="C56" s="147" t="s">
        <v>254</v>
      </c>
      <c r="D56" s="148" t="s">
        <v>250</v>
      </c>
      <c r="E56" s="136">
        <v>1.87</v>
      </c>
    </row>
    <row r="57" spans="2:5" x14ac:dyDescent="0.2">
      <c r="B57" s="150">
        <v>95878</v>
      </c>
      <c r="C57" s="147" t="s">
        <v>255</v>
      </c>
      <c r="D57" s="148" t="s">
        <v>250</v>
      </c>
      <c r="E57" s="136">
        <v>1.59</v>
      </c>
    </row>
    <row r="58" spans="2:5" x14ac:dyDescent="0.2">
      <c r="B58" s="150">
        <v>95879</v>
      </c>
      <c r="C58" s="147" t="s">
        <v>256</v>
      </c>
      <c r="D58" s="148" t="s">
        <v>250</v>
      </c>
      <c r="E58" s="136">
        <v>1.4</v>
      </c>
    </row>
    <row r="59" spans="2:5" x14ac:dyDescent="0.2">
      <c r="B59" s="150">
        <v>97914</v>
      </c>
      <c r="C59" s="147" t="s">
        <v>254</v>
      </c>
      <c r="D59" s="148" t="s">
        <v>257</v>
      </c>
      <c r="E59" s="136">
        <v>2.81</v>
      </c>
    </row>
    <row r="60" spans="2:5" x14ac:dyDescent="0.2">
      <c r="B60" s="150">
        <v>95875</v>
      </c>
      <c r="C60" s="147" t="s">
        <v>255</v>
      </c>
      <c r="D60" s="148" t="s">
        <v>257</v>
      </c>
      <c r="E60" s="136">
        <v>2.36</v>
      </c>
    </row>
    <row r="61" spans="2:5" x14ac:dyDescent="0.2">
      <c r="B61" s="150">
        <v>95876</v>
      </c>
      <c r="C61" s="147" t="s">
        <v>256</v>
      </c>
      <c r="D61" s="148" t="s">
        <v>257</v>
      </c>
      <c r="E61" s="136">
        <v>2.0699999999999998</v>
      </c>
    </row>
    <row r="62" spans="2:5" ht="22.5" customHeight="1" x14ac:dyDescent="0.2">
      <c r="B62" s="150">
        <v>102331</v>
      </c>
      <c r="C62" s="147" t="s">
        <v>258</v>
      </c>
      <c r="D62" s="148" t="s">
        <v>250</v>
      </c>
      <c r="E62" s="136">
        <v>0.53</v>
      </c>
    </row>
    <row r="63" spans="2:5" ht="22.5" x14ac:dyDescent="0.2">
      <c r="B63" s="150">
        <v>102332</v>
      </c>
      <c r="C63" s="147" t="s">
        <v>259</v>
      </c>
      <c r="D63" s="148" t="s">
        <v>250</v>
      </c>
      <c r="E63" s="136">
        <v>1.75</v>
      </c>
    </row>
    <row r="64" spans="2:5" ht="15" customHeight="1" x14ac:dyDescent="0.2">
      <c r="B64" s="146" t="s">
        <v>260</v>
      </c>
      <c r="C64" s="147" t="s">
        <v>261</v>
      </c>
      <c r="D64" s="148" t="s">
        <v>250</v>
      </c>
      <c r="E64" s="149">
        <v>1.81</v>
      </c>
    </row>
    <row r="65" spans="2:5" ht="24.75" customHeight="1" x14ac:dyDescent="0.2">
      <c r="B65" s="146" t="s">
        <v>262</v>
      </c>
      <c r="C65" s="147" t="s">
        <v>263</v>
      </c>
      <c r="D65" s="148" t="s">
        <v>223</v>
      </c>
      <c r="E65" s="149">
        <v>2.4700000000000002</v>
      </c>
    </row>
    <row r="66" spans="2:5" ht="22.5" x14ac:dyDescent="0.2">
      <c r="B66" s="146" t="s">
        <v>264</v>
      </c>
      <c r="C66" s="147" t="s">
        <v>265</v>
      </c>
      <c r="D66" s="148" t="s">
        <v>223</v>
      </c>
      <c r="E66" s="149">
        <v>3.04</v>
      </c>
    </row>
    <row r="67" spans="2:5" ht="22.5" x14ac:dyDescent="0.2">
      <c r="B67" s="146" t="s">
        <v>266</v>
      </c>
      <c r="C67" s="147" t="s">
        <v>267</v>
      </c>
      <c r="D67" s="148" t="s">
        <v>223</v>
      </c>
      <c r="E67" s="149">
        <v>7.61</v>
      </c>
    </row>
    <row r="68" spans="2:5" ht="22.5" x14ac:dyDescent="0.2">
      <c r="B68" s="146" t="s">
        <v>268</v>
      </c>
      <c r="C68" s="147" t="s">
        <v>269</v>
      </c>
      <c r="D68" s="148" t="s">
        <v>223</v>
      </c>
      <c r="E68" s="149">
        <v>13.32</v>
      </c>
    </row>
    <row r="69" spans="2:5" ht="22.5" x14ac:dyDescent="0.2">
      <c r="B69" s="146" t="s">
        <v>270</v>
      </c>
      <c r="C69" s="147" t="s">
        <v>271</v>
      </c>
      <c r="D69" s="148" t="s">
        <v>223</v>
      </c>
      <c r="E69" s="149">
        <v>19.02</v>
      </c>
    </row>
    <row r="70" spans="2:5" ht="22.5" x14ac:dyDescent="0.2">
      <c r="B70" s="146" t="s">
        <v>72</v>
      </c>
      <c r="C70" s="147" t="s">
        <v>272</v>
      </c>
      <c r="D70" s="148" t="s">
        <v>223</v>
      </c>
      <c r="E70" s="149">
        <v>24.73</v>
      </c>
    </row>
    <row r="71" spans="2:5" ht="22.5" x14ac:dyDescent="0.2">
      <c r="B71" s="146" t="s">
        <v>273</v>
      </c>
      <c r="C71" s="147" t="s">
        <v>274</v>
      </c>
      <c r="D71" s="148" t="s">
        <v>250</v>
      </c>
      <c r="E71" s="149">
        <v>3.35</v>
      </c>
    </row>
    <row r="72" spans="2:5" ht="22.5" x14ac:dyDescent="0.2">
      <c r="B72" s="146" t="s">
        <v>275</v>
      </c>
      <c r="C72" s="147" t="s">
        <v>276</v>
      </c>
      <c r="D72" s="148" t="s">
        <v>250</v>
      </c>
      <c r="E72" s="149">
        <v>4.32</v>
      </c>
    </row>
    <row r="73" spans="2:5" ht="22.5" x14ac:dyDescent="0.2">
      <c r="B73" s="146" t="s">
        <v>277</v>
      </c>
      <c r="C73" s="147" t="s">
        <v>278</v>
      </c>
      <c r="D73" s="148" t="s">
        <v>234</v>
      </c>
      <c r="E73" s="149">
        <v>704.12</v>
      </c>
    </row>
    <row r="74" spans="2:5" ht="22.5" x14ac:dyDescent="0.2">
      <c r="B74" s="146" t="s">
        <v>279</v>
      </c>
      <c r="C74" s="147" t="s">
        <v>280</v>
      </c>
      <c r="D74" s="148" t="s">
        <v>234</v>
      </c>
      <c r="E74" s="149">
        <v>704.12</v>
      </c>
    </row>
    <row r="75" spans="2:5" ht="24.75" customHeight="1" x14ac:dyDescent="0.2">
      <c r="B75" s="146" t="s">
        <v>281</v>
      </c>
      <c r="C75" s="147" t="s">
        <v>282</v>
      </c>
      <c r="D75" s="148" t="s">
        <v>234</v>
      </c>
      <c r="E75" s="149">
        <v>4769.54</v>
      </c>
    </row>
    <row r="76" spans="2:5" ht="22.5" x14ac:dyDescent="0.2">
      <c r="B76" s="146" t="s">
        <v>283</v>
      </c>
      <c r="C76" s="147" t="s">
        <v>284</v>
      </c>
      <c r="D76" s="148" t="s">
        <v>234</v>
      </c>
      <c r="E76" s="149">
        <v>4769.54</v>
      </c>
    </row>
    <row r="77" spans="2:5" ht="27.75" customHeight="1" x14ac:dyDescent="0.2">
      <c r="B77" s="146" t="s">
        <v>285</v>
      </c>
      <c r="C77" s="147" t="s">
        <v>286</v>
      </c>
      <c r="D77" s="148" t="s">
        <v>234</v>
      </c>
      <c r="E77" s="149">
        <v>4769.54</v>
      </c>
    </row>
    <row r="78" spans="2:5" ht="27.75" customHeight="1" x14ac:dyDescent="0.2">
      <c r="B78" s="146" t="s">
        <v>287</v>
      </c>
      <c r="C78" s="147" t="s">
        <v>288</v>
      </c>
      <c r="D78" s="148" t="s">
        <v>234</v>
      </c>
      <c r="E78" s="149">
        <v>4769.54</v>
      </c>
    </row>
    <row r="79" spans="2:5" ht="26.25" customHeight="1" x14ac:dyDescent="0.2">
      <c r="B79" s="146" t="s">
        <v>289</v>
      </c>
      <c r="C79" s="147" t="s">
        <v>290</v>
      </c>
      <c r="D79" s="148" t="s">
        <v>234</v>
      </c>
      <c r="E79" s="149">
        <v>4769.54</v>
      </c>
    </row>
    <row r="80" spans="2:5" ht="22.5" x14ac:dyDescent="0.2">
      <c r="B80" s="146" t="s">
        <v>291</v>
      </c>
      <c r="C80" s="147" t="s">
        <v>292</v>
      </c>
      <c r="D80" s="148" t="s">
        <v>234</v>
      </c>
      <c r="E80" s="149">
        <v>4769.54</v>
      </c>
    </row>
    <row r="81" spans="2:5" ht="25.5" customHeight="1" x14ac:dyDescent="0.2">
      <c r="B81" s="146" t="s">
        <v>293</v>
      </c>
      <c r="C81" s="147" t="s">
        <v>294</v>
      </c>
      <c r="D81" s="148" t="s">
        <v>234</v>
      </c>
      <c r="E81" s="149">
        <v>681.24</v>
      </c>
    </row>
    <row r="82" spans="2:5" ht="22.5" x14ac:dyDescent="0.2">
      <c r="B82" s="146" t="s">
        <v>295</v>
      </c>
      <c r="C82" s="147" t="s">
        <v>296</v>
      </c>
      <c r="D82" s="148" t="s">
        <v>234</v>
      </c>
      <c r="E82" s="149">
        <v>681.24</v>
      </c>
    </row>
    <row r="83" spans="2:5" x14ac:dyDescent="0.2">
      <c r="B83" s="146" t="s">
        <v>297</v>
      </c>
      <c r="C83" s="147" t="s">
        <v>298</v>
      </c>
      <c r="D83" s="148" t="s">
        <v>234</v>
      </c>
      <c r="E83" s="149">
        <v>522.12</v>
      </c>
    </row>
    <row r="84" spans="2:5" x14ac:dyDescent="0.2">
      <c r="B84" s="146" t="s">
        <v>299</v>
      </c>
      <c r="C84" s="147" t="s">
        <v>300</v>
      </c>
      <c r="D84" s="148" t="s">
        <v>234</v>
      </c>
      <c r="E84" s="149">
        <v>522.12</v>
      </c>
    </row>
    <row r="85" spans="2:5" ht="22.5" x14ac:dyDescent="0.2">
      <c r="B85" s="146" t="s">
        <v>301</v>
      </c>
      <c r="C85" s="147" t="s">
        <v>302</v>
      </c>
      <c r="D85" s="148" t="s">
        <v>234</v>
      </c>
      <c r="E85" s="149">
        <v>139.78</v>
      </c>
    </row>
    <row r="86" spans="2:5" ht="22.5" x14ac:dyDescent="0.2">
      <c r="B86" s="146" t="s">
        <v>303</v>
      </c>
      <c r="C86" s="147" t="s">
        <v>304</v>
      </c>
      <c r="D86" s="148" t="s">
        <v>234</v>
      </c>
      <c r="E86" s="149">
        <v>209.67</v>
      </c>
    </row>
    <row r="87" spans="2:5" ht="22.5" x14ac:dyDescent="0.2">
      <c r="B87" s="146" t="s">
        <v>305</v>
      </c>
      <c r="C87" s="147" t="s">
        <v>306</v>
      </c>
      <c r="D87" s="148" t="s">
        <v>234</v>
      </c>
      <c r="E87" s="149">
        <v>279.57</v>
      </c>
    </row>
    <row r="88" spans="2:5" ht="22.5" x14ac:dyDescent="0.2">
      <c r="B88" s="146" t="s">
        <v>307</v>
      </c>
      <c r="C88" s="147" t="s">
        <v>308</v>
      </c>
      <c r="D88" s="148" t="s">
        <v>234</v>
      </c>
      <c r="E88" s="149">
        <v>139.78</v>
      </c>
    </row>
    <row r="89" spans="2:5" ht="23.25" thickBot="1" x14ac:dyDescent="0.25">
      <c r="B89" s="151" t="s">
        <v>309</v>
      </c>
      <c r="C89" s="152" t="s">
        <v>310</v>
      </c>
      <c r="D89" s="153" t="s">
        <v>234</v>
      </c>
      <c r="E89" s="154">
        <v>209.67</v>
      </c>
    </row>
    <row r="90" spans="2:5" x14ac:dyDescent="0.2">
      <c r="B90" s="155"/>
      <c r="C90" s="139"/>
      <c r="D90" s="156"/>
      <c r="E90" s="157"/>
    </row>
  </sheetData>
  <mergeCells count="8">
    <mergeCell ref="B21:D21"/>
    <mergeCell ref="B41:D41"/>
    <mergeCell ref="B2:B4"/>
    <mergeCell ref="C2:E2"/>
    <mergeCell ref="C3:E3"/>
    <mergeCell ref="C4:E4"/>
    <mergeCell ref="B5:D5"/>
    <mergeCell ref="B6:D6"/>
  </mergeCells>
  <printOptions horizontalCentered="1"/>
  <pageMargins left="0.39370078740157483" right="0.19685039370078741" top="0.59055118110236227" bottom="0.19685039370078741" header="0.23622047244094491" footer="0.59055118110236227"/>
  <pageSetup paperSize="9" scale="85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BA9AF8-C824-40EE-9A39-42CC1F6C43E4}">
  <sheetPr>
    <tabColor rgb="FFEEFB9D"/>
  </sheetPr>
  <dimension ref="B1:E649"/>
  <sheetViews>
    <sheetView zoomScaleNormal="100" zoomScaleSheetLayoutView="100" workbookViewId="0"/>
  </sheetViews>
  <sheetFormatPr defaultRowHeight="12.75" x14ac:dyDescent="0.2"/>
  <cols>
    <col min="1" max="1" width="11.5703125" customWidth="1"/>
    <col min="2" max="2" width="8.42578125" bestFit="1" customWidth="1"/>
    <col min="3" max="3" width="70.5703125" customWidth="1"/>
    <col min="4" max="4" width="9.140625" customWidth="1"/>
    <col min="5" max="5" width="10.42578125" bestFit="1" customWidth="1"/>
  </cols>
  <sheetData>
    <row r="1" spans="2:5" ht="13.5" thickBot="1" x14ac:dyDescent="0.25">
      <c r="C1" s="108"/>
    </row>
    <row r="2" spans="2:5" ht="21" customHeight="1" x14ac:dyDescent="0.2">
      <c r="B2" s="940"/>
      <c r="C2" s="942" t="s">
        <v>179</v>
      </c>
      <c r="D2" s="942"/>
      <c r="E2" s="986"/>
    </row>
    <row r="3" spans="2:5" ht="21" customHeight="1" x14ac:dyDescent="0.2">
      <c r="B3" s="941"/>
      <c r="C3" s="945" t="s">
        <v>180</v>
      </c>
      <c r="D3" s="945"/>
      <c r="E3" s="987"/>
    </row>
    <row r="4" spans="2:5" ht="21" customHeight="1" thickBot="1" x14ac:dyDescent="0.25">
      <c r="B4" s="985"/>
      <c r="C4" s="948" t="s">
        <v>1603</v>
      </c>
      <c r="D4" s="948"/>
      <c r="E4" s="988"/>
    </row>
    <row r="5" spans="2:5" ht="33" customHeight="1" thickBot="1" x14ac:dyDescent="0.25">
      <c r="B5" s="951" t="s">
        <v>1601</v>
      </c>
      <c r="C5" s="989"/>
      <c r="D5" s="990"/>
      <c r="E5" s="109" t="s">
        <v>182</v>
      </c>
    </row>
    <row r="6" spans="2:5" ht="14.1" customHeight="1" x14ac:dyDescent="0.2">
      <c r="B6" s="158"/>
      <c r="C6" s="159" t="s">
        <v>311</v>
      </c>
      <c r="D6" s="159"/>
      <c r="E6" s="160"/>
    </row>
    <row r="7" spans="2:5" ht="14.1" customHeight="1" thickBot="1" x14ac:dyDescent="0.25">
      <c r="B7" s="161" t="s">
        <v>28</v>
      </c>
      <c r="C7" s="162" t="s">
        <v>183</v>
      </c>
      <c r="D7" s="162" t="s">
        <v>184</v>
      </c>
      <c r="E7" s="114" t="s">
        <v>185</v>
      </c>
    </row>
    <row r="8" spans="2:5" x14ac:dyDescent="0.2">
      <c r="B8" s="163">
        <v>93358</v>
      </c>
      <c r="C8" s="164" t="s">
        <v>312</v>
      </c>
      <c r="D8" s="165" t="s">
        <v>223</v>
      </c>
      <c r="E8" s="166">
        <v>89.88</v>
      </c>
    </row>
    <row r="9" spans="2:5" ht="33.75" x14ac:dyDescent="0.2">
      <c r="B9" s="167">
        <v>90099</v>
      </c>
      <c r="C9" s="168" t="s">
        <v>313</v>
      </c>
      <c r="D9" s="169" t="s">
        <v>223</v>
      </c>
      <c r="E9" s="170">
        <v>15.49</v>
      </c>
    </row>
    <row r="10" spans="2:5" ht="33.75" x14ac:dyDescent="0.2">
      <c r="B10" s="167">
        <v>90100</v>
      </c>
      <c r="C10" s="168" t="s">
        <v>314</v>
      </c>
      <c r="D10" s="169" t="s">
        <v>223</v>
      </c>
      <c r="E10" s="170">
        <v>13.15</v>
      </c>
    </row>
    <row r="11" spans="2:5" ht="33.75" x14ac:dyDescent="0.2">
      <c r="B11" s="167">
        <v>90101</v>
      </c>
      <c r="C11" s="168" t="s">
        <v>315</v>
      </c>
      <c r="D11" s="169" t="s">
        <v>223</v>
      </c>
      <c r="E11" s="170">
        <v>12.99</v>
      </c>
    </row>
    <row r="12" spans="2:5" ht="33.75" x14ac:dyDescent="0.2">
      <c r="B12" s="167">
        <v>90102</v>
      </c>
      <c r="C12" s="168" t="s">
        <v>316</v>
      </c>
      <c r="D12" s="169" t="s">
        <v>223</v>
      </c>
      <c r="E12" s="170">
        <v>11.83</v>
      </c>
    </row>
    <row r="13" spans="2:5" ht="33.75" x14ac:dyDescent="0.2">
      <c r="B13" s="167">
        <v>90086</v>
      </c>
      <c r="C13" s="168" t="s">
        <v>317</v>
      </c>
      <c r="D13" s="169" t="s">
        <v>223</v>
      </c>
      <c r="E13" s="170">
        <v>10.7</v>
      </c>
    </row>
    <row r="14" spans="2:5" ht="33.75" x14ac:dyDescent="0.2">
      <c r="B14" s="167">
        <v>90087</v>
      </c>
      <c r="C14" s="168" t="s">
        <v>318</v>
      </c>
      <c r="D14" s="169" t="s">
        <v>223</v>
      </c>
      <c r="E14" s="170">
        <v>9.75</v>
      </c>
    </row>
    <row r="15" spans="2:5" ht="33.75" x14ac:dyDescent="0.2">
      <c r="B15" s="167">
        <v>102277</v>
      </c>
      <c r="C15" s="168" t="s">
        <v>319</v>
      </c>
      <c r="D15" s="169" t="s">
        <v>223</v>
      </c>
      <c r="E15" s="170">
        <v>10.38</v>
      </c>
    </row>
    <row r="16" spans="2:5" ht="33.75" x14ac:dyDescent="0.2">
      <c r="B16" s="167">
        <v>90090</v>
      </c>
      <c r="C16" s="168" t="s">
        <v>320</v>
      </c>
      <c r="D16" s="169" t="s">
        <v>223</v>
      </c>
      <c r="E16" s="170">
        <v>9.5399999999999991</v>
      </c>
    </row>
    <row r="17" spans="2:5" ht="33.75" x14ac:dyDescent="0.2">
      <c r="B17" s="167">
        <v>90105</v>
      </c>
      <c r="C17" s="168" t="s">
        <v>321</v>
      </c>
      <c r="D17" s="169" t="s">
        <v>223</v>
      </c>
      <c r="E17" s="170">
        <v>8.5399999999999991</v>
      </c>
    </row>
    <row r="18" spans="2:5" ht="33.75" x14ac:dyDescent="0.2">
      <c r="B18" s="167">
        <v>90106</v>
      </c>
      <c r="C18" s="168" t="s">
        <v>322</v>
      </c>
      <c r="D18" s="169" t="s">
        <v>223</v>
      </c>
      <c r="E18" s="170">
        <v>7.26</v>
      </c>
    </row>
    <row r="19" spans="2:5" ht="33.75" x14ac:dyDescent="0.2">
      <c r="B19" s="167">
        <v>90107</v>
      </c>
      <c r="C19" s="168" t="s">
        <v>323</v>
      </c>
      <c r="D19" s="169" t="s">
        <v>223</v>
      </c>
      <c r="E19" s="170">
        <v>7.17</v>
      </c>
    </row>
    <row r="20" spans="2:5" ht="33.75" x14ac:dyDescent="0.2">
      <c r="B20" s="167">
        <v>90108</v>
      </c>
      <c r="C20" s="168" t="s">
        <v>324</v>
      </c>
      <c r="D20" s="169" t="s">
        <v>223</v>
      </c>
      <c r="E20" s="170">
        <v>6.53</v>
      </c>
    </row>
    <row r="21" spans="2:5" ht="33.75" x14ac:dyDescent="0.2">
      <c r="B21" s="167">
        <v>90094</v>
      </c>
      <c r="C21" s="168" t="s">
        <v>325</v>
      </c>
      <c r="D21" s="169" t="s">
        <v>223</v>
      </c>
      <c r="E21" s="170">
        <v>5.92</v>
      </c>
    </row>
    <row r="22" spans="2:5" ht="33.75" x14ac:dyDescent="0.2">
      <c r="B22" s="167">
        <v>90095</v>
      </c>
      <c r="C22" s="168" t="s">
        <v>326</v>
      </c>
      <c r="D22" s="169" t="s">
        <v>223</v>
      </c>
      <c r="E22" s="170">
        <v>5.37</v>
      </c>
    </row>
    <row r="23" spans="2:5" ht="33.75" x14ac:dyDescent="0.2">
      <c r="B23" s="167">
        <v>102294</v>
      </c>
      <c r="C23" s="168" t="s">
        <v>327</v>
      </c>
      <c r="D23" s="169" t="s">
        <v>25</v>
      </c>
      <c r="E23" s="170">
        <v>6.38</v>
      </c>
    </row>
    <row r="24" spans="2:5" ht="33.75" x14ac:dyDescent="0.2">
      <c r="B24" s="167">
        <v>90098</v>
      </c>
      <c r="C24" s="168" t="s">
        <v>328</v>
      </c>
      <c r="D24" s="169" t="s">
        <v>223</v>
      </c>
      <c r="E24" s="170">
        <v>5.28</v>
      </c>
    </row>
    <row r="25" spans="2:5" ht="12.75" customHeight="1" x14ac:dyDescent="0.2">
      <c r="B25" s="167">
        <v>101616</v>
      </c>
      <c r="C25" s="168" t="s">
        <v>329</v>
      </c>
      <c r="D25" s="169" t="s">
        <v>205</v>
      </c>
      <c r="E25" s="170">
        <v>6.66</v>
      </c>
    </row>
    <row r="26" spans="2:5" ht="22.5" x14ac:dyDescent="0.2">
      <c r="B26" s="167">
        <v>101617</v>
      </c>
      <c r="C26" s="168" t="s">
        <v>330</v>
      </c>
      <c r="D26" s="169" t="s">
        <v>205</v>
      </c>
      <c r="E26" s="170">
        <v>3.28</v>
      </c>
    </row>
    <row r="27" spans="2:5" ht="22.5" x14ac:dyDescent="0.2">
      <c r="B27" s="167">
        <v>101618</v>
      </c>
      <c r="C27" s="168" t="s">
        <v>331</v>
      </c>
      <c r="D27" s="169" t="s">
        <v>223</v>
      </c>
      <c r="E27" s="170">
        <v>227.69</v>
      </c>
    </row>
    <row r="28" spans="2:5" ht="22.5" x14ac:dyDescent="0.2">
      <c r="B28" s="167">
        <v>101619</v>
      </c>
      <c r="C28" s="168" t="s">
        <v>332</v>
      </c>
      <c r="D28" s="169" t="s">
        <v>223</v>
      </c>
      <c r="E28" s="170">
        <v>239.59</v>
      </c>
    </row>
    <row r="29" spans="2:5" ht="22.5" x14ac:dyDescent="0.2">
      <c r="B29" s="167">
        <v>101620</v>
      </c>
      <c r="C29" s="168" t="s">
        <v>333</v>
      </c>
      <c r="D29" s="169" t="s">
        <v>223</v>
      </c>
      <c r="E29" s="170">
        <v>200.95</v>
      </c>
    </row>
    <row r="30" spans="2:5" ht="22.5" x14ac:dyDescent="0.2">
      <c r="B30" s="167">
        <v>101621</v>
      </c>
      <c r="C30" s="168" t="s">
        <v>334</v>
      </c>
      <c r="D30" s="169" t="s">
        <v>223</v>
      </c>
      <c r="E30" s="170">
        <v>212.84</v>
      </c>
    </row>
    <row r="31" spans="2:5" ht="22.5" x14ac:dyDescent="0.2">
      <c r="B31" s="167">
        <v>101622</v>
      </c>
      <c r="C31" s="168" t="s">
        <v>335</v>
      </c>
      <c r="D31" s="169" t="s">
        <v>223</v>
      </c>
      <c r="E31" s="170">
        <v>192.43</v>
      </c>
    </row>
    <row r="32" spans="2:5" ht="22.5" x14ac:dyDescent="0.2">
      <c r="B32" s="167">
        <v>101623</v>
      </c>
      <c r="C32" s="168" t="s">
        <v>336</v>
      </c>
      <c r="D32" s="169" t="s">
        <v>223</v>
      </c>
      <c r="E32" s="170">
        <v>196.12</v>
      </c>
    </row>
    <row r="33" spans="2:5" ht="22.5" x14ac:dyDescent="0.2">
      <c r="B33" s="167">
        <v>101624</v>
      </c>
      <c r="C33" s="168" t="s">
        <v>337</v>
      </c>
      <c r="D33" s="169" t="s">
        <v>223</v>
      </c>
      <c r="E33" s="170">
        <v>150.38</v>
      </c>
    </row>
    <row r="34" spans="2:5" ht="22.5" x14ac:dyDescent="0.2">
      <c r="B34" s="167">
        <v>101625</v>
      </c>
      <c r="C34" s="168" t="s">
        <v>338</v>
      </c>
      <c r="D34" s="169" t="s">
        <v>223</v>
      </c>
      <c r="E34" s="170">
        <v>152.46</v>
      </c>
    </row>
    <row r="35" spans="2:5" x14ac:dyDescent="0.2">
      <c r="B35" s="167">
        <v>96995</v>
      </c>
      <c r="C35" s="168" t="s">
        <v>339</v>
      </c>
      <c r="D35" s="171" t="s">
        <v>223</v>
      </c>
      <c r="E35" s="170">
        <v>54.49</v>
      </c>
    </row>
    <row r="36" spans="2:5" x14ac:dyDescent="0.2">
      <c r="B36" s="167">
        <v>93382</v>
      </c>
      <c r="C36" s="168" t="s">
        <v>340</v>
      </c>
      <c r="D36" s="169" t="s">
        <v>223</v>
      </c>
      <c r="E36" s="170">
        <v>33.94</v>
      </c>
    </row>
    <row r="37" spans="2:5" ht="33.75" x14ac:dyDescent="0.2">
      <c r="B37" s="167">
        <v>93374</v>
      </c>
      <c r="C37" s="168" t="s">
        <v>341</v>
      </c>
      <c r="D37" s="169" t="s">
        <v>223</v>
      </c>
      <c r="E37" s="170">
        <v>26.51</v>
      </c>
    </row>
    <row r="38" spans="2:5" ht="33.75" x14ac:dyDescent="0.2">
      <c r="B38" s="167">
        <v>93375</v>
      </c>
      <c r="C38" s="168" t="s">
        <v>342</v>
      </c>
      <c r="D38" s="169" t="s">
        <v>223</v>
      </c>
      <c r="E38" s="170">
        <v>20.46</v>
      </c>
    </row>
    <row r="39" spans="2:5" ht="33.75" x14ac:dyDescent="0.2">
      <c r="B39" s="167">
        <v>93376</v>
      </c>
      <c r="C39" s="168" t="s">
        <v>343</v>
      </c>
      <c r="D39" s="169" t="s">
        <v>223</v>
      </c>
      <c r="E39" s="170">
        <v>16.73</v>
      </c>
    </row>
    <row r="40" spans="2:5" ht="33.75" x14ac:dyDescent="0.2">
      <c r="B40" s="167">
        <v>93377</v>
      </c>
      <c r="C40" s="168" t="s">
        <v>344</v>
      </c>
      <c r="D40" s="169" t="s">
        <v>223</v>
      </c>
      <c r="E40" s="170">
        <v>11.18</v>
      </c>
    </row>
    <row r="41" spans="2:5" ht="33.75" x14ac:dyDescent="0.2">
      <c r="B41" s="167">
        <v>93363</v>
      </c>
      <c r="C41" s="168" t="s">
        <v>345</v>
      </c>
      <c r="D41" s="169" t="s">
        <v>223</v>
      </c>
      <c r="E41" s="170">
        <v>15.39</v>
      </c>
    </row>
    <row r="42" spans="2:5" ht="33.75" x14ac:dyDescent="0.2">
      <c r="B42" s="167">
        <v>93364</v>
      </c>
      <c r="C42" s="168" t="s">
        <v>346</v>
      </c>
      <c r="D42" s="169" t="s">
        <v>223</v>
      </c>
      <c r="E42" s="170">
        <v>12.16</v>
      </c>
    </row>
    <row r="43" spans="2:5" ht="33.75" x14ac:dyDescent="0.2">
      <c r="B43" s="167">
        <v>93372</v>
      </c>
      <c r="C43" s="168" t="s">
        <v>347</v>
      </c>
      <c r="D43" s="169" t="s">
        <v>25</v>
      </c>
      <c r="E43" s="170">
        <v>12.1</v>
      </c>
    </row>
    <row r="44" spans="2:5" ht="33.75" x14ac:dyDescent="0.2">
      <c r="B44" s="167">
        <v>93366</v>
      </c>
      <c r="C44" s="168" t="s">
        <v>348</v>
      </c>
      <c r="D44" s="169" t="s">
        <v>223</v>
      </c>
      <c r="E44" s="170">
        <v>11.16</v>
      </c>
    </row>
    <row r="45" spans="2:5" ht="33.75" x14ac:dyDescent="0.2">
      <c r="B45" s="167">
        <v>93378</v>
      </c>
      <c r="C45" s="168" t="s">
        <v>349</v>
      </c>
      <c r="D45" s="169" t="s">
        <v>223</v>
      </c>
      <c r="E45" s="170">
        <v>24.86</v>
      </c>
    </row>
    <row r="46" spans="2:5" ht="33.75" x14ac:dyDescent="0.2">
      <c r="B46" s="167">
        <v>93379</v>
      </c>
      <c r="C46" s="168" t="s">
        <v>350</v>
      </c>
      <c r="D46" s="169" t="s">
        <v>223</v>
      </c>
      <c r="E46" s="170">
        <v>19.2</v>
      </c>
    </row>
    <row r="47" spans="2:5" ht="33.75" x14ac:dyDescent="0.2">
      <c r="B47" s="167">
        <v>93380</v>
      </c>
      <c r="C47" s="168" t="s">
        <v>351</v>
      </c>
      <c r="D47" s="169" t="s">
        <v>223</v>
      </c>
      <c r="E47" s="170">
        <v>15.74</v>
      </c>
    </row>
    <row r="48" spans="2:5" ht="33.75" x14ac:dyDescent="0.2">
      <c r="B48" s="167">
        <v>93381</v>
      </c>
      <c r="C48" s="168" t="s">
        <v>352</v>
      </c>
      <c r="D48" s="169" t="s">
        <v>223</v>
      </c>
      <c r="E48" s="170">
        <v>10.48</v>
      </c>
    </row>
    <row r="49" spans="2:5" ht="33.75" x14ac:dyDescent="0.2">
      <c r="B49" s="167">
        <v>93370</v>
      </c>
      <c r="C49" s="168" t="s">
        <v>353</v>
      </c>
      <c r="D49" s="169" t="s">
        <v>223</v>
      </c>
      <c r="E49" s="170">
        <v>13.86</v>
      </c>
    </row>
    <row r="50" spans="2:5" ht="33.75" x14ac:dyDescent="0.2">
      <c r="B50" s="167">
        <v>93371</v>
      </c>
      <c r="C50" s="168" t="s">
        <v>354</v>
      </c>
      <c r="D50" s="169" t="s">
        <v>223</v>
      </c>
      <c r="E50" s="170">
        <v>10.64</v>
      </c>
    </row>
    <row r="51" spans="2:5" ht="33.75" x14ac:dyDescent="0.2">
      <c r="B51" s="167">
        <v>93372</v>
      </c>
      <c r="C51" s="168" t="s">
        <v>355</v>
      </c>
      <c r="D51" s="169" t="s">
        <v>223</v>
      </c>
      <c r="E51" s="170">
        <v>12.1</v>
      </c>
    </row>
    <row r="52" spans="2:5" ht="33.75" x14ac:dyDescent="0.2">
      <c r="B52" s="167">
        <v>93373</v>
      </c>
      <c r="C52" s="168" t="s">
        <v>356</v>
      </c>
      <c r="D52" s="169" t="s">
        <v>223</v>
      </c>
      <c r="E52" s="170">
        <v>9.65</v>
      </c>
    </row>
    <row r="53" spans="2:5" ht="22.5" x14ac:dyDescent="0.2">
      <c r="B53" s="167">
        <v>94319</v>
      </c>
      <c r="C53" s="168" t="s">
        <v>357</v>
      </c>
      <c r="D53" s="169" t="s">
        <v>223</v>
      </c>
      <c r="E53" s="170">
        <v>80.709999999999994</v>
      </c>
    </row>
    <row r="54" spans="2:5" ht="22.5" x14ac:dyDescent="0.2">
      <c r="B54" s="167">
        <v>94342</v>
      </c>
      <c r="C54" s="168" t="s">
        <v>358</v>
      </c>
      <c r="D54" s="169" t="s">
        <v>223</v>
      </c>
      <c r="E54" s="170">
        <v>88.16</v>
      </c>
    </row>
    <row r="55" spans="2:5" ht="22.5" x14ac:dyDescent="0.2">
      <c r="B55" s="167">
        <v>94304</v>
      </c>
      <c r="C55" s="168" t="s">
        <v>359</v>
      </c>
      <c r="D55" s="169" t="s">
        <v>223</v>
      </c>
      <c r="E55" s="170">
        <v>68.78</v>
      </c>
    </row>
    <row r="56" spans="2:5" ht="22.5" x14ac:dyDescent="0.2">
      <c r="B56" s="167">
        <v>94305</v>
      </c>
      <c r="C56" s="168" t="s">
        <v>360</v>
      </c>
      <c r="D56" s="169" t="s">
        <v>223</v>
      </c>
      <c r="E56" s="170">
        <v>64.66</v>
      </c>
    </row>
    <row r="57" spans="2:5" ht="22.5" x14ac:dyDescent="0.2">
      <c r="B57" s="167">
        <v>94306</v>
      </c>
      <c r="C57" s="168" t="s">
        <v>361</v>
      </c>
      <c r="D57" s="169" t="s">
        <v>223</v>
      </c>
      <c r="E57" s="170">
        <v>59.42</v>
      </c>
    </row>
    <row r="58" spans="2:5" ht="22.5" x14ac:dyDescent="0.2">
      <c r="B58" s="167">
        <v>94307</v>
      </c>
      <c r="C58" s="168" t="s">
        <v>362</v>
      </c>
      <c r="D58" s="169" t="s">
        <v>223</v>
      </c>
      <c r="E58" s="170">
        <v>60.62</v>
      </c>
    </row>
    <row r="59" spans="2:5" ht="22.5" x14ac:dyDescent="0.2">
      <c r="B59" s="167">
        <v>94308</v>
      </c>
      <c r="C59" s="168" t="s">
        <v>363</v>
      </c>
      <c r="D59" s="169" t="s">
        <v>223</v>
      </c>
      <c r="E59" s="170">
        <v>57.4</v>
      </c>
    </row>
    <row r="60" spans="2:5" ht="22.5" x14ac:dyDescent="0.2">
      <c r="B60" s="167">
        <v>94309</v>
      </c>
      <c r="C60" s="168" t="s">
        <v>364</v>
      </c>
      <c r="D60" s="169" t="s">
        <v>223</v>
      </c>
      <c r="E60" s="170">
        <v>58.87</v>
      </c>
    </row>
    <row r="61" spans="2:5" ht="22.5" x14ac:dyDescent="0.2">
      <c r="B61" s="167">
        <v>94310</v>
      </c>
      <c r="C61" s="168" t="s">
        <v>365</v>
      </c>
      <c r="D61" s="169" t="s">
        <v>223</v>
      </c>
      <c r="E61" s="170">
        <v>56.39</v>
      </c>
    </row>
    <row r="62" spans="2:5" ht="22.5" x14ac:dyDescent="0.2">
      <c r="B62" s="167">
        <v>94315</v>
      </c>
      <c r="C62" s="168" t="s">
        <v>366</v>
      </c>
      <c r="D62" s="169" t="s">
        <v>223</v>
      </c>
      <c r="E62" s="170">
        <v>75.930000000000007</v>
      </c>
    </row>
    <row r="63" spans="2:5" ht="22.5" x14ac:dyDescent="0.2">
      <c r="B63" s="167">
        <v>94316</v>
      </c>
      <c r="C63" s="168" t="s">
        <v>367</v>
      </c>
      <c r="D63" s="169" t="s">
        <v>223</v>
      </c>
      <c r="E63" s="170">
        <v>66.650000000000006</v>
      </c>
    </row>
    <row r="64" spans="2:5" ht="22.5" x14ac:dyDescent="0.2">
      <c r="B64" s="167">
        <v>94317</v>
      </c>
      <c r="C64" s="168" t="s">
        <v>368</v>
      </c>
      <c r="D64" s="169" t="s">
        <v>223</v>
      </c>
      <c r="E64" s="170">
        <v>62.53</v>
      </c>
    </row>
    <row r="65" spans="2:5" ht="22.5" x14ac:dyDescent="0.2">
      <c r="B65" s="167">
        <v>94318</v>
      </c>
      <c r="C65" s="168" t="s">
        <v>369</v>
      </c>
      <c r="D65" s="169" t="s">
        <v>223</v>
      </c>
      <c r="E65" s="170">
        <v>57.25</v>
      </c>
    </row>
    <row r="66" spans="2:5" ht="22.5" x14ac:dyDescent="0.2">
      <c r="B66" s="167">
        <v>94327</v>
      </c>
      <c r="C66" s="168" t="s">
        <v>370</v>
      </c>
      <c r="D66" s="169" t="s">
        <v>223</v>
      </c>
      <c r="E66" s="170">
        <v>76.23</v>
      </c>
    </row>
    <row r="67" spans="2:5" ht="22.5" x14ac:dyDescent="0.2">
      <c r="B67" s="167">
        <v>94328</v>
      </c>
      <c r="C67" s="168" t="s">
        <v>371</v>
      </c>
      <c r="D67" s="169" t="s">
        <v>223</v>
      </c>
      <c r="E67" s="170">
        <v>72.11</v>
      </c>
    </row>
    <row r="68" spans="2:5" ht="22.5" x14ac:dyDescent="0.2">
      <c r="B68" s="167">
        <v>94329</v>
      </c>
      <c r="C68" s="168" t="s">
        <v>372</v>
      </c>
      <c r="D68" s="169" t="s">
        <v>223</v>
      </c>
      <c r="E68" s="170">
        <v>66.87</v>
      </c>
    </row>
    <row r="69" spans="2:5" ht="22.5" x14ac:dyDescent="0.2">
      <c r="B69" s="167">
        <v>94330</v>
      </c>
      <c r="C69" s="168" t="s">
        <v>373</v>
      </c>
      <c r="D69" s="169" t="s">
        <v>223</v>
      </c>
      <c r="E69" s="170">
        <v>68.069999999999993</v>
      </c>
    </row>
    <row r="70" spans="2:5" ht="22.5" x14ac:dyDescent="0.2">
      <c r="B70" s="167">
        <v>94331</v>
      </c>
      <c r="C70" s="168" t="s">
        <v>374</v>
      </c>
      <c r="D70" s="169" t="s">
        <v>223</v>
      </c>
      <c r="E70" s="170">
        <v>64.849999999999994</v>
      </c>
    </row>
    <row r="71" spans="2:5" ht="22.5" x14ac:dyDescent="0.2">
      <c r="B71" s="167">
        <v>94332</v>
      </c>
      <c r="C71" s="168" t="s">
        <v>375</v>
      </c>
      <c r="D71" s="169" t="s">
        <v>223</v>
      </c>
      <c r="E71" s="170">
        <v>66.319999999999993</v>
      </c>
    </row>
    <row r="72" spans="2:5" ht="22.5" x14ac:dyDescent="0.2">
      <c r="B72" s="167">
        <v>94333</v>
      </c>
      <c r="C72" s="168" t="s">
        <v>376</v>
      </c>
      <c r="D72" s="169" t="s">
        <v>223</v>
      </c>
      <c r="E72" s="170">
        <v>63.84</v>
      </c>
    </row>
    <row r="73" spans="2:5" ht="22.5" x14ac:dyDescent="0.2">
      <c r="B73" s="167">
        <v>94338</v>
      </c>
      <c r="C73" s="168" t="s">
        <v>377</v>
      </c>
      <c r="D73" s="169" t="s">
        <v>223</v>
      </c>
      <c r="E73" s="170">
        <v>83.38</v>
      </c>
    </row>
    <row r="74" spans="2:5" ht="22.5" x14ac:dyDescent="0.2">
      <c r="B74" s="167">
        <v>94339</v>
      </c>
      <c r="C74" s="168" t="s">
        <v>378</v>
      </c>
      <c r="D74" s="169" t="s">
        <v>223</v>
      </c>
      <c r="E74" s="170">
        <v>74.099999999999994</v>
      </c>
    </row>
    <row r="75" spans="2:5" ht="22.5" x14ac:dyDescent="0.2">
      <c r="B75" s="167">
        <v>94340</v>
      </c>
      <c r="C75" s="168" t="s">
        <v>379</v>
      </c>
      <c r="D75" s="169" t="s">
        <v>223</v>
      </c>
      <c r="E75" s="170">
        <v>69.98</v>
      </c>
    </row>
    <row r="76" spans="2:5" ht="22.5" x14ac:dyDescent="0.2">
      <c r="B76" s="167">
        <v>94341</v>
      </c>
      <c r="C76" s="168" t="s">
        <v>380</v>
      </c>
      <c r="D76" s="169" t="s">
        <v>223</v>
      </c>
      <c r="E76" s="170">
        <v>64.7</v>
      </c>
    </row>
    <row r="77" spans="2:5" x14ac:dyDescent="0.2">
      <c r="B77" s="167" t="s">
        <v>381</v>
      </c>
      <c r="C77" s="168" t="s">
        <v>382</v>
      </c>
      <c r="D77" s="169" t="s">
        <v>223</v>
      </c>
      <c r="E77" s="149">
        <v>132.79</v>
      </c>
    </row>
    <row r="78" spans="2:5" x14ac:dyDescent="0.2">
      <c r="B78" s="167" t="s">
        <v>383</v>
      </c>
      <c r="C78" s="168" t="s">
        <v>382</v>
      </c>
      <c r="D78" s="169" t="s">
        <v>223</v>
      </c>
      <c r="E78" s="149">
        <v>143.6</v>
      </c>
    </row>
    <row r="79" spans="2:5" x14ac:dyDescent="0.2">
      <c r="B79" s="172" t="s">
        <v>384</v>
      </c>
      <c r="C79" s="168" t="s">
        <v>385</v>
      </c>
      <c r="D79" s="173" t="s">
        <v>223</v>
      </c>
      <c r="E79" s="144">
        <v>17.43</v>
      </c>
    </row>
    <row r="80" spans="2:5" x14ac:dyDescent="0.2">
      <c r="B80" s="172" t="s">
        <v>386</v>
      </c>
      <c r="C80" s="168" t="s">
        <v>387</v>
      </c>
      <c r="D80" s="173" t="s">
        <v>223</v>
      </c>
      <c r="E80" s="144">
        <v>3.61</v>
      </c>
    </row>
    <row r="81" spans="2:5" x14ac:dyDescent="0.2">
      <c r="B81" s="167">
        <v>100973</v>
      </c>
      <c r="C81" s="168" t="s">
        <v>388</v>
      </c>
      <c r="D81" s="173" t="s">
        <v>84</v>
      </c>
      <c r="E81" s="170">
        <v>8.57</v>
      </c>
    </row>
    <row r="82" spans="2:5" x14ac:dyDescent="0.2">
      <c r="B82" s="167">
        <v>100974</v>
      </c>
      <c r="C82" s="168" t="s">
        <v>389</v>
      </c>
      <c r="D82" s="173" t="s">
        <v>84</v>
      </c>
      <c r="E82" s="170">
        <v>8.34</v>
      </c>
    </row>
    <row r="83" spans="2:5" x14ac:dyDescent="0.2">
      <c r="B83" s="167">
        <v>100975</v>
      </c>
      <c r="C83" s="168" t="s">
        <v>390</v>
      </c>
      <c r="D83" s="173" t="s">
        <v>84</v>
      </c>
      <c r="E83" s="170">
        <v>8.44</v>
      </c>
    </row>
    <row r="84" spans="2:5" ht="22.5" x14ac:dyDescent="0.2">
      <c r="B84" s="167">
        <v>100981</v>
      </c>
      <c r="C84" s="168" t="s">
        <v>391</v>
      </c>
      <c r="D84" s="173" t="s">
        <v>84</v>
      </c>
      <c r="E84" s="170">
        <v>9.0399999999999991</v>
      </c>
    </row>
    <row r="85" spans="2:5" ht="22.5" x14ac:dyDescent="0.2">
      <c r="B85" s="167">
        <v>100982</v>
      </c>
      <c r="C85" s="168" t="s">
        <v>392</v>
      </c>
      <c r="D85" s="173" t="s">
        <v>84</v>
      </c>
      <c r="E85" s="170">
        <v>8.73</v>
      </c>
    </row>
    <row r="86" spans="2:5" ht="22.5" x14ac:dyDescent="0.2">
      <c r="B86" s="167">
        <v>100983</v>
      </c>
      <c r="C86" s="168" t="s">
        <v>393</v>
      </c>
      <c r="D86" s="173" t="s">
        <v>84</v>
      </c>
      <c r="E86" s="170">
        <v>8.8000000000000007</v>
      </c>
    </row>
    <row r="87" spans="2:5" x14ac:dyDescent="0.2">
      <c r="B87" s="172" t="s">
        <v>394</v>
      </c>
      <c r="C87" s="168" t="s">
        <v>395</v>
      </c>
      <c r="D87" s="173" t="s">
        <v>396</v>
      </c>
      <c r="E87" s="144">
        <v>30.95</v>
      </c>
    </row>
    <row r="88" spans="2:5" x14ac:dyDescent="0.2">
      <c r="B88" s="172" t="s">
        <v>397</v>
      </c>
      <c r="C88" s="168" t="s">
        <v>398</v>
      </c>
      <c r="D88" s="173" t="s">
        <v>396</v>
      </c>
      <c r="E88" s="144">
        <v>28.29</v>
      </c>
    </row>
    <row r="89" spans="2:5" x14ac:dyDescent="0.2">
      <c r="B89" s="172" t="s">
        <v>399</v>
      </c>
      <c r="C89" s="168" t="s">
        <v>400</v>
      </c>
      <c r="D89" s="173" t="s">
        <v>396</v>
      </c>
      <c r="E89" s="144">
        <v>34.71</v>
      </c>
    </row>
    <row r="90" spans="2:5" x14ac:dyDescent="0.2">
      <c r="B90" s="172" t="s">
        <v>401</v>
      </c>
      <c r="C90" s="168" t="s">
        <v>402</v>
      </c>
      <c r="D90" s="173" t="s">
        <v>396</v>
      </c>
      <c r="E90" s="144">
        <v>35.67</v>
      </c>
    </row>
    <row r="91" spans="2:5" ht="25.5" customHeight="1" x14ac:dyDescent="0.2">
      <c r="B91" s="167" t="s">
        <v>403</v>
      </c>
      <c r="C91" s="168" t="s">
        <v>404</v>
      </c>
      <c r="D91" s="173" t="s">
        <v>42</v>
      </c>
      <c r="E91" s="144">
        <v>28.73</v>
      </c>
    </row>
    <row r="92" spans="2:5" ht="25.5" customHeight="1" x14ac:dyDescent="0.2">
      <c r="B92" s="172" t="s">
        <v>405</v>
      </c>
      <c r="C92" s="168" t="s">
        <v>406</v>
      </c>
      <c r="D92" s="173" t="s">
        <v>42</v>
      </c>
      <c r="E92" s="144">
        <v>38.179999999999993</v>
      </c>
    </row>
    <row r="93" spans="2:5" ht="25.5" customHeight="1" x14ac:dyDescent="0.2">
      <c r="B93" s="172" t="s">
        <v>407</v>
      </c>
      <c r="C93" s="168" t="s">
        <v>408</v>
      </c>
      <c r="D93" s="173" t="s">
        <v>42</v>
      </c>
      <c r="E93" s="144">
        <v>50.52</v>
      </c>
    </row>
    <row r="94" spans="2:5" x14ac:dyDescent="0.2">
      <c r="B94" s="172" t="s">
        <v>409</v>
      </c>
      <c r="C94" s="168" t="s">
        <v>410</v>
      </c>
      <c r="D94" s="173" t="s">
        <v>42</v>
      </c>
      <c r="E94" s="144">
        <v>9.57</v>
      </c>
    </row>
    <row r="95" spans="2:5" x14ac:dyDescent="0.2">
      <c r="B95" s="172" t="s">
        <v>411</v>
      </c>
      <c r="C95" s="168" t="s">
        <v>412</v>
      </c>
      <c r="D95" s="173" t="s">
        <v>42</v>
      </c>
      <c r="E95" s="144">
        <v>10.44</v>
      </c>
    </row>
    <row r="96" spans="2:5" x14ac:dyDescent="0.2">
      <c r="B96" s="172" t="s">
        <v>413</v>
      </c>
      <c r="C96" s="168" t="s">
        <v>414</v>
      </c>
      <c r="D96" s="173" t="s">
        <v>42</v>
      </c>
      <c r="E96" s="144">
        <v>11.48</v>
      </c>
    </row>
    <row r="97" spans="2:5" x14ac:dyDescent="0.2">
      <c r="B97" s="172" t="s">
        <v>415</v>
      </c>
      <c r="C97" s="168" t="s">
        <v>416</v>
      </c>
      <c r="D97" s="173" t="s">
        <v>42</v>
      </c>
      <c r="E97" s="144">
        <v>14.64</v>
      </c>
    </row>
    <row r="98" spans="2:5" x14ac:dyDescent="0.2">
      <c r="B98" s="172" t="s">
        <v>417</v>
      </c>
      <c r="C98" s="168" t="s">
        <v>418</v>
      </c>
      <c r="D98" s="173" t="s">
        <v>42</v>
      </c>
      <c r="E98" s="144">
        <v>14.92</v>
      </c>
    </row>
    <row r="99" spans="2:5" x14ac:dyDescent="0.2">
      <c r="B99" s="172" t="s">
        <v>419</v>
      </c>
      <c r="C99" s="168" t="s">
        <v>420</v>
      </c>
      <c r="D99" s="173" t="s">
        <v>42</v>
      </c>
      <c r="E99" s="144">
        <v>15.35</v>
      </c>
    </row>
    <row r="100" spans="2:5" x14ac:dyDescent="0.2">
      <c r="B100" s="172" t="s">
        <v>421</v>
      </c>
      <c r="C100" s="168" t="s">
        <v>422</v>
      </c>
      <c r="D100" s="173" t="s">
        <v>42</v>
      </c>
      <c r="E100" s="144">
        <v>21.41</v>
      </c>
    </row>
    <row r="101" spans="2:5" x14ac:dyDescent="0.2">
      <c r="B101" s="172" t="s">
        <v>423</v>
      </c>
      <c r="C101" s="168" t="s">
        <v>424</v>
      </c>
      <c r="D101" s="173" t="s">
        <v>42</v>
      </c>
      <c r="E101" s="144">
        <v>43.92</v>
      </c>
    </row>
    <row r="102" spans="2:5" x14ac:dyDescent="0.2">
      <c r="B102" s="172" t="s">
        <v>425</v>
      </c>
      <c r="C102" s="168" t="s">
        <v>426</v>
      </c>
      <c r="D102" s="173" t="s">
        <v>42</v>
      </c>
      <c r="E102" s="144">
        <v>62.35</v>
      </c>
    </row>
    <row r="103" spans="2:5" x14ac:dyDescent="0.2">
      <c r="B103" s="172" t="s">
        <v>427</v>
      </c>
      <c r="C103" s="168" t="s">
        <v>428</v>
      </c>
      <c r="D103" s="173" t="s">
        <v>42</v>
      </c>
      <c r="E103" s="144">
        <v>96.37</v>
      </c>
    </row>
    <row r="104" spans="2:5" x14ac:dyDescent="0.2">
      <c r="B104" s="172" t="s">
        <v>429</v>
      </c>
      <c r="C104" s="168" t="s">
        <v>430</v>
      </c>
      <c r="D104" s="173" t="s">
        <v>42</v>
      </c>
      <c r="E104" s="144">
        <v>128.5</v>
      </c>
    </row>
    <row r="105" spans="2:5" x14ac:dyDescent="0.2">
      <c r="B105" s="172" t="s">
        <v>431</v>
      </c>
      <c r="C105" s="168" t="s">
        <v>432</v>
      </c>
      <c r="D105" s="173" t="s">
        <v>42</v>
      </c>
      <c r="E105" s="144">
        <v>204.11</v>
      </c>
    </row>
    <row r="106" spans="2:5" x14ac:dyDescent="0.2">
      <c r="B106" s="172" t="s">
        <v>433</v>
      </c>
      <c r="C106" s="168" t="s">
        <v>434</v>
      </c>
      <c r="D106" s="173" t="s">
        <v>42</v>
      </c>
      <c r="E106" s="144">
        <v>28.13</v>
      </c>
    </row>
    <row r="107" spans="2:5" x14ac:dyDescent="0.2">
      <c r="B107" s="172" t="s">
        <v>435</v>
      </c>
      <c r="C107" s="168" t="s">
        <v>436</v>
      </c>
      <c r="D107" s="173" t="s">
        <v>42</v>
      </c>
      <c r="E107" s="144">
        <v>38.72</v>
      </c>
    </row>
    <row r="108" spans="2:5" x14ac:dyDescent="0.2">
      <c r="B108" s="172" t="s">
        <v>437</v>
      </c>
      <c r="C108" s="168" t="s">
        <v>438</v>
      </c>
      <c r="D108" s="173" t="s">
        <v>42</v>
      </c>
      <c r="E108" s="144">
        <v>49.57</v>
      </c>
    </row>
    <row r="109" spans="2:5" x14ac:dyDescent="0.2">
      <c r="B109" s="172" t="s">
        <v>439</v>
      </c>
      <c r="C109" s="168" t="s">
        <v>440</v>
      </c>
      <c r="D109" s="173" t="s">
        <v>42</v>
      </c>
      <c r="E109" s="144">
        <v>60.300000000000004</v>
      </c>
    </row>
    <row r="110" spans="2:5" x14ac:dyDescent="0.2">
      <c r="B110" s="172" t="s">
        <v>441</v>
      </c>
      <c r="C110" s="168" t="s">
        <v>442</v>
      </c>
      <c r="D110" s="173" t="s">
        <v>42</v>
      </c>
      <c r="E110" s="144">
        <v>71.649999999999991</v>
      </c>
    </row>
    <row r="111" spans="2:5" x14ac:dyDescent="0.2">
      <c r="B111" s="172" t="s">
        <v>443</v>
      </c>
      <c r="C111" s="168" t="s">
        <v>444</v>
      </c>
      <c r="D111" s="173" t="s">
        <v>42</v>
      </c>
      <c r="E111" s="144">
        <v>95.67</v>
      </c>
    </row>
    <row r="112" spans="2:5" x14ac:dyDescent="0.2">
      <c r="B112" s="172" t="s">
        <v>445</v>
      </c>
      <c r="C112" s="168" t="s">
        <v>446</v>
      </c>
      <c r="D112" s="173" t="s">
        <v>42</v>
      </c>
      <c r="E112" s="144">
        <v>124.03999999999999</v>
      </c>
    </row>
    <row r="113" spans="2:5" x14ac:dyDescent="0.2">
      <c r="B113" s="172" t="s">
        <v>447</v>
      </c>
      <c r="C113" s="168" t="s">
        <v>448</v>
      </c>
      <c r="D113" s="173" t="s">
        <v>42</v>
      </c>
      <c r="E113" s="144">
        <v>224.69</v>
      </c>
    </row>
    <row r="114" spans="2:5" x14ac:dyDescent="0.2">
      <c r="B114" s="172" t="s">
        <v>449</v>
      </c>
      <c r="C114" s="168" t="s">
        <v>450</v>
      </c>
      <c r="D114" s="173" t="s">
        <v>42</v>
      </c>
      <c r="E114" s="144">
        <v>300.21000000000004</v>
      </c>
    </row>
    <row r="115" spans="2:5" x14ac:dyDescent="0.2">
      <c r="B115" s="172" t="s">
        <v>451</v>
      </c>
      <c r="C115" s="168" t="s">
        <v>452</v>
      </c>
      <c r="D115" s="173" t="s">
        <v>42</v>
      </c>
      <c r="E115" s="144">
        <v>375.73</v>
      </c>
    </row>
    <row r="116" spans="2:5" x14ac:dyDescent="0.2">
      <c r="B116" s="172" t="s">
        <v>453</v>
      </c>
      <c r="C116" s="168" t="s">
        <v>454</v>
      </c>
      <c r="D116" s="173" t="s">
        <v>42</v>
      </c>
      <c r="E116" s="144">
        <v>420.17</v>
      </c>
    </row>
    <row r="117" spans="2:5" x14ac:dyDescent="0.2">
      <c r="B117" s="172" t="s">
        <v>455</v>
      </c>
      <c r="C117" s="168" t="s">
        <v>456</v>
      </c>
      <c r="D117" s="173" t="s">
        <v>42</v>
      </c>
      <c r="E117" s="144">
        <v>464.64</v>
      </c>
    </row>
    <row r="118" spans="2:5" ht="22.5" customHeight="1" x14ac:dyDescent="0.2">
      <c r="B118" s="172" t="s">
        <v>457</v>
      </c>
      <c r="C118" s="168" t="s">
        <v>458</v>
      </c>
      <c r="D118" s="173" t="s">
        <v>42</v>
      </c>
      <c r="E118" s="144">
        <v>49.54</v>
      </c>
    </row>
    <row r="119" spans="2:5" ht="22.5" x14ac:dyDescent="0.2">
      <c r="B119" s="167">
        <v>95567</v>
      </c>
      <c r="C119" s="168" t="s">
        <v>459</v>
      </c>
      <c r="D119" s="173" t="s">
        <v>42</v>
      </c>
      <c r="E119" s="170">
        <v>73.08</v>
      </c>
    </row>
    <row r="120" spans="2:5" ht="22.5" x14ac:dyDescent="0.2">
      <c r="B120" s="167">
        <v>95568</v>
      </c>
      <c r="C120" s="168" t="s">
        <v>460</v>
      </c>
      <c r="D120" s="173" t="s">
        <v>42</v>
      </c>
      <c r="E120" s="170">
        <v>90.74</v>
      </c>
    </row>
    <row r="121" spans="2:5" ht="22.5" x14ac:dyDescent="0.2">
      <c r="B121" s="167">
        <v>95569</v>
      </c>
      <c r="C121" s="168" t="s">
        <v>461</v>
      </c>
      <c r="D121" s="173" t="s">
        <v>42</v>
      </c>
      <c r="E121" s="170">
        <v>119.78</v>
      </c>
    </row>
    <row r="122" spans="2:5" ht="22.5" customHeight="1" x14ac:dyDescent="0.2">
      <c r="B122" s="167" t="s">
        <v>462</v>
      </c>
      <c r="C122" s="168" t="s">
        <v>463</v>
      </c>
      <c r="D122" s="173" t="s">
        <v>42</v>
      </c>
      <c r="E122" s="144">
        <v>55.129999999999995</v>
      </c>
    </row>
    <row r="123" spans="2:5" ht="22.5" x14ac:dyDescent="0.2">
      <c r="B123" s="167">
        <v>95570</v>
      </c>
      <c r="C123" s="168" t="s">
        <v>464</v>
      </c>
      <c r="D123" s="173" t="s">
        <v>42</v>
      </c>
      <c r="E123" s="170">
        <v>81.510000000000005</v>
      </c>
    </row>
    <row r="124" spans="2:5" ht="22.5" x14ac:dyDescent="0.2">
      <c r="B124" s="167">
        <v>95571</v>
      </c>
      <c r="C124" s="168" t="s">
        <v>465</v>
      </c>
      <c r="D124" s="173" t="s">
        <v>42</v>
      </c>
      <c r="E124" s="170">
        <v>101.55</v>
      </c>
    </row>
    <row r="125" spans="2:5" ht="22.5" x14ac:dyDescent="0.2">
      <c r="B125" s="167">
        <v>95572</v>
      </c>
      <c r="C125" s="168" t="s">
        <v>466</v>
      </c>
      <c r="D125" s="173" t="s">
        <v>42</v>
      </c>
      <c r="E125" s="170">
        <v>133.16</v>
      </c>
    </row>
    <row r="126" spans="2:5" ht="22.5" x14ac:dyDescent="0.2">
      <c r="B126" s="167">
        <v>95565</v>
      </c>
      <c r="C126" s="168" t="s">
        <v>467</v>
      </c>
      <c r="D126" s="173" t="s">
        <v>42</v>
      </c>
      <c r="E126" s="170">
        <v>119.19</v>
      </c>
    </row>
    <row r="127" spans="2:5" ht="22.5" x14ac:dyDescent="0.2">
      <c r="B127" s="167">
        <v>92210</v>
      </c>
      <c r="C127" s="168" t="s">
        <v>468</v>
      </c>
      <c r="D127" s="173" t="s">
        <v>42</v>
      </c>
      <c r="E127" s="170">
        <v>141.21</v>
      </c>
    </row>
    <row r="128" spans="2:5" ht="22.5" x14ac:dyDescent="0.2">
      <c r="B128" s="167">
        <v>92211</v>
      </c>
      <c r="C128" s="168" t="s">
        <v>469</v>
      </c>
      <c r="D128" s="173" t="s">
        <v>42</v>
      </c>
      <c r="E128" s="170">
        <v>169.94</v>
      </c>
    </row>
    <row r="129" spans="2:5" ht="22.5" x14ac:dyDescent="0.2">
      <c r="B129" s="167">
        <v>92212</v>
      </c>
      <c r="C129" s="168" t="s">
        <v>470</v>
      </c>
      <c r="D129" s="173" t="s">
        <v>42</v>
      </c>
      <c r="E129" s="170">
        <v>245.89</v>
      </c>
    </row>
    <row r="130" spans="2:5" ht="22.5" x14ac:dyDescent="0.2">
      <c r="B130" s="167">
        <v>92214</v>
      </c>
      <c r="C130" s="168" t="s">
        <v>471</v>
      </c>
      <c r="D130" s="173" t="s">
        <v>42</v>
      </c>
      <c r="E130" s="170">
        <v>382.74</v>
      </c>
    </row>
    <row r="131" spans="2:5" ht="22.5" customHeight="1" x14ac:dyDescent="0.2">
      <c r="B131" s="167">
        <v>92216</v>
      </c>
      <c r="C131" s="168" t="s">
        <v>472</v>
      </c>
      <c r="D131" s="173" t="s">
        <v>42</v>
      </c>
      <c r="E131" s="170">
        <v>462.66</v>
      </c>
    </row>
    <row r="132" spans="2:5" ht="22.5" customHeight="1" x14ac:dyDescent="0.2">
      <c r="B132" s="167">
        <v>92816</v>
      </c>
      <c r="C132" s="168" t="s">
        <v>473</v>
      </c>
      <c r="D132" s="173" t="s">
        <v>42</v>
      </c>
      <c r="E132" s="170">
        <v>656.77</v>
      </c>
    </row>
    <row r="133" spans="2:5" ht="22.5" customHeight="1" x14ac:dyDescent="0.2">
      <c r="B133" s="167">
        <v>92818</v>
      </c>
      <c r="C133" s="168" t="s">
        <v>474</v>
      </c>
      <c r="D133" s="173" t="s">
        <v>42</v>
      </c>
      <c r="E133" s="170">
        <v>933.33</v>
      </c>
    </row>
    <row r="134" spans="2:5" ht="22.5" x14ac:dyDescent="0.2">
      <c r="B134" s="167">
        <v>95566</v>
      </c>
      <c r="C134" s="168" t="s">
        <v>475</v>
      </c>
      <c r="D134" s="173" t="s">
        <v>42</v>
      </c>
      <c r="E134" s="170">
        <v>127.62</v>
      </c>
    </row>
    <row r="135" spans="2:5" ht="22.5" x14ac:dyDescent="0.2">
      <c r="B135" s="167">
        <v>92219</v>
      </c>
      <c r="C135" s="168" t="s">
        <v>476</v>
      </c>
      <c r="D135" s="173" t="s">
        <v>42</v>
      </c>
      <c r="E135" s="170">
        <v>152.02000000000001</v>
      </c>
    </row>
    <row r="136" spans="2:5" ht="22.5" x14ac:dyDescent="0.2">
      <c r="B136" s="167">
        <v>92220</v>
      </c>
      <c r="C136" s="168" t="s">
        <v>477</v>
      </c>
      <c r="D136" s="173" t="s">
        <v>42</v>
      </c>
      <c r="E136" s="170">
        <v>183.32</v>
      </c>
    </row>
    <row r="137" spans="2:5" ht="22.5" x14ac:dyDescent="0.2">
      <c r="B137" s="167">
        <v>92221</v>
      </c>
      <c r="C137" s="168" t="s">
        <v>478</v>
      </c>
      <c r="D137" s="173" t="s">
        <v>42</v>
      </c>
      <c r="E137" s="170">
        <v>261.56</v>
      </c>
    </row>
    <row r="138" spans="2:5" ht="22.5" x14ac:dyDescent="0.2">
      <c r="B138" s="167">
        <v>92223</v>
      </c>
      <c r="C138" s="168" t="s">
        <v>479</v>
      </c>
      <c r="D138" s="173" t="s">
        <v>42</v>
      </c>
      <c r="E138" s="170">
        <v>403.13</v>
      </c>
    </row>
    <row r="139" spans="2:5" ht="22.5" customHeight="1" x14ac:dyDescent="0.2">
      <c r="B139" s="167">
        <v>92226</v>
      </c>
      <c r="C139" s="168" t="s">
        <v>480</v>
      </c>
      <c r="D139" s="173" t="s">
        <v>42</v>
      </c>
      <c r="E139" s="170">
        <v>487.97</v>
      </c>
    </row>
    <row r="140" spans="2:5" ht="22.5" customHeight="1" x14ac:dyDescent="0.2">
      <c r="B140" s="167">
        <v>92829</v>
      </c>
      <c r="C140" s="168" t="s">
        <v>481</v>
      </c>
      <c r="D140" s="173" t="s">
        <v>42</v>
      </c>
      <c r="E140" s="170">
        <v>686.65</v>
      </c>
    </row>
    <row r="141" spans="2:5" ht="22.5" customHeight="1" x14ac:dyDescent="0.2">
      <c r="B141" s="167">
        <v>92831</v>
      </c>
      <c r="C141" s="168" t="s">
        <v>482</v>
      </c>
      <c r="D141" s="173" t="s">
        <v>42</v>
      </c>
      <c r="E141" s="170">
        <v>970.09</v>
      </c>
    </row>
    <row r="142" spans="2:5" ht="22.5" customHeight="1" x14ac:dyDescent="0.2">
      <c r="B142" s="172" t="s">
        <v>483</v>
      </c>
      <c r="C142" s="168" t="s">
        <v>484</v>
      </c>
      <c r="D142" s="173" t="s">
        <v>42</v>
      </c>
      <c r="E142" s="144">
        <v>362.25</v>
      </c>
    </row>
    <row r="143" spans="2:5" ht="22.5" customHeight="1" x14ac:dyDescent="0.2">
      <c r="B143" s="172" t="s">
        <v>485</v>
      </c>
      <c r="C143" s="168" t="s">
        <v>486</v>
      </c>
      <c r="D143" s="173" t="s">
        <v>42</v>
      </c>
      <c r="E143" s="144">
        <v>477.16999999999996</v>
      </c>
    </row>
    <row r="144" spans="2:5" ht="22.5" customHeight="1" x14ac:dyDescent="0.2">
      <c r="B144" s="172" t="s">
        <v>487</v>
      </c>
      <c r="C144" s="168" t="s">
        <v>488</v>
      </c>
      <c r="D144" s="173" t="s">
        <v>42</v>
      </c>
      <c r="E144" s="144">
        <v>742.61999999999989</v>
      </c>
    </row>
    <row r="145" spans="2:5" ht="22.5" customHeight="1" x14ac:dyDescent="0.2">
      <c r="B145" s="172" t="s">
        <v>489</v>
      </c>
      <c r="C145" s="168" t="s">
        <v>490</v>
      </c>
      <c r="D145" s="173" t="s">
        <v>42</v>
      </c>
      <c r="E145" s="144">
        <v>1046.08</v>
      </c>
    </row>
    <row r="146" spans="2:5" ht="22.5" customHeight="1" x14ac:dyDescent="0.2">
      <c r="B146" s="172" t="s">
        <v>491</v>
      </c>
      <c r="C146" s="168" t="s">
        <v>1605</v>
      </c>
      <c r="D146" s="173" t="s">
        <v>42</v>
      </c>
      <c r="E146" s="144">
        <v>2329.87</v>
      </c>
    </row>
    <row r="147" spans="2:5" ht="22.5" customHeight="1" x14ac:dyDescent="0.2">
      <c r="B147" s="172" t="s">
        <v>492</v>
      </c>
      <c r="C147" s="168" t="s">
        <v>493</v>
      </c>
      <c r="D147" s="173" t="s">
        <v>42</v>
      </c>
      <c r="E147" s="144">
        <v>2576.2399999999998</v>
      </c>
    </row>
    <row r="148" spans="2:5" ht="22.5" customHeight="1" x14ac:dyDescent="0.2">
      <c r="B148" s="172" t="s">
        <v>494</v>
      </c>
      <c r="C148" s="168" t="s">
        <v>1606</v>
      </c>
      <c r="D148" s="173" t="s">
        <v>42</v>
      </c>
      <c r="E148" s="144">
        <v>3220.67</v>
      </c>
    </row>
    <row r="149" spans="2:5" ht="22.5" x14ac:dyDescent="0.2">
      <c r="B149" s="172" t="s">
        <v>495</v>
      </c>
      <c r="C149" s="168" t="s">
        <v>496</v>
      </c>
      <c r="D149" s="173" t="s">
        <v>42</v>
      </c>
      <c r="E149" s="144">
        <v>434.65</v>
      </c>
    </row>
    <row r="150" spans="2:5" ht="33.75" x14ac:dyDescent="0.2">
      <c r="B150" s="172" t="s">
        <v>497</v>
      </c>
      <c r="C150" s="168" t="s">
        <v>498</v>
      </c>
      <c r="D150" s="173" t="s">
        <v>42</v>
      </c>
      <c r="E150" s="144">
        <v>558.62</v>
      </c>
    </row>
    <row r="151" spans="2:5" ht="22.5" x14ac:dyDescent="0.2">
      <c r="B151" s="172" t="s">
        <v>499</v>
      </c>
      <c r="C151" s="168" t="s">
        <v>500</v>
      </c>
      <c r="D151" s="173" t="s">
        <v>42</v>
      </c>
      <c r="E151" s="144">
        <v>782.58999999999992</v>
      </c>
    </row>
    <row r="152" spans="2:5" ht="33.75" x14ac:dyDescent="0.2">
      <c r="B152" s="172" t="s">
        <v>501</v>
      </c>
      <c r="C152" s="168" t="s">
        <v>502</v>
      </c>
      <c r="D152" s="173" t="s">
        <v>42</v>
      </c>
      <c r="E152" s="144">
        <v>1095.45</v>
      </c>
    </row>
    <row r="153" spans="2:5" ht="33.75" x14ac:dyDescent="0.2">
      <c r="B153" s="172" t="s">
        <v>503</v>
      </c>
      <c r="C153" s="168" t="s">
        <v>1607</v>
      </c>
      <c r="D153" s="173" t="s">
        <v>42</v>
      </c>
      <c r="E153" s="144">
        <v>2394.61</v>
      </c>
    </row>
    <row r="154" spans="2:5" ht="33.75" x14ac:dyDescent="0.2">
      <c r="B154" s="172" t="s">
        <v>504</v>
      </c>
      <c r="C154" s="168" t="s">
        <v>505</v>
      </c>
      <c r="D154" s="173" t="s">
        <v>42</v>
      </c>
      <c r="E154" s="144">
        <v>2650.62</v>
      </c>
    </row>
    <row r="155" spans="2:5" ht="33.75" x14ac:dyDescent="0.2">
      <c r="B155" s="172" t="s">
        <v>506</v>
      </c>
      <c r="C155" s="168" t="s">
        <v>1608</v>
      </c>
      <c r="D155" s="173" t="s">
        <v>42</v>
      </c>
      <c r="E155" s="144">
        <v>3291.8199999999997</v>
      </c>
    </row>
    <row r="156" spans="2:5" x14ac:dyDescent="0.2">
      <c r="B156" s="172" t="s">
        <v>507</v>
      </c>
      <c r="C156" s="168" t="s">
        <v>508</v>
      </c>
      <c r="D156" s="173" t="s">
        <v>17</v>
      </c>
      <c r="E156" s="144">
        <v>1355.51</v>
      </c>
    </row>
    <row r="157" spans="2:5" ht="22.5" x14ac:dyDescent="0.2">
      <c r="B157" s="167">
        <v>97961</v>
      </c>
      <c r="C157" s="168" t="s">
        <v>509</v>
      </c>
      <c r="D157" s="173" t="s">
        <v>17</v>
      </c>
      <c r="E157" s="170">
        <v>2130.39</v>
      </c>
    </row>
    <row r="158" spans="2:5" ht="22.5" x14ac:dyDescent="0.2">
      <c r="B158" s="167">
        <v>97973</v>
      </c>
      <c r="C158" s="168" t="s">
        <v>510</v>
      </c>
      <c r="D158" s="173" t="s">
        <v>17</v>
      </c>
      <c r="E158" s="170">
        <v>3977.02</v>
      </c>
    </row>
    <row r="159" spans="2:5" ht="25.5" customHeight="1" x14ac:dyDescent="0.2">
      <c r="B159" s="167">
        <v>101801</v>
      </c>
      <c r="C159" s="168" t="s">
        <v>511</v>
      </c>
      <c r="D159" s="173" t="s">
        <v>17</v>
      </c>
      <c r="E159" s="170">
        <v>1064.05</v>
      </c>
    </row>
    <row r="160" spans="2:5" ht="26.25" customHeight="1" x14ac:dyDescent="0.2">
      <c r="B160" s="172" t="s">
        <v>512</v>
      </c>
      <c r="C160" s="168" t="s">
        <v>513</v>
      </c>
      <c r="D160" s="173" t="s">
        <v>17</v>
      </c>
      <c r="E160" s="144">
        <v>1950.0900000000001</v>
      </c>
    </row>
    <row r="161" spans="2:5" x14ac:dyDescent="0.2">
      <c r="B161" s="172" t="s">
        <v>514</v>
      </c>
      <c r="C161" s="168" t="s">
        <v>515</v>
      </c>
      <c r="D161" s="173" t="s">
        <v>17</v>
      </c>
      <c r="E161" s="144">
        <v>348.67</v>
      </c>
    </row>
    <row r="162" spans="2:5" x14ac:dyDescent="0.2">
      <c r="B162" s="172" t="s">
        <v>516</v>
      </c>
      <c r="C162" s="168" t="s">
        <v>517</v>
      </c>
      <c r="D162" s="173" t="s">
        <v>17</v>
      </c>
      <c r="E162" s="144">
        <v>437.82000000000005</v>
      </c>
    </row>
    <row r="163" spans="2:5" x14ac:dyDescent="0.2">
      <c r="B163" s="172" t="s">
        <v>518</v>
      </c>
      <c r="C163" s="168" t="s">
        <v>519</v>
      </c>
      <c r="D163" s="173" t="s">
        <v>17</v>
      </c>
      <c r="E163" s="144">
        <v>635.84</v>
      </c>
    </row>
    <row r="164" spans="2:5" x14ac:dyDescent="0.2">
      <c r="B164" s="172" t="s">
        <v>520</v>
      </c>
      <c r="C164" s="168" t="s">
        <v>521</v>
      </c>
      <c r="D164" s="173" t="s">
        <v>17</v>
      </c>
      <c r="E164" s="144">
        <v>68.03</v>
      </c>
    </row>
    <row r="165" spans="2:5" ht="27" customHeight="1" x14ac:dyDescent="0.2">
      <c r="B165" s="172" t="s">
        <v>522</v>
      </c>
      <c r="C165" s="168" t="s">
        <v>523</v>
      </c>
      <c r="D165" s="173" t="s">
        <v>17</v>
      </c>
      <c r="E165" s="144">
        <v>1787.2700000000002</v>
      </c>
    </row>
    <row r="166" spans="2:5" ht="22.5" x14ac:dyDescent="0.2">
      <c r="B166" s="172" t="s">
        <v>524</v>
      </c>
      <c r="C166" s="168" t="s">
        <v>525</v>
      </c>
      <c r="D166" s="173" t="s">
        <v>17</v>
      </c>
      <c r="E166" s="144">
        <v>1775.43</v>
      </c>
    </row>
    <row r="167" spans="2:5" ht="22.5" x14ac:dyDescent="0.2">
      <c r="B167" s="172" t="s">
        <v>526</v>
      </c>
      <c r="C167" s="168" t="s">
        <v>527</v>
      </c>
      <c r="D167" s="173" t="s">
        <v>17</v>
      </c>
      <c r="E167" s="144">
        <v>1763.5900000000001</v>
      </c>
    </row>
    <row r="168" spans="2:5" ht="22.5" x14ac:dyDescent="0.2">
      <c r="B168" s="172" t="s">
        <v>528</v>
      </c>
      <c r="C168" s="168" t="s">
        <v>529</v>
      </c>
      <c r="D168" s="173" t="s">
        <v>17</v>
      </c>
      <c r="E168" s="144">
        <v>2398.2899999999995</v>
      </c>
    </row>
    <row r="169" spans="2:5" ht="22.5" x14ac:dyDescent="0.2">
      <c r="B169" s="172" t="s">
        <v>530</v>
      </c>
      <c r="C169" s="168" t="s">
        <v>531</v>
      </c>
      <c r="D169" s="173" t="s">
        <v>17</v>
      </c>
      <c r="E169" s="144">
        <v>3095.1200000000003</v>
      </c>
    </row>
    <row r="170" spans="2:5" ht="22.5" x14ac:dyDescent="0.2">
      <c r="B170" s="172" t="s">
        <v>532</v>
      </c>
      <c r="C170" s="168" t="s">
        <v>533</v>
      </c>
      <c r="D170" s="173" t="s">
        <v>17</v>
      </c>
      <c r="E170" s="144">
        <v>3697.8300000000004</v>
      </c>
    </row>
    <row r="171" spans="2:5" ht="22.5" x14ac:dyDescent="0.2">
      <c r="B171" s="172" t="s">
        <v>534</v>
      </c>
      <c r="C171" s="168" t="s">
        <v>535</v>
      </c>
      <c r="D171" s="173" t="s">
        <v>17</v>
      </c>
      <c r="E171" s="144">
        <v>4777.6200000000008</v>
      </c>
    </row>
    <row r="172" spans="2:5" ht="22.5" x14ac:dyDescent="0.2">
      <c r="B172" s="172" t="s">
        <v>536</v>
      </c>
      <c r="C172" s="168" t="s">
        <v>537</v>
      </c>
      <c r="D172" s="173" t="s">
        <v>17</v>
      </c>
      <c r="E172" s="144">
        <v>2129.0600000000004</v>
      </c>
    </row>
    <row r="173" spans="2:5" ht="22.5" customHeight="1" x14ac:dyDescent="0.2">
      <c r="B173" s="172" t="s">
        <v>538</v>
      </c>
      <c r="C173" s="168" t="s">
        <v>539</v>
      </c>
      <c r="D173" s="173" t="s">
        <v>17</v>
      </c>
      <c r="E173" s="144">
        <v>2115.2500000000005</v>
      </c>
    </row>
    <row r="174" spans="2:5" ht="22.5" customHeight="1" x14ac:dyDescent="0.2">
      <c r="B174" s="172" t="s">
        <v>540</v>
      </c>
      <c r="C174" s="168" t="s">
        <v>541</v>
      </c>
      <c r="D174" s="173" t="s">
        <v>17</v>
      </c>
      <c r="E174" s="144">
        <v>2101.44</v>
      </c>
    </row>
    <row r="175" spans="2:5" ht="22.5" x14ac:dyDescent="0.2">
      <c r="B175" s="172" t="s">
        <v>542</v>
      </c>
      <c r="C175" s="168" t="s">
        <v>543</v>
      </c>
      <c r="D175" s="173" t="s">
        <v>17</v>
      </c>
      <c r="E175" s="144">
        <v>2788.7</v>
      </c>
    </row>
    <row r="176" spans="2:5" ht="22.5" x14ac:dyDescent="0.2">
      <c r="B176" s="172" t="s">
        <v>544</v>
      </c>
      <c r="C176" s="168" t="s">
        <v>545</v>
      </c>
      <c r="D176" s="173" t="s">
        <v>17</v>
      </c>
      <c r="E176" s="144">
        <v>3513.1299999999997</v>
      </c>
    </row>
    <row r="177" spans="2:5" ht="22.5" x14ac:dyDescent="0.2">
      <c r="B177" s="172" t="s">
        <v>546</v>
      </c>
      <c r="C177" s="168" t="s">
        <v>547</v>
      </c>
      <c r="D177" s="173" t="s">
        <v>17</v>
      </c>
      <c r="E177" s="144">
        <v>4147.3999999999996</v>
      </c>
    </row>
    <row r="178" spans="2:5" ht="22.5" x14ac:dyDescent="0.2">
      <c r="B178" s="172" t="s">
        <v>548</v>
      </c>
      <c r="C178" s="168" t="s">
        <v>549</v>
      </c>
      <c r="D178" s="173" t="s">
        <v>17</v>
      </c>
      <c r="E178" s="144">
        <v>5145.3099999999995</v>
      </c>
    </row>
    <row r="179" spans="2:5" ht="22.5" x14ac:dyDescent="0.2">
      <c r="B179" s="172" t="s">
        <v>550</v>
      </c>
      <c r="C179" s="168" t="s">
        <v>551</v>
      </c>
      <c r="D179" s="173" t="s">
        <v>17</v>
      </c>
      <c r="E179" s="144">
        <v>2474.8100000000004</v>
      </c>
    </row>
    <row r="180" spans="2:5" ht="22.5" x14ac:dyDescent="0.2">
      <c r="B180" s="172" t="s">
        <v>552</v>
      </c>
      <c r="C180" s="168" t="s">
        <v>553</v>
      </c>
      <c r="D180" s="173" t="s">
        <v>17</v>
      </c>
      <c r="E180" s="144">
        <v>2462.9700000000003</v>
      </c>
    </row>
    <row r="181" spans="2:5" ht="22.5" x14ac:dyDescent="0.2">
      <c r="B181" s="172" t="s">
        <v>554</v>
      </c>
      <c r="C181" s="168" t="s">
        <v>555</v>
      </c>
      <c r="D181" s="173" t="s">
        <v>17</v>
      </c>
      <c r="E181" s="144">
        <v>2451.1300000000006</v>
      </c>
    </row>
    <row r="182" spans="2:5" ht="22.5" x14ac:dyDescent="0.2">
      <c r="B182" s="172" t="s">
        <v>556</v>
      </c>
      <c r="C182" s="168" t="s">
        <v>557</v>
      </c>
      <c r="D182" s="173" t="s">
        <v>17</v>
      </c>
      <c r="E182" s="144">
        <v>3190.95</v>
      </c>
    </row>
    <row r="183" spans="2:5" ht="22.5" x14ac:dyDescent="0.2">
      <c r="B183" s="172" t="s">
        <v>558</v>
      </c>
      <c r="C183" s="168" t="s">
        <v>559</v>
      </c>
      <c r="D183" s="173" t="s">
        <v>17</v>
      </c>
      <c r="E183" s="144">
        <v>3950.88</v>
      </c>
    </row>
    <row r="184" spans="2:5" ht="22.5" x14ac:dyDescent="0.2">
      <c r="B184" s="172" t="s">
        <v>560</v>
      </c>
      <c r="C184" s="168" t="s">
        <v>561</v>
      </c>
      <c r="D184" s="173" t="s">
        <v>17</v>
      </c>
      <c r="E184" s="144">
        <v>4612.7500000000009</v>
      </c>
    </row>
    <row r="185" spans="2:5" ht="22.5" x14ac:dyDescent="0.2">
      <c r="B185" s="172" t="s">
        <v>562</v>
      </c>
      <c r="C185" s="168" t="s">
        <v>563</v>
      </c>
      <c r="D185" s="173" t="s">
        <v>17</v>
      </c>
      <c r="E185" s="144">
        <v>5659.96</v>
      </c>
    </row>
    <row r="186" spans="2:5" ht="22.5" customHeight="1" x14ac:dyDescent="0.2">
      <c r="B186" s="172" t="s">
        <v>564</v>
      </c>
      <c r="C186" s="168" t="s">
        <v>565</v>
      </c>
      <c r="D186" s="173" t="s">
        <v>17</v>
      </c>
      <c r="E186" s="144">
        <v>2432.5199999999995</v>
      </c>
    </row>
    <row r="187" spans="2:5" ht="22.5" customHeight="1" x14ac:dyDescent="0.2">
      <c r="B187" s="172" t="s">
        <v>566</v>
      </c>
      <c r="C187" s="168" t="s">
        <v>567</v>
      </c>
      <c r="D187" s="173" t="s">
        <v>17</v>
      </c>
      <c r="E187" s="144">
        <v>2418.7099999999996</v>
      </c>
    </row>
    <row r="188" spans="2:5" ht="22.5" customHeight="1" x14ac:dyDescent="0.2">
      <c r="B188" s="172" t="s">
        <v>76</v>
      </c>
      <c r="C188" s="168" t="s">
        <v>568</v>
      </c>
      <c r="D188" s="173" t="s">
        <v>17</v>
      </c>
      <c r="E188" s="144">
        <v>2404.8899999999994</v>
      </c>
    </row>
    <row r="189" spans="2:5" ht="22.5" customHeight="1" x14ac:dyDescent="0.2">
      <c r="B189" s="172" t="s">
        <v>569</v>
      </c>
      <c r="C189" s="168" t="s">
        <v>570</v>
      </c>
      <c r="D189" s="173" t="s">
        <v>17</v>
      </c>
      <c r="E189" s="144">
        <v>2729.82</v>
      </c>
    </row>
    <row r="190" spans="2:5" ht="22.5" customHeight="1" x14ac:dyDescent="0.2">
      <c r="B190" s="172" t="s">
        <v>571</v>
      </c>
      <c r="C190" s="168" t="s">
        <v>572</v>
      </c>
      <c r="D190" s="173" t="s">
        <v>17</v>
      </c>
      <c r="E190" s="144">
        <v>3263.69</v>
      </c>
    </row>
    <row r="191" spans="2:5" ht="22.5" customHeight="1" x14ac:dyDescent="0.2">
      <c r="B191" s="172" t="s">
        <v>573</v>
      </c>
      <c r="C191" s="168" t="s">
        <v>574</v>
      </c>
      <c r="D191" s="173" t="s">
        <v>17</v>
      </c>
      <c r="E191" s="144">
        <v>3856.1400000000003</v>
      </c>
    </row>
    <row r="192" spans="2:5" ht="22.5" customHeight="1" x14ac:dyDescent="0.2">
      <c r="B192" s="172" t="s">
        <v>575</v>
      </c>
      <c r="C192" s="168" t="s">
        <v>576</v>
      </c>
      <c r="D192" s="173" t="s">
        <v>17</v>
      </c>
      <c r="E192" s="144">
        <v>4811.42</v>
      </c>
    </row>
    <row r="193" spans="2:5" ht="22.5" customHeight="1" x14ac:dyDescent="0.2">
      <c r="B193" s="172" t="s">
        <v>577</v>
      </c>
      <c r="C193" s="168" t="s">
        <v>578</v>
      </c>
      <c r="D193" s="173" t="s">
        <v>17</v>
      </c>
      <c r="E193" s="144">
        <v>2811.7699999999995</v>
      </c>
    </row>
    <row r="194" spans="2:5" ht="22.5" customHeight="1" x14ac:dyDescent="0.2">
      <c r="B194" s="172" t="s">
        <v>579</v>
      </c>
      <c r="C194" s="168" t="s">
        <v>580</v>
      </c>
      <c r="D194" s="173" t="s">
        <v>17</v>
      </c>
      <c r="E194" s="144">
        <v>2799.9399999999996</v>
      </c>
    </row>
    <row r="195" spans="2:5" ht="22.5" customHeight="1" x14ac:dyDescent="0.2">
      <c r="B195" s="172" t="s">
        <v>581</v>
      </c>
      <c r="C195" s="168" t="s">
        <v>582</v>
      </c>
      <c r="D195" s="173" t="s">
        <v>17</v>
      </c>
      <c r="E195" s="144">
        <v>2788.0999999999995</v>
      </c>
    </row>
    <row r="196" spans="2:5" ht="22.5" customHeight="1" x14ac:dyDescent="0.2">
      <c r="B196" s="172" t="s">
        <v>583</v>
      </c>
      <c r="C196" s="168" t="s">
        <v>584</v>
      </c>
      <c r="D196" s="173" t="s">
        <v>17</v>
      </c>
      <c r="E196" s="144">
        <v>3134.0299999999997</v>
      </c>
    </row>
    <row r="197" spans="2:5" ht="22.5" customHeight="1" x14ac:dyDescent="0.2">
      <c r="B197" s="172" t="s">
        <v>585</v>
      </c>
      <c r="C197" s="168" t="s">
        <v>586</v>
      </c>
      <c r="D197" s="173" t="s">
        <v>17</v>
      </c>
      <c r="E197" s="144">
        <v>3498.4199999999996</v>
      </c>
    </row>
    <row r="198" spans="2:5" ht="22.5" customHeight="1" x14ac:dyDescent="0.2">
      <c r="B198" s="172" t="s">
        <v>587</v>
      </c>
      <c r="C198" s="168" t="s">
        <v>588</v>
      </c>
      <c r="D198" s="173" t="s">
        <v>17</v>
      </c>
      <c r="E198" s="144">
        <v>4305.72</v>
      </c>
    </row>
    <row r="199" spans="2:5" ht="22.5" customHeight="1" x14ac:dyDescent="0.2">
      <c r="B199" s="172" t="s">
        <v>589</v>
      </c>
      <c r="C199" s="168" t="s">
        <v>590</v>
      </c>
      <c r="D199" s="173" t="s">
        <v>17</v>
      </c>
      <c r="E199" s="144">
        <v>5306.329999999999</v>
      </c>
    </row>
    <row r="200" spans="2:5" ht="22.5" customHeight="1" x14ac:dyDescent="0.2">
      <c r="B200" s="172" t="s">
        <v>591</v>
      </c>
      <c r="C200" s="168" t="s">
        <v>592</v>
      </c>
      <c r="D200" s="173" t="s">
        <v>17</v>
      </c>
      <c r="E200" s="144">
        <v>3206.8199999999997</v>
      </c>
    </row>
    <row r="201" spans="2:5" ht="22.5" customHeight="1" x14ac:dyDescent="0.2">
      <c r="B201" s="172" t="s">
        <v>593</v>
      </c>
      <c r="C201" s="168" t="s">
        <v>594</v>
      </c>
      <c r="D201" s="173" t="s">
        <v>17</v>
      </c>
      <c r="E201" s="144">
        <v>3194.98</v>
      </c>
    </row>
    <row r="202" spans="2:5" ht="22.5" customHeight="1" x14ac:dyDescent="0.2">
      <c r="B202" s="172" t="s">
        <v>595</v>
      </c>
      <c r="C202" s="168" t="s">
        <v>596</v>
      </c>
      <c r="D202" s="173" t="s">
        <v>17</v>
      </c>
      <c r="E202" s="144">
        <v>3183.14</v>
      </c>
    </row>
    <row r="203" spans="2:5" ht="22.5" customHeight="1" x14ac:dyDescent="0.2">
      <c r="B203" s="172" t="s">
        <v>597</v>
      </c>
      <c r="C203" s="168" t="s">
        <v>598</v>
      </c>
      <c r="D203" s="173" t="s">
        <v>17</v>
      </c>
      <c r="E203" s="144">
        <v>3554.0299999999997</v>
      </c>
    </row>
    <row r="204" spans="2:5" ht="22.5" customHeight="1" x14ac:dyDescent="0.2">
      <c r="B204" s="172" t="s">
        <v>599</v>
      </c>
      <c r="C204" s="168" t="s">
        <v>600</v>
      </c>
      <c r="D204" s="173" t="s">
        <v>17</v>
      </c>
      <c r="E204" s="144">
        <v>4123.3999999999996</v>
      </c>
    </row>
    <row r="205" spans="2:5" ht="22.5" customHeight="1" x14ac:dyDescent="0.2">
      <c r="B205" s="172" t="s">
        <v>601</v>
      </c>
      <c r="C205" s="168" t="s">
        <v>602</v>
      </c>
      <c r="D205" s="173" t="s">
        <v>17</v>
      </c>
      <c r="E205" s="144">
        <v>4778.7000000000007</v>
      </c>
    </row>
    <row r="206" spans="2:5" ht="22.5" customHeight="1" x14ac:dyDescent="0.2">
      <c r="B206" s="172" t="s">
        <v>603</v>
      </c>
      <c r="C206" s="168" t="s">
        <v>604</v>
      </c>
      <c r="D206" s="173" t="s">
        <v>17</v>
      </c>
      <c r="E206" s="144">
        <v>5817.0399999999991</v>
      </c>
    </row>
    <row r="207" spans="2:5" ht="24.75" customHeight="1" x14ac:dyDescent="0.2">
      <c r="B207" s="174">
        <v>99254</v>
      </c>
      <c r="C207" s="168" t="s">
        <v>605</v>
      </c>
      <c r="D207" s="173" t="s">
        <v>42</v>
      </c>
      <c r="E207" s="144">
        <v>1205.42</v>
      </c>
    </row>
    <row r="208" spans="2:5" x14ac:dyDescent="0.2">
      <c r="B208" s="167">
        <v>102737</v>
      </c>
      <c r="C208" s="168" t="s">
        <v>606</v>
      </c>
      <c r="D208" s="173" t="s">
        <v>17</v>
      </c>
      <c r="E208" s="170">
        <v>1024.99</v>
      </c>
    </row>
    <row r="209" spans="2:5" x14ac:dyDescent="0.2">
      <c r="B209" s="167">
        <v>102738</v>
      </c>
      <c r="C209" s="168" t="s">
        <v>607</v>
      </c>
      <c r="D209" s="173" t="s">
        <v>17</v>
      </c>
      <c r="E209" s="170">
        <v>2100.5</v>
      </c>
    </row>
    <row r="210" spans="2:5" x14ac:dyDescent="0.2">
      <c r="B210" s="167">
        <v>102739</v>
      </c>
      <c r="C210" s="168" t="s">
        <v>608</v>
      </c>
      <c r="D210" s="173" t="s">
        <v>17</v>
      </c>
      <c r="E210" s="170">
        <v>3521.64</v>
      </c>
    </row>
    <row r="211" spans="2:5" x14ac:dyDescent="0.2">
      <c r="B211" s="167">
        <v>102740</v>
      </c>
      <c r="C211" s="168" t="s">
        <v>609</v>
      </c>
      <c r="D211" s="173" t="s">
        <v>17</v>
      </c>
      <c r="E211" s="170">
        <v>5282.26</v>
      </c>
    </row>
    <row r="212" spans="2:5" x14ac:dyDescent="0.2">
      <c r="B212" s="167">
        <v>102741</v>
      </c>
      <c r="C212" s="168" t="s">
        <v>610</v>
      </c>
      <c r="D212" s="173" t="s">
        <v>17</v>
      </c>
      <c r="E212" s="170">
        <v>7417.9</v>
      </c>
    </row>
    <row r="213" spans="2:5" x14ac:dyDescent="0.2">
      <c r="B213" s="167">
        <v>102742</v>
      </c>
      <c r="C213" s="168" t="s">
        <v>611</v>
      </c>
      <c r="D213" s="173" t="s">
        <v>17</v>
      </c>
      <c r="E213" s="170">
        <v>12849.35</v>
      </c>
    </row>
    <row r="214" spans="2:5" x14ac:dyDescent="0.2">
      <c r="B214" s="172" t="s">
        <v>612</v>
      </c>
      <c r="C214" s="168" t="s">
        <v>613</v>
      </c>
      <c r="D214" s="175" t="s">
        <v>17</v>
      </c>
      <c r="E214" s="176">
        <v>542.25000000000011</v>
      </c>
    </row>
    <row r="215" spans="2:5" x14ac:dyDescent="0.2">
      <c r="B215" s="172" t="s">
        <v>614</v>
      </c>
      <c r="C215" s="168" t="s">
        <v>610</v>
      </c>
      <c r="D215" s="173" t="s">
        <v>17</v>
      </c>
      <c r="E215" s="144">
        <v>4308.28</v>
      </c>
    </row>
    <row r="216" spans="2:5" ht="12.75" customHeight="1" x14ac:dyDescent="0.2">
      <c r="B216" s="172" t="s">
        <v>615</v>
      </c>
      <c r="C216" s="168" t="s">
        <v>611</v>
      </c>
      <c r="D216" s="173" t="s">
        <v>17</v>
      </c>
      <c r="E216" s="144">
        <v>7902.2</v>
      </c>
    </row>
    <row r="217" spans="2:5" ht="22.5" x14ac:dyDescent="0.2">
      <c r="B217" s="172" t="s">
        <v>75</v>
      </c>
      <c r="C217" s="168" t="s">
        <v>616</v>
      </c>
      <c r="D217" s="173" t="s">
        <v>223</v>
      </c>
      <c r="E217" s="144">
        <v>168.37</v>
      </c>
    </row>
    <row r="218" spans="2:5" ht="12.75" customHeight="1" x14ac:dyDescent="0.2">
      <c r="B218" s="172" t="s">
        <v>69</v>
      </c>
      <c r="C218" s="168" t="s">
        <v>617</v>
      </c>
      <c r="D218" s="173" t="s">
        <v>223</v>
      </c>
      <c r="E218" s="144">
        <v>169.28</v>
      </c>
    </row>
    <row r="219" spans="2:5" ht="12.75" customHeight="1" x14ac:dyDescent="0.2">
      <c r="B219" s="172" t="s">
        <v>618</v>
      </c>
      <c r="C219" s="168" t="s">
        <v>619</v>
      </c>
      <c r="D219" s="173" t="s">
        <v>223</v>
      </c>
      <c r="E219" s="144">
        <v>173.64</v>
      </c>
    </row>
    <row r="220" spans="2:5" ht="12.75" customHeight="1" x14ac:dyDescent="0.2">
      <c r="B220" s="172" t="s">
        <v>71</v>
      </c>
      <c r="C220" s="168" t="s">
        <v>620</v>
      </c>
      <c r="D220" s="173" t="s">
        <v>223</v>
      </c>
      <c r="E220" s="144">
        <v>174.01</v>
      </c>
    </row>
    <row r="221" spans="2:5" ht="12.75" customHeight="1" x14ac:dyDescent="0.2">
      <c r="B221" s="172" t="s">
        <v>621</v>
      </c>
      <c r="C221" s="168" t="s">
        <v>622</v>
      </c>
      <c r="D221" s="173" t="s">
        <v>223</v>
      </c>
      <c r="E221" s="144">
        <v>169.82</v>
      </c>
    </row>
    <row r="222" spans="2:5" ht="12.75" customHeight="1" x14ac:dyDescent="0.2">
      <c r="B222" s="172" t="s">
        <v>623</v>
      </c>
      <c r="C222" s="168" t="s">
        <v>624</v>
      </c>
      <c r="D222" s="173" t="s">
        <v>223</v>
      </c>
      <c r="E222" s="144">
        <v>106.1</v>
      </c>
    </row>
    <row r="223" spans="2:5" ht="12.75" customHeight="1" x14ac:dyDescent="0.2">
      <c r="B223" s="172" t="s">
        <v>625</v>
      </c>
      <c r="C223" s="168" t="s">
        <v>626</v>
      </c>
      <c r="D223" s="173" t="s">
        <v>223</v>
      </c>
      <c r="E223" s="144">
        <v>204</v>
      </c>
    </row>
    <row r="224" spans="2:5" ht="22.5" x14ac:dyDescent="0.2">
      <c r="B224" s="167">
        <v>101570</v>
      </c>
      <c r="C224" s="168" t="s">
        <v>627</v>
      </c>
      <c r="D224" s="173" t="s">
        <v>205</v>
      </c>
      <c r="E224" s="170">
        <v>26.25</v>
      </c>
    </row>
    <row r="225" spans="2:5" ht="22.5" x14ac:dyDescent="0.2">
      <c r="B225" s="167">
        <v>101571</v>
      </c>
      <c r="C225" s="168" t="s">
        <v>628</v>
      </c>
      <c r="D225" s="173" t="s">
        <v>205</v>
      </c>
      <c r="E225" s="170">
        <v>35.270000000000003</v>
      </c>
    </row>
    <row r="226" spans="2:5" ht="22.5" x14ac:dyDescent="0.2">
      <c r="B226" s="35">
        <v>101572</v>
      </c>
      <c r="C226" s="36" t="s">
        <v>629</v>
      </c>
      <c r="D226" s="173" t="s">
        <v>205</v>
      </c>
      <c r="E226" s="170">
        <v>20.71</v>
      </c>
    </row>
    <row r="227" spans="2:5" ht="22.5" x14ac:dyDescent="0.2">
      <c r="B227" s="35">
        <v>101573</v>
      </c>
      <c r="C227" s="36" t="s">
        <v>630</v>
      </c>
      <c r="D227" s="173" t="s">
        <v>205</v>
      </c>
      <c r="E227" s="170">
        <v>29.74</v>
      </c>
    </row>
    <row r="228" spans="2:5" ht="22.5" x14ac:dyDescent="0.2">
      <c r="B228" s="35">
        <v>101574</v>
      </c>
      <c r="C228" s="36" t="s">
        <v>631</v>
      </c>
      <c r="D228" s="173" t="s">
        <v>205</v>
      </c>
      <c r="E228" s="170">
        <v>16.079999999999998</v>
      </c>
    </row>
    <row r="229" spans="2:5" ht="22.5" x14ac:dyDescent="0.2">
      <c r="B229" s="35">
        <v>101575</v>
      </c>
      <c r="C229" s="36" t="s">
        <v>632</v>
      </c>
      <c r="D229" s="173" t="s">
        <v>205</v>
      </c>
      <c r="E229" s="170">
        <v>25.29</v>
      </c>
    </row>
    <row r="230" spans="2:5" ht="22.5" x14ac:dyDescent="0.2">
      <c r="B230" s="35">
        <v>101576</v>
      </c>
      <c r="C230" s="36" t="s">
        <v>633</v>
      </c>
      <c r="D230" s="173" t="s">
        <v>205</v>
      </c>
      <c r="E230" s="170">
        <v>48.45</v>
      </c>
    </row>
    <row r="231" spans="2:5" ht="22.5" x14ac:dyDescent="0.2">
      <c r="B231" s="35">
        <v>101577</v>
      </c>
      <c r="C231" s="36" t="s">
        <v>634</v>
      </c>
      <c r="D231" s="173" t="s">
        <v>205</v>
      </c>
      <c r="E231" s="170">
        <v>60</v>
      </c>
    </row>
    <row r="232" spans="2:5" ht="22.5" x14ac:dyDescent="0.2">
      <c r="B232" s="35">
        <v>101578</v>
      </c>
      <c r="C232" s="36" t="s">
        <v>635</v>
      </c>
      <c r="D232" s="173" t="s">
        <v>205</v>
      </c>
      <c r="E232" s="170">
        <v>40.35</v>
      </c>
    </row>
    <row r="233" spans="2:5" ht="22.5" x14ac:dyDescent="0.2">
      <c r="B233" s="35">
        <v>101579</v>
      </c>
      <c r="C233" s="36" t="s">
        <v>636</v>
      </c>
      <c r="D233" s="173" t="s">
        <v>205</v>
      </c>
      <c r="E233" s="170">
        <v>51.9</v>
      </c>
    </row>
    <row r="234" spans="2:5" ht="22.5" x14ac:dyDescent="0.2">
      <c r="B234" s="35">
        <v>101580</v>
      </c>
      <c r="C234" s="36" t="s">
        <v>637</v>
      </c>
      <c r="D234" s="173" t="s">
        <v>205</v>
      </c>
      <c r="E234" s="170">
        <v>36.32</v>
      </c>
    </row>
    <row r="235" spans="2:5" ht="22.5" x14ac:dyDescent="0.2">
      <c r="B235" s="35">
        <v>101581</v>
      </c>
      <c r="C235" s="36" t="s">
        <v>638</v>
      </c>
      <c r="D235" s="173" t="s">
        <v>205</v>
      </c>
      <c r="E235" s="170">
        <v>48.04</v>
      </c>
    </row>
    <row r="236" spans="2:5" ht="22.5" x14ac:dyDescent="0.2">
      <c r="B236" s="35">
        <v>101582</v>
      </c>
      <c r="C236" s="36" t="s">
        <v>639</v>
      </c>
      <c r="D236" s="173" t="s">
        <v>205</v>
      </c>
      <c r="E236" s="170">
        <v>79.849999999999994</v>
      </c>
    </row>
    <row r="237" spans="2:5" ht="22.5" x14ac:dyDescent="0.2">
      <c r="B237" s="35">
        <v>101583</v>
      </c>
      <c r="C237" s="36" t="s">
        <v>640</v>
      </c>
      <c r="D237" s="173" t="s">
        <v>205</v>
      </c>
      <c r="E237" s="170">
        <v>97.8</v>
      </c>
    </row>
    <row r="238" spans="2:5" ht="22.5" x14ac:dyDescent="0.2">
      <c r="B238" s="35">
        <v>101584</v>
      </c>
      <c r="C238" s="36" t="s">
        <v>641</v>
      </c>
      <c r="D238" s="173" t="s">
        <v>205</v>
      </c>
      <c r="E238" s="170">
        <v>66.08</v>
      </c>
    </row>
    <row r="239" spans="2:5" ht="22.5" x14ac:dyDescent="0.2">
      <c r="B239" s="35">
        <v>101585</v>
      </c>
      <c r="C239" s="36" t="s">
        <v>642</v>
      </c>
      <c r="D239" s="173" t="s">
        <v>205</v>
      </c>
      <c r="E239" s="170">
        <v>84.05</v>
      </c>
    </row>
    <row r="240" spans="2:5" ht="22.5" x14ac:dyDescent="0.2">
      <c r="B240" s="35">
        <v>101586</v>
      </c>
      <c r="C240" s="36" t="s">
        <v>643</v>
      </c>
      <c r="D240" s="173" t="s">
        <v>205</v>
      </c>
      <c r="E240" s="170">
        <v>57.98</v>
      </c>
    </row>
    <row r="241" spans="2:5" ht="22.5" x14ac:dyDescent="0.2">
      <c r="B241" s="35">
        <v>101587</v>
      </c>
      <c r="C241" s="36" t="s">
        <v>644</v>
      </c>
      <c r="D241" s="173" t="s">
        <v>205</v>
      </c>
      <c r="E241" s="170">
        <v>76.12</v>
      </c>
    </row>
    <row r="242" spans="2:5" ht="22.5" x14ac:dyDescent="0.2">
      <c r="B242" s="35">
        <v>101588</v>
      </c>
      <c r="C242" s="36" t="s">
        <v>645</v>
      </c>
      <c r="D242" s="173" t="s">
        <v>205</v>
      </c>
      <c r="E242" s="170">
        <v>97.49</v>
      </c>
    </row>
    <row r="243" spans="2:5" ht="22.5" x14ac:dyDescent="0.2">
      <c r="B243" s="35">
        <v>101589</v>
      </c>
      <c r="C243" s="36" t="s">
        <v>646</v>
      </c>
      <c r="D243" s="173" t="s">
        <v>205</v>
      </c>
      <c r="E243" s="170">
        <v>141.59</v>
      </c>
    </row>
    <row r="244" spans="2:5" ht="22.5" x14ac:dyDescent="0.2">
      <c r="B244" s="35">
        <v>101590</v>
      </c>
      <c r="C244" s="36" t="s">
        <v>647</v>
      </c>
      <c r="D244" s="173" t="s">
        <v>205</v>
      </c>
      <c r="E244" s="170">
        <v>74.06</v>
      </c>
    </row>
    <row r="245" spans="2:5" ht="22.5" x14ac:dyDescent="0.2">
      <c r="B245" s="35">
        <v>101591</v>
      </c>
      <c r="C245" s="36" t="s">
        <v>648</v>
      </c>
      <c r="D245" s="173" t="s">
        <v>205</v>
      </c>
      <c r="E245" s="170">
        <v>118.17</v>
      </c>
    </row>
    <row r="246" spans="2:5" ht="22.5" x14ac:dyDescent="0.2">
      <c r="B246" s="35">
        <v>101592</v>
      </c>
      <c r="C246" s="36" t="s">
        <v>649</v>
      </c>
      <c r="D246" s="173" t="s">
        <v>205</v>
      </c>
      <c r="E246" s="170">
        <v>52.7</v>
      </c>
    </row>
    <row r="247" spans="2:5" ht="22.5" x14ac:dyDescent="0.2">
      <c r="B247" s="35">
        <v>101593</v>
      </c>
      <c r="C247" s="36" t="s">
        <v>650</v>
      </c>
      <c r="D247" s="173" t="s">
        <v>205</v>
      </c>
      <c r="E247" s="170">
        <v>96.96</v>
      </c>
    </row>
    <row r="248" spans="2:5" ht="36.75" customHeight="1" x14ac:dyDescent="0.2">
      <c r="B248" s="172" t="s">
        <v>651</v>
      </c>
      <c r="C248" s="168" t="s">
        <v>652</v>
      </c>
      <c r="D248" s="173" t="s">
        <v>17</v>
      </c>
      <c r="E248" s="144">
        <v>10.42</v>
      </c>
    </row>
    <row r="249" spans="2:5" ht="12.75" customHeight="1" x14ac:dyDescent="0.2">
      <c r="B249" s="172" t="s">
        <v>653</v>
      </c>
      <c r="C249" s="168" t="s">
        <v>654</v>
      </c>
      <c r="D249" s="173" t="s">
        <v>223</v>
      </c>
      <c r="E249" s="144">
        <v>127.18</v>
      </c>
    </row>
    <row r="250" spans="2:5" ht="22.5" x14ac:dyDescent="0.2">
      <c r="B250" s="172" t="s">
        <v>655</v>
      </c>
      <c r="C250" s="168" t="s">
        <v>656</v>
      </c>
      <c r="D250" s="173" t="s">
        <v>223</v>
      </c>
      <c r="E250" s="144">
        <v>4.6100000000000003</v>
      </c>
    </row>
    <row r="251" spans="2:5" x14ac:dyDescent="0.2">
      <c r="B251" s="167">
        <v>96620</v>
      </c>
      <c r="C251" s="168" t="s">
        <v>657</v>
      </c>
      <c r="D251" s="173" t="s">
        <v>223</v>
      </c>
      <c r="E251" s="170">
        <v>564.77</v>
      </c>
    </row>
    <row r="252" spans="2:5" x14ac:dyDescent="0.2">
      <c r="B252" s="167">
        <v>94962</v>
      </c>
      <c r="C252" s="168" t="s">
        <v>658</v>
      </c>
      <c r="D252" s="173" t="s">
        <v>223</v>
      </c>
      <c r="E252" s="170">
        <v>334.26</v>
      </c>
    </row>
    <row r="253" spans="2:5" x14ac:dyDescent="0.2">
      <c r="B253" s="167">
        <v>102487</v>
      </c>
      <c r="C253" s="168" t="s">
        <v>659</v>
      </c>
      <c r="D253" s="173" t="s">
        <v>223</v>
      </c>
      <c r="E253" s="170">
        <v>521.75</v>
      </c>
    </row>
    <row r="254" spans="2:5" ht="12.75" customHeight="1" x14ac:dyDescent="0.2">
      <c r="B254" s="167">
        <v>94963</v>
      </c>
      <c r="C254" s="168" t="s">
        <v>660</v>
      </c>
      <c r="D254" s="173" t="s">
        <v>223</v>
      </c>
      <c r="E254" s="170">
        <v>372.05</v>
      </c>
    </row>
    <row r="255" spans="2:5" ht="12.75" customHeight="1" x14ac:dyDescent="0.2">
      <c r="B255" s="167">
        <v>94970</v>
      </c>
      <c r="C255" s="168" t="s">
        <v>661</v>
      </c>
      <c r="D255" s="173" t="s">
        <v>223</v>
      </c>
      <c r="E255" s="170">
        <v>394.64</v>
      </c>
    </row>
    <row r="256" spans="2:5" ht="12.75" customHeight="1" x14ac:dyDescent="0.2">
      <c r="B256" s="167">
        <v>103670</v>
      </c>
      <c r="C256" s="168" t="s">
        <v>662</v>
      </c>
      <c r="D256" s="173" t="s">
        <v>223</v>
      </c>
      <c r="E256" s="170">
        <v>311.91000000000003</v>
      </c>
    </row>
    <row r="257" spans="2:5" ht="12.75" customHeight="1" x14ac:dyDescent="0.2">
      <c r="B257" s="167">
        <v>103673</v>
      </c>
      <c r="C257" s="168" t="s">
        <v>663</v>
      </c>
      <c r="D257" s="173" t="s">
        <v>223</v>
      </c>
      <c r="E257" s="170">
        <v>43.68</v>
      </c>
    </row>
    <row r="258" spans="2:5" x14ac:dyDescent="0.2">
      <c r="B258" s="167">
        <v>14041</v>
      </c>
      <c r="C258" s="168" t="s">
        <v>664</v>
      </c>
      <c r="D258" s="173" t="s">
        <v>223</v>
      </c>
      <c r="E258" s="170">
        <v>387.12</v>
      </c>
    </row>
    <row r="259" spans="2:5" x14ac:dyDescent="0.2">
      <c r="B259" s="167">
        <v>1523</v>
      </c>
      <c r="C259" s="168" t="s">
        <v>665</v>
      </c>
      <c r="D259" s="173" t="s">
        <v>223</v>
      </c>
      <c r="E259" s="170">
        <v>393.45</v>
      </c>
    </row>
    <row r="260" spans="2:5" x14ac:dyDescent="0.2">
      <c r="B260" s="167">
        <v>34492</v>
      </c>
      <c r="C260" s="168" t="s">
        <v>666</v>
      </c>
      <c r="D260" s="173" t="s">
        <v>223</v>
      </c>
      <c r="E260" s="170">
        <v>410</v>
      </c>
    </row>
    <row r="261" spans="2:5" x14ac:dyDescent="0.2">
      <c r="B261" s="167">
        <v>1524</v>
      </c>
      <c r="C261" s="168" t="s">
        <v>667</v>
      </c>
      <c r="D261" s="173" t="s">
        <v>223</v>
      </c>
      <c r="E261" s="170">
        <v>442.63</v>
      </c>
    </row>
    <row r="262" spans="2:5" x14ac:dyDescent="0.2">
      <c r="B262" s="167">
        <v>34493</v>
      </c>
      <c r="C262" s="168" t="s">
        <v>668</v>
      </c>
      <c r="D262" s="173" t="s">
        <v>223</v>
      </c>
      <c r="E262" s="170">
        <v>421.55</v>
      </c>
    </row>
    <row r="263" spans="2:5" x14ac:dyDescent="0.2">
      <c r="B263" s="167">
        <v>1527</v>
      </c>
      <c r="C263" s="168" t="s">
        <v>669</v>
      </c>
      <c r="D263" s="173" t="s">
        <v>223</v>
      </c>
      <c r="E263" s="170">
        <v>456.68</v>
      </c>
    </row>
    <row r="264" spans="2:5" x14ac:dyDescent="0.2">
      <c r="B264" s="167">
        <v>34494</v>
      </c>
      <c r="C264" s="168" t="s">
        <v>670</v>
      </c>
      <c r="D264" s="173" t="s">
        <v>223</v>
      </c>
      <c r="E264" s="170">
        <v>435.61</v>
      </c>
    </row>
    <row r="265" spans="2:5" x14ac:dyDescent="0.2">
      <c r="B265" s="167">
        <v>1525</v>
      </c>
      <c r="C265" s="168" t="s">
        <v>671</v>
      </c>
      <c r="D265" s="173" t="s">
        <v>223</v>
      </c>
      <c r="E265" s="170">
        <v>470.73</v>
      </c>
    </row>
    <row r="266" spans="2:5" x14ac:dyDescent="0.2">
      <c r="B266" s="167">
        <v>34495</v>
      </c>
      <c r="C266" s="168" t="s">
        <v>672</v>
      </c>
      <c r="D266" s="173" t="s">
        <v>223</v>
      </c>
      <c r="E266" s="170">
        <v>449.66</v>
      </c>
    </row>
    <row r="267" spans="2:5" x14ac:dyDescent="0.2">
      <c r="B267" s="167">
        <v>11145</v>
      </c>
      <c r="C267" s="168" t="s">
        <v>673</v>
      </c>
      <c r="D267" s="173" t="s">
        <v>223</v>
      </c>
      <c r="E267" s="170">
        <v>484.79</v>
      </c>
    </row>
    <row r="268" spans="2:5" x14ac:dyDescent="0.2">
      <c r="B268" s="172" t="s">
        <v>674</v>
      </c>
      <c r="C268" s="168" t="s">
        <v>675</v>
      </c>
      <c r="D268" s="173" t="s">
        <v>205</v>
      </c>
      <c r="E268" s="144">
        <v>273.72000000000003</v>
      </c>
    </row>
    <row r="269" spans="2:5" ht="12.75" customHeight="1" x14ac:dyDescent="0.2">
      <c r="B269" s="172" t="s">
        <v>676</v>
      </c>
      <c r="C269" s="168" t="s">
        <v>677</v>
      </c>
      <c r="D269" s="173" t="s">
        <v>205</v>
      </c>
      <c r="E269" s="144">
        <v>88.210000000000008</v>
      </c>
    </row>
    <row r="270" spans="2:5" ht="25.5" customHeight="1" x14ac:dyDescent="0.2">
      <c r="B270" s="172" t="s">
        <v>678</v>
      </c>
      <c r="C270" s="168" t="s">
        <v>679</v>
      </c>
      <c r="D270" s="173" t="s">
        <v>205</v>
      </c>
      <c r="E270" s="144">
        <v>92.69</v>
      </c>
    </row>
    <row r="271" spans="2:5" x14ac:dyDescent="0.2">
      <c r="B271" s="167">
        <v>92915</v>
      </c>
      <c r="C271" s="168" t="s">
        <v>681</v>
      </c>
      <c r="D271" s="173" t="s">
        <v>680</v>
      </c>
      <c r="E271" s="170">
        <v>17.66</v>
      </c>
    </row>
    <row r="272" spans="2:5" x14ac:dyDescent="0.2">
      <c r="B272" s="167">
        <v>92916</v>
      </c>
      <c r="C272" s="168" t="s">
        <v>682</v>
      </c>
      <c r="D272" s="173" t="s">
        <v>680</v>
      </c>
      <c r="E272" s="170">
        <v>16.04</v>
      </c>
    </row>
    <row r="273" spans="2:5" x14ac:dyDescent="0.2">
      <c r="B273" s="167">
        <v>92917</v>
      </c>
      <c r="C273" s="168" t="s">
        <v>683</v>
      </c>
      <c r="D273" s="173" t="s">
        <v>680</v>
      </c>
      <c r="E273" s="170">
        <v>14.56</v>
      </c>
    </row>
    <row r="274" spans="2:5" x14ac:dyDescent="0.2">
      <c r="B274" s="167">
        <v>92919</v>
      </c>
      <c r="C274" s="168" t="s">
        <v>684</v>
      </c>
      <c r="D274" s="173" t="s">
        <v>680</v>
      </c>
      <c r="E274" s="170">
        <v>12.72</v>
      </c>
    </row>
    <row r="275" spans="2:5" x14ac:dyDescent="0.2">
      <c r="B275" s="167">
        <v>92921</v>
      </c>
      <c r="C275" s="168" t="s">
        <v>685</v>
      </c>
      <c r="D275" s="173" t="s">
        <v>680</v>
      </c>
      <c r="E275" s="170">
        <v>10.5</v>
      </c>
    </row>
    <row r="276" spans="2:5" x14ac:dyDescent="0.2">
      <c r="B276" s="167">
        <v>92922</v>
      </c>
      <c r="C276" s="168" t="s">
        <v>686</v>
      </c>
      <c r="D276" s="173" t="s">
        <v>680</v>
      </c>
      <c r="E276" s="170">
        <v>10.01</v>
      </c>
    </row>
    <row r="277" spans="2:5" x14ac:dyDescent="0.2">
      <c r="B277" s="167">
        <v>92923</v>
      </c>
      <c r="C277" s="168" t="s">
        <v>687</v>
      </c>
      <c r="D277" s="173" t="s">
        <v>680</v>
      </c>
      <c r="E277" s="170">
        <v>11.21</v>
      </c>
    </row>
    <row r="278" spans="2:5" x14ac:dyDescent="0.2">
      <c r="B278" s="167">
        <v>92924</v>
      </c>
      <c r="C278" s="168" t="s">
        <v>688</v>
      </c>
      <c r="D278" s="173" t="s">
        <v>680</v>
      </c>
      <c r="E278" s="170">
        <v>11</v>
      </c>
    </row>
    <row r="279" spans="2:5" x14ac:dyDescent="0.2">
      <c r="B279" s="167">
        <v>88628</v>
      </c>
      <c r="C279" s="168" t="s">
        <v>689</v>
      </c>
      <c r="D279" s="173" t="s">
        <v>223</v>
      </c>
      <c r="E279" s="170">
        <v>489.73</v>
      </c>
    </row>
    <row r="280" spans="2:5" x14ac:dyDescent="0.2">
      <c r="B280" s="172" t="s">
        <v>70</v>
      </c>
      <c r="C280" s="168" t="s">
        <v>690</v>
      </c>
      <c r="D280" s="173" t="s">
        <v>691</v>
      </c>
      <c r="E280" s="144">
        <v>24.2</v>
      </c>
    </row>
    <row r="281" spans="2:5" x14ac:dyDescent="0.2">
      <c r="B281" s="172" t="s">
        <v>692</v>
      </c>
      <c r="C281" s="168" t="s">
        <v>693</v>
      </c>
      <c r="D281" s="173" t="s">
        <v>42</v>
      </c>
      <c r="E281" s="144">
        <v>133.55000000000001</v>
      </c>
    </row>
    <row r="282" spans="2:5" x14ac:dyDescent="0.2">
      <c r="B282" s="172" t="s">
        <v>694</v>
      </c>
      <c r="C282" s="168" t="s">
        <v>695</v>
      </c>
      <c r="D282" s="173" t="s">
        <v>42</v>
      </c>
      <c r="E282" s="144">
        <v>152.74</v>
      </c>
    </row>
    <row r="283" spans="2:5" ht="22.5" x14ac:dyDescent="0.2">
      <c r="B283" s="172" t="s">
        <v>696</v>
      </c>
      <c r="C283" s="168" t="s">
        <v>697</v>
      </c>
      <c r="D283" s="173" t="s">
        <v>42</v>
      </c>
      <c r="E283" s="144">
        <v>113.02000000000001</v>
      </c>
    </row>
    <row r="284" spans="2:5" ht="22.5" x14ac:dyDescent="0.2">
      <c r="B284" s="172" t="s">
        <v>698</v>
      </c>
      <c r="C284" s="168" t="s">
        <v>699</v>
      </c>
      <c r="D284" s="173" t="s">
        <v>42</v>
      </c>
      <c r="E284" s="144">
        <v>118.87</v>
      </c>
    </row>
    <row r="285" spans="2:5" ht="12.75" customHeight="1" x14ac:dyDescent="0.2">
      <c r="B285" s="172" t="s">
        <v>700</v>
      </c>
      <c r="C285" s="168" t="s">
        <v>701</v>
      </c>
      <c r="D285" s="173" t="s">
        <v>42</v>
      </c>
      <c r="E285" s="144">
        <v>156.03</v>
      </c>
    </row>
    <row r="286" spans="2:5" x14ac:dyDescent="0.2">
      <c r="B286" s="172" t="s">
        <v>702</v>
      </c>
      <c r="C286" s="168" t="s">
        <v>703</v>
      </c>
      <c r="D286" s="173" t="s">
        <v>205</v>
      </c>
      <c r="E286" s="144">
        <v>7.82</v>
      </c>
    </row>
    <row r="287" spans="2:5" x14ac:dyDescent="0.2">
      <c r="B287" s="172" t="s">
        <v>83</v>
      </c>
      <c r="C287" s="168" t="s">
        <v>704</v>
      </c>
      <c r="D287" s="173" t="s">
        <v>205</v>
      </c>
      <c r="E287" s="144">
        <v>8.69</v>
      </c>
    </row>
    <row r="288" spans="2:5" x14ac:dyDescent="0.2">
      <c r="B288" s="172" t="s">
        <v>705</v>
      </c>
      <c r="C288" s="168" t="s">
        <v>706</v>
      </c>
      <c r="D288" s="173" t="s">
        <v>205</v>
      </c>
      <c r="E288" s="144">
        <v>10.76</v>
      </c>
    </row>
    <row r="289" spans="2:5" x14ac:dyDescent="0.2">
      <c r="B289" s="172" t="s">
        <v>707</v>
      </c>
      <c r="C289" s="168" t="s">
        <v>708</v>
      </c>
      <c r="D289" s="173" t="s">
        <v>223</v>
      </c>
      <c r="E289" s="144">
        <v>320.43</v>
      </c>
    </row>
    <row r="290" spans="2:5" x14ac:dyDescent="0.2">
      <c r="B290" s="172" t="s">
        <v>709</v>
      </c>
      <c r="C290" s="168" t="s">
        <v>710</v>
      </c>
      <c r="D290" s="173" t="s">
        <v>223</v>
      </c>
      <c r="E290" s="144">
        <v>269.86</v>
      </c>
    </row>
    <row r="291" spans="2:5" x14ac:dyDescent="0.2">
      <c r="B291" s="167">
        <v>97622</v>
      </c>
      <c r="C291" s="168" t="s">
        <v>711</v>
      </c>
      <c r="D291" s="173" t="s">
        <v>223</v>
      </c>
      <c r="E291" s="170">
        <v>59.36</v>
      </c>
    </row>
    <row r="292" spans="2:5" ht="25.5" customHeight="1" thickBot="1" x14ac:dyDescent="0.25">
      <c r="B292" s="172" t="s">
        <v>712</v>
      </c>
      <c r="C292" s="168" t="s">
        <v>713</v>
      </c>
      <c r="D292" s="173" t="s">
        <v>223</v>
      </c>
      <c r="E292" s="144">
        <v>810.12</v>
      </c>
    </row>
    <row r="293" spans="2:5" ht="14.1" customHeight="1" x14ac:dyDescent="0.2">
      <c r="B293" s="937" t="s">
        <v>714</v>
      </c>
      <c r="C293" s="939"/>
      <c r="D293" s="991"/>
      <c r="E293" s="177"/>
    </row>
    <row r="294" spans="2:5" ht="14.1" customHeight="1" thickBot="1" x14ac:dyDescent="0.25">
      <c r="B294" s="111" t="s">
        <v>28</v>
      </c>
      <c r="C294" s="112" t="s">
        <v>183</v>
      </c>
      <c r="D294" s="113" t="s">
        <v>184</v>
      </c>
      <c r="E294" s="114" t="s">
        <v>185</v>
      </c>
    </row>
    <row r="295" spans="2:5" ht="23.25" customHeight="1" x14ac:dyDescent="0.2">
      <c r="B295" s="167">
        <v>92743</v>
      </c>
      <c r="C295" s="168" t="s">
        <v>715</v>
      </c>
      <c r="D295" s="173" t="s">
        <v>223</v>
      </c>
      <c r="E295" s="170">
        <v>643.05999999999995</v>
      </c>
    </row>
    <row r="296" spans="2:5" ht="23.25" customHeight="1" x14ac:dyDescent="0.2">
      <c r="B296" s="167">
        <v>92744</v>
      </c>
      <c r="C296" s="168" t="s">
        <v>716</v>
      </c>
      <c r="D296" s="173" t="s">
        <v>223</v>
      </c>
      <c r="E296" s="170">
        <v>604.72</v>
      </c>
    </row>
    <row r="297" spans="2:5" ht="23.25" customHeight="1" x14ac:dyDescent="0.2">
      <c r="B297" s="167">
        <v>92745</v>
      </c>
      <c r="C297" s="168" t="s">
        <v>717</v>
      </c>
      <c r="D297" s="173" t="s">
        <v>223</v>
      </c>
      <c r="E297" s="170">
        <v>807.54</v>
      </c>
    </row>
    <row r="298" spans="2:5" ht="23.25" customHeight="1" x14ac:dyDescent="0.2">
      <c r="B298" s="167">
        <v>92746</v>
      </c>
      <c r="C298" s="168" t="s">
        <v>718</v>
      </c>
      <c r="D298" s="173" t="s">
        <v>223</v>
      </c>
      <c r="E298" s="170">
        <v>727.51</v>
      </c>
    </row>
    <row r="299" spans="2:5" ht="23.25" customHeight="1" x14ac:dyDescent="0.2">
      <c r="B299" s="167">
        <v>92747</v>
      </c>
      <c r="C299" s="168" t="s">
        <v>719</v>
      </c>
      <c r="D299" s="173" t="s">
        <v>223</v>
      </c>
      <c r="E299" s="170">
        <v>901.02</v>
      </c>
    </row>
    <row r="300" spans="2:5" ht="23.25" customHeight="1" x14ac:dyDescent="0.2">
      <c r="B300" s="167">
        <v>92748</v>
      </c>
      <c r="C300" s="168" t="s">
        <v>720</v>
      </c>
      <c r="D300" s="173" t="s">
        <v>223</v>
      </c>
      <c r="E300" s="170">
        <v>797.68</v>
      </c>
    </row>
    <row r="301" spans="2:5" ht="23.25" customHeight="1" x14ac:dyDescent="0.2">
      <c r="B301" s="167">
        <v>92753</v>
      </c>
      <c r="C301" s="168" t="s">
        <v>721</v>
      </c>
      <c r="D301" s="173" t="s">
        <v>223</v>
      </c>
      <c r="E301" s="170">
        <v>619.25</v>
      </c>
    </row>
    <row r="302" spans="2:5" ht="36" customHeight="1" x14ac:dyDescent="0.2">
      <c r="B302" s="167">
        <v>92754</v>
      </c>
      <c r="C302" s="168" t="s">
        <v>722</v>
      </c>
      <c r="D302" s="173" t="s">
        <v>223</v>
      </c>
      <c r="E302" s="170">
        <v>561.9</v>
      </c>
    </row>
    <row r="303" spans="2:5" ht="12" customHeight="1" x14ac:dyDescent="0.2">
      <c r="B303" s="167">
        <v>92755</v>
      </c>
      <c r="C303" s="168" t="s">
        <v>723</v>
      </c>
      <c r="D303" s="173" t="s">
        <v>205</v>
      </c>
      <c r="E303" s="170">
        <v>243.47</v>
      </c>
    </row>
    <row r="304" spans="2:5" ht="12" customHeight="1" x14ac:dyDescent="0.2">
      <c r="B304" s="167">
        <v>92756</v>
      </c>
      <c r="C304" s="168" t="s">
        <v>724</v>
      </c>
      <c r="D304" s="173" t="s">
        <v>205</v>
      </c>
      <c r="E304" s="170">
        <v>275</v>
      </c>
    </row>
    <row r="305" spans="2:5" ht="12" customHeight="1" x14ac:dyDescent="0.2">
      <c r="B305" s="167">
        <v>92757</v>
      </c>
      <c r="C305" s="168" t="s">
        <v>725</v>
      </c>
      <c r="D305" s="173" t="s">
        <v>205</v>
      </c>
      <c r="E305" s="170">
        <v>313.38</v>
      </c>
    </row>
    <row r="306" spans="2:5" ht="23.25" customHeight="1" x14ac:dyDescent="0.2">
      <c r="B306" s="167">
        <v>92758</v>
      </c>
      <c r="C306" s="168" t="s">
        <v>726</v>
      </c>
      <c r="D306" s="173" t="s">
        <v>223</v>
      </c>
      <c r="E306" s="170">
        <v>718.05</v>
      </c>
    </row>
    <row r="307" spans="2:5" ht="36.75" customHeight="1" x14ac:dyDescent="0.2">
      <c r="B307" s="167" t="s">
        <v>727</v>
      </c>
      <c r="C307" s="168" t="s">
        <v>728</v>
      </c>
      <c r="D307" s="173" t="s">
        <v>42</v>
      </c>
      <c r="E307" s="178">
        <v>145.77000000000001</v>
      </c>
    </row>
    <row r="308" spans="2:5" ht="33.75" x14ac:dyDescent="0.2">
      <c r="B308" s="167" t="s">
        <v>729</v>
      </c>
      <c r="C308" s="168" t="s">
        <v>730</v>
      </c>
      <c r="D308" s="173" t="s">
        <v>42</v>
      </c>
      <c r="E308" s="178">
        <v>122.21</v>
      </c>
    </row>
    <row r="309" spans="2:5" ht="33.75" x14ac:dyDescent="0.2">
      <c r="B309" s="167" t="s">
        <v>731</v>
      </c>
      <c r="C309" s="168" t="s">
        <v>732</v>
      </c>
      <c r="D309" s="173" t="s">
        <v>42</v>
      </c>
      <c r="E309" s="178">
        <v>110.47</v>
      </c>
    </row>
    <row r="310" spans="2:5" ht="33.75" x14ac:dyDescent="0.2">
      <c r="B310" s="167" t="s">
        <v>733</v>
      </c>
      <c r="C310" s="168" t="s">
        <v>734</v>
      </c>
      <c r="D310" s="173" t="s">
        <v>42</v>
      </c>
      <c r="E310" s="178">
        <v>177.61</v>
      </c>
    </row>
    <row r="311" spans="2:5" ht="33.75" x14ac:dyDescent="0.2">
      <c r="B311" s="167" t="s">
        <v>735</v>
      </c>
      <c r="C311" s="168" t="s">
        <v>736</v>
      </c>
      <c r="D311" s="173" t="s">
        <v>42</v>
      </c>
      <c r="E311" s="178">
        <v>147.44</v>
      </c>
    </row>
    <row r="312" spans="2:5" ht="33.75" x14ac:dyDescent="0.2">
      <c r="B312" s="167" t="s">
        <v>737</v>
      </c>
      <c r="C312" s="168" t="s">
        <v>738</v>
      </c>
      <c r="D312" s="173" t="s">
        <v>42</v>
      </c>
      <c r="E312" s="178">
        <v>133.04</v>
      </c>
    </row>
    <row r="313" spans="2:5" ht="33.75" x14ac:dyDescent="0.2">
      <c r="B313" s="167" t="s">
        <v>739</v>
      </c>
      <c r="C313" s="168" t="s">
        <v>740</v>
      </c>
      <c r="D313" s="173" t="s">
        <v>42</v>
      </c>
      <c r="E313" s="178">
        <v>175.48000000000002</v>
      </c>
    </row>
    <row r="314" spans="2:5" ht="33.75" x14ac:dyDescent="0.2">
      <c r="B314" s="167" t="s">
        <v>741</v>
      </c>
      <c r="C314" s="168" t="s">
        <v>742</v>
      </c>
      <c r="D314" s="173" t="s">
        <v>42</v>
      </c>
      <c r="E314" s="178">
        <v>141.34</v>
      </c>
    </row>
    <row r="315" spans="2:5" ht="33.75" x14ac:dyDescent="0.2">
      <c r="B315" s="167" t="s">
        <v>743</v>
      </c>
      <c r="C315" s="168" t="s">
        <v>744</v>
      </c>
      <c r="D315" s="173" t="s">
        <v>42</v>
      </c>
      <c r="E315" s="178">
        <v>124.80999999999999</v>
      </c>
    </row>
    <row r="316" spans="2:5" ht="33.75" x14ac:dyDescent="0.2">
      <c r="B316" s="167" t="s">
        <v>745</v>
      </c>
      <c r="C316" s="168" t="s">
        <v>746</v>
      </c>
      <c r="D316" s="173" t="s">
        <v>42</v>
      </c>
      <c r="E316" s="178">
        <v>215.10000000000002</v>
      </c>
    </row>
    <row r="317" spans="2:5" ht="33.75" x14ac:dyDescent="0.2">
      <c r="B317" s="167" t="s">
        <v>747</v>
      </c>
      <c r="C317" s="168" t="s">
        <v>748</v>
      </c>
      <c r="D317" s="173" t="s">
        <v>42</v>
      </c>
      <c r="E317" s="178">
        <v>169.49</v>
      </c>
    </row>
    <row r="318" spans="2:5" ht="33.75" x14ac:dyDescent="0.2">
      <c r="B318" s="167" t="s">
        <v>749</v>
      </c>
      <c r="C318" s="168" t="s">
        <v>750</v>
      </c>
      <c r="D318" s="173" t="s">
        <v>42</v>
      </c>
      <c r="E318" s="178">
        <v>148.94</v>
      </c>
    </row>
    <row r="319" spans="2:5" ht="23.25" customHeight="1" x14ac:dyDescent="0.2">
      <c r="B319" s="167">
        <v>95108</v>
      </c>
      <c r="C319" s="168" t="s">
        <v>751</v>
      </c>
      <c r="D319" s="173" t="s">
        <v>17</v>
      </c>
      <c r="E319" s="170">
        <v>32.92</v>
      </c>
    </row>
    <row r="320" spans="2:5" ht="12.75" customHeight="1" x14ac:dyDescent="0.2">
      <c r="B320" s="167" t="s">
        <v>752</v>
      </c>
      <c r="C320" s="168" t="s">
        <v>753</v>
      </c>
      <c r="D320" s="173" t="s">
        <v>42</v>
      </c>
      <c r="E320" s="178">
        <v>105.85999999999999</v>
      </c>
    </row>
    <row r="321" spans="2:5" ht="12.75" customHeight="1" x14ac:dyDescent="0.2">
      <c r="B321" s="167" t="s">
        <v>754</v>
      </c>
      <c r="C321" s="168" t="s">
        <v>755</v>
      </c>
      <c r="D321" s="173" t="s">
        <v>42</v>
      </c>
      <c r="E321" s="178">
        <v>50.42</v>
      </c>
    </row>
    <row r="322" spans="2:5" ht="23.25" customHeight="1" x14ac:dyDescent="0.2">
      <c r="B322" s="167">
        <v>100651</v>
      </c>
      <c r="C322" s="168" t="s">
        <v>756</v>
      </c>
      <c r="D322" s="173" t="s">
        <v>42</v>
      </c>
      <c r="E322" s="170">
        <v>129.06</v>
      </c>
    </row>
    <row r="323" spans="2:5" ht="23.25" customHeight="1" x14ac:dyDescent="0.2">
      <c r="B323" s="167">
        <v>100652</v>
      </c>
      <c r="C323" s="168" t="s">
        <v>757</v>
      </c>
      <c r="D323" s="173" t="s">
        <v>42</v>
      </c>
      <c r="E323" s="170">
        <v>238.9</v>
      </c>
    </row>
    <row r="324" spans="2:5" ht="23.25" customHeight="1" x14ac:dyDescent="0.2">
      <c r="B324" s="167">
        <v>100653</v>
      </c>
      <c r="C324" s="168" t="s">
        <v>758</v>
      </c>
      <c r="D324" s="173" t="s">
        <v>42</v>
      </c>
      <c r="E324" s="170">
        <v>391.37</v>
      </c>
    </row>
    <row r="325" spans="2:5" ht="23.25" customHeight="1" x14ac:dyDescent="0.2">
      <c r="B325" s="167">
        <v>100654</v>
      </c>
      <c r="C325" s="168" t="s">
        <v>759</v>
      </c>
      <c r="D325" s="173" t="s">
        <v>42</v>
      </c>
      <c r="E325" s="170">
        <v>528.22</v>
      </c>
    </row>
    <row r="326" spans="2:5" ht="23.25" customHeight="1" x14ac:dyDescent="0.2">
      <c r="B326" s="167">
        <v>100655</v>
      </c>
      <c r="C326" s="168" t="s">
        <v>760</v>
      </c>
      <c r="D326" s="173" t="s">
        <v>42</v>
      </c>
      <c r="E326" s="170">
        <v>609.53</v>
      </c>
    </row>
    <row r="327" spans="2:5" ht="12.75" customHeight="1" x14ac:dyDescent="0.2">
      <c r="B327" s="167">
        <v>44535</v>
      </c>
      <c r="C327" s="168" t="s">
        <v>761</v>
      </c>
      <c r="D327" s="173" t="s">
        <v>223</v>
      </c>
      <c r="E327" s="170">
        <v>42.15</v>
      </c>
    </row>
    <row r="328" spans="2:5" x14ac:dyDescent="0.2">
      <c r="B328" s="167">
        <v>98655</v>
      </c>
      <c r="C328" s="168" t="s">
        <v>762</v>
      </c>
      <c r="D328" s="173" t="s">
        <v>42</v>
      </c>
      <c r="E328" s="170">
        <v>619.76</v>
      </c>
    </row>
    <row r="329" spans="2:5" x14ac:dyDescent="0.2">
      <c r="B329" s="167">
        <v>98656</v>
      </c>
      <c r="C329" s="168" t="s">
        <v>763</v>
      </c>
      <c r="D329" s="173" t="s">
        <v>42</v>
      </c>
      <c r="E329" s="170">
        <v>629.29</v>
      </c>
    </row>
    <row r="330" spans="2:5" x14ac:dyDescent="0.2">
      <c r="B330" s="167">
        <v>98657</v>
      </c>
      <c r="C330" s="168" t="s">
        <v>764</v>
      </c>
      <c r="D330" s="173" t="s">
        <v>42</v>
      </c>
      <c r="E330" s="170">
        <v>638.80999999999995</v>
      </c>
    </row>
    <row r="331" spans="2:5" x14ac:dyDescent="0.2">
      <c r="B331" s="167">
        <v>98658</v>
      </c>
      <c r="C331" s="168" t="s">
        <v>765</v>
      </c>
      <c r="D331" s="173" t="s">
        <v>42</v>
      </c>
      <c r="E331" s="170">
        <v>648.34</v>
      </c>
    </row>
    <row r="332" spans="2:5" x14ac:dyDescent="0.2">
      <c r="B332" s="167">
        <v>98659</v>
      </c>
      <c r="C332" s="168" t="s">
        <v>766</v>
      </c>
      <c r="D332" s="173" t="s">
        <v>42</v>
      </c>
      <c r="E332" s="170">
        <v>667.39</v>
      </c>
    </row>
    <row r="333" spans="2:5" x14ac:dyDescent="0.2">
      <c r="B333" s="167" t="s">
        <v>767</v>
      </c>
      <c r="C333" s="168" t="s">
        <v>768</v>
      </c>
      <c r="D333" s="173" t="s">
        <v>223</v>
      </c>
      <c r="E333" s="178">
        <v>1402.3100000000002</v>
      </c>
    </row>
    <row r="334" spans="2:5" ht="22.5" x14ac:dyDescent="0.2">
      <c r="B334" s="167" t="s">
        <v>769</v>
      </c>
      <c r="C334" s="168" t="s">
        <v>770</v>
      </c>
      <c r="D334" s="173" t="s">
        <v>223</v>
      </c>
      <c r="E334" s="178">
        <v>1298.0900000000001</v>
      </c>
    </row>
    <row r="335" spans="2:5" ht="22.5" x14ac:dyDescent="0.2">
      <c r="B335" s="167" t="s">
        <v>771</v>
      </c>
      <c r="C335" s="168" t="s">
        <v>772</v>
      </c>
      <c r="D335" s="173" t="s">
        <v>223</v>
      </c>
      <c r="E335" s="178">
        <v>1248.58</v>
      </c>
    </row>
    <row r="336" spans="2:5" x14ac:dyDescent="0.2">
      <c r="B336" s="167" t="s">
        <v>773</v>
      </c>
      <c r="C336" s="168" t="s">
        <v>774</v>
      </c>
      <c r="D336" s="173" t="s">
        <v>223</v>
      </c>
      <c r="E336" s="178">
        <v>1285.1399999999999</v>
      </c>
    </row>
    <row r="337" spans="2:5" ht="22.5" x14ac:dyDescent="0.2">
      <c r="B337" s="167" t="s">
        <v>775</v>
      </c>
      <c r="C337" s="168" t="s">
        <v>776</v>
      </c>
      <c r="D337" s="173" t="s">
        <v>223</v>
      </c>
      <c r="E337" s="178">
        <v>1215.81</v>
      </c>
    </row>
    <row r="338" spans="2:5" ht="22.5" x14ac:dyDescent="0.2">
      <c r="B338" s="167" t="s">
        <v>777</v>
      </c>
      <c r="C338" s="168" t="s">
        <v>778</v>
      </c>
      <c r="D338" s="173" t="s">
        <v>223</v>
      </c>
      <c r="E338" s="178">
        <v>1179.05</v>
      </c>
    </row>
    <row r="339" spans="2:5" x14ac:dyDescent="0.2">
      <c r="B339" s="167" t="s">
        <v>779</v>
      </c>
      <c r="C339" s="168" t="s">
        <v>780</v>
      </c>
      <c r="D339" s="173" t="s">
        <v>223</v>
      </c>
      <c r="E339" s="178">
        <v>1209.22</v>
      </c>
    </row>
    <row r="340" spans="2:5" ht="22.5" x14ac:dyDescent="0.2">
      <c r="B340" s="167" t="s">
        <v>781</v>
      </c>
      <c r="C340" s="168" t="s">
        <v>782</v>
      </c>
      <c r="D340" s="173" t="s">
        <v>223</v>
      </c>
      <c r="E340" s="178">
        <v>1153.54</v>
      </c>
    </row>
    <row r="341" spans="2:5" ht="22.5" x14ac:dyDescent="0.2">
      <c r="B341" s="167" t="s">
        <v>783</v>
      </c>
      <c r="C341" s="168" t="s">
        <v>784</v>
      </c>
      <c r="D341" s="173" t="s">
        <v>223</v>
      </c>
      <c r="E341" s="178">
        <v>1121.9299999999998</v>
      </c>
    </row>
    <row r="342" spans="2:5" x14ac:dyDescent="0.2">
      <c r="B342" s="167" t="s">
        <v>785</v>
      </c>
      <c r="C342" s="168" t="s">
        <v>786</v>
      </c>
      <c r="D342" s="173" t="s">
        <v>223</v>
      </c>
      <c r="E342" s="178">
        <v>1148.97</v>
      </c>
    </row>
    <row r="343" spans="2:5" ht="22.5" x14ac:dyDescent="0.2">
      <c r="B343" s="167" t="s">
        <v>787</v>
      </c>
      <c r="C343" s="168" t="s">
        <v>788</v>
      </c>
      <c r="D343" s="173" t="s">
        <v>223</v>
      </c>
      <c r="E343" s="178">
        <v>1101.83</v>
      </c>
    </row>
    <row r="344" spans="2:5" ht="22.5" x14ac:dyDescent="0.2">
      <c r="B344" s="167" t="s">
        <v>789</v>
      </c>
      <c r="C344" s="168" t="s">
        <v>790</v>
      </c>
      <c r="D344" s="173" t="s">
        <v>223</v>
      </c>
      <c r="E344" s="178">
        <v>1075.99</v>
      </c>
    </row>
    <row r="345" spans="2:5" ht="22.5" x14ac:dyDescent="0.2">
      <c r="B345" s="167" t="s">
        <v>791</v>
      </c>
      <c r="C345" s="168" t="s">
        <v>792</v>
      </c>
      <c r="D345" s="173" t="s">
        <v>205</v>
      </c>
      <c r="E345" s="178">
        <v>18.950000000000003</v>
      </c>
    </row>
    <row r="346" spans="2:5" ht="34.5" customHeight="1" x14ac:dyDescent="0.2">
      <c r="B346" s="167" t="s">
        <v>793</v>
      </c>
      <c r="C346" s="168" t="s">
        <v>794</v>
      </c>
      <c r="D346" s="173" t="s">
        <v>42</v>
      </c>
      <c r="E346" s="178">
        <v>2840.22</v>
      </c>
    </row>
    <row r="347" spans="2:5" ht="33.75" x14ac:dyDescent="0.2">
      <c r="B347" s="167" t="s">
        <v>795</v>
      </c>
      <c r="C347" s="168" t="s">
        <v>796</v>
      </c>
      <c r="D347" s="173" t="s">
        <v>42</v>
      </c>
      <c r="E347" s="178">
        <v>2604.1099999999997</v>
      </c>
    </row>
    <row r="348" spans="2:5" ht="33.75" x14ac:dyDescent="0.2">
      <c r="B348" s="167" t="s">
        <v>797</v>
      </c>
      <c r="C348" s="168" t="s">
        <v>798</v>
      </c>
      <c r="D348" s="173" t="s">
        <v>42</v>
      </c>
      <c r="E348" s="178">
        <v>2751.7999999999997</v>
      </c>
    </row>
    <row r="349" spans="2:5" ht="33.75" x14ac:dyDescent="0.2">
      <c r="B349" s="167" t="s">
        <v>799</v>
      </c>
      <c r="C349" s="168" t="s">
        <v>800</v>
      </c>
      <c r="D349" s="173" t="s">
        <v>42</v>
      </c>
      <c r="E349" s="178">
        <v>2882.6899999999996</v>
      </c>
    </row>
    <row r="350" spans="2:5" ht="33.75" x14ac:dyDescent="0.2">
      <c r="B350" s="167" t="s">
        <v>801</v>
      </c>
      <c r="C350" s="168" t="s">
        <v>802</v>
      </c>
      <c r="D350" s="173" t="s">
        <v>42</v>
      </c>
      <c r="E350" s="178">
        <v>3593.5899999999997</v>
      </c>
    </row>
    <row r="351" spans="2:5" ht="33.75" x14ac:dyDescent="0.2">
      <c r="B351" s="167" t="s">
        <v>803</v>
      </c>
      <c r="C351" s="168" t="s">
        <v>804</v>
      </c>
      <c r="D351" s="173" t="s">
        <v>42</v>
      </c>
      <c r="E351" s="178">
        <v>3441.1399999999994</v>
      </c>
    </row>
    <row r="352" spans="2:5" ht="33.75" x14ac:dyDescent="0.2">
      <c r="B352" s="167" t="s">
        <v>805</v>
      </c>
      <c r="C352" s="168" t="s">
        <v>806</v>
      </c>
      <c r="D352" s="173" t="s">
        <v>42</v>
      </c>
      <c r="E352" s="178">
        <v>3597.57</v>
      </c>
    </row>
    <row r="353" spans="2:5" ht="33.75" x14ac:dyDescent="0.2">
      <c r="B353" s="167" t="s">
        <v>807</v>
      </c>
      <c r="C353" s="168" t="s">
        <v>808</v>
      </c>
      <c r="D353" s="173" t="s">
        <v>42</v>
      </c>
      <c r="E353" s="178">
        <v>4096.2300000000005</v>
      </c>
    </row>
    <row r="354" spans="2:5" ht="33.75" x14ac:dyDescent="0.2">
      <c r="B354" s="167" t="s">
        <v>809</v>
      </c>
      <c r="C354" s="168" t="s">
        <v>810</v>
      </c>
      <c r="D354" s="173" t="s">
        <v>42</v>
      </c>
      <c r="E354" s="178">
        <v>4488.8499999999995</v>
      </c>
    </row>
    <row r="355" spans="2:5" ht="33.75" x14ac:dyDescent="0.2">
      <c r="B355" s="167" t="s">
        <v>811</v>
      </c>
      <c r="C355" s="168" t="s">
        <v>812</v>
      </c>
      <c r="D355" s="173" t="s">
        <v>42</v>
      </c>
      <c r="E355" s="178">
        <v>4431.2599999999993</v>
      </c>
    </row>
    <row r="356" spans="2:5" ht="33.75" x14ac:dyDescent="0.2">
      <c r="B356" s="167" t="s">
        <v>813</v>
      </c>
      <c r="C356" s="168" t="s">
        <v>814</v>
      </c>
      <c r="D356" s="173" t="s">
        <v>42</v>
      </c>
      <c r="E356" s="178">
        <v>5106.22</v>
      </c>
    </row>
    <row r="357" spans="2:5" ht="33.75" x14ac:dyDescent="0.2">
      <c r="B357" s="167" t="s">
        <v>815</v>
      </c>
      <c r="C357" s="168" t="s">
        <v>816</v>
      </c>
      <c r="D357" s="173" t="s">
        <v>42</v>
      </c>
      <c r="E357" s="178">
        <v>5294.5599999999995</v>
      </c>
    </row>
    <row r="358" spans="2:5" ht="33.75" x14ac:dyDescent="0.2">
      <c r="B358" s="167" t="s">
        <v>817</v>
      </c>
      <c r="C358" s="168" t="s">
        <v>818</v>
      </c>
      <c r="D358" s="173" t="s">
        <v>42</v>
      </c>
      <c r="E358" s="178">
        <v>5325.7699999999995</v>
      </c>
    </row>
    <row r="359" spans="2:5" ht="33.75" x14ac:dyDescent="0.2">
      <c r="B359" s="167" t="s">
        <v>819</v>
      </c>
      <c r="C359" s="168" t="s">
        <v>820</v>
      </c>
      <c r="D359" s="173" t="s">
        <v>42</v>
      </c>
      <c r="E359" s="178">
        <v>5244.69</v>
      </c>
    </row>
    <row r="360" spans="2:5" ht="33.75" x14ac:dyDescent="0.2">
      <c r="B360" s="167" t="s">
        <v>821</v>
      </c>
      <c r="C360" s="168" t="s">
        <v>822</v>
      </c>
      <c r="D360" s="173" t="s">
        <v>42</v>
      </c>
      <c r="E360" s="178">
        <v>6165.4300000000012</v>
      </c>
    </row>
    <row r="361" spans="2:5" ht="33.75" x14ac:dyDescent="0.2">
      <c r="B361" s="167" t="s">
        <v>823</v>
      </c>
      <c r="C361" s="168" t="s">
        <v>824</v>
      </c>
      <c r="D361" s="173" t="s">
        <v>42</v>
      </c>
      <c r="E361" s="178">
        <v>6800.2500000000009</v>
      </c>
    </row>
    <row r="362" spans="2:5" ht="12.75" customHeight="1" x14ac:dyDescent="0.2">
      <c r="B362" s="167" t="s">
        <v>825</v>
      </c>
      <c r="C362" s="168" t="s">
        <v>826</v>
      </c>
      <c r="D362" s="173" t="s">
        <v>205</v>
      </c>
      <c r="E362" s="178">
        <v>458.86</v>
      </c>
    </row>
    <row r="363" spans="2:5" ht="12.75" customHeight="1" x14ac:dyDescent="0.2">
      <c r="B363" s="167" t="s">
        <v>827</v>
      </c>
      <c r="C363" s="168" t="s">
        <v>828</v>
      </c>
      <c r="D363" s="173" t="s">
        <v>205</v>
      </c>
      <c r="E363" s="178">
        <v>742.33</v>
      </c>
    </row>
    <row r="364" spans="2:5" ht="23.25" thickBot="1" x14ac:dyDescent="0.25">
      <c r="B364" s="167" t="s">
        <v>829</v>
      </c>
      <c r="C364" s="168" t="s">
        <v>830</v>
      </c>
      <c r="D364" s="173" t="s">
        <v>205</v>
      </c>
      <c r="E364" s="178">
        <v>1227.6500000000001</v>
      </c>
    </row>
    <row r="365" spans="2:5" ht="14.1" customHeight="1" x14ac:dyDescent="0.2">
      <c r="B365" s="937" t="s">
        <v>831</v>
      </c>
      <c r="C365" s="939"/>
      <c r="D365" s="991"/>
      <c r="E365" s="160"/>
    </row>
    <row r="366" spans="2:5" ht="14.1" customHeight="1" thickBot="1" x14ac:dyDescent="0.25">
      <c r="B366" s="179" t="s">
        <v>28</v>
      </c>
      <c r="C366" s="180" t="s">
        <v>183</v>
      </c>
      <c r="D366" s="180" t="s">
        <v>184</v>
      </c>
      <c r="E366" s="181"/>
    </row>
    <row r="367" spans="2:5" x14ac:dyDescent="0.2">
      <c r="B367" s="167">
        <v>101125</v>
      </c>
      <c r="C367" s="168" t="s">
        <v>832</v>
      </c>
      <c r="D367" s="173" t="s">
        <v>223</v>
      </c>
      <c r="E367" s="170">
        <v>13.92</v>
      </c>
    </row>
    <row r="368" spans="2:5" x14ac:dyDescent="0.2">
      <c r="B368" s="167" t="s">
        <v>73</v>
      </c>
      <c r="C368" s="168" t="s">
        <v>833</v>
      </c>
      <c r="D368" s="173" t="s">
        <v>223</v>
      </c>
      <c r="E368" s="178">
        <v>3.8</v>
      </c>
    </row>
    <row r="369" spans="2:5" x14ac:dyDescent="0.2">
      <c r="B369" s="167">
        <v>100973</v>
      </c>
      <c r="C369" s="168" t="s">
        <v>388</v>
      </c>
      <c r="D369" s="173" t="s">
        <v>84</v>
      </c>
      <c r="E369" s="170">
        <v>8.57</v>
      </c>
    </row>
    <row r="370" spans="2:5" x14ac:dyDescent="0.2">
      <c r="B370" s="167">
        <v>100974</v>
      </c>
      <c r="C370" s="168" t="s">
        <v>389</v>
      </c>
      <c r="D370" s="173" t="s">
        <v>84</v>
      </c>
      <c r="E370" s="170">
        <v>8.34</v>
      </c>
    </row>
    <row r="371" spans="2:5" x14ac:dyDescent="0.2">
      <c r="B371" s="167">
        <v>100975</v>
      </c>
      <c r="C371" s="168" t="s">
        <v>390</v>
      </c>
      <c r="D371" s="173" t="s">
        <v>84</v>
      </c>
      <c r="E371" s="170">
        <v>8.44</v>
      </c>
    </row>
    <row r="372" spans="2:5" ht="22.5" x14ac:dyDescent="0.2">
      <c r="B372" s="167" t="s">
        <v>74</v>
      </c>
      <c r="C372" s="168" t="s">
        <v>834</v>
      </c>
      <c r="D372" s="173" t="s">
        <v>223</v>
      </c>
      <c r="E372" s="178">
        <v>8.7100000000000009</v>
      </c>
    </row>
    <row r="373" spans="2:5" x14ac:dyDescent="0.2">
      <c r="B373" s="167">
        <v>100574</v>
      </c>
      <c r="C373" s="168" t="s">
        <v>835</v>
      </c>
      <c r="D373" s="173" t="s">
        <v>223</v>
      </c>
      <c r="E373" s="170">
        <v>1.42</v>
      </c>
    </row>
    <row r="374" spans="2:5" x14ac:dyDescent="0.2">
      <c r="B374" s="167">
        <v>100575</v>
      </c>
      <c r="C374" s="168" t="s">
        <v>836</v>
      </c>
      <c r="D374" s="173" t="s">
        <v>205</v>
      </c>
      <c r="E374" s="170">
        <v>0.13</v>
      </c>
    </row>
    <row r="375" spans="2:5" x14ac:dyDescent="0.2">
      <c r="B375" s="167" t="s">
        <v>837</v>
      </c>
      <c r="C375" s="168" t="s">
        <v>838</v>
      </c>
      <c r="D375" s="173" t="s">
        <v>223</v>
      </c>
      <c r="E375" s="178">
        <v>4.5</v>
      </c>
    </row>
    <row r="376" spans="2:5" x14ac:dyDescent="0.2">
      <c r="B376" s="167">
        <v>100576</v>
      </c>
      <c r="C376" s="168" t="s">
        <v>839</v>
      </c>
      <c r="D376" s="173" t="s">
        <v>205</v>
      </c>
      <c r="E376" s="170">
        <v>2.5</v>
      </c>
    </row>
    <row r="377" spans="2:5" ht="13.5" thickBot="1" x14ac:dyDescent="0.25">
      <c r="B377" s="182">
        <v>100577</v>
      </c>
      <c r="C377" s="183" t="s">
        <v>840</v>
      </c>
      <c r="D377" s="184" t="s">
        <v>205</v>
      </c>
      <c r="E377" s="170">
        <v>1.1599999999999999</v>
      </c>
    </row>
    <row r="378" spans="2:5" ht="14.1" customHeight="1" x14ac:dyDescent="0.2">
      <c r="B378" s="937" t="s">
        <v>841</v>
      </c>
      <c r="C378" s="939"/>
      <c r="D378" s="991"/>
      <c r="E378" s="160"/>
    </row>
    <row r="379" spans="2:5" ht="14.1" customHeight="1" thickBot="1" x14ac:dyDescent="0.25">
      <c r="B379" s="111" t="s">
        <v>28</v>
      </c>
      <c r="C379" s="112" t="s">
        <v>183</v>
      </c>
      <c r="D379" s="113" t="s">
        <v>184</v>
      </c>
      <c r="E379" s="114" t="s">
        <v>185</v>
      </c>
    </row>
    <row r="380" spans="2:5" ht="24" customHeight="1" x14ac:dyDescent="0.2">
      <c r="B380" s="185" t="s">
        <v>842</v>
      </c>
      <c r="C380" s="168" t="s">
        <v>843</v>
      </c>
      <c r="D380" s="173" t="s">
        <v>223</v>
      </c>
      <c r="E380" s="178">
        <v>128.99</v>
      </c>
    </row>
    <row r="381" spans="2:5" ht="24" customHeight="1" x14ac:dyDescent="0.2">
      <c r="B381" s="185" t="s">
        <v>844</v>
      </c>
      <c r="C381" s="168" t="s">
        <v>845</v>
      </c>
      <c r="D381" s="173" t="s">
        <v>223</v>
      </c>
      <c r="E381" s="178">
        <v>104.78</v>
      </c>
    </row>
    <row r="382" spans="2:5" x14ac:dyDescent="0.2">
      <c r="B382" s="185" t="s">
        <v>66</v>
      </c>
      <c r="C382" s="168" t="s">
        <v>846</v>
      </c>
      <c r="D382" s="173" t="s">
        <v>223</v>
      </c>
      <c r="E382" s="178">
        <v>154.88</v>
      </c>
    </row>
    <row r="383" spans="2:5" x14ac:dyDescent="0.2">
      <c r="B383" s="185" t="s">
        <v>77</v>
      </c>
      <c r="C383" s="168" t="s">
        <v>847</v>
      </c>
      <c r="D383" s="173" t="s">
        <v>223</v>
      </c>
      <c r="E383" s="178">
        <v>104.58000000000001</v>
      </c>
    </row>
    <row r="384" spans="2:5" x14ac:dyDescent="0.2">
      <c r="B384" s="185" t="s">
        <v>848</v>
      </c>
      <c r="C384" s="168" t="s">
        <v>849</v>
      </c>
      <c r="D384" s="173" t="s">
        <v>223</v>
      </c>
      <c r="E384" s="178">
        <v>156.42000000000002</v>
      </c>
    </row>
    <row r="385" spans="2:5" x14ac:dyDescent="0.2">
      <c r="B385" s="185" t="s">
        <v>850</v>
      </c>
      <c r="C385" s="168" t="s">
        <v>851</v>
      </c>
      <c r="D385" s="173" t="s">
        <v>223</v>
      </c>
      <c r="E385" s="178">
        <v>109.74000000000001</v>
      </c>
    </row>
    <row r="386" spans="2:5" x14ac:dyDescent="0.2">
      <c r="B386" s="185" t="s">
        <v>852</v>
      </c>
      <c r="C386" s="168" t="s">
        <v>853</v>
      </c>
      <c r="D386" s="173" t="s">
        <v>223</v>
      </c>
      <c r="E386" s="178">
        <v>150.01000000000002</v>
      </c>
    </row>
    <row r="387" spans="2:5" x14ac:dyDescent="0.2">
      <c r="B387" s="185" t="s">
        <v>854</v>
      </c>
      <c r="C387" s="168" t="s">
        <v>855</v>
      </c>
      <c r="D387" s="173" t="s">
        <v>223</v>
      </c>
      <c r="E387" s="178">
        <v>104.58000000000001</v>
      </c>
    </row>
    <row r="388" spans="2:5" x14ac:dyDescent="0.2">
      <c r="B388" s="174">
        <v>96396</v>
      </c>
      <c r="C388" s="168" t="s">
        <v>856</v>
      </c>
      <c r="D388" s="173" t="s">
        <v>223</v>
      </c>
      <c r="E388" s="170">
        <v>112.26</v>
      </c>
    </row>
    <row r="389" spans="2:5" x14ac:dyDescent="0.2">
      <c r="B389" s="185" t="s">
        <v>857</v>
      </c>
      <c r="C389" s="168" t="s">
        <v>858</v>
      </c>
      <c r="D389" s="173" t="s">
        <v>223</v>
      </c>
      <c r="E389" s="178">
        <v>155.83999999999997</v>
      </c>
    </row>
    <row r="390" spans="2:5" x14ac:dyDescent="0.2">
      <c r="B390" s="185" t="s">
        <v>859</v>
      </c>
      <c r="C390" s="168" t="s">
        <v>860</v>
      </c>
      <c r="D390" s="173" t="s">
        <v>223</v>
      </c>
      <c r="E390" s="178">
        <v>141.32</v>
      </c>
    </row>
    <row r="391" spans="2:5" ht="12.75" customHeight="1" x14ac:dyDescent="0.2">
      <c r="B391" s="185" t="s">
        <v>861</v>
      </c>
      <c r="C391" s="168" t="s">
        <v>862</v>
      </c>
      <c r="D391" s="173" t="s">
        <v>223</v>
      </c>
      <c r="E391" s="178">
        <v>276.41000000000003</v>
      </c>
    </row>
    <row r="392" spans="2:5" ht="12.75" customHeight="1" x14ac:dyDescent="0.2">
      <c r="B392" s="185" t="s">
        <v>863</v>
      </c>
      <c r="C392" s="168" t="s">
        <v>864</v>
      </c>
      <c r="D392" s="173" t="s">
        <v>223</v>
      </c>
      <c r="E392" s="178">
        <v>258.26</v>
      </c>
    </row>
    <row r="393" spans="2:5" x14ac:dyDescent="0.2">
      <c r="B393" s="174">
        <v>96400</v>
      </c>
      <c r="C393" s="168" t="s">
        <v>865</v>
      </c>
      <c r="D393" s="173" t="s">
        <v>223</v>
      </c>
      <c r="E393" s="170">
        <v>102.76</v>
      </c>
    </row>
    <row r="394" spans="2:5" x14ac:dyDescent="0.2">
      <c r="B394" s="185" t="s">
        <v>866</v>
      </c>
      <c r="C394" s="168" t="s">
        <v>867</v>
      </c>
      <c r="D394" s="173" t="s">
        <v>223</v>
      </c>
      <c r="E394" s="178">
        <v>207.93</v>
      </c>
    </row>
    <row r="395" spans="2:5" ht="12.75" customHeight="1" x14ac:dyDescent="0.2">
      <c r="B395" s="174">
        <v>96001</v>
      </c>
      <c r="C395" s="168" t="s">
        <v>868</v>
      </c>
      <c r="D395" s="173" t="s">
        <v>205</v>
      </c>
      <c r="E395" s="170">
        <v>7.83</v>
      </c>
    </row>
    <row r="396" spans="2:5" x14ac:dyDescent="0.2">
      <c r="B396" s="185" t="s">
        <v>869</v>
      </c>
      <c r="C396" s="168" t="s">
        <v>870</v>
      </c>
      <c r="D396" s="173" t="s">
        <v>223</v>
      </c>
      <c r="E396" s="178">
        <v>106.32</v>
      </c>
    </row>
    <row r="397" spans="2:5" x14ac:dyDescent="0.2">
      <c r="B397" s="185" t="s">
        <v>871</v>
      </c>
      <c r="C397" s="168" t="s">
        <v>872</v>
      </c>
      <c r="D397" s="173" t="s">
        <v>223</v>
      </c>
      <c r="E397" s="178">
        <v>120.84</v>
      </c>
    </row>
    <row r="398" spans="2:5" ht="12.75" customHeight="1" x14ac:dyDescent="0.2">
      <c r="B398" s="185" t="s">
        <v>78</v>
      </c>
      <c r="C398" s="168" t="s">
        <v>873</v>
      </c>
      <c r="D398" s="173" t="s">
        <v>205</v>
      </c>
      <c r="E398" s="178">
        <v>2.8</v>
      </c>
    </row>
    <row r="399" spans="2:5" x14ac:dyDescent="0.2">
      <c r="B399" s="185" t="s">
        <v>874</v>
      </c>
      <c r="C399" s="168" t="s">
        <v>875</v>
      </c>
      <c r="D399" s="173" t="s">
        <v>205</v>
      </c>
      <c r="E399" s="178">
        <v>2.7</v>
      </c>
    </row>
    <row r="400" spans="2:5" x14ac:dyDescent="0.2">
      <c r="B400" s="185" t="s">
        <v>876</v>
      </c>
      <c r="C400" s="168" t="s">
        <v>877</v>
      </c>
      <c r="D400" s="173" t="s">
        <v>205</v>
      </c>
      <c r="E400" s="178">
        <v>2.7800000000000002</v>
      </c>
    </row>
    <row r="401" spans="2:5" x14ac:dyDescent="0.2">
      <c r="B401" s="185" t="s">
        <v>878</v>
      </c>
      <c r="C401" s="168" t="s">
        <v>879</v>
      </c>
      <c r="D401" s="173" t="s">
        <v>205</v>
      </c>
      <c r="E401" s="178">
        <v>6.22</v>
      </c>
    </row>
    <row r="402" spans="2:5" x14ac:dyDescent="0.2">
      <c r="B402" s="185" t="s">
        <v>880</v>
      </c>
      <c r="C402" s="168" t="s">
        <v>881</v>
      </c>
      <c r="D402" s="173" t="s">
        <v>205</v>
      </c>
      <c r="E402" s="178">
        <v>6.51</v>
      </c>
    </row>
    <row r="403" spans="2:5" ht="23.25" customHeight="1" x14ac:dyDescent="0.2">
      <c r="B403" s="185" t="s">
        <v>882</v>
      </c>
      <c r="C403" s="168" t="s">
        <v>883</v>
      </c>
      <c r="D403" s="173" t="s">
        <v>205</v>
      </c>
      <c r="E403" s="170">
        <v>7.08</v>
      </c>
    </row>
    <row r="404" spans="2:5" ht="23.25" customHeight="1" x14ac:dyDescent="0.2">
      <c r="B404" s="185" t="s">
        <v>884</v>
      </c>
      <c r="C404" s="168" t="s">
        <v>885</v>
      </c>
      <c r="D404" s="173" t="s">
        <v>205</v>
      </c>
      <c r="E404" s="170">
        <v>10.510000000000002</v>
      </c>
    </row>
    <row r="405" spans="2:5" ht="23.25" customHeight="1" x14ac:dyDescent="0.2">
      <c r="B405" s="185" t="s">
        <v>79</v>
      </c>
      <c r="C405" s="168" t="s">
        <v>886</v>
      </c>
      <c r="D405" s="173" t="s">
        <v>205</v>
      </c>
      <c r="E405" s="170">
        <v>18.059999999999999</v>
      </c>
    </row>
    <row r="406" spans="2:5" ht="23.25" customHeight="1" x14ac:dyDescent="0.2">
      <c r="B406" s="185" t="s">
        <v>887</v>
      </c>
      <c r="C406" s="168" t="s">
        <v>888</v>
      </c>
      <c r="D406" s="173" t="s">
        <v>205</v>
      </c>
      <c r="E406" s="170">
        <v>21.470000000000002</v>
      </c>
    </row>
    <row r="407" spans="2:5" ht="23.25" customHeight="1" x14ac:dyDescent="0.2">
      <c r="B407" s="185" t="s">
        <v>889</v>
      </c>
      <c r="C407" s="168" t="s">
        <v>890</v>
      </c>
      <c r="D407" s="173" t="s">
        <v>205</v>
      </c>
      <c r="E407" s="170">
        <v>24.78</v>
      </c>
    </row>
    <row r="408" spans="2:5" ht="23.25" customHeight="1" x14ac:dyDescent="0.2">
      <c r="B408" s="185" t="s">
        <v>891</v>
      </c>
      <c r="C408" s="168" t="s">
        <v>892</v>
      </c>
      <c r="D408" s="173" t="s">
        <v>205</v>
      </c>
      <c r="E408" s="170">
        <v>19.919999999999998</v>
      </c>
    </row>
    <row r="409" spans="2:5" ht="23.25" customHeight="1" x14ac:dyDescent="0.2">
      <c r="B409" s="185" t="s">
        <v>893</v>
      </c>
      <c r="C409" s="168" t="s">
        <v>894</v>
      </c>
      <c r="D409" s="173" t="s">
        <v>205</v>
      </c>
      <c r="E409" s="170">
        <v>21.490000000000002</v>
      </c>
    </row>
    <row r="410" spans="2:5" ht="23.25" customHeight="1" x14ac:dyDescent="0.2">
      <c r="B410" s="185" t="s">
        <v>895</v>
      </c>
      <c r="C410" s="168" t="s">
        <v>896</v>
      </c>
      <c r="D410" s="173" t="s">
        <v>205</v>
      </c>
      <c r="E410" s="170">
        <v>24.880000000000003</v>
      </c>
    </row>
    <row r="411" spans="2:5" x14ac:dyDescent="0.2">
      <c r="B411" s="185" t="s">
        <v>897</v>
      </c>
      <c r="C411" s="168" t="s">
        <v>898</v>
      </c>
      <c r="D411" s="173" t="s">
        <v>396</v>
      </c>
      <c r="E411" s="170">
        <v>295.10000000000002</v>
      </c>
    </row>
    <row r="412" spans="2:5" ht="22.5" x14ac:dyDescent="0.2">
      <c r="B412" s="185" t="s">
        <v>899</v>
      </c>
      <c r="C412" s="168" t="s">
        <v>900</v>
      </c>
      <c r="D412" s="173" t="s">
        <v>223</v>
      </c>
      <c r="E412" s="170">
        <v>775.17</v>
      </c>
    </row>
    <row r="413" spans="2:5" x14ac:dyDescent="0.2">
      <c r="B413" s="185" t="s">
        <v>901</v>
      </c>
      <c r="C413" s="168" t="s">
        <v>902</v>
      </c>
      <c r="D413" s="173" t="s">
        <v>396</v>
      </c>
      <c r="E413" s="170">
        <v>345.88</v>
      </c>
    </row>
    <row r="414" spans="2:5" ht="23.25" customHeight="1" x14ac:dyDescent="0.2">
      <c r="B414" s="185" t="s">
        <v>903</v>
      </c>
      <c r="C414" s="168" t="s">
        <v>904</v>
      </c>
      <c r="D414" s="173" t="s">
        <v>223</v>
      </c>
      <c r="E414" s="170">
        <v>919.54000000000008</v>
      </c>
    </row>
    <row r="415" spans="2:5" x14ac:dyDescent="0.2">
      <c r="B415" s="185" t="s">
        <v>905</v>
      </c>
      <c r="C415" s="168" t="s">
        <v>906</v>
      </c>
      <c r="D415" s="173" t="s">
        <v>396</v>
      </c>
      <c r="E415" s="178">
        <v>410.94000000000005</v>
      </c>
    </row>
    <row r="416" spans="2:5" ht="24" customHeight="1" x14ac:dyDescent="0.2">
      <c r="B416" s="185" t="s">
        <v>907</v>
      </c>
      <c r="C416" s="168" t="s">
        <v>908</v>
      </c>
      <c r="D416" s="173" t="s">
        <v>223</v>
      </c>
      <c r="E416" s="178">
        <v>1135.3899999999999</v>
      </c>
    </row>
    <row r="417" spans="2:5" x14ac:dyDescent="0.2">
      <c r="B417" s="185" t="s">
        <v>909</v>
      </c>
      <c r="C417" s="168" t="s">
        <v>910</v>
      </c>
      <c r="D417" s="173" t="s">
        <v>396</v>
      </c>
      <c r="E417" s="170">
        <v>434.28999999999996</v>
      </c>
    </row>
    <row r="418" spans="2:5" ht="22.5" x14ac:dyDescent="0.2">
      <c r="B418" s="185" t="s">
        <v>911</v>
      </c>
      <c r="C418" s="168" t="s">
        <v>912</v>
      </c>
      <c r="D418" s="173" t="s">
        <v>223</v>
      </c>
      <c r="E418" s="170">
        <v>1195.05</v>
      </c>
    </row>
    <row r="419" spans="2:5" x14ac:dyDescent="0.2">
      <c r="B419" s="185" t="s">
        <v>913</v>
      </c>
      <c r="C419" s="168" t="s">
        <v>914</v>
      </c>
      <c r="D419" s="173" t="s">
        <v>396</v>
      </c>
      <c r="E419" s="170">
        <v>470.85</v>
      </c>
    </row>
    <row r="420" spans="2:5" ht="22.5" x14ac:dyDescent="0.2">
      <c r="B420" s="185" t="s">
        <v>915</v>
      </c>
      <c r="C420" s="168" t="s">
        <v>916</v>
      </c>
      <c r="D420" s="173" t="s">
        <v>223</v>
      </c>
      <c r="E420" s="170">
        <v>1321.44</v>
      </c>
    </row>
    <row r="421" spans="2:5" ht="12.75" customHeight="1" x14ac:dyDescent="0.2">
      <c r="B421" s="185" t="s">
        <v>917</v>
      </c>
      <c r="C421" s="168" t="s">
        <v>918</v>
      </c>
      <c r="D421" s="173" t="s">
        <v>396</v>
      </c>
      <c r="E421" s="178">
        <v>450.71</v>
      </c>
    </row>
    <row r="422" spans="2:5" ht="21.75" customHeight="1" x14ac:dyDescent="0.2">
      <c r="B422" s="185" t="s">
        <v>919</v>
      </c>
      <c r="C422" s="168" t="s">
        <v>920</v>
      </c>
      <c r="D422" s="173" t="s">
        <v>223</v>
      </c>
      <c r="E422" s="178">
        <v>1237</v>
      </c>
    </row>
    <row r="423" spans="2:5" ht="12.75" customHeight="1" x14ac:dyDescent="0.2">
      <c r="B423" s="185" t="s">
        <v>921</v>
      </c>
      <c r="C423" s="168" t="s">
        <v>922</v>
      </c>
      <c r="D423" s="173" t="s">
        <v>396</v>
      </c>
      <c r="E423" s="178">
        <v>500.58</v>
      </c>
    </row>
    <row r="424" spans="2:5" ht="24" customHeight="1" x14ac:dyDescent="0.2">
      <c r="B424" s="185" t="s">
        <v>923</v>
      </c>
      <c r="C424" s="168" t="s">
        <v>924</v>
      </c>
      <c r="D424" s="173" t="s">
        <v>223</v>
      </c>
      <c r="E424" s="178">
        <v>1374.92</v>
      </c>
    </row>
    <row r="425" spans="2:5" ht="24" customHeight="1" x14ac:dyDescent="0.2">
      <c r="B425" s="185" t="s">
        <v>1609</v>
      </c>
      <c r="C425" s="168" t="s">
        <v>1610</v>
      </c>
      <c r="D425" s="173" t="s">
        <v>396</v>
      </c>
      <c r="E425" s="178">
        <v>617.61999999999989</v>
      </c>
    </row>
    <row r="426" spans="2:5" ht="24" customHeight="1" x14ac:dyDescent="0.2">
      <c r="B426" s="185" t="s">
        <v>1611</v>
      </c>
      <c r="C426" s="168" t="s">
        <v>1612</v>
      </c>
      <c r="D426" s="173" t="s">
        <v>223</v>
      </c>
      <c r="E426" s="178">
        <v>1696.41</v>
      </c>
    </row>
    <row r="427" spans="2:5" ht="12.75" customHeight="1" x14ac:dyDescent="0.2">
      <c r="B427" s="185" t="s">
        <v>925</v>
      </c>
      <c r="C427" s="168" t="s">
        <v>926</v>
      </c>
      <c r="D427" s="173" t="s">
        <v>205</v>
      </c>
      <c r="E427" s="178">
        <v>13.97</v>
      </c>
    </row>
    <row r="428" spans="2:5" x14ac:dyDescent="0.2">
      <c r="B428" s="185" t="s">
        <v>927</v>
      </c>
      <c r="C428" s="168" t="s">
        <v>928</v>
      </c>
      <c r="D428" s="173" t="s">
        <v>205</v>
      </c>
      <c r="E428" s="178">
        <v>20.96</v>
      </c>
    </row>
    <row r="429" spans="2:5" x14ac:dyDescent="0.2">
      <c r="B429" s="185" t="s">
        <v>929</v>
      </c>
      <c r="C429" s="168" t="s">
        <v>930</v>
      </c>
      <c r="D429" s="173" t="s">
        <v>223</v>
      </c>
      <c r="E429" s="178">
        <v>447.25</v>
      </c>
    </row>
    <row r="430" spans="2:5" ht="22.5" x14ac:dyDescent="0.2">
      <c r="B430" s="185" t="s">
        <v>931</v>
      </c>
      <c r="C430" s="168" t="s">
        <v>932</v>
      </c>
      <c r="D430" s="173" t="s">
        <v>223</v>
      </c>
      <c r="E430" s="178">
        <v>503.74</v>
      </c>
    </row>
    <row r="431" spans="2:5" ht="22.5" x14ac:dyDescent="0.2">
      <c r="B431" s="185" t="s">
        <v>933</v>
      </c>
      <c r="C431" s="168" t="s">
        <v>934</v>
      </c>
      <c r="D431" s="173" t="s">
        <v>223</v>
      </c>
      <c r="E431" s="178">
        <v>529.99</v>
      </c>
    </row>
    <row r="432" spans="2:5" ht="33.75" customHeight="1" x14ac:dyDescent="0.2">
      <c r="B432" s="185" t="s">
        <v>935</v>
      </c>
      <c r="C432" s="168" t="s">
        <v>936</v>
      </c>
      <c r="D432" s="173" t="s">
        <v>223</v>
      </c>
      <c r="E432" s="178">
        <v>515.56999999999994</v>
      </c>
    </row>
    <row r="433" spans="2:5" ht="33.75" customHeight="1" x14ac:dyDescent="0.2">
      <c r="B433" s="185" t="s">
        <v>937</v>
      </c>
      <c r="C433" s="168" t="s">
        <v>938</v>
      </c>
      <c r="D433" s="173" t="s">
        <v>223</v>
      </c>
      <c r="E433" s="178">
        <v>541.81999999999994</v>
      </c>
    </row>
    <row r="434" spans="2:5" ht="12.75" customHeight="1" x14ac:dyDescent="0.2">
      <c r="B434" s="185" t="s">
        <v>939</v>
      </c>
      <c r="C434" s="168" t="s">
        <v>940</v>
      </c>
      <c r="D434" s="173" t="s">
        <v>223</v>
      </c>
      <c r="E434" s="178">
        <v>600.99</v>
      </c>
    </row>
    <row r="435" spans="2:5" ht="22.5" customHeight="1" x14ac:dyDescent="0.2">
      <c r="B435" s="185" t="s">
        <v>941</v>
      </c>
      <c r="C435" s="168" t="s">
        <v>942</v>
      </c>
      <c r="D435" s="173" t="s">
        <v>223</v>
      </c>
      <c r="E435" s="178">
        <v>627.24</v>
      </c>
    </row>
    <row r="436" spans="2:5" ht="22.5" customHeight="1" x14ac:dyDescent="0.2">
      <c r="B436" s="185" t="s">
        <v>943</v>
      </c>
      <c r="C436" s="168" t="s">
        <v>944</v>
      </c>
      <c r="D436" s="173" t="s">
        <v>223</v>
      </c>
      <c r="E436" s="178">
        <v>530.63</v>
      </c>
    </row>
    <row r="437" spans="2:5" ht="12.75" customHeight="1" x14ac:dyDescent="0.2">
      <c r="B437" s="174">
        <v>97113</v>
      </c>
      <c r="C437" s="168" t="s">
        <v>945</v>
      </c>
      <c r="D437" s="173" t="s">
        <v>205</v>
      </c>
      <c r="E437" s="170">
        <v>3.13</v>
      </c>
    </row>
    <row r="438" spans="2:5" x14ac:dyDescent="0.2">
      <c r="B438" s="185" t="s">
        <v>946</v>
      </c>
      <c r="C438" s="168" t="s">
        <v>947</v>
      </c>
      <c r="D438" s="173" t="s">
        <v>205</v>
      </c>
      <c r="E438" s="178">
        <v>5.0600000000000005</v>
      </c>
    </row>
    <row r="439" spans="2:5" x14ac:dyDescent="0.2">
      <c r="B439" s="185" t="s">
        <v>948</v>
      </c>
      <c r="C439" s="168" t="s">
        <v>949</v>
      </c>
      <c r="D439" s="173" t="s">
        <v>205</v>
      </c>
      <c r="E439" s="178">
        <v>7.11</v>
      </c>
    </row>
    <row r="440" spans="2:5" x14ac:dyDescent="0.2">
      <c r="B440" s="185" t="s">
        <v>950</v>
      </c>
      <c r="C440" s="168" t="s">
        <v>951</v>
      </c>
      <c r="D440" s="173" t="s">
        <v>205</v>
      </c>
      <c r="E440" s="178">
        <v>27.88</v>
      </c>
    </row>
    <row r="441" spans="2:5" x14ac:dyDescent="0.2">
      <c r="B441" s="185" t="s">
        <v>952</v>
      </c>
      <c r="C441" s="168" t="s">
        <v>953</v>
      </c>
      <c r="D441" s="173" t="s">
        <v>205</v>
      </c>
      <c r="E441" s="178">
        <v>55.33</v>
      </c>
    </row>
    <row r="442" spans="2:5" ht="22.5" x14ac:dyDescent="0.2">
      <c r="B442" s="185" t="s">
        <v>954</v>
      </c>
      <c r="C442" s="168" t="s">
        <v>955</v>
      </c>
      <c r="D442" s="173" t="s">
        <v>42</v>
      </c>
      <c r="E442" s="178">
        <v>105.96000000000001</v>
      </c>
    </row>
    <row r="443" spans="2:5" ht="22.5" x14ac:dyDescent="0.2">
      <c r="B443" s="185" t="s">
        <v>956</v>
      </c>
      <c r="C443" s="168" t="s">
        <v>957</v>
      </c>
      <c r="D443" s="173" t="s">
        <v>42</v>
      </c>
      <c r="E443" s="178">
        <v>173.03562499999998</v>
      </c>
    </row>
    <row r="444" spans="2:5" ht="22.5" x14ac:dyDescent="0.2">
      <c r="B444" s="185" t="s">
        <v>958</v>
      </c>
      <c r="C444" s="168" t="s">
        <v>959</v>
      </c>
      <c r="D444" s="173" t="s">
        <v>42</v>
      </c>
      <c r="E444" s="178">
        <v>12.08</v>
      </c>
    </row>
    <row r="445" spans="2:5" ht="22.5" x14ac:dyDescent="0.2">
      <c r="B445" s="185" t="s">
        <v>960</v>
      </c>
      <c r="C445" s="168" t="s">
        <v>961</v>
      </c>
      <c r="D445" s="173" t="s">
        <v>42</v>
      </c>
      <c r="E445" s="178">
        <v>9.6499999999999986</v>
      </c>
    </row>
    <row r="446" spans="2:5" ht="22.5" x14ac:dyDescent="0.2">
      <c r="B446" s="174">
        <v>101167</v>
      </c>
      <c r="C446" s="168" t="s">
        <v>962</v>
      </c>
      <c r="D446" s="173" t="s">
        <v>963</v>
      </c>
      <c r="E446" s="170">
        <v>89.43</v>
      </c>
    </row>
    <row r="447" spans="2:5" ht="22.5" x14ac:dyDescent="0.2">
      <c r="B447" s="174">
        <v>101169</v>
      </c>
      <c r="C447" s="168" t="s">
        <v>964</v>
      </c>
      <c r="D447" s="173" t="s">
        <v>963</v>
      </c>
      <c r="E447" s="170">
        <v>103.2</v>
      </c>
    </row>
    <row r="448" spans="2:5" ht="12.75" customHeight="1" x14ac:dyDescent="0.2">
      <c r="B448" s="185" t="s">
        <v>965</v>
      </c>
      <c r="C448" s="168" t="s">
        <v>966</v>
      </c>
      <c r="D448" s="173" t="s">
        <v>42</v>
      </c>
      <c r="E448" s="178">
        <v>48.099999999999994</v>
      </c>
    </row>
    <row r="449" spans="2:5" ht="22.5" customHeight="1" x14ac:dyDescent="0.2">
      <c r="B449" s="185" t="s">
        <v>967</v>
      </c>
      <c r="C449" s="168" t="s">
        <v>968</v>
      </c>
      <c r="D449" s="173" t="s">
        <v>42</v>
      </c>
      <c r="E449" s="178">
        <v>52.709999999999994</v>
      </c>
    </row>
    <row r="450" spans="2:5" ht="23.25" customHeight="1" x14ac:dyDescent="0.2">
      <c r="B450" s="185" t="s">
        <v>969</v>
      </c>
      <c r="C450" s="168" t="s">
        <v>970</v>
      </c>
      <c r="D450" s="173" t="s">
        <v>42</v>
      </c>
      <c r="E450" s="178">
        <v>76.260000000000005</v>
      </c>
    </row>
    <row r="451" spans="2:5" ht="23.25" customHeight="1" x14ac:dyDescent="0.2">
      <c r="B451" s="185" t="s">
        <v>971</v>
      </c>
      <c r="C451" s="168" t="s">
        <v>972</v>
      </c>
      <c r="D451" s="173" t="s">
        <v>42</v>
      </c>
      <c r="E451" s="178">
        <v>85.15</v>
      </c>
    </row>
    <row r="452" spans="2:5" ht="23.25" customHeight="1" x14ac:dyDescent="0.2">
      <c r="B452" s="185" t="s">
        <v>973</v>
      </c>
      <c r="C452" s="168" t="s">
        <v>974</v>
      </c>
      <c r="D452" s="173" t="s">
        <v>42</v>
      </c>
      <c r="E452" s="178">
        <v>47.01</v>
      </c>
    </row>
    <row r="453" spans="2:5" ht="22.5" customHeight="1" x14ac:dyDescent="0.2">
      <c r="B453" s="185" t="s">
        <v>975</v>
      </c>
      <c r="C453" s="168" t="s">
        <v>976</v>
      </c>
      <c r="D453" s="173" t="s">
        <v>42</v>
      </c>
      <c r="E453" s="178">
        <v>66.010000000000005</v>
      </c>
    </row>
    <row r="454" spans="2:5" ht="22.5" customHeight="1" x14ac:dyDescent="0.2">
      <c r="B454" s="185" t="s">
        <v>977</v>
      </c>
      <c r="C454" s="168" t="s">
        <v>978</v>
      </c>
      <c r="D454" s="173" t="s">
        <v>42</v>
      </c>
      <c r="E454" s="178">
        <v>45.89</v>
      </c>
    </row>
    <row r="455" spans="2:5" ht="22.5" customHeight="1" x14ac:dyDescent="0.2">
      <c r="B455" s="185" t="s">
        <v>979</v>
      </c>
      <c r="C455" s="168" t="s">
        <v>980</v>
      </c>
      <c r="D455" s="173" t="s">
        <v>42</v>
      </c>
      <c r="E455" s="178">
        <v>51.66</v>
      </c>
    </row>
    <row r="456" spans="2:5" ht="24.75" customHeight="1" x14ac:dyDescent="0.2">
      <c r="B456" s="185" t="s">
        <v>981</v>
      </c>
      <c r="C456" s="168" t="s">
        <v>982</v>
      </c>
      <c r="D456" s="173" t="s">
        <v>42</v>
      </c>
      <c r="E456" s="178">
        <v>40.759999999999991</v>
      </c>
    </row>
    <row r="457" spans="2:5" x14ac:dyDescent="0.2">
      <c r="B457" s="185" t="s">
        <v>983</v>
      </c>
      <c r="C457" s="168" t="s">
        <v>984</v>
      </c>
      <c r="D457" s="173" t="s">
        <v>42</v>
      </c>
      <c r="E457" s="178">
        <v>23.299999999999997</v>
      </c>
    </row>
    <row r="458" spans="2:5" x14ac:dyDescent="0.2">
      <c r="B458" s="185" t="s">
        <v>985</v>
      </c>
      <c r="C458" s="168" t="s">
        <v>986</v>
      </c>
      <c r="D458" s="173" t="s">
        <v>42</v>
      </c>
      <c r="E458" s="178">
        <v>51.930000000000007</v>
      </c>
    </row>
    <row r="459" spans="2:5" x14ac:dyDescent="0.2">
      <c r="B459" s="185" t="s">
        <v>987</v>
      </c>
      <c r="C459" s="168" t="s">
        <v>988</v>
      </c>
      <c r="D459" s="173" t="s">
        <v>205</v>
      </c>
      <c r="E459" s="178">
        <v>13.63</v>
      </c>
    </row>
    <row r="460" spans="2:5" x14ac:dyDescent="0.2">
      <c r="B460" s="185" t="s">
        <v>989</v>
      </c>
      <c r="C460" s="168" t="s">
        <v>990</v>
      </c>
      <c r="D460" s="173" t="s">
        <v>205</v>
      </c>
      <c r="E460" s="178">
        <v>18.170000000000002</v>
      </c>
    </row>
    <row r="461" spans="2:5" ht="12.75" customHeight="1" x14ac:dyDescent="0.2">
      <c r="B461" s="185" t="s">
        <v>991</v>
      </c>
      <c r="C461" s="168" t="s">
        <v>992</v>
      </c>
      <c r="D461" s="173" t="s">
        <v>42</v>
      </c>
      <c r="E461" s="178">
        <v>12.72</v>
      </c>
    </row>
    <row r="462" spans="2:5" x14ac:dyDescent="0.2">
      <c r="B462" s="185" t="s">
        <v>993</v>
      </c>
      <c r="C462" s="168" t="s">
        <v>994</v>
      </c>
      <c r="D462" s="173" t="s">
        <v>42</v>
      </c>
      <c r="E462" s="178">
        <v>18.170000000000002</v>
      </c>
    </row>
    <row r="463" spans="2:5" x14ac:dyDescent="0.2">
      <c r="B463" s="185" t="s">
        <v>995</v>
      </c>
      <c r="C463" s="168" t="s">
        <v>996</v>
      </c>
      <c r="D463" s="173" t="s">
        <v>42</v>
      </c>
      <c r="E463" s="178">
        <v>6.81</v>
      </c>
    </row>
    <row r="464" spans="2:5" x14ac:dyDescent="0.2">
      <c r="B464" s="185" t="s">
        <v>997</v>
      </c>
      <c r="C464" s="168" t="s">
        <v>998</v>
      </c>
      <c r="D464" s="173" t="s">
        <v>42</v>
      </c>
      <c r="E464" s="178">
        <v>9.08</v>
      </c>
    </row>
    <row r="465" spans="2:5" ht="12.75" customHeight="1" x14ac:dyDescent="0.2">
      <c r="B465" s="185" t="s">
        <v>999</v>
      </c>
      <c r="C465" s="168" t="s">
        <v>1000</v>
      </c>
      <c r="D465" s="173" t="s">
        <v>205</v>
      </c>
      <c r="E465" s="178">
        <v>62.07</v>
      </c>
    </row>
    <row r="466" spans="2:5" ht="12.75" customHeight="1" x14ac:dyDescent="0.2">
      <c r="B466" s="185" t="s">
        <v>1001</v>
      </c>
      <c r="C466" s="168" t="s">
        <v>1002</v>
      </c>
      <c r="D466" s="173" t="s">
        <v>205</v>
      </c>
      <c r="E466" s="178">
        <v>85.99</v>
      </c>
    </row>
    <row r="467" spans="2:5" ht="12.75" customHeight="1" x14ac:dyDescent="0.2">
      <c r="B467" s="185" t="s">
        <v>1003</v>
      </c>
      <c r="C467" s="168" t="s">
        <v>1004</v>
      </c>
      <c r="D467" s="173" t="s">
        <v>42</v>
      </c>
      <c r="E467" s="178">
        <v>35.92</v>
      </c>
    </row>
    <row r="468" spans="2:5" ht="12.75" customHeight="1" x14ac:dyDescent="0.2">
      <c r="B468" s="185" t="s">
        <v>1005</v>
      </c>
      <c r="C468" s="168" t="s">
        <v>1006</v>
      </c>
      <c r="D468" s="173" t="s">
        <v>42</v>
      </c>
      <c r="E468" s="178">
        <v>49.47</v>
      </c>
    </row>
    <row r="469" spans="2:5" ht="12.75" customHeight="1" x14ac:dyDescent="0.2">
      <c r="B469" s="185" t="s">
        <v>1007</v>
      </c>
      <c r="C469" s="168" t="s">
        <v>1008</v>
      </c>
      <c r="D469" s="173" t="s">
        <v>42</v>
      </c>
      <c r="E469" s="178">
        <v>21.05</v>
      </c>
    </row>
    <row r="470" spans="2:5" ht="12.75" customHeight="1" x14ac:dyDescent="0.2">
      <c r="B470" s="185" t="s">
        <v>1009</v>
      </c>
      <c r="C470" s="168" t="s">
        <v>1010</v>
      </c>
      <c r="D470" s="173" t="s">
        <v>42</v>
      </c>
      <c r="E470" s="178">
        <v>42.860000000000007</v>
      </c>
    </row>
    <row r="471" spans="2:5" ht="12.75" customHeight="1" x14ac:dyDescent="0.2">
      <c r="B471" s="185" t="s">
        <v>1011</v>
      </c>
      <c r="C471" s="168" t="s">
        <v>1012</v>
      </c>
      <c r="D471" s="173" t="s">
        <v>42</v>
      </c>
      <c r="E471" s="178">
        <v>55.56</v>
      </c>
    </row>
    <row r="472" spans="2:5" x14ac:dyDescent="0.2">
      <c r="B472" s="185" t="s">
        <v>1013</v>
      </c>
      <c r="C472" s="168" t="s">
        <v>1014</v>
      </c>
      <c r="D472" s="173" t="s">
        <v>223</v>
      </c>
      <c r="E472" s="178">
        <v>116.54</v>
      </c>
    </row>
    <row r="473" spans="2:5" x14ac:dyDescent="0.2">
      <c r="B473" s="185" t="s">
        <v>1015</v>
      </c>
      <c r="C473" s="168" t="s">
        <v>1016</v>
      </c>
      <c r="D473" s="173" t="s">
        <v>223</v>
      </c>
      <c r="E473" s="178">
        <v>47.35</v>
      </c>
    </row>
    <row r="474" spans="2:5" x14ac:dyDescent="0.2">
      <c r="B474" s="185" t="s">
        <v>1017</v>
      </c>
      <c r="C474" s="168" t="s">
        <v>1018</v>
      </c>
      <c r="D474" s="173" t="s">
        <v>205</v>
      </c>
      <c r="E474" s="178">
        <v>4.7300000000000004</v>
      </c>
    </row>
    <row r="475" spans="2:5" x14ac:dyDescent="0.2">
      <c r="B475" s="185" t="s">
        <v>1019</v>
      </c>
      <c r="C475" s="168" t="s">
        <v>1020</v>
      </c>
      <c r="D475" s="173" t="s">
        <v>205</v>
      </c>
      <c r="E475" s="178">
        <v>0.71</v>
      </c>
    </row>
    <row r="476" spans="2:5" ht="24" customHeight="1" x14ac:dyDescent="0.2">
      <c r="B476" s="185" t="s">
        <v>1021</v>
      </c>
      <c r="C476" s="168" t="s">
        <v>1022</v>
      </c>
      <c r="D476" s="173" t="s">
        <v>42</v>
      </c>
      <c r="E476" s="178">
        <v>7.43</v>
      </c>
    </row>
    <row r="477" spans="2:5" ht="22.5" x14ac:dyDescent="0.2">
      <c r="B477" s="185" t="s">
        <v>1023</v>
      </c>
      <c r="C477" s="168" t="s">
        <v>1024</v>
      </c>
      <c r="D477" s="173" t="s">
        <v>42</v>
      </c>
      <c r="E477" s="178">
        <v>8.23</v>
      </c>
    </row>
    <row r="478" spans="2:5" ht="23.25" customHeight="1" x14ac:dyDescent="0.2">
      <c r="B478" s="120" t="s">
        <v>1025</v>
      </c>
      <c r="C478" s="121" t="s">
        <v>1026</v>
      </c>
      <c r="D478" s="122" t="s">
        <v>223</v>
      </c>
      <c r="E478" s="137">
        <v>137.37</v>
      </c>
    </row>
    <row r="479" spans="2:5" ht="12.75" customHeight="1" x14ac:dyDescent="0.2">
      <c r="B479" s="186" t="s">
        <v>1027</v>
      </c>
      <c r="C479" s="143" t="s">
        <v>1028</v>
      </c>
      <c r="D479" s="187" t="s">
        <v>42</v>
      </c>
      <c r="E479" s="188">
        <v>21.119999999999997</v>
      </c>
    </row>
    <row r="480" spans="2:5" ht="12.75" customHeight="1" x14ac:dyDescent="0.2">
      <c r="B480" s="186" t="s">
        <v>1029</v>
      </c>
      <c r="C480" s="143" t="s">
        <v>1030</v>
      </c>
      <c r="D480" s="187" t="s">
        <v>223</v>
      </c>
      <c r="E480" s="188">
        <v>183.96</v>
      </c>
    </row>
    <row r="481" spans="2:5" ht="12.75" customHeight="1" thickBot="1" x14ac:dyDescent="0.25">
      <c r="B481" s="189" t="s">
        <v>1031</v>
      </c>
      <c r="C481" s="129" t="s">
        <v>1032</v>
      </c>
      <c r="D481" s="190" t="s">
        <v>223</v>
      </c>
      <c r="E481" s="191">
        <v>133.52000000000001</v>
      </c>
    </row>
    <row r="482" spans="2:5" ht="14.1" customHeight="1" x14ac:dyDescent="0.2">
      <c r="B482" s="937" t="s">
        <v>1033</v>
      </c>
      <c r="C482" s="939"/>
      <c r="D482" s="991"/>
      <c r="E482" s="160"/>
    </row>
    <row r="483" spans="2:5" ht="14.1" customHeight="1" thickBot="1" x14ac:dyDescent="0.25">
      <c r="B483" s="111" t="s">
        <v>28</v>
      </c>
      <c r="C483" s="112" t="s">
        <v>183</v>
      </c>
      <c r="D483" s="113" t="s">
        <v>184</v>
      </c>
      <c r="E483" s="114" t="s">
        <v>185</v>
      </c>
    </row>
    <row r="484" spans="2:5" ht="12.75" customHeight="1" x14ac:dyDescent="0.2">
      <c r="B484" s="185" t="s">
        <v>1034</v>
      </c>
      <c r="C484" s="168" t="s">
        <v>1035</v>
      </c>
      <c r="D484" s="173" t="s">
        <v>205</v>
      </c>
      <c r="E484" s="178">
        <v>17.490000000000002</v>
      </c>
    </row>
    <row r="485" spans="2:5" ht="23.25" customHeight="1" x14ac:dyDescent="0.2">
      <c r="B485" s="185" t="s">
        <v>1036</v>
      </c>
      <c r="C485" s="168" t="s">
        <v>1037</v>
      </c>
      <c r="D485" s="173" t="s">
        <v>205</v>
      </c>
      <c r="E485" s="178">
        <v>55.680000000000007</v>
      </c>
    </row>
    <row r="486" spans="2:5" ht="12.75" customHeight="1" x14ac:dyDescent="0.2">
      <c r="B486" s="185" t="s">
        <v>1038</v>
      </c>
      <c r="C486" s="168" t="s">
        <v>1039</v>
      </c>
      <c r="D486" s="173" t="s">
        <v>205</v>
      </c>
      <c r="E486" s="178">
        <v>408.03999999999996</v>
      </c>
    </row>
    <row r="487" spans="2:5" ht="12.75" customHeight="1" x14ac:dyDescent="0.2">
      <c r="B487" s="185" t="s">
        <v>1040</v>
      </c>
      <c r="C487" s="168" t="s">
        <v>1041</v>
      </c>
      <c r="D487" s="173" t="s">
        <v>205</v>
      </c>
      <c r="E487" s="178">
        <v>738.43000000000006</v>
      </c>
    </row>
    <row r="488" spans="2:5" ht="23.25" customHeight="1" x14ac:dyDescent="0.2">
      <c r="B488" s="185" t="s">
        <v>1042</v>
      </c>
      <c r="C488" s="168" t="s">
        <v>1043</v>
      </c>
      <c r="D488" s="173" t="s">
        <v>17</v>
      </c>
      <c r="E488" s="178">
        <v>615.88000000000011</v>
      </c>
    </row>
    <row r="489" spans="2:5" ht="23.25" customHeight="1" x14ac:dyDescent="0.2">
      <c r="B489" s="185" t="s">
        <v>1044</v>
      </c>
      <c r="C489" s="168" t="s">
        <v>1045</v>
      </c>
      <c r="D489" s="173" t="s">
        <v>17</v>
      </c>
      <c r="E489" s="178">
        <v>526.27</v>
      </c>
    </row>
    <row r="490" spans="2:5" ht="23.25" customHeight="1" x14ac:dyDescent="0.2">
      <c r="B490" s="185" t="s">
        <v>1046</v>
      </c>
      <c r="C490" s="168" t="s">
        <v>1047</v>
      </c>
      <c r="D490" s="173" t="s">
        <v>17</v>
      </c>
      <c r="E490" s="178">
        <v>384.84000000000003</v>
      </c>
    </row>
    <row r="491" spans="2:5" ht="23.25" customHeight="1" x14ac:dyDescent="0.2">
      <c r="B491" s="185" t="s">
        <v>1048</v>
      </c>
      <c r="C491" s="168" t="s">
        <v>1049</v>
      </c>
      <c r="D491" s="173" t="s">
        <v>17</v>
      </c>
      <c r="E491" s="178">
        <v>515.62</v>
      </c>
    </row>
    <row r="492" spans="2:5" ht="23.25" customHeight="1" x14ac:dyDescent="0.2">
      <c r="B492" s="185" t="s">
        <v>1050</v>
      </c>
      <c r="C492" s="168" t="s">
        <v>1051</v>
      </c>
      <c r="D492" s="173" t="s">
        <v>17</v>
      </c>
      <c r="E492" s="178">
        <v>589.85</v>
      </c>
    </row>
    <row r="493" spans="2:5" ht="23.25" customHeight="1" x14ac:dyDescent="0.2">
      <c r="B493" s="185" t="s">
        <v>1052</v>
      </c>
      <c r="C493" s="168" t="s">
        <v>1053</v>
      </c>
      <c r="D493" s="173" t="s">
        <v>17</v>
      </c>
      <c r="E493" s="178">
        <v>671.45999999999992</v>
      </c>
    </row>
    <row r="494" spans="2:5" ht="23.25" customHeight="1" x14ac:dyDescent="0.2">
      <c r="B494" s="185" t="s">
        <v>1054</v>
      </c>
      <c r="C494" s="168" t="s">
        <v>1055</v>
      </c>
      <c r="D494" s="173" t="s">
        <v>17</v>
      </c>
      <c r="E494" s="178">
        <v>717.90000000000009</v>
      </c>
    </row>
    <row r="495" spans="2:5" ht="23.25" customHeight="1" x14ac:dyDescent="0.2">
      <c r="B495" s="185" t="s">
        <v>1056</v>
      </c>
      <c r="C495" s="168" t="s">
        <v>1057</v>
      </c>
      <c r="D495" s="173" t="s">
        <v>17</v>
      </c>
      <c r="E495" s="178">
        <v>978.55000000000007</v>
      </c>
    </row>
    <row r="496" spans="2:5" ht="23.25" customHeight="1" x14ac:dyDescent="0.2">
      <c r="B496" s="185" t="s">
        <v>1058</v>
      </c>
      <c r="C496" s="168" t="s">
        <v>1059</v>
      </c>
      <c r="D496" s="173" t="s">
        <v>17</v>
      </c>
      <c r="E496" s="178">
        <v>605.12</v>
      </c>
    </row>
    <row r="497" spans="2:5" ht="23.25" customHeight="1" x14ac:dyDescent="0.2">
      <c r="B497" s="185" t="s">
        <v>1060</v>
      </c>
      <c r="C497" s="168" t="s">
        <v>1061</v>
      </c>
      <c r="D497" s="173" t="s">
        <v>17</v>
      </c>
      <c r="E497" s="178">
        <v>656.99</v>
      </c>
    </row>
    <row r="498" spans="2:5" ht="23.25" customHeight="1" x14ac:dyDescent="0.2">
      <c r="B498" s="185" t="s">
        <v>1062</v>
      </c>
      <c r="C498" s="168" t="s">
        <v>1063</v>
      </c>
      <c r="D498" s="173" t="s">
        <v>17</v>
      </c>
      <c r="E498" s="178">
        <v>718.25</v>
      </c>
    </row>
    <row r="499" spans="2:5" ht="23.25" customHeight="1" x14ac:dyDescent="0.2">
      <c r="B499" s="185" t="s">
        <v>1064</v>
      </c>
      <c r="C499" s="168" t="s">
        <v>1065</v>
      </c>
      <c r="D499" s="173" t="s">
        <v>17</v>
      </c>
      <c r="E499" s="178">
        <v>827.81000000000017</v>
      </c>
    </row>
    <row r="500" spans="2:5" ht="23.25" customHeight="1" x14ac:dyDescent="0.2">
      <c r="B500" s="185" t="s">
        <v>1066</v>
      </c>
      <c r="C500" s="168" t="s">
        <v>1067</v>
      </c>
      <c r="D500" s="173" t="s">
        <v>17</v>
      </c>
      <c r="E500" s="178">
        <v>1057.71</v>
      </c>
    </row>
    <row r="501" spans="2:5" ht="23.25" customHeight="1" x14ac:dyDescent="0.2">
      <c r="B501" s="185" t="s">
        <v>1068</v>
      </c>
      <c r="C501" s="168" t="s">
        <v>1069</v>
      </c>
      <c r="D501" s="173" t="s">
        <v>17</v>
      </c>
      <c r="E501" s="178">
        <v>672.49</v>
      </c>
    </row>
    <row r="502" spans="2:5" ht="23.25" customHeight="1" x14ac:dyDescent="0.2">
      <c r="B502" s="185" t="s">
        <v>1070</v>
      </c>
      <c r="C502" s="168" t="s">
        <v>1071</v>
      </c>
      <c r="D502" s="173" t="s">
        <v>17</v>
      </c>
      <c r="E502" s="178">
        <v>695.13</v>
      </c>
    </row>
    <row r="503" spans="2:5" ht="23.25" customHeight="1" x14ac:dyDescent="0.2">
      <c r="B503" s="185" t="s">
        <v>1072</v>
      </c>
      <c r="C503" s="168" t="s">
        <v>1073</v>
      </c>
      <c r="D503" s="173" t="s">
        <v>17</v>
      </c>
      <c r="E503" s="178">
        <v>774.38000000000011</v>
      </c>
    </row>
    <row r="504" spans="2:5" ht="23.25" customHeight="1" x14ac:dyDescent="0.2">
      <c r="B504" s="185" t="s">
        <v>1074</v>
      </c>
      <c r="C504" s="168" t="s">
        <v>1075</v>
      </c>
      <c r="D504" s="173" t="s">
        <v>17</v>
      </c>
      <c r="E504" s="178">
        <v>887.62000000000012</v>
      </c>
    </row>
    <row r="505" spans="2:5" ht="23.25" customHeight="1" x14ac:dyDescent="0.2">
      <c r="B505" s="185" t="s">
        <v>1076</v>
      </c>
      <c r="C505" s="168" t="s">
        <v>1077</v>
      </c>
      <c r="D505" s="173" t="s">
        <v>17</v>
      </c>
      <c r="E505" s="178">
        <v>1057.71</v>
      </c>
    </row>
    <row r="506" spans="2:5" ht="23.25" customHeight="1" x14ac:dyDescent="0.2">
      <c r="B506" s="185" t="s">
        <v>1078</v>
      </c>
      <c r="C506" s="168" t="s">
        <v>1079</v>
      </c>
      <c r="D506" s="173" t="s">
        <v>17</v>
      </c>
      <c r="E506" s="178">
        <v>656.99</v>
      </c>
    </row>
    <row r="507" spans="2:5" ht="23.25" customHeight="1" x14ac:dyDescent="0.2">
      <c r="B507" s="185" t="s">
        <v>1080</v>
      </c>
      <c r="C507" s="168" t="s">
        <v>1081</v>
      </c>
      <c r="D507" s="173" t="s">
        <v>17</v>
      </c>
      <c r="E507" s="178">
        <v>827.48</v>
      </c>
    </row>
    <row r="508" spans="2:5" ht="23.25" customHeight="1" x14ac:dyDescent="0.2">
      <c r="B508" s="185" t="s">
        <v>1082</v>
      </c>
      <c r="C508" s="168" t="s">
        <v>1083</v>
      </c>
      <c r="D508" s="173" t="s">
        <v>17</v>
      </c>
      <c r="E508" s="178">
        <v>726.53000000000009</v>
      </c>
    </row>
    <row r="509" spans="2:5" ht="23.25" customHeight="1" x14ac:dyDescent="0.2">
      <c r="B509" s="185" t="s">
        <v>1084</v>
      </c>
      <c r="C509" s="168" t="s">
        <v>1085</v>
      </c>
      <c r="D509" s="173" t="s">
        <v>17</v>
      </c>
      <c r="E509" s="178">
        <v>710.24000000000012</v>
      </c>
    </row>
    <row r="510" spans="2:5" ht="23.25" customHeight="1" x14ac:dyDescent="0.2">
      <c r="B510" s="185" t="s">
        <v>1086</v>
      </c>
      <c r="C510" s="168" t="s">
        <v>1087</v>
      </c>
      <c r="D510" s="173" t="s">
        <v>17</v>
      </c>
      <c r="E510" s="178">
        <v>199.56999999999996</v>
      </c>
    </row>
    <row r="511" spans="2:5" ht="23.25" customHeight="1" x14ac:dyDescent="0.2">
      <c r="B511" s="185" t="s">
        <v>1088</v>
      </c>
      <c r="C511" s="168" t="s">
        <v>1089</v>
      </c>
      <c r="D511" s="173" t="s">
        <v>17</v>
      </c>
      <c r="E511" s="178">
        <v>153.19</v>
      </c>
    </row>
    <row r="512" spans="2:5" ht="23.25" customHeight="1" x14ac:dyDescent="0.2">
      <c r="B512" s="185" t="s">
        <v>1090</v>
      </c>
      <c r="C512" s="168" t="s">
        <v>1091</v>
      </c>
      <c r="D512" s="173" t="s">
        <v>17</v>
      </c>
      <c r="E512" s="178">
        <v>191.56</v>
      </c>
    </row>
    <row r="513" spans="2:5" ht="23.25" customHeight="1" x14ac:dyDescent="0.2">
      <c r="B513" s="185" t="s">
        <v>1092</v>
      </c>
      <c r="C513" s="168" t="s">
        <v>1093</v>
      </c>
      <c r="D513" s="173" t="s">
        <v>17</v>
      </c>
      <c r="E513" s="178">
        <v>264.48</v>
      </c>
    </row>
    <row r="514" spans="2:5" ht="23.25" customHeight="1" x14ac:dyDescent="0.2">
      <c r="B514" s="185" t="s">
        <v>1094</v>
      </c>
      <c r="C514" s="168" t="s">
        <v>1095</v>
      </c>
      <c r="D514" s="173" t="s">
        <v>17</v>
      </c>
      <c r="E514" s="178">
        <v>253.03</v>
      </c>
    </row>
    <row r="515" spans="2:5" ht="23.25" customHeight="1" x14ac:dyDescent="0.2">
      <c r="B515" s="185" t="s">
        <v>1096</v>
      </c>
      <c r="C515" s="168" t="s">
        <v>1097</v>
      </c>
      <c r="D515" s="173" t="s">
        <v>17</v>
      </c>
      <c r="E515" s="178">
        <v>524.18000000000006</v>
      </c>
    </row>
    <row r="516" spans="2:5" ht="23.25" customHeight="1" x14ac:dyDescent="0.2">
      <c r="B516" s="185" t="s">
        <v>1098</v>
      </c>
      <c r="C516" s="168" t="s">
        <v>1099</v>
      </c>
      <c r="D516" s="173" t="s">
        <v>17</v>
      </c>
      <c r="E516" s="178">
        <v>5828.3600000000006</v>
      </c>
    </row>
    <row r="517" spans="2:5" ht="23.25" customHeight="1" x14ac:dyDescent="0.2">
      <c r="B517" s="185" t="s">
        <v>1100</v>
      </c>
      <c r="C517" s="168" t="s">
        <v>1101</v>
      </c>
      <c r="D517" s="173" t="s">
        <v>17</v>
      </c>
      <c r="E517" s="178">
        <v>3935.21</v>
      </c>
    </row>
    <row r="518" spans="2:5" ht="23.25" customHeight="1" x14ac:dyDescent="0.2">
      <c r="B518" s="185" t="s">
        <v>1102</v>
      </c>
      <c r="C518" s="168" t="s">
        <v>1103</v>
      </c>
      <c r="D518" s="173" t="s">
        <v>17</v>
      </c>
      <c r="E518" s="178">
        <v>55607.48</v>
      </c>
    </row>
    <row r="519" spans="2:5" ht="12.75" customHeight="1" x14ac:dyDescent="0.2">
      <c r="B519" s="185" t="s">
        <v>1104</v>
      </c>
      <c r="C519" s="168" t="s">
        <v>1105</v>
      </c>
      <c r="D519" s="173" t="s">
        <v>17</v>
      </c>
      <c r="E519" s="178">
        <v>20.59</v>
      </c>
    </row>
    <row r="520" spans="2:5" ht="12.75" customHeight="1" x14ac:dyDescent="0.2">
      <c r="B520" s="185" t="s">
        <v>1106</v>
      </c>
      <c r="C520" s="168" t="s">
        <v>1107</v>
      </c>
      <c r="D520" s="173" t="s">
        <v>17</v>
      </c>
      <c r="E520" s="178">
        <v>63.36</v>
      </c>
    </row>
    <row r="521" spans="2:5" ht="22.5" customHeight="1" x14ac:dyDescent="0.2">
      <c r="B521" s="185" t="s">
        <v>1108</v>
      </c>
      <c r="C521" s="168" t="s">
        <v>1109</v>
      </c>
      <c r="D521" s="173" t="s">
        <v>17</v>
      </c>
      <c r="E521" s="178">
        <v>24.1</v>
      </c>
    </row>
    <row r="522" spans="2:5" ht="23.25" customHeight="1" x14ac:dyDescent="0.2">
      <c r="B522" s="185" t="s">
        <v>1110</v>
      </c>
      <c r="C522" s="168" t="s">
        <v>1111</v>
      </c>
      <c r="D522" s="173" t="s">
        <v>17</v>
      </c>
      <c r="E522" s="178">
        <v>26.83</v>
      </c>
    </row>
    <row r="523" spans="2:5" ht="24.75" customHeight="1" x14ac:dyDescent="0.2">
      <c r="B523" s="185" t="s">
        <v>1112</v>
      </c>
      <c r="C523" s="168" t="s">
        <v>1113</v>
      </c>
      <c r="D523" s="173" t="s">
        <v>17</v>
      </c>
      <c r="E523" s="178">
        <v>91.14</v>
      </c>
    </row>
    <row r="524" spans="2:5" ht="12.75" customHeight="1" x14ac:dyDescent="0.2">
      <c r="B524" s="185" t="s">
        <v>1114</v>
      </c>
      <c r="C524" s="168" t="s">
        <v>1115</v>
      </c>
      <c r="D524" s="173" t="s">
        <v>17</v>
      </c>
      <c r="E524" s="178">
        <v>92.59</v>
      </c>
    </row>
    <row r="525" spans="2:5" ht="21.75" customHeight="1" x14ac:dyDescent="0.2">
      <c r="B525" s="185" t="s">
        <v>1116</v>
      </c>
      <c r="C525" s="168" t="s">
        <v>1117</v>
      </c>
      <c r="D525" s="173" t="s">
        <v>205</v>
      </c>
      <c r="E525" s="178">
        <v>13.32</v>
      </c>
    </row>
    <row r="526" spans="2:5" ht="21.75" customHeight="1" x14ac:dyDescent="0.2">
      <c r="B526" s="185" t="s">
        <v>1118</v>
      </c>
      <c r="C526" s="168" t="s">
        <v>1119</v>
      </c>
      <c r="D526" s="173" t="s">
        <v>205</v>
      </c>
      <c r="E526" s="178">
        <v>45.78</v>
      </c>
    </row>
    <row r="527" spans="2:5" ht="21.75" customHeight="1" x14ac:dyDescent="0.2">
      <c r="B527" s="185" t="s">
        <v>1120</v>
      </c>
      <c r="C527" s="168" t="s">
        <v>1121</v>
      </c>
      <c r="D527" s="173" t="s">
        <v>205</v>
      </c>
      <c r="E527" s="178">
        <v>58.86</v>
      </c>
    </row>
    <row r="528" spans="2:5" ht="21.75" customHeight="1" x14ac:dyDescent="0.2">
      <c r="B528" s="185" t="s">
        <v>1122</v>
      </c>
      <c r="C528" s="168" t="s">
        <v>1123</v>
      </c>
      <c r="D528" s="173" t="s">
        <v>205</v>
      </c>
      <c r="E528" s="178">
        <v>91.19</v>
      </c>
    </row>
    <row r="529" spans="2:5" ht="21.75" customHeight="1" x14ac:dyDescent="0.2">
      <c r="B529" s="185" t="s">
        <v>1124</v>
      </c>
      <c r="C529" s="168" t="s">
        <v>1125</v>
      </c>
      <c r="D529" s="173" t="s">
        <v>205</v>
      </c>
      <c r="E529" s="178">
        <v>334.86</v>
      </c>
    </row>
    <row r="530" spans="2:5" ht="21.75" customHeight="1" x14ac:dyDescent="0.2">
      <c r="B530" s="185" t="s">
        <v>1126</v>
      </c>
      <c r="C530" s="168" t="s">
        <v>1127</v>
      </c>
      <c r="D530" s="173" t="s">
        <v>205</v>
      </c>
      <c r="E530" s="178">
        <v>149.76999999999998</v>
      </c>
    </row>
    <row r="531" spans="2:5" ht="21.75" customHeight="1" x14ac:dyDescent="0.2">
      <c r="B531" s="185" t="s">
        <v>39</v>
      </c>
      <c r="C531" s="168" t="s">
        <v>1613</v>
      </c>
      <c r="D531" s="173" t="s">
        <v>205</v>
      </c>
      <c r="E531" s="178">
        <v>46.57</v>
      </c>
    </row>
    <row r="532" spans="2:5" ht="21.75" customHeight="1" x14ac:dyDescent="0.2">
      <c r="B532" s="185" t="s">
        <v>1614</v>
      </c>
      <c r="C532" s="168" t="s">
        <v>1615</v>
      </c>
      <c r="D532" s="173" t="s">
        <v>205</v>
      </c>
      <c r="E532" s="178">
        <v>47.32</v>
      </c>
    </row>
    <row r="533" spans="2:5" ht="12.75" customHeight="1" x14ac:dyDescent="0.2">
      <c r="B533" s="185" t="s">
        <v>1128</v>
      </c>
      <c r="C533" s="168" t="s">
        <v>1129</v>
      </c>
      <c r="D533" s="173" t="s">
        <v>223</v>
      </c>
      <c r="E533" s="178">
        <v>202.62</v>
      </c>
    </row>
    <row r="534" spans="2:5" ht="21.75" customHeight="1" x14ac:dyDescent="0.2">
      <c r="B534" s="185" t="s">
        <v>1130</v>
      </c>
      <c r="C534" s="168" t="s">
        <v>1131</v>
      </c>
      <c r="D534" s="173" t="s">
        <v>205</v>
      </c>
      <c r="E534" s="178">
        <v>120.74</v>
      </c>
    </row>
    <row r="535" spans="2:5" ht="21.75" customHeight="1" x14ac:dyDescent="0.2">
      <c r="B535" s="185" t="s">
        <v>1132</v>
      </c>
      <c r="C535" s="168" t="s">
        <v>1133</v>
      </c>
      <c r="D535" s="173" t="s">
        <v>205</v>
      </c>
      <c r="E535" s="178">
        <v>96.6</v>
      </c>
    </row>
    <row r="536" spans="2:5" ht="21.75" customHeight="1" x14ac:dyDescent="0.2">
      <c r="B536" s="185" t="s">
        <v>1134</v>
      </c>
      <c r="C536" s="168" t="s">
        <v>1135</v>
      </c>
      <c r="D536" s="173" t="s">
        <v>205</v>
      </c>
      <c r="E536" s="178">
        <v>211.93</v>
      </c>
    </row>
    <row r="537" spans="2:5" ht="21.75" customHeight="1" x14ac:dyDescent="0.2">
      <c r="B537" s="185" t="s">
        <v>1136</v>
      </c>
      <c r="C537" s="168" t="s">
        <v>1137</v>
      </c>
      <c r="D537" s="173" t="s">
        <v>205</v>
      </c>
      <c r="E537" s="178">
        <v>187.79</v>
      </c>
    </row>
    <row r="538" spans="2:5" ht="21.75" customHeight="1" x14ac:dyDescent="0.2">
      <c r="B538" s="185" t="s">
        <v>1138</v>
      </c>
      <c r="C538" s="168" t="s">
        <v>1139</v>
      </c>
      <c r="D538" s="173" t="s">
        <v>205</v>
      </c>
      <c r="E538" s="178">
        <v>272.48999999999995</v>
      </c>
    </row>
    <row r="539" spans="2:5" ht="21.75" customHeight="1" x14ac:dyDescent="0.2">
      <c r="B539" s="185" t="s">
        <v>1140</v>
      </c>
      <c r="C539" s="168" t="s">
        <v>1141</v>
      </c>
      <c r="D539" s="173" t="s">
        <v>42</v>
      </c>
      <c r="E539" s="178">
        <v>328.18</v>
      </c>
    </row>
    <row r="540" spans="2:5" ht="21.75" customHeight="1" x14ac:dyDescent="0.2">
      <c r="B540" s="185" t="s">
        <v>1142</v>
      </c>
      <c r="C540" s="168" t="s">
        <v>1143</v>
      </c>
      <c r="D540" s="173" t="s">
        <v>42</v>
      </c>
      <c r="E540" s="178">
        <v>359.01</v>
      </c>
    </row>
    <row r="541" spans="2:5" ht="21.75" customHeight="1" x14ac:dyDescent="0.2">
      <c r="B541" s="185" t="s">
        <v>1144</v>
      </c>
      <c r="C541" s="168" t="s">
        <v>1145</v>
      </c>
      <c r="D541" s="173" t="s">
        <v>205</v>
      </c>
      <c r="E541" s="178">
        <v>42.26</v>
      </c>
    </row>
    <row r="542" spans="2:5" ht="12.75" customHeight="1" x14ac:dyDescent="0.2">
      <c r="B542" s="185" t="s">
        <v>1146</v>
      </c>
      <c r="C542" s="168" t="s">
        <v>1147</v>
      </c>
      <c r="D542" s="173" t="s">
        <v>17</v>
      </c>
      <c r="E542" s="178">
        <v>33.370000000000005</v>
      </c>
    </row>
    <row r="543" spans="2:5" ht="21.75" customHeight="1" x14ac:dyDescent="0.2">
      <c r="B543" s="185" t="s">
        <v>1148</v>
      </c>
      <c r="C543" s="168" t="s">
        <v>1149</v>
      </c>
      <c r="D543" s="173" t="s">
        <v>17</v>
      </c>
      <c r="E543" s="178">
        <v>25.659999999999997</v>
      </c>
    </row>
    <row r="544" spans="2:5" ht="21.75" customHeight="1" x14ac:dyDescent="0.2">
      <c r="B544" s="185" t="s">
        <v>1150</v>
      </c>
      <c r="C544" s="168" t="s">
        <v>1151</v>
      </c>
      <c r="D544" s="173" t="s">
        <v>42</v>
      </c>
      <c r="E544" s="178">
        <v>1.1300000000000001</v>
      </c>
    </row>
    <row r="545" spans="2:5" ht="21.75" customHeight="1" thickBot="1" x14ac:dyDescent="0.25">
      <c r="B545" s="185" t="s">
        <v>1152</v>
      </c>
      <c r="C545" s="168" t="s">
        <v>1153</v>
      </c>
      <c r="D545" s="173" t="s">
        <v>42</v>
      </c>
      <c r="E545" s="178">
        <v>0.11000000000000001</v>
      </c>
    </row>
    <row r="546" spans="2:5" ht="14.1" customHeight="1" x14ac:dyDescent="0.2">
      <c r="B546" s="937" t="s">
        <v>1154</v>
      </c>
      <c r="C546" s="939"/>
      <c r="D546" s="991"/>
      <c r="E546" s="160"/>
    </row>
    <row r="547" spans="2:5" ht="14.1" customHeight="1" thickBot="1" x14ac:dyDescent="0.25">
      <c r="B547" s="111" t="s">
        <v>28</v>
      </c>
      <c r="C547" s="112" t="s">
        <v>183</v>
      </c>
      <c r="D547" s="113" t="s">
        <v>184</v>
      </c>
      <c r="E547" s="114" t="s">
        <v>185</v>
      </c>
    </row>
    <row r="548" spans="2:5" ht="12.75" customHeight="1" x14ac:dyDescent="0.2">
      <c r="B548" s="185" t="s">
        <v>1155</v>
      </c>
      <c r="C548" s="168" t="s">
        <v>1156</v>
      </c>
      <c r="D548" s="173" t="s">
        <v>205</v>
      </c>
      <c r="E548" s="178">
        <v>3.4</v>
      </c>
    </row>
    <row r="549" spans="2:5" x14ac:dyDescent="0.2">
      <c r="B549" s="185" t="s">
        <v>1157</v>
      </c>
      <c r="C549" s="168" t="s">
        <v>1158</v>
      </c>
      <c r="D549" s="173" t="s">
        <v>205</v>
      </c>
      <c r="E549" s="178">
        <v>6.81</v>
      </c>
    </row>
    <row r="550" spans="2:5" ht="25.5" customHeight="1" x14ac:dyDescent="0.2">
      <c r="B550" s="185" t="s">
        <v>1159</v>
      </c>
      <c r="C550" s="168" t="s">
        <v>1160</v>
      </c>
      <c r="D550" s="173" t="s">
        <v>205</v>
      </c>
      <c r="E550" s="178">
        <v>87.89</v>
      </c>
    </row>
    <row r="551" spans="2:5" ht="12.75" customHeight="1" x14ac:dyDescent="0.2">
      <c r="B551" s="174">
        <v>92393</v>
      </c>
      <c r="C551" s="168" t="s">
        <v>1161</v>
      </c>
      <c r="D551" s="173" t="s">
        <v>205</v>
      </c>
      <c r="E551" s="170">
        <v>46.64</v>
      </c>
    </row>
    <row r="552" spans="2:5" ht="12.75" customHeight="1" x14ac:dyDescent="0.2">
      <c r="B552" s="174">
        <v>92394</v>
      </c>
      <c r="C552" s="168" t="s">
        <v>1162</v>
      </c>
      <c r="D552" s="173" t="s">
        <v>205</v>
      </c>
      <c r="E552" s="170">
        <v>57.97</v>
      </c>
    </row>
    <row r="553" spans="2:5" ht="12.75" customHeight="1" x14ac:dyDescent="0.2">
      <c r="B553" s="174">
        <v>92395</v>
      </c>
      <c r="C553" s="168" t="s">
        <v>1163</v>
      </c>
      <c r="D553" s="173" t="s">
        <v>205</v>
      </c>
      <c r="E553" s="170">
        <v>69.91</v>
      </c>
    </row>
    <row r="554" spans="2:5" ht="12.75" customHeight="1" x14ac:dyDescent="0.2">
      <c r="B554" s="185" t="s">
        <v>1164</v>
      </c>
      <c r="C554" s="168" t="s">
        <v>1648</v>
      </c>
      <c r="D554" s="173" t="s">
        <v>205</v>
      </c>
      <c r="E554" s="178">
        <v>134.85</v>
      </c>
    </row>
    <row r="555" spans="2:5" ht="22.5" customHeight="1" x14ac:dyDescent="0.2">
      <c r="B555" s="185" t="s">
        <v>1165</v>
      </c>
      <c r="C555" s="168" t="s">
        <v>1617</v>
      </c>
      <c r="D555" s="173" t="s">
        <v>205</v>
      </c>
      <c r="E555" s="178">
        <v>131.43</v>
      </c>
    </row>
    <row r="556" spans="2:5" ht="22.5" customHeight="1" x14ac:dyDescent="0.2">
      <c r="B556" s="185" t="s">
        <v>1618</v>
      </c>
      <c r="C556" s="168" t="s">
        <v>1619</v>
      </c>
      <c r="D556" s="173" t="s">
        <v>205</v>
      </c>
      <c r="E556" s="178">
        <v>127.92</v>
      </c>
    </row>
    <row r="557" spans="2:5" ht="22.5" customHeight="1" x14ac:dyDescent="0.2">
      <c r="B557" s="185" t="s">
        <v>1620</v>
      </c>
      <c r="C557" s="168" t="s">
        <v>1621</v>
      </c>
      <c r="D557" s="173" t="s">
        <v>205</v>
      </c>
      <c r="E557" s="178">
        <v>131.9</v>
      </c>
    </row>
    <row r="558" spans="2:5" ht="22.5" customHeight="1" x14ac:dyDescent="0.2">
      <c r="B558" s="174">
        <v>92396</v>
      </c>
      <c r="C558" s="168" t="s">
        <v>1166</v>
      </c>
      <c r="D558" s="173" t="s">
        <v>205</v>
      </c>
      <c r="E558" s="170">
        <v>60.1</v>
      </c>
    </row>
    <row r="559" spans="2:5" ht="22.5" customHeight="1" x14ac:dyDescent="0.2">
      <c r="B559" s="174">
        <v>92397</v>
      </c>
      <c r="C559" s="168" t="s">
        <v>1167</v>
      </c>
      <c r="D559" s="173" t="s">
        <v>205</v>
      </c>
      <c r="E559" s="170">
        <v>50.38</v>
      </c>
    </row>
    <row r="560" spans="2:5" ht="22.5" customHeight="1" x14ac:dyDescent="0.2">
      <c r="B560" s="174">
        <v>92398</v>
      </c>
      <c r="C560" s="168" t="s">
        <v>1168</v>
      </c>
      <c r="D560" s="173" t="s">
        <v>205</v>
      </c>
      <c r="E560" s="170">
        <v>62.64</v>
      </c>
    </row>
    <row r="561" spans="2:5" ht="22.5" customHeight="1" x14ac:dyDescent="0.2">
      <c r="B561" s="174">
        <v>92400</v>
      </c>
      <c r="C561" s="168" t="s">
        <v>1169</v>
      </c>
      <c r="D561" s="173" t="s">
        <v>205</v>
      </c>
      <c r="E561" s="170">
        <v>73.599999999999994</v>
      </c>
    </row>
    <row r="562" spans="2:5" ht="22.5" customHeight="1" x14ac:dyDescent="0.2">
      <c r="B562" s="174">
        <v>93679</v>
      </c>
      <c r="C562" s="168" t="s">
        <v>1170</v>
      </c>
      <c r="D562" s="173" t="s">
        <v>205</v>
      </c>
      <c r="E562" s="170">
        <v>65.790000000000006</v>
      </c>
    </row>
    <row r="563" spans="2:5" ht="22.5" customHeight="1" x14ac:dyDescent="0.2">
      <c r="B563" s="174">
        <v>93680</v>
      </c>
      <c r="C563" s="168" t="s">
        <v>1171</v>
      </c>
      <c r="D563" s="173" t="s">
        <v>205</v>
      </c>
      <c r="E563" s="170">
        <v>55.92</v>
      </c>
    </row>
    <row r="564" spans="2:5" ht="22.5" customHeight="1" x14ac:dyDescent="0.2">
      <c r="B564" s="174">
        <v>93681</v>
      </c>
      <c r="C564" s="168" t="s">
        <v>1172</v>
      </c>
      <c r="D564" s="173" t="s">
        <v>205</v>
      </c>
      <c r="E564" s="170">
        <v>67.069999999999993</v>
      </c>
    </row>
    <row r="565" spans="2:5" ht="22.5" x14ac:dyDescent="0.2">
      <c r="B565" s="185" t="s">
        <v>1173</v>
      </c>
      <c r="C565" s="168" t="s">
        <v>1174</v>
      </c>
      <c r="D565" s="173" t="s">
        <v>205</v>
      </c>
      <c r="E565" s="178">
        <v>123.08000000000001</v>
      </c>
    </row>
    <row r="566" spans="2:5" ht="22.5" x14ac:dyDescent="0.2">
      <c r="B566" s="185" t="s">
        <v>1175</v>
      </c>
      <c r="C566" s="168" t="s">
        <v>1176</v>
      </c>
      <c r="D566" s="173" t="s">
        <v>205</v>
      </c>
      <c r="E566" s="178">
        <v>151.6</v>
      </c>
    </row>
    <row r="567" spans="2:5" ht="22.5" x14ac:dyDescent="0.2">
      <c r="B567" s="185" t="s">
        <v>1177</v>
      </c>
      <c r="C567" s="168" t="s">
        <v>1178</v>
      </c>
      <c r="D567" s="173" t="s">
        <v>205</v>
      </c>
      <c r="E567" s="178">
        <v>157.82</v>
      </c>
    </row>
    <row r="568" spans="2:5" ht="22.5" x14ac:dyDescent="0.2">
      <c r="B568" s="185" t="s">
        <v>1179</v>
      </c>
      <c r="C568" s="168" t="s">
        <v>1180</v>
      </c>
      <c r="D568" s="173" t="s">
        <v>205</v>
      </c>
      <c r="E568" s="178">
        <v>157.72999999999999</v>
      </c>
    </row>
    <row r="569" spans="2:5" x14ac:dyDescent="0.2">
      <c r="B569" s="185" t="s">
        <v>1181</v>
      </c>
      <c r="C569" s="168" t="s">
        <v>1182</v>
      </c>
      <c r="D569" s="173" t="s">
        <v>42</v>
      </c>
      <c r="E569" s="178">
        <v>33.47</v>
      </c>
    </row>
    <row r="570" spans="2:5" ht="23.25" customHeight="1" x14ac:dyDescent="0.2">
      <c r="B570" s="185" t="s">
        <v>1183</v>
      </c>
      <c r="C570" s="168" t="s">
        <v>1184</v>
      </c>
      <c r="D570" s="173" t="s">
        <v>42</v>
      </c>
      <c r="E570" s="178">
        <v>14.12</v>
      </c>
    </row>
    <row r="571" spans="2:5" ht="22.5" x14ac:dyDescent="0.2">
      <c r="B571" s="185" t="s">
        <v>1185</v>
      </c>
      <c r="C571" s="168" t="s">
        <v>1186</v>
      </c>
      <c r="D571" s="173" t="s">
        <v>42</v>
      </c>
      <c r="E571" s="178">
        <v>16.489999999999998</v>
      </c>
    </row>
    <row r="572" spans="2:5" ht="12.75" customHeight="1" x14ac:dyDescent="0.2">
      <c r="B572" s="185" t="s">
        <v>1187</v>
      </c>
      <c r="C572" s="168" t="s">
        <v>1188</v>
      </c>
      <c r="D572" s="173" t="s">
        <v>205</v>
      </c>
      <c r="E572" s="178">
        <v>24.54</v>
      </c>
    </row>
    <row r="573" spans="2:5" x14ac:dyDescent="0.2">
      <c r="B573" s="185" t="s">
        <v>1189</v>
      </c>
      <c r="C573" s="168" t="s">
        <v>1190</v>
      </c>
      <c r="D573" s="173" t="s">
        <v>223</v>
      </c>
      <c r="E573" s="178">
        <v>242.77999999999997</v>
      </c>
    </row>
    <row r="574" spans="2:5" x14ac:dyDescent="0.2">
      <c r="B574" s="185" t="s">
        <v>1191</v>
      </c>
      <c r="C574" s="168" t="s">
        <v>1192</v>
      </c>
      <c r="D574" s="173" t="s">
        <v>205</v>
      </c>
      <c r="E574" s="178">
        <v>5.22</v>
      </c>
    </row>
    <row r="575" spans="2:5" x14ac:dyDescent="0.2">
      <c r="B575" s="185" t="s">
        <v>1193</v>
      </c>
      <c r="C575" s="168" t="s">
        <v>1194</v>
      </c>
      <c r="D575" s="173" t="s">
        <v>205</v>
      </c>
      <c r="E575" s="178">
        <v>10.44</v>
      </c>
    </row>
    <row r="576" spans="2:5" x14ac:dyDescent="0.2">
      <c r="B576" s="185" t="s">
        <v>1195</v>
      </c>
      <c r="C576" s="168" t="s">
        <v>1196</v>
      </c>
      <c r="D576" s="173" t="s">
        <v>205</v>
      </c>
      <c r="E576" s="178">
        <v>10.44</v>
      </c>
    </row>
    <row r="577" spans="2:5" x14ac:dyDescent="0.2">
      <c r="B577" s="185" t="s">
        <v>1197</v>
      </c>
      <c r="C577" s="168" t="s">
        <v>1198</v>
      </c>
      <c r="D577" s="173" t="s">
        <v>205</v>
      </c>
      <c r="E577" s="178">
        <v>10.44</v>
      </c>
    </row>
    <row r="578" spans="2:5" x14ac:dyDescent="0.2">
      <c r="B578" s="185" t="s">
        <v>1199</v>
      </c>
      <c r="C578" s="168" t="s">
        <v>1200</v>
      </c>
      <c r="D578" s="173" t="s">
        <v>205</v>
      </c>
      <c r="E578" s="178">
        <v>10.44</v>
      </c>
    </row>
    <row r="579" spans="2:5" x14ac:dyDescent="0.2">
      <c r="B579" s="185" t="s">
        <v>1201</v>
      </c>
      <c r="C579" s="168" t="s">
        <v>1202</v>
      </c>
      <c r="D579" s="173" t="s">
        <v>205</v>
      </c>
      <c r="E579" s="178">
        <v>5.22</v>
      </c>
    </row>
    <row r="580" spans="2:5" ht="23.25" customHeight="1" x14ac:dyDescent="0.2">
      <c r="B580" s="185" t="s">
        <v>1203</v>
      </c>
      <c r="C580" s="168" t="s">
        <v>1204</v>
      </c>
      <c r="D580" s="173" t="s">
        <v>205</v>
      </c>
      <c r="E580" s="178">
        <v>5.22</v>
      </c>
    </row>
    <row r="581" spans="2:5" ht="12.75" customHeight="1" x14ac:dyDescent="0.2">
      <c r="B581" s="185" t="s">
        <v>1205</v>
      </c>
      <c r="C581" s="168" t="s">
        <v>1206</v>
      </c>
      <c r="D581" s="173" t="s">
        <v>42</v>
      </c>
      <c r="E581" s="178">
        <v>5.22</v>
      </c>
    </row>
    <row r="582" spans="2:5" x14ac:dyDescent="0.2">
      <c r="B582" s="185" t="s">
        <v>1207</v>
      </c>
      <c r="C582" s="168" t="s">
        <v>1208</v>
      </c>
      <c r="D582" s="173" t="s">
        <v>205</v>
      </c>
      <c r="E582" s="178">
        <v>3.86</v>
      </c>
    </row>
    <row r="583" spans="2:5" x14ac:dyDescent="0.2">
      <c r="B583" s="185" t="s">
        <v>1209</v>
      </c>
      <c r="C583" s="168" t="s">
        <v>1210</v>
      </c>
      <c r="D583" s="173" t="s">
        <v>205</v>
      </c>
      <c r="E583" s="178">
        <v>40.78</v>
      </c>
    </row>
    <row r="584" spans="2:5" ht="22.5" customHeight="1" x14ac:dyDescent="0.2">
      <c r="B584" s="174">
        <v>101857</v>
      </c>
      <c r="C584" s="168" t="s">
        <v>1211</v>
      </c>
      <c r="D584" s="173" t="s">
        <v>205</v>
      </c>
      <c r="E584" s="170">
        <v>31.89</v>
      </c>
    </row>
    <row r="585" spans="2:5" ht="22.5" customHeight="1" x14ac:dyDescent="0.2">
      <c r="B585" s="174">
        <v>101858</v>
      </c>
      <c r="C585" s="168" t="s">
        <v>1212</v>
      </c>
      <c r="D585" s="173" t="s">
        <v>205</v>
      </c>
      <c r="E585" s="170">
        <v>25.69</v>
      </c>
    </row>
    <row r="586" spans="2:5" ht="22.5" customHeight="1" x14ac:dyDescent="0.2">
      <c r="B586" s="174">
        <v>101859</v>
      </c>
      <c r="C586" s="168" t="s">
        <v>1213</v>
      </c>
      <c r="D586" s="173" t="s">
        <v>205</v>
      </c>
      <c r="E586" s="170">
        <v>28.6</v>
      </c>
    </row>
    <row r="587" spans="2:5" ht="22.5" customHeight="1" x14ac:dyDescent="0.2">
      <c r="B587" s="174">
        <v>101860</v>
      </c>
      <c r="C587" s="168" t="s">
        <v>1214</v>
      </c>
      <c r="D587" s="173" t="s">
        <v>205</v>
      </c>
      <c r="E587" s="170">
        <v>33.17</v>
      </c>
    </row>
    <row r="588" spans="2:5" ht="22.5" x14ac:dyDescent="0.2">
      <c r="B588" s="174">
        <v>101862</v>
      </c>
      <c r="C588" s="168" t="s">
        <v>1215</v>
      </c>
      <c r="D588" s="173" t="s">
        <v>205</v>
      </c>
      <c r="E588" s="170">
        <v>33.86</v>
      </c>
    </row>
    <row r="589" spans="2:5" ht="22.5" x14ac:dyDescent="0.2">
      <c r="B589" s="174">
        <v>101863</v>
      </c>
      <c r="C589" s="168" t="s">
        <v>1216</v>
      </c>
      <c r="D589" s="173" t="s">
        <v>205</v>
      </c>
      <c r="E589" s="170">
        <v>26.09</v>
      </c>
    </row>
    <row r="590" spans="2:5" ht="22.5" x14ac:dyDescent="0.2">
      <c r="B590" s="174">
        <v>101864</v>
      </c>
      <c r="C590" s="168" t="s">
        <v>1217</v>
      </c>
      <c r="D590" s="173" t="s">
        <v>205</v>
      </c>
      <c r="E590" s="170">
        <v>30.66</v>
      </c>
    </row>
    <row r="591" spans="2:5" ht="22.5" x14ac:dyDescent="0.2">
      <c r="B591" s="174">
        <v>101865</v>
      </c>
      <c r="C591" s="168" t="s">
        <v>1218</v>
      </c>
      <c r="D591" s="173" t="s">
        <v>205</v>
      </c>
      <c r="E591" s="170">
        <v>35.25</v>
      </c>
    </row>
    <row r="592" spans="2:5" x14ac:dyDescent="0.2">
      <c r="B592" s="185" t="s">
        <v>1219</v>
      </c>
      <c r="C592" s="168" t="s">
        <v>1220</v>
      </c>
      <c r="D592" s="173" t="s">
        <v>205</v>
      </c>
      <c r="E592" s="178">
        <v>65.25</v>
      </c>
    </row>
    <row r="593" spans="2:5" x14ac:dyDescent="0.2">
      <c r="B593" s="185" t="s">
        <v>1221</v>
      </c>
      <c r="C593" s="168" t="s">
        <v>1222</v>
      </c>
      <c r="D593" s="173" t="s">
        <v>205</v>
      </c>
      <c r="E593" s="178">
        <v>93.3</v>
      </c>
    </row>
    <row r="594" spans="2:5" ht="13.5" customHeight="1" x14ac:dyDescent="0.2">
      <c r="B594" s="185" t="s">
        <v>1223</v>
      </c>
      <c r="C594" s="168" t="s">
        <v>1224</v>
      </c>
      <c r="D594" s="173" t="s">
        <v>205</v>
      </c>
      <c r="E594" s="178">
        <v>42.19</v>
      </c>
    </row>
    <row r="595" spans="2:5" x14ac:dyDescent="0.2">
      <c r="B595" s="185" t="s">
        <v>1225</v>
      </c>
      <c r="C595" s="168" t="s">
        <v>1226</v>
      </c>
      <c r="D595" s="173" t="s">
        <v>205</v>
      </c>
      <c r="E595" s="178">
        <v>16.670000000000002</v>
      </c>
    </row>
    <row r="596" spans="2:5" x14ac:dyDescent="0.2">
      <c r="B596" s="185" t="s">
        <v>1227</v>
      </c>
      <c r="C596" s="168" t="s">
        <v>1228</v>
      </c>
      <c r="D596" s="173" t="s">
        <v>205</v>
      </c>
      <c r="E596" s="178">
        <v>5.22</v>
      </c>
    </row>
    <row r="597" spans="2:5" x14ac:dyDescent="0.2">
      <c r="B597" s="185" t="s">
        <v>1229</v>
      </c>
      <c r="C597" s="168" t="s">
        <v>1230</v>
      </c>
      <c r="D597" s="173" t="s">
        <v>205</v>
      </c>
      <c r="E597" s="178">
        <v>6.81</v>
      </c>
    </row>
    <row r="598" spans="2:5" x14ac:dyDescent="0.2">
      <c r="B598" s="185" t="s">
        <v>1231</v>
      </c>
      <c r="C598" s="168" t="s">
        <v>1232</v>
      </c>
      <c r="D598" s="173" t="s">
        <v>205</v>
      </c>
      <c r="E598" s="178">
        <v>10.220000000000001</v>
      </c>
    </row>
    <row r="599" spans="2:5" x14ac:dyDescent="0.2">
      <c r="B599" s="185" t="s">
        <v>1233</v>
      </c>
      <c r="C599" s="168" t="s">
        <v>1234</v>
      </c>
      <c r="D599" s="173" t="s">
        <v>205</v>
      </c>
      <c r="E599" s="178">
        <v>9.76</v>
      </c>
    </row>
    <row r="600" spans="2:5" x14ac:dyDescent="0.2">
      <c r="B600" s="185" t="s">
        <v>1235</v>
      </c>
      <c r="C600" s="168" t="s">
        <v>1236</v>
      </c>
      <c r="D600" s="173" t="s">
        <v>205</v>
      </c>
      <c r="E600" s="178">
        <v>9.76</v>
      </c>
    </row>
    <row r="601" spans="2:5" x14ac:dyDescent="0.2">
      <c r="B601" s="185" t="s">
        <v>1237</v>
      </c>
      <c r="C601" s="168" t="s">
        <v>1238</v>
      </c>
      <c r="D601" s="173" t="s">
        <v>205</v>
      </c>
      <c r="E601" s="178">
        <v>4.54</v>
      </c>
    </row>
    <row r="602" spans="2:5" x14ac:dyDescent="0.2">
      <c r="B602" s="185" t="s">
        <v>1239</v>
      </c>
      <c r="C602" s="168" t="s">
        <v>1240</v>
      </c>
      <c r="D602" s="173" t="s">
        <v>205</v>
      </c>
      <c r="E602" s="178">
        <v>6.81</v>
      </c>
    </row>
    <row r="603" spans="2:5" x14ac:dyDescent="0.2">
      <c r="B603" s="185" t="s">
        <v>1241</v>
      </c>
      <c r="C603" s="168" t="s">
        <v>1242</v>
      </c>
      <c r="D603" s="173" t="s">
        <v>205</v>
      </c>
      <c r="E603" s="178">
        <v>7.95</v>
      </c>
    </row>
    <row r="604" spans="2:5" x14ac:dyDescent="0.2">
      <c r="B604" s="185" t="s">
        <v>1243</v>
      </c>
      <c r="C604" s="168" t="s">
        <v>1244</v>
      </c>
      <c r="D604" s="173" t="s">
        <v>205</v>
      </c>
      <c r="E604" s="178">
        <v>12.72</v>
      </c>
    </row>
    <row r="605" spans="2:5" x14ac:dyDescent="0.2">
      <c r="B605" s="185" t="s">
        <v>1245</v>
      </c>
      <c r="C605" s="168" t="s">
        <v>1246</v>
      </c>
      <c r="D605" s="173" t="s">
        <v>42</v>
      </c>
      <c r="E605" s="178">
        <v>9.99</v>
      </c>
    </row>
    <row r="606" spans="2:5" x14ac:dyDescent="0.2">
      <c r="B606" s="185" t="s">
        <v>1247</v>
      </c>
      <c r="C606" s="168" t="s">
        <v>1248</v>
      </c>
      <c r="D606" s="173" t="s">
        <v>42</v>
      </c>
      <c r="E606" s="178">
        <v>10.9</v>
      </c>
    </row>
    <row r="607" spans="2:5" ht="23.25" customHeight="1" x14ac:dyDescent="0.2">
      <c r="B607" s="185" t="s">
        <v>1249</v>
      </c>
      <c r="C607" s="168" t="s">
        <v>1250</v>
      </c>
      <c r="D607" s="173" t="s">
        <v>17</v>
      </c>
      <c r="E607" s="178">
        <v>557.21999999999991</v>
      </c>
    </row>
    <row r="608" spans="2:5" ht="22.5" x14ac:dyDescent="0.2">
      <c r="B608" s="185" t="s">
        <v>1251</v>
      </c>
      <c r="C608" s="168" t="s">
        <v>1252</v>
      </c>
      <c r="D608" s="173" t="s">
        <v>17</v>
      </c>
      <c r="E608" s="178">
        <v>383.28999999999996</v>
      </c>
    </row>
    <row r="609" spans="2:5" ht="22.5" x14ac:dyDescent="0.2">
      <c r="B609" s="185" t="s">
        <v>1253</v>
      </c>
      <c r="C609" s="168" t="s">
        <v>1254</v>
      </c>
      <c r="D609" s="173" t="s">
        <v>17</v>
      </c>
      <c r="E609" s="178">
        <v>293.33999999999997</v>
      </c>
    </row>
    <row r="610" spans="2:5" ht="22.5" x14ac:dyDescent="0.2">
      <c r="B610" s="185" t="s">
        <v>1255</v>
      </c>
      <c r="C610" s="168" t="s">
        <v>1256</v>
      </c>
      <c r="D610" s="173" t="s">
        <v>205</v>
      </c>
      <c r="E610" s="178">
        <v>73.649999999999991</v>
      </c>
    </row>
    <row r="611" spans="2:5" ht="22.5" x14ac:dyDescent="0.2">
      <c r="B611" s="185" t="s">
        <v>1257</v>
      </c>
      <c r="C611" s="168" t="s">
        <v>1258</v>
      </c>
      <c r="D611" s="173" t="s">
        <v>1259</v>
      </c>
      <c r="E611" s="178">
        <v>525.53</v>
      </c>
    </row>
    <row r="612" spans="2:5" ht="21.75" customHeight="1" x14ac:dyDescent="0.2">
      <c r="B612" s="174">
        <v>98529</v>
      </c>
      <c r="C612" s="168" t="s">
        <v>1260</v>
      </c>
      <c r="D612" s="173" t="s">
        <v>17</v>
      </c>
      <c r="E612" s="170">
        <v>71.58</v>
      </c>
    </row>
    <row r="613" spans="2:5" ht="21.75" customHeight="1" x14ac:dyDescent="0.2">
      <c r="B613" s="174">
        <v>98530</v>
      </c>
      <c r="C613" s="168" t="s">
        <v>1261</v>
      </c>
      <c r="D613" s="173" t="s">
        <v>17</v>
      </c>
      <c r="E613" s="170">
        <v>127.53</v>
      </c>
    </row>
    <row r="614" spans="2:5" ht="12.75" customHeight="1" x14ac:dyDescent="0.2">
      <c r="B614" s="174">
        <v>98531</v>
      </c>
      <c r="C614" s="168" t="s">
        <v>1262</v>
      </c>
      <c r="D614" s="173" t="s">
        <v>17</v>
      </c>
      <c r="E614" s="170">
        <v>311.70999999999998</v>
      </c>
    </row>
    <row r="615" spans="2:5" ht="22.5" x14ac:dyDescent="0.2">
      <c r="B615" s="174">
        <v>98526</v>
      </c>
      <c r="C615" s="168" t="s">
        <v>1263</v>
      </c>
      <c r="D615" s="173" t="s">
        <v>17</v>
      </c>
      <c r="E615" s="170">
        <v>82.51</v>
      </c>
    </row>
    <row r="616" spans="2:5" ht="22.5" x14ac:dyDescent="0.2">
      <c r="B616" s="174">
        <v>98527</v>
      </c>
      <c r="C616" s="168" t="s">
        <v>1264</v>
      </c>
      <c r="D616" s="173" t="s">
        <v>17</v>
      </c>
      <c r="E616" s="170">
        <v>177.65</v>
      </c>
    </row>
    <row r="617" spans="2:5" ht="22.5" x14ac:dyDescent="0.2">
      <c r="B617" s="174">
        <v>98528</v>
      </c>
      <c r="C617" s="168" t="s">
        <v>1265</v>
      </c>
      <c r="D617" s="173" t="s">
        <v>17</v>
      </c>
      <c r="E617" s="170">
        <v>259.79000000000002</v>
      </c>
    </row>
    <row r="618" spans="2:5" x14ac:dyDescent="0.2">
      <c r="B618" s="185" t="s">
        <v>1266</v>
      </c>
      <c r="C618" s="168" t="s">
        <v>1267</v>
      </c>
      <c r="D618" s="173" t="s">
        <v>17</v>
      </c>
      <c r="E618" s="178">
        <v>135.59</v>
      </c>
    </row>
    <row r="619" spans="2:5" x14ac:dyDescent="0.2">
      <c r="B619" s="185" t="s">
        <v>1268</v>
      </c>
      <c r="C619" s="168" t="s">
        <v>1269</v>
      </c>
      <c r="D619" s="173" t="s">
        <v>17</v>
      </c>
      <c r="E619" s="178">
        <v>80.460000000000008</v>
      </c>
    </row>
    <row r="620" spans="2:5" x14ac:dyDescent="0.2">
      <c r="B620" s="185" t="s">
        <v>1270</v>
      </c>
      <c r="C620" s="168" t="s">
        <v>1271</v>
      </c>
      <c r="D620" s="173" t="s">
        <v>17</v>
      </c>
      <c r="E620" s="178">
        <v>211.49</v>
      </c>
    </row>
    <row r="621" spans="2:5" x14ac:dyDescent="0.2">
      <c r="B621" s="185" t="s">
        <v>1272</v>
      </c>
      <c r="C621" s="168" t="s">
        <v>1273</v>
      </c>
      <c r="D621" s="173" t="s">
        <v>17</v>
      </c>
      <c r="E621" s="178">
        <v>225.76</v>
      </c>
    </row>
    <row r="622" spans="2:5" ht="23.25" customHeight="1" x14ac:dyDescent="0.2">
      <c r="B622" s="185" t="s">
        <v>1274</v>
      </c>
      <c r="C622" s="168" t="s">
        <v>1275</v>
      </c>
      <c r="D622" s="173" t="s">
        <v>17</v>
      </c>
      <c r="E622" s="178">
        <v>112.75</v>
      </c>
    </row>
    <row r="623" spans="2:5" ht="22.5" x14ac:dyDescent="0.2">
      <c r="B623" s="185" t="s">
        <v>1276</v>
      </c>
      <c r="C623" s="168" t="s">
        <v>1277</v>
      </c>
      <c r="D623" s="173" t="s">
        <v>17</v>
      </c>
      <c r="E623" s="178">
        <v>131.20000000000002</v>
      </c>
    </row>
    <row r="624" spans="2:5" x14ac:dyDescent="0.2">
      <c r="B624" s="185" t="s">
        <v>1278</v>
      </c>
      <c r="C624" s="168" t="s">
        <v>1279</v>
      </c>
      <c r="D624" s="173" t="s">
        <v>17</v>
      </c>
      <c r="E624" s="178">
        <v>256.91000000000003</v>
      </c>
    </row>
    <row r="625" spans="2:5" ht="22.5" x14ac:dyDescent="0.2">
      <c r="B625" s="185" t="s">
        <v>1280</v>
      </c>
      <c r="C625" s="168" t="s">
        <v>1281</v>
      </c>
      <c r="D625" s="173" t="s">
        <v>17</v>
      </c>
      <c r="E625" s="178">
        <v>48.67</v>
      </c>
    </row>
    <row r="626" spans="2:5" ht="21.75" customHeight="1" x14ac:dyDescent="0.2">
      <c r="B626" s="185" t="s">
        <v>1282</v>
      </c>
      <c r="C626" s="168" t="s">
        <v>1283</v>
      </c>
      <c r="D626" s="173" t="s">
        <v>205</v>
      </c>
      <c r="E626" s="178">
        <v>64.009999999999991</v>
      </c>
    </row>
    <row r="627" spans="2:5" x14ac:dyDescent="0.2">
      <c r="B627" s="185" t="s">
        <v>1284</v>
      </c>
      <c r="C627" s="168" t="s">
        <v>1285</v>
      </c>
      <c r="D627" s="173" t="s">
        <v>205</v>
      </c>
      <c r="E627" s="178">
        <v>72.319999999999993</v>
      </c>
    </row>
    <row r="628" spans="2:5" ht="22.5" x14ac:dyDescent="0.2">
      <c r="B628" s="174">
        <v>94990</v>
      </c>
      <c r="C628" s="168" t="s">
        <v>1286</v>
      </c>
      <c r="D628" s="173" t="s">
        <v>84</v>
      </c>
      <c r="E628" s="170">
        <v>683.73</v>
      </c>
    </row>
    <row r="629" spans="2:5" ht="22.5" x14ac:dyDescent="0.2">
      <c r="B629" s="174">
        <v>94991</v>
      </c>
      <c r="C629" s="168" t="s">
        <v>1287</v>
      </c>
      <c r="D629" s="173" t="s">
        <v>84</v>
      </c>
      <c r="E629" s="170">
        <v>619.62</v>
      </c>
    </row>
    <row r="630" spans="2:5" ht="25.5" customHeight="1" x14ac:dyDescent="0.2">
      <c r="B630" s="174">
        <v>94992</v>
      </c>
      <c r="C630" s="168" t="s">
        <v>1288</v>
      </c>
      <c r="D630" s="173" t="s">
        <v>963</v>
      </c>
      <c r="E630" s="170">
        <v>82.34</v>
      </c>
    </row>
    <row r="631" spans="2:5" ht="22.5" x14ac:dyDescent="0.2">
      <c r="B631" s="174">
        <v>94993</v>
      </c>
      <c r="C631" s="168" t="s">
        <v>1289</v>
      </c>
      <c r="D631" s="173" t="s">
        <v>963</v>
      </c>
      <c r="E631" s="170">
        <v>78.489999999999995</v>
      </c>
    </row>
    <row r="632" spans="2:5" ht="22.5" x14ac:dyDescent="0.2">
      <c r="B632" s="174">
        <v>94994</v>
      </c>
      <c r="C632" s="168" t="s">
        <v>1290</v>
      </c>
      <c r="D632" s="173" t="s">
        <v>963</v>
      </c>
      <c r="E632" s="170">
        <v>96.43</v>
      </c>
    </row>
    <row r="633" spans="2:5" ht="22.5" x14ac:dyDescent="0.2">
      <c r="B633" s="174">
        <v>94995</v>
      </c>
      <c r="C633" s="168" t="s">
        <v>1291</v>
      </c>
      <c r="D633" s="173" t="s">
        <v>963</v>
      </c>
      <c r="E633" s="170">
        <v>91.3</v>
      </c>
    </row>
    <row r="634" spans="2:5" x14ac:dyDescent="0.2">
      <c r="B634" s="174">
        <v>101747</v>
      </c>
      <c r="C634" s="168" t="s">
        <v>1292</v>
      </c>
      <c r="D634" s="173" t="s">
        <v>963</v>
      </c>
      <c r="E634" s="170">
        <v>72.14</v>
      </c>
    </row>
    <row r="635" spans="2:5" ht="12.75" customHeight="1" x14ac:dyDescent="0.2">
      <c r="B635" s="192">
        <v>98509</v>
      </c>
      <c r="C635" s="183" t="s">
        <v>1293</v>
      </c>
      <c r="D635" s="184" t="s">
        <v>17</v>
      </c>
      <c r="E635" s="170">
        <v>31.41</v>
      </c>
    </row>
    <row r="636" spans="2:5" ht="22.5" customHeight="1" x14ac:dyDescent="0.2">
      <c r="B636" s="192">
        <v>98510</v>
      </c>
      <c r="C636" s="183" t="s">
        <v>1294</v>
      </c>
      <c r="D636" s="184" t="s">
        <v>17</v>
      </c>
      <c r="E636" s="170">
        <v>54.83</v>
      </c>
    </row>
    <row r="637" spans="2:5" ht="22.5" x14ac:dyDescent="0.2">
      <c r="B637" s="192">
        <v>98511</v>
      </c>
      <c r="C637" s="183" t="s">
        <v>1295</v>
      </c>
      <c r="D637" s="184" t="s">
        <v>17</v>
      </c>
      <c r="E637" s="170">
        <v>99.65</v>
      </c>
    </row>
    <row r="638" spans="2:5" x14ac:dyDescent="0.2">
      <c r="B638" s="192">
        <v>98516</v>
      </c>
      <c r="C638" s="183" t="s">
        <v>1296</v>
      </c>
      <c r="D638" s="184" t="s">
        <v>17</v>
      </c>
      <c r="E638" s="170">
        <v>330.68</v>
      </c>
    </row>
    <row r="639" spans="2:5" x14ac:dyDescent="0.2">
      <c r="B639" s="193">
        <v>98505</v>
      </c>
      <c r="C639" s="121" t="s">
        <v>1297</v>
      </c>
      <c r="D639" s="122" t="s">
        <v>17</v>
      </c>
      <c r="E639" s="194">
        <v>46.03</v>
      </c>
    </row>
    <row r="640" spans="2:5" ht="22.5" customHeight="1" x14ac:dyDescent="0.2">
      <c r="B640" s="273" t="s">
        <v>1623</v>
      </c>
      <c r="C640" s="274" t="s">
        <v>1624</v>
      </c>
      <c r="D640" s="275" t="s">
        <v>42</v>
      </c>
      <c r="E640" s="276">
        <v>349.58</v>
      </c>
    </row>
    <row r="641" spans="2:5" x14ac:dyDescent="0.2">
      <c r="B641" s="195" t="s">
        <v>1625</v>
      </c>
      <c r="C641" s="143" t="s">
        <v>1626</v>
      </c>
      <c r="D641" s="187" t="s">
        <v>42</v>
      </c>
      <c r="E641" s="196">
        <v>185.13000000000005</v>
      </c>
    </row>
    <row r="642" spans="2:5" x14ac:dyDescent="0.2">
      <c r="B642" s="138" t="s">
        <v>1627</v>
      </c>
      <c r="C642" s="277" t="s">
        <v>1628</v>
      </c>
      <c r="D642" s="140" t="s">
        <v>42</v>
      </c>
      <c r="E642" s="278">
        <v>109.99000000000001</v>
      </c>
    </row>
    <row r="643" spans="2:5" ht="13.5" thickBot="1" x14ac:dyDescent="0.25">
      <c r="B643" s="195" t="s">
        <v>1629</v>
      </c>
      <c r="C643" s="143" t="s">
        <v>1630</v>
      </c>
      <c r="D643" s="187" t="s">
        <v>42</v>
      </c>
      <c r="E643" s="196">
        <v>72.2</v>
      </c>
    </row>
    <row r="644" spans="2:5" x14ac:dyDescent="0.2">
      <c r="B644" s="953" t="s">
        <v>1298</v>
      </c>
      <c r="C644" s="954"/>
      <c r="D644" s="955"/>
      <c r="E644" s="160"/>
    </row>
    <row r="645" spans="2:5" ht="13.5" thickBot="1" x14ac:dyDescent="0.25">
      <c r="B645" s="161" t="s">
        <v>28</v>
      </c>
      <c r="C645" s="162" t="s">
        <v>183</v>
      </c>
      <c r="D645" s="162" t="s">
        <v>184</v>
      </c>
      <c r="E645" s="114" t="s">
        <v>185</v>
      </c>
    </row>
    <row r="646" spans="2:5" ht="33.75" x14ac:dyDescent="0.2">
      <c r="B646" s="197" t="s">
        <v>1299</v>
      </c>
      <c r="C646" s="183" t="s">
        <v>1300</v>
      </c>
      <c r="D646" s="184" t="s">
        <v>1301</v>
      </c>
      <c r="E646" s="198">
        <v>83.98</v>
      </c>
    </row>
    <row r="647" spans="2:5" ht="33.75" x14ac:dyDescent="0.2">
      <c r="B647" s="197" t="s">
        <v>1302</v>
      </c>
      <c r="C647" s="183" t="s">
        <v>1303</v>
      </c>
      <c r="D647" s="184" t="s">
        <v>1301</v>
      </c>
      <c r="E647" s="199">
        <v>81.069999999999993</v>
      </c>
    </row>
    <row r="648" spans="2:5" ht="33.75" x14ac:dyDescent="0.2">
      <c r="B648" s="197" t="s">
        <v>1304</v>
      </c>
      <c r="C648" s="183" t="s">
        <v>1305</v>
      </c>
      <c r="D648" s="184" t="s">
        <v>1301</v>
      </c>
      <c r="E648" s="199">
        <v>85.96</v>
      </c>
    </row>
    <row r="649" spans="2:5" ht="23.25" thickBot="1" x14ac:dyDescent="0.25">
      <c r="B649" s="200" t="s">
        <v>1306</v>
      </c>
      <c r="C649" s="201" t="s">
        <v>1307</v>
      </c>
      <c r="D649" s="202" t="s">
        <v>1301</v>
      </c>
      <c r="E649" s="203">
        <v>79.92</v>
      </c>
    </row>
  </sheetData>
  <mergeCells count="11">
    <mergeCell ref="B365:D365"/>
    <mergeCell ref="B378:D378"/>
    <mergeCell ref="B546:D546"/>
    <mergeCell ref="B482:D482"/>
    <mergeCell ref="B644:D644"/>
    <mergeCell ref="B293:D293"/>
    <mergeCell ref="B2:B4"/>
    <mergeCell ref="C2:E2"/>
    <mergeCell ref="C3:E3"/>
    <mergeCell ref="C4:E4"/>
    <mergeCell ref="B5:D5"/>
  </mergeCells>
  <printOptions horizontalCentered="1"/>
  <pageMargins left="0.39370078740157483" right="0.19685039370078741" top="0.59055118110236227" bottom="0.19685039370078741" header="0.23622047244094491" footer="0.59055118110236227"/>
  <pageSetup paperSize="9" scale="85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2DF85F-3766-415F-A084-6C69A816E0F3}">
  <sheetPr>
    <tabColor rgb="FFEEFB9D"/>
  </sheetPr>
  <dimension ref="A1:E67"/>
  <sheetViews>
    <sheetView zoomScaleNormal="100" workbookViewId="0"/>
  </sheetViews>
  <sheetFormatPr defaultColWidth="9.140625" defaultRowHeight="12.75" x14ac:dyDescent="0.2"/>
  <cols>
    <col min="1" max="1" width="67.5703125" style="58" customWidth="1"/>
    <col min="2" max="2" width="20.85546875" style="58" customWidth="1"/>
    <col min="3" max="3" width="67.5703125" style="58" customWidth="1"/>
    <col min="4" max="4" width="20.85546875" style="58" customWidth="1"/>
    <col min="5" max="16384" width="9.140625" style="58"/>
  </cols>
  <sheetData>
    <row r="1" spans="1:5" ht="13.5" thickBot="1" x14ac:dyDescent="0.25"/>
    <row r="2" spans="1:5" ht="13.5" thickTop="1" x14ac:dyDescent="0.2">
      <c r="A2" s="73"/>
      <c r="B2" s="74"/>
      <c r="C2" s="73"/>
      <c r="D2" s="75"/>
    </row>
    <row r="3" spans="1:5" x14ac:dyDescent="0.2">
      <c r="A3" s="76"/>
      <c r="B3" s="77"/>
      <c r="C3" s="76"/>
      <c r="D3" s="78"/>
    </row>
    <row r="4" spans="1:5" x14ac:dyDescent="0.2">
      <c r="A4" s="76"/>
      <c r="B4" s="77"/>
      <c r="C4" s="76"/>
      <c r="D4" s="78"/>
    </row>
    <row r="5" spans="1:5" x14ac:dyDescent="0.2">
      <c r="A5" s="76"/>
      <c r="B5" s="77"/>
      <c r="C5" s="76"/>
      <c r="D5" s="78"/>
    </row>
    <row r="6" spans="1:5" x14ac:dyDescent="0.2">
      <c r="A6" s="76"/>
      <c r="B6" s="77"/>
      <c r="C6" s="76"/>
      <c r="D6" s="78"/>
    </row>
    <row r="7" spans="1:5" x14ac:dyDescent="0.2">
      <c r="A7" s="76"/>
      <c r="B7" s="77"/>
      <c r="C7" s="76"/>
      <c r="D7" s="78"/>
    </row>
    <row r="8" spans="1:5" x14ac:dyDescent="0.2">
      <c r="A8" s="76"/>
      <c r="B8" s="77"/>
      <c r="C8" s="76"/>
      <c r="D8" s="78"/>
    </row>
    <row r="9" spans="1:5" ht="15.75" x14ac:dyDescent="0.25">
      <c r="A9" s="956" t="s">
        <v>1341</v>
      </c>
      <c r="B9" s="957"/>
      <c r="C9" s="956" t="s">
        <v>1341</v>
      </c>
      <c r="D9" s="957"/>
    </row>
    <row r="10" spans="1:5" x14ac:dyDescent="0.2">
      <c r="A10" s="79"/>
      <c r="B10" s="80"/>
      <c r="C10" s="79"/>
      <c r="D10" s="80"/>
    </row>
    <row r="11" spans="1:5" ht="15.75" x14ac:dyDescent="0.25">
      <c r="A11" s="956" t="s">
        <v>86</v>
      </c>
      <c r="B11" s="957"/>
      <c r="C11" s="956" t="s">
        <v>86</v>
      </c>
      <c r="D11" s="957"/>
    </row>
    <row r="12" spans="1:5" x14ac:dyDescent="0.2">
      <c r="A12" s="958" t="s">
        <v>1649</v>
      </c>
      <c r="B12" s="959"/>
      <c r="C12" s="958" t="s">
        <v>1649</v>
      </c>
      <c r="D12" s="959"/>
      <c r="E12" s="81"/>
    </row>
    <row r="13" spans="1:5" x14ac:dyDescent="0.2">
      <c r="A13" s="82"/>
      <c r="B13" s="83"/>
      <c r="C13" s="82"/>
      <c r="D13" s="83"/>
      <c r="E13" s="81"/>
    </row>
    <row r="14" spans="1:5" ht="18.75" customHeight="1" x14ac:dyDescent="0.2">
      <c r="A14" s="84" t="s">
        <v>1342</v>
      </c>
      <c r="B14" s="85" t="s">
        <v>1343</v>
      </c>
      <c r="C14" s="84" t="s">
        <v>1342</v>
      </c>
      <c r="D14" s="85" t="s">
        <v>1344</v>
      </c>
    </row>
    <row r="15" spans="1:5" x14ac:dyDescent="0.2">
      <c r="A15" s="86"/>
      <c r="B15" s="87"/>
      <c r="C15" s="86"/>
      <c r="D15" s="87"/>
    </row>
    <row r="16" spans="1:5" x14ac:dyDescent="0.2">
      <c r="A16" s="88" t="s">
        <v>1345</v>
      </c>
      <c r="B16" s="89">
        <v>0</v>
      </c>
      <c r="C16" s="88" t="s">
        <v>1345</v>
      </c>
      <c r="D16" s="89">
        <v>0</v>
      </c>
    </row>
    <row r="17" spans="1:4" x14ac:dyDescent="0.2">
      <c r="A17" s="90" t="s">
        <v>1346</v>
      </c>
      <c r="B17" s="91">
        <v>1.4999999999999999E-2</v>
      </c>
      <c r="C17" s="90" t="s">
        <v>1346</v>
      </c>
      <c r="D17" s="91">
        <v>1.4999999999999999E-2</v>
      </c>
    </row>
    <row r="18" spans="1:4" x14ac:dyDescent="0.2">
      <c r="A18" s="90" t="s">
        <v>1347</v>
      </c>
      <c r="B18" s="91">
        <v>0.01</v>
      </c>
      <c r="C18" s="90" t="s">
        <v>1347</v>
      </c>
      <c r="D18" s="91">
        <v>0.01</v>
      </c>
    </row>
    <row r="19" spans="1:4" x14ac:dyDescent="0.2">
      <c r="A19" s="90" t="s">
        <v>1348</v>
      </c>
      <c r="B19" s="91">
        <v>2E-3</v>
      </c>
      <c r="C19" s="90" t="s">
        <v>1348</v>
      </c>
      <c r="D19" s="91">
        <v>2E-3</v>
      </c>
    </row>
    <row r="20" spans="1:4" x14ac:dyDescent="0.2">
      <c r="A20" s="90" t="s">
        <v>1349</v>
      </c>
      <c r="B20" s="91">
        <v>6.0000000000000001E-3</v>
      </c>
      <c r="C20" s="90" t="s">
        <v>1349</v>
      </c>
      <c r="D20" s="91">
        <v>6.0000000000000001E-3</v>
      </c>
    </row>
    <row r="21" spans="1:4" x14ac:dyDescent="0.2">
      <c r="A21" s="90" t="s">
        <v>1350</v>
      </c>
      <c r="B21" s="91">
        <v>2.5000000000000001E-2</v>
      </c>
      <c r="C21" s="90" t="s">
        <v>1350</v>
      </c>
      <c r="D21" s="91">
        <v>2.5000000000000001E-2</v>
      </c>
    </row>
    <row r="22" spans="1:4" x14ac:dyDescent="0.2">
      <c r="A22" s="90" t="s">
        <v>1351</v>
      </c>
      <c r="B22" s="91">
        <v>0.08</v>
      </c>
      <c r="C22" s="90" t="s">
        <v>1351</v>
      </c>
      <c r="D22" s="91">
        <v>0.08</v>
      </c>
    </row>
    <row r="23" spans="1:4" x14ac:dyDescent="0.2">
      <c r="A23" s="90" t="s">
        <v>1602</v>
      </c>
      <c r="B23" s="91">
        <v>0.03</v>
      </c>
      <c r="C23" s="90" t="s">
        <v>1602</v>
      </c>
      <c r="D23" s="91">
        <v>0.03</v>
      </c>
    </row>
    <row r="24" spans="1:4" x14ac:dyDescent="0.2">
      <c r="A24" s="90" t="s">
        <v>1353</v>
      </c>
      <c r="B24" s="91">
        <v>0.01</v>
      </c>
      <c r="C24" s="90" t="s">
        <v>1353</v>
      </c>
      <c r="D24" s="91">
        <v>0.01</v>
      </c>
    </row>
    <row r="25" spans="1:4" x14ac:dyDescent="0.2">
      <c r="A25" s="90"/>
      <c r="B25" s="91"/>
      <c r="C25" s="90"/>
      <c r="D25" s="91"/>
    </row>
    <row r="26" spans="1:4" s="93" customFormat="1" x14ac:dyDescent="0.2">
      <c r="A26" s="86" t="s">
        <v>1355</v>
      </c>
      <c r="B26" s="92">
        <f>SUM(B16:B25)</f>
        <v>0.17800000000000002</v>
      </c>
      <c r="C26" s="86" t="s">
        <v>1355</v>
      </c>
      <c r="D26" s="92">
        <f>SUM(D16:D25)</f>
        <v>0.17800000000000002</v>
      </c>
    </row>
    <row r="27" spans="1:4" x14ac:dyDescent="0.2">
      <c r="A27" s="90"/>
      <c r="B27" s="91"/>
      <c r="C27" s="90"/>
      <c r="D27" s="91"/>
    </row>
    <row r="28" spans="1:4" x14ac:dyDescent="0.2">
      <c r="A28" s="94" t="s">
        <v>1356</v>
      </c>
      <c r="B28" s="95"/>
      <c r="C28" s="94" t="s">
        <v>1356</v>
      </c>
      <c r="D28" s="95"/>
    </row>
    <row r="29" spans="1:4" x14ac:dyDescent="0.2">
      <c r="A29" s="90" t="s">
        <v>1357</v>
      </c>
      <c r="B29" s="91">
        <v>0.1794</v>
      </c>
      <c r="C29" s="90" t="s">
        <v>1357</v>
      </c>
      <c r="D29" s="91">
        <v>0</v>
      </c>
    </row>
    <row r="30" spans="1:4" x14ac:dyDescent="0.2">
      <c r="A30" s="90" t="s">
        <v>1358</v>
      </c>
      <c r="B30" s="91">
        <v>3.9699999999999999E-2</v>
      </c>
      <c r="C30" s="90" t="s">
        <v>1358</v>
      </c>
      <c r="D30" s="91">
        <v>0</v>
      </c>
    </row>
    <row r="31" spans="1:4" x14ac:dyDescent="0.2">
      <c r="A31" s="90" t="s">
        <v>1359</v>
      </c>
      <c r="B31" s="91">
        <v>8.8000000000000005E-3</v>
      </c>
      <c r="C31" s="90" t="s">
        <v>1359</v>
      </c>
      <c r="D31" s="91">
        <v>6.6E-3</v>
      </c>
    </row>
    <row r="32" spans="1:4" x14ac:dyDescent="0.2">
      <c r="A32" s="90" t="s">
        <v>1360</v>
      </c>
      <c r="B32" s="91">
        <v>0.111</v>
      </c>
      <c r="C32" s="90" t="s">
        <v>1360</v>
      </c>
      <c r="D32" s="91">
        <v>8.3299999999999999E-2</v>
      </c>
    </row>
    <row r="33" spans="1:4" x14ac:dyDescent="0.2">
      <c r="A33" s="90" t="s">
        <v>1361</v>
      </c>
      <c r="B33" s="91">
        <v>6.9999999999999999E-4</v>
      </c>
      <c r="C33" s="90" t="s">
        <v>1361</v>
      </c>
      <c r="D33" s="91">
        <v>5.0000000000000001E-4</v>
      </c>
    </row>
    <row r="34" spans="1:4" x14ac:dyDescent="0.2">
      <c r="A34" s="90" t="s">
        <v>1362</v>
      </c>
      <c r="B34" s="91">
        <v>7.4000000000000003E-3</v>
      </c>
      <c r="C34" s="90" t="s">
        <v>1362</v>
      </c>
      <c r="D34" s="91">
        <v>5.5999999999999999E-3</v>
      </c>
    </row>
    <row r="35" spans="1:4" ht="12.75" customHeight="1" x14ac:dyDescent="0.2">
      <c r="A35" s="90" t="s">
        <v>1363</v>
      </c>
      <c r="B35" s="91">
        <v>1.8499999999999999E-2</v>
      </c>
      <c r="C35" s="90" t="s">
        <v>1363</v>
      </c>
      <c r="D35" s="91">
        <v>0</v>
      </c>
    </row>
    <row r="36" spans="1:4" ht="14.25" customHeight="1" x14ac:dyDescent="0.2">
      <c r="A36" s="90" t="s">
        <v>1364</v>
      </c>
      <c r="B36" s="91">
        <v>1.1000000000000001E-3</v>
      </c>
      <c r="C36" s="90" t="s">
        <v>1364</v>
      </c>
      <c r="D36" s="91">
        <v>8.0000000000000004E-4</v>
      </c>
    </row>
    <row r="37" spans="1:4" ht="14.25" customHeight="1" x14ac:dyDescent="0.2">
      <c r="A37" s="90" t="s">
        <v>1365</v>
      </c>
      <c r="B37" s="91">
        <v>0.1275</v>
      </c>
      <c r="C37" s="90" t="s">
        <v>1365</v>
      </c>
      <c r="D37" s="91">
        <v>9.5699999999999993E-2</v>
      </c>
    </row>
    <row r="38" spans="1:4" ht="14.25" customHeight="1" x14ac:dyDescent="0.2">
      <c r="A38" s="90" t="s">
        <v>1366</v>
      </c>
      <c r="B38" s="91">
        <v>4.0000000000000002E-4</v>
      </c>
      <c r="C38" s="90" t="s">
        <v>1366</v>
      </c>
      <c r="D38" s="91">
        <v>2.9999999999999997E-4</v>
      </c>
    </row>
    <row r="39" spans="1:4" x14ac:dyDescent="0.2">
      <c r="A39" s="96"/>
      <c r="B39" s="91"/>
      <c r="C39" s="96"/>
      <c r="D39" s="91"/>
    </row>
    <row r="40" spans="1:4" s="93" customFormat="1" x14ac:dyDescent="0.2">
      <c r="A40" s="86" t="s">
        <v>1367</v>
      </c>
      <c r="B40" s="92">
        <f>SUM(B29:B38)</f>
        <v>0.49450000000000005</v>
      </c>
      <c r="C40" s="86" t="s">
        <v>1367</v>
      </c>
      <c r="D40" s="92">
        <f>SUM(D29:D38)</f>
        <v>0.19279999999999997</v>
      </c>
    </row>
    <row r="41" spans="1:4" x14ac:dyDescent="0.2">
      <c r="A41" s="90" t="s">
        <v>26</v>
      </c>
      <c r="B41" s="91"/>
      <c r="C41" s="90" t="s">
        <v>26</v>
      </c>
      <c r="D41" s="91"/>
    </row>
    <row r="42" spans="1:4" x14ac:dyDescent="0.2">
      <c r="A42" s="94" t="s">
        <v>1368</v>
      </c>
      <c r="B42" s="95"/>
      <c r="C42" s="94" t="s">
        <v>1368</v>
      </c>
      <c r="D42" s="95"/>
    </row>
    <row r="43" spans="1:4" x14ac:dyDescent="0.2">
      <c r="A43" s="90" t="s">
        <v>1369</v>
      </c>
      <c r="B43" s="91">
        <v>5.4899999999999997E-2</v>
      </c>
      <c r="C43" s="90" t="s">
        <v>1369</v>
      </c>
      <c r="D43" s="91">
        <v>4.1200000000000001E-2</v>
      </c>
    </row>
    <row r="44" spans="1:4" x14ac:dyDescent="0.2">
      <c r="A44" s="90" t="s">
        <v>1370</v>
      </c>
      <c r="B44" s="91">
        <v>1.2999999999999999E-3</v>
      </c>
      <c r="C44" s="90" t="s">
        <v>1370</v>
      </c>
      <c r="D44" s="91">
        <v>1E-3</v>
      </c>
    </row>
    <row r="45" spans="1:4" x14ac:dyDescent="0.2">
      <c r="A45" s="90" t="s">
        <v>1371</v>
      </c>
      <c r="B45" s="91">
        <v>1.7100000000000001E-2</v>
      </c>
      <c r="C45" s="90" t="s">
        <v>1371</v>
      </c>
      <c r="D45" s="91">
        <v>1.2800000000000001E-2</v>
      </c>
    </row>
    <row r="46" spans="1:4" x14ac:dyDescent="0.2">
      <c r="A46" s="90" t="s">
        <v>1372</v>
      </c>
      <c r="B46" s="91">
        <v>2.7799999999999998E-2</v>
      </c>
      <c r="C46" s="90" t="s">
        <v>1372</v>
      </c>
      <c r="D46" s="91">
        <v>2.0899999999999998E-2</v>
      </c>
    </row>
    <row r="47" spans="1:4" x14ac:dyDescent="0.2">
      <c r="A47" s="90" t="s">
        <v>1373</v>
      </c>
      <c r="B47" s="91">
        <v>4.5999999999999999E-3</v>
      </c>
      <c r="C47" s="90" t="s">
        <v>1373</v>
      </c>
      <c r="D47" s="91">
        <v>3.5000000000000001E-3</v>
      </c>
    </row>
    <row r="48" spans="1:4" x14ac:dyDescent="0.2">
      <c r="A48" s="90"/>
      <c r="B48" s="91"/>
      <c r="C48" s="90"/>
      <c r="D48" s="91"/>
    </row>
    <row r="49" spans="1:5" s="93" customFormat="1" x14ac:dyDescent="0.2">
      <c r="A49" s="97" t="s">
        <v>1374</v>
      </c>
      <c r="B49" s="98">
        <f>SUM(B43:B48)</f>
        <v>0.10569999999999999</v>
      </c>
      <c r="C49" s="97" t="s">
        <v>1374</v>
      </c>
      <c r="D49" s="98">
        <f>ROUND(SUM(D43:D48),4)</f>
        <v>7.9399999999999998E-2</v>
      </c>
    </row>
    <row r="50" spans="1:5" x14ac:dyDescent="0.2">
      <c r="A50" s="90" t="s">
        <v>26</v>
      </c>
      <c r="B50" s="91"/>
      <c r="C50" s="90" t="s">
        <v>26</v>
      </c>
      <c r="D50" s="91"/>
    </row>
    <row r="51" spans="1:5" x14ac:dyDescent="0.2">
      <c r="A51" s="94" t="s">
        <v>1375</v>
      </c>
      <c r="B51" s="91"/>
      <c r="C51" s="94" t="s">
        <v>1375</v>
      </c>
      <c r="D51" s="91"/>
    </row>
    <row r="52" spans="1:5" x14ac:dyDescent="0.2">
      <c r="A52" s="90" t="s">
        <v>1376</v>
      </c>
      <c r="B52" s="91">
        <f>ROUND(B26*B40,4)</f>
        <v>8.7999999999999995E-2</v>
      </c>
      <c r="C52" s="90" t="s">
        <v>1376</v>
      </c>
      <c r="D52" s="91">
        <f>ROUND(D26*D40,4)</f>
        <v>3.4299999999999997E-2</v>
      </c>
    </row>
    <row r="53" spans="1:5" x14ac:dyDescent="0.2">
      <c r="A53" s="90" t="s">
        <v>1377</v>
      </c>
      <c r="B53" s="91">
        <f>ROUND((B26*B44)+(B22*B43),4)</f>
        <v>4.5999999999999999E-3</v>
      </c>
      <c r="C53" s="90" t="s">
        <v>1377</v>
      </c>
      <c r="D53" s="91">
        <f>ROUND((D26*D44)+(D22*D43),4)</f>
        <v>3.5000000000000001E-3</v>
      </c>
    </row>
    <row r="54" spans="1:5" x14ac:dyDescent="0.2">
      <c r="A54" s="90" t="s">
        <v>26</v>
      </c>
      <c r="B54" s="91"/>
      <c r="C54" s="90" t="s">
        <v>26</v>
      </c>
      <c r="D54" s="91"/>
    </row>
    <row r="55" spans="1:5" s="93" customFormat="1" x14ac:dyDescent="0.2">
      <c r="A55" s="97" t="s">
        <v>1378</v>
      </c>
      <c r="B55" s="98">
        <f>SUM(B52:B54)</f>
        <v>9.2599999999999988E-2</v>
      </c>
      <c r="C55" s="97" t="s">
        <v>1378</v>
      </c>
      <c r="D55" s="98">
        <f>SUM(D52:D54)</f>
        <v>3.78E-2</v>
      </c>
    </row>
    <row r="56" spans="1:5" s="93" customFormat="1" x14ac:dyDescent="0.2">
      <c r="A56" s="97"/>
      <c r="B56" s="98"/>
      <c r="C56" s="97"/>
      <c r="D56" s="98"/>
    </row>
    <row r="57" spans="1:5" x14ac:dyDescent="0.2">
      <c r="A57" s="90"/>
      <c r="B57" s="91"/>
      <c r="C57" s="90"/>
      <c r="D57" s="91"/>
    </row>
    <row r="58" spans="1:5" s="93" customFormat="1" x14ac:dyDescent="0.2">
      <c r="A58" s="97" t="s">
        <v>1379</v>
      </c>
      <c r="B58" s="98">
        <f>B26+B40+B49+B55</f>
        <v>0.87080000000000013</v>
      </c>
      <c r="C58" s="97" t="s">
        <v>1379</v>
      </c>
      <c r="D58" s="98">
        <f>D26+D40+D49+D55</f>
        <v>0.48800000000000004</v>
      </c>
    </row>
    <row r="59" spans="1:5" ht="13.5" thickBot="1" x14ac:dyDescent="0.25">
      <c r="A59" s="99"/>
      <c r="B59" s="100"/>
      <c r="C59" s="99"/>
      <c r="D59" s="100"/>
      <c r="E59" s="76"/>
    </row>
    <row r="60" spans="1:5" ht="13.5" thickTop="1" x14ac:dyDescent="0.2">
      <c r="A60" s="101"/>
      <c r="B60" s="101"/>
    </row>
    <row r="61" spans="1:5" x14ac:dyDescent="0.2">
      <c r="A61" s="101"/>
      <c r="B61" s="101"/>
    </row>
    <row r="62" spans="1:5" x14ac:dyDescent="0.2">
      <c r="A62" s="101"/>
      <c r="B62" s="101"/>
    </row>
    <row r="63" spans="1:5" x14ac:dyDescent="0.2">
      <c r="A63" s="101"/>
      <c r="B63" s="101"/>
    </row>
    <row r="64" spans="1:5" x14ac:dyDescent="0.2">
      <c r="A64" s="101"/>
      <c r="B64" s="101"/>
    </row>
    <row r="65" spans="1:2" x14ac:dyDescent="0.2">
      <c r="A65" s="101"/>
      <c r="B65" s="101"/>
    </row>
    <row r="66" spans="1:2" x14ac:dyDescent="0.2">
      <c r="A66" s="101"/>
      <c r="B66" s="101"/>
    </row>
    <row r="67" spans="1:2" x14ac:dyDescent="0.2">
      <c r="A67" s="101"/>
      <c r="B67" s="101"/>
    </row>
  </sheetData>
  <mergeCells count="6">
    <mergeCell ref="A9:B9"/>
    <mergeCell ref="C9:D9"/>
    <mergeCell ref="A11:B11"/>
    <mergeCell ref="C11:D11"/>
    <mergeCell ref="A12:B12"/>
    <mergeCell ref="C12:D12"/>
  </mergeCells>
  <printOptions horizontalCentered="1"/>
  <pageMargins left="0.98425196850393704" right="0.39370078740157483" top="0.39370078740157483" bottom="0.19685039370078741" header="0.43307086614173229" footer="0.31496062992125984"/>
  <pageSetup paperSize="9" scale="90" orientation="portrait" horizontalDpi="300" verticalDpi="300" r:id="rId1"/>
  <headerFooter alignWithMargins="0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67929-FF30-4965-B8E6-3D4903F69B39}">
  <sheetPr>
    <tabColor rgb="FFEEFB9D"/>
  </sheetPr>
  <dimension ref="A1:E176"/>
  <sheetViews>
    <sheetView workbookViewId="0"/>
  </sheetViews>
  <sheetFormatPr defaultColWidth="11.42578125" defaultRowHeight="12.75" x14ac:dyDescent="0.2"/>
  <cols>
    <col min="1" max="1" width="12.42578125" customWidth="1"/>
    <col min="2" max="2" width="58.5703125" bestFit="1" customWidth="1"/>
    <col min="3" max="3" width="17.5703125" customWidth="1"/>
    <col min="4" max="4" width="9.5703125" customWidth="1"/>
    <col min="5" max="5" width="10" customWidth="1"/>
  </cols>
  <sheetData>
    <row r="1" spans="1:5" ht="16.5" thickBot="1" x14ac:dyDescent="0.3">
      <c r="B1" s="204"/>
      <c r="C1" s="29"/>
      <c r="D1" s="29"/>
    </row>
    <row r="2" spans="1:5" ht="27" customHeight="1" x14ac:dyDescent="0.2">
      <c r="A2" s="963"/>
      <c r="B2" s="975" t="s">
        <v>85</v>
      </c>
      <c r="C2" s="976"/>
      <c r="D2" s="976"/>
      <c r="E2" s="977"/>
    </row>
    <row r="3" spans="1:5" ht="17.25" customHeight="1" x14ac:dyDescent="0.2">
      <c r="A3" s="964"/>
      <c r="B3" s="978" t="s">
        <v>86</v>
      </c>
      <c r="C3" s="946"/>
      <c r="D3" s="946"/>
      <c r="E3" s="947"/>
    </row>
    <row r="4" spans="1:5" ht="18.75" customHeight="1" thickBot="1" x14ac:dyDescent="0.25">
      <c r="A4" s="965"/>
      <c r="B4" s="979" t="s">
        <v>1650</v>
      </c>
      <c r="C4" s="980"/>
      <c r="D4" s="980"/>
      <c r="E4" s="981"/>
    </row>
    <row r="5" spans="1:5" ht="9" customHeight="1" thickBot="1" x14ac:dyDescent="0.25">
      <c r="A5" s="108"/>
      <c r="B5" s="205"/>
      <c r="C5" s="205"/>
      <c r="D5" s="205"/>
    </row>
    <row r="6" spans="1:5" ht="17.25" thickBot="1" x14ac:dyDescent="0.3">
      <c r="A6" s="992" t="s">
        <v>87</v>
      </c>
      <c r="B6" s="993"/>
      <c r="C6" s="993"/>
      <c r="D6" s="993"/>
      <c r="E6" s="994"/>
    </row>
    <row r="7" spans="1:5" ht="9" customHeight="1" thickBot="1" x14ac:dyDescent="0.25">
      <c r="A7" s="108"/>
      <c r="B7" s="205"/>
      <c r="C7" s="205"/>
      <c r="D7" s="205"/>
    </row>
    <row r="8" spans="1:5" ht="18.75" customHeight="1" thickBot="1" x14ac:dyDescent="0.25">
      <c r="A8" s="206" t="s">
        <v>88</v>
      </c>
      <c r="B8" s="207" t="s">
        <v>1633</v>
      </c>
      <c r="C8" s="960" t="s">
        <v>1651</v>
      </c>
      <c r="D8" s="961"/>
      <c r="E8" s="962"/>
    </row>
    <row r="9" spans="1:5" s="208" customFormat="1" ht="9" customHeight="1" x14ac:dyDescent="0.25">
      <c r="B9" s="209"/>
      <c r="C9" s="30"/>
      <c r="D9" s="30"/>
    </row>
    <row r="10" spans="1:5" s="58" customFormat="1" ht="43.5" customHeight="1" x14ac:dyDescent="0.2">
      <c r="A10" s="210" t="s">
        <v>28</v>
      </c>
      <c r="B10" s="211" t="s">
        <v>89</v>
      </c>
      <c r="C10" s="212" t="s">
        <v>90</v>
      </c>
      <c r="D10" s="212" t="s">
        <v>67</v>
      </c>
      <c r="E10" s="31" t="s">
        <v>91</v>
      </c>
    </row>
    <row r="11" spans="1:5" x14ac:dyDescent="0.2">
      <c r="A11" s="213">
        <v>88247</v>
      </c>
      <c r="B11" s="214" t="s">
        <v>92</v>
      </c>
      <c r="C11" s="215">
        <v>24.41</v>
      </c>
      <c r="D11" s="215" t="s">
        <v>93</v>
      </c>
      <c r="E11" s="33">
        <v>0.87080000000000002</v>
      </c>
    </row>
    <row r="12" spans="1:5" x14ac:dyDescent="0.2">
      <c r="A12" s="213">
        <v>101375</v>
      </c>
      <c r="B12" s="214" t="s">
        <v>92</v>
      </c>
      <c r="C12" s="216">
        <v>4353.1000000000004</v>
      </c>
      <c r="D12" s="216" t="s">
        <v>18</v>
      </c>
      <c r="E12" s="105">
        <v>0.48799999999999999</v>
      </c>
    </row>
    <row r="13" spans="1:5" x14ac:dyDescent="0.2">
      <c r="A13" s="213">
        <v>200025</v>
      </c>
      <c r="B13" s="214" t="s">
        <v>94</v>
      </c>
      <c r="C13" s="216">
        <v>24.336900800000002</v>
      </c>
      <c r="D13" s="216" t="s">
        <v>93</v>
      </c>
      <c r="E13" s="105">
        <v>0.87080000000000002</v>
      </c>
    </row>
    <row r="14" spans="1:5" ht="12.75" customHeight="1" x14ac:dyDescent="0.2">
      <c r="A14" s="213">
        <v>200026</v>
      </c>
      <c r="B14" s="214" t="s">
        <v>94</v>
      </c>
      <c r="C14" s="216">
        <v>4342.5705599999992</v>
      </c>
      <c r="D14" s="216" t="s">
        <v>18</v>
      </c>
      <c r="E14" s="105">
        <v>0.48799999999999999</v>
      </c>
    </row>
    <row r="15" spans="1:5" ht="12.75" customHeight="1" x14ac:dyDescent="0.2">
      <c r="A15" s="213">
        <v>88248</v>
      </c>
      <c r="B15" s="217" t="s">
        <v>95</v>
      </c>
      <c r="C15" s="216">
        <v>23.42</v>
      </c>
      <c r="D15" s="216" t="s">
        <v>93</v>
      </c>
      <c r="E15" s="105">
        <v>0.87080000000000002</v>
      </c>
    </row>
    <row r="16" spans="1:5" x14ac:dyDescent="0.2">
      <c r="A16" s="213">
        <v>101384</v>
      </c>
      <c r="B16" s="217" t="s">
        <v>95</v>
      </c>
      <c r="C16" s="216">
        <v>4184.6000000000004</v>
      </c>
      <c r="D16" s="216" t="s">
        <v>18</v>
      </c>
      <c r="E16" s="105">
        <v>0.48799999999999999</v>
      </c>
    </row>
    <row r="17" spans="1:5" x14ac:dyDescent="0.2">
      <c r="A17" s="213">
        <v>88249</v>
      </c>
      <c r="B17" s="217" t="s">
        <v>96</v>
      </c>
      <c r="C17" s="216">
        <v>24.43</v>
      </c>
      <c r="D17" s="216" t="s">
        <v>93</v>
      </c>
      <c r="E17" s="105">
        <v>0.87080000000000002</v>
      </c>
    </row>
    <row r="18" spans="1:5" x14ac:dyDescent="0.2">
      <c r="A18" s="213">
        <v>101385</v>
      </c>
      <c r="B18" s="217" t="s">
        <v>96</v>
      </c>
      <c r="C18" s="216">
        <v>4297.53</v>
      </c>
      <c r="D18" s="216" t="s">
        <v>18</v>
      </c>
      <c r="E18" s="105">
        <v>0.48799999999999999</v>
      </c>
    </row>
    <row r="19" spans="1:5" x14ac:dyDescent="0.2">
      <c r="A19" s="213">
        <v>88251</v>
      </c>
      <c r="B19" s="218" t="s">
        <v>97</v>
      </c>
      <c r="C19" s="216">
        <v>23.99</v>
      </c>
      <c r="D19" s="216" t="s">
        <v>93</v>
      </c>
      <c r="E19" s="105">
        <v>0.87080000000000002</v>
      </c>
    </row>
    <row r="20" spans="1:5" x14ac:dyDescent="0.2">
      <c r="A20" s="213">
        <v>101379</v>
      </c>
      <c r="B20" s="218" t="s">
        <v>97</v>
      </c>
      <c r="C20" s="216">
        <v>4299.75</v>
      </c>
      <c r="D20" s="216" t="s">
        <v>18</v>
      </c>
      <c r="E20" s="105">
        <v>0.48799999999999999</v>
      </c>
    </row>
    <row r="21" spans="1:5" x14ac:dyDescent="0.2">
      <c r="A21" s="213">
        <v>88253</v>
      </c>
      <c r="B21" s="217" t="s">
        <v>98</v>
      </c>
      <c r="C21" s="216">
        <v>11.39</v>
      </c>
      <c r="D21" s="216" t="s">
        <v>93</v>
      </c>
      <c r="E21" s="105">
        <v>0.87080000000000002</v>
      </c>
    </row>
    <row r="22" spans="1:5" x14ac:dyDescent="0.2">
      <c r="A22" s="213">
        <v>101389</v>
      </c>
      <c r="B22" s="217" t="s">
        <v>98</v>
      </c>
      <c r="C22" s="216">
        <v>2020.78</v>
      </c>
      <c r="D22" s="216" t="s">
        <v>18</v>
      </c>
      <c r="E22" s="105">
        <v>0.48799999999999999</v>
      </c>
    </row>
    <row r="23" spans="1:5" x14ac:dyDescent="0.2">
      <c r="A23" s="213">
        <v>100300</v>
      </c>
      <c r="B23" s="217" t="s">
        <v>99</v>
      </c>
      <c r="C23" s="216">
        <v>18.03</v>
      </c>
      <c r="D23" s="216" t="s">
        <v>93</v>
      </c>
      <c r="E23" s="105">
        <v>0.87080000000000002</v>
      </c>
    </row>
    <row r="24" spans="1:5" x14ac:dyDescent="0.2">
      <c r="A24" s="213">
        <v>100316</v>
      </c>
      <c r="B24" s="217" t="s">
        <v>99</v>
      </c>
      <c r="C24" s="216">
        <v>3180.39</v>
      </c>
      <c r="D24" s="216" t="s">
        <v>18</v>
      </c>
      <c r="E24" s="105">
        <v>0.48799999999999999</v>
      </c>
    </row>
    <row r="25" spans="1:5" x14ac:dyDescent="0.2">
      <c r="A25" s="213">
        <v>88238</v>
      </c>
      <c r="B25" s="217" t="s">
        <v>100</v>
      </c>
      <c r="C25" s="216">
        <v>22.72</v>
      </c>
      <c r="D25" s="216" t="s">
        <v>93</v>
      </c>
      <c r="E25" s="105">
        <v>0.87080000000000002</v>
      </c>
    </row>
    <row r="26" spans="1:5" x14ac:dyDescent="0.2">
      <c r="A26" s="213">
        <v>101374</v>
      </c>
      <c r="B26" s="217" t="s">
        <v>100</v>
      </c>
      <c r="C26" s="216">
        <v>4080.45</v>
      </c>
      <c r="D26" s="216" t="s">
        <v>18</v>
      </c>
      <c r="E26" s="105">
        <v>0.48799999999999999</v>
      </c>
    </row>
    <row r="27" spans="1:5" x14ac:dyDescent="0.2">
      <c r="A27" s="213">
        <v>88239</v>
      </c>
      <c r="B27" s="217" t="s">
        <v>101</v>
      </c>
      <c r="C27" s="216">
        <v>23.86</v>
      </c>
      <c r="D27" s="216" t="s">
        <v>93</v>
      </c>
      <c r="E27" s="105">
        <v>0.87080000000000002</v>
      </c>
    </row>
    <row r="28" spans="1:5" x14ac:dyDescent="0.2">
      <c r="A28" s="213">
        <v>101395</v>
      </c>
      <c r="B28" s="217" t="s">
        <v>101</v>
      </c>
      <c r="C28" s="216">
        <v>4273.59</v>
      </c>
      <c r="D28" s="216" t="s">
        <v>18</v>
      </c>
      <c r="E28" s="105">
        <v>0.48799999999999999</v>
      </c>
    </row>
    <row r="29" spans="1:5" x14ac:dyDescent="0.2">
      <c r="A29" s="213">
        <v>100301</v>
      </c>
      <c r="B29" s="217" t="s">
        <v>102</v>
      </c>
      <c r="C29" s="216">
        <v>25.39</v>
      </c>
      <c r="D29" s="216" t="s">
        <v>93</v>
      </c>
      <c r="E29" s="105">
        <v>0.87080000000000002</v>
      </c>
    </row>
    <row r="30" spans="1:5" x14ac:dyDescent="0.2">
      <c r="A30" s="213">
        <v>101378</v>
      </c>
      <c r="B30" s="217" t="s">
        <v>102</v>
      </c>
      <c r="C30" s="216">
        <v>4559.3599999999997</v>
      </c>
      <c r="D30" s="216" t="s">
        <v>18</v>
      </c>
      <c r="E30" s="105">
        <v>0.48799999999999999</v>
      </c>
    </row>
    <row r="31" spans="1:5" x14ac:dyDescent="0.2">
      <c r="A31" s="213">
        <v>100303</v>
      </c>
      <c r="B31" s="217" t="s">
        <v>103</v>
      </c>
      <c r="C31" s="216">
        <v>22.77</v>
      </c>
      <c r="D31" s="216" t="s">
        <v>93</v>
      </c>
      <c r="E31" s="105">
        <v>0.87080000000000002</v>
      </c>
    </row>
    <row r="32" spans="1:5" x14ac:dyDescent="0.2">
      <c r="A32" s="213">
        <v>101383</v>
      </c>
      <c r="B32" s="217" t="s">
        <v>103</v>
      </c>
      <c r="C32" s="216">
        <v>4087.01</v>
      </c>
      <c r="D32" s="216" t="s">
        <v>18</v>
      </c>
      <c r="E32" s="105">
        <v>0.48799999999999999</v>
      </c>
    </row>
    <row r="33" spans="1:5" x14ac:dyDescent="0.2">
      <c r="A33" s="213">
        <v>88242</v>
      </c>
      <c r="B33" s="217" t="s">
        <v>104</v>
      </c>
      <c r="C33" s="216">
        <v>22.77</v>
      </c>
      <c r="D33" s="216" t="s">
        <v>93</v>
      </c>
      <c r="E33" s="105">
        <v>0.87080000000000002</v>
      </c>
    </row>
    <row r="34" spans="1:5" x14ac:dyDescent="0.2">
      <c r="A34" s="213">
        <v>101387</v>
      </c>
      <c r="B34" s="217" t="s">
        <v>104</v>
      </c>
      <c r="C34" s="216">
        <v>4087.01</v>
      </c>
      <c r="D34" s="216" t="s">
        <v>18</v>
      </c>
      <c r="E34" s="105">
        <v>0.48799999999999999</v>
      </c>
    </row>
    <row r="35" spans="1:5" x14ac:dyDescent="0.2">
      <c r="A35" s="213">
        <v>88240</v>
      </c>
      <c r="B35" s="217" t="s">
        <v>105</v>
      </c>
      <c r="C35" s="216">
        <v>20.76</v>
      </c>
      <c r="D35" s="216" t="s">
        <v>93</v>
      </c>
      <c r="E35" s="105">
        <v>0.87080000000000002</v>
      </c>
    </row>
    <row r="36" spans="1:5" x14ac:dyDescent="0.2">
      <c r="A36" s="213">
        <v>101376</v>
      </c>
      <c r="B36" s="217" t="s">
        <v>105</v>
      </c>
      <c r="C36" s="216">
        <v>3719.2</v>
      </c>
      <c r="D36" s="216" t="s">
        <v>18</v>
      </c>
      <c r="E36" s="105">
        <v>0.48799999999999999</v>
      </c>
    </row>
    <row r="37" spans="1:5" x14ac:dyDescent="0.2">
      <c r="A37" s="213">
        <v>90772</v>
      </c>
      <c r="B37" s="214" t="s">
        <v>106</v>
      </c>
      <c r="C37" s="216">
        <v>18.760000000000002</v>
      </c>
      <c r="D37" s="216" t="s">
        <v>93</v>
      </c>
      <c r="E37" s="105">
        <v>0.87080000000000002</v>
      </c>
    </row>
    <row r="38" spans="1:5" x14ac:dyDescent="0.2">
      <c r="A38" s="213">
        <v>93566</v>
      </c>
      <c r="B38" s="214" t="s">
        <v>107</v>
      </c>
      <c r="C38" s="216">
        <v>3310.62</v>
      </c>
      <c r="D38" s="216" t="s">
        <v>18</v>
      </c>
      <c r="E38" s="105">
        <v>0.48799999999999999</v>
      </c>
    </row>
    <row r="39" spans="1:5" x14ac:dyDescent="0.2">
      <c r="A39" s="213">
        <v>88255</v>
      </c>
      <c r="B39" s="214" t="s">
        <v>108</v>
      </c>
      <c r="C39" s="216">
        <v>34.83</v>
      </c>
      <c r="D39" s="216" t="s">
        <v>93</v>
      </c>
      <c r="E39" s="105">
        <v>0.87080000000000002</v>
      </c>
    </row>
    <row r="40" spans="1:5" x14ac:dyDescent="0.2">
      <c r="A40" s="213">
        <v>101390</v>
      </c>
      <c r="B40" s="214" t="s">
        <v>108</v>
      </c>
      <c r="C40" s="216">
        <v>6113.82</v>
      </c>
      <c r="D40" s="216" t="s">
        <v>18</v>
      </c>
      <c r="E40" s="105">
        <v>0.48799999999999999</v>
      </c>
    </row>
    <row r="41" spans="1:5" x14ac:dyDescent="0.2">
      <c r="A41" s="213">
        <v>90766</v>
      </c>
      <c r="B41" s="217" t="s">
        <v>109</v>
      </c>
      <c r="C41" s="216">
        <v>22.95</v>
      </c>
      <c r="D41" s="216" t="s">
        <v>93</v>
      </c>
      <c r="E41" s="105">
        <v>0.87080000000000002</v>
      </c>
    </row>
    <row r="42" spans="1:5" x14ac:dyDescent="0.2">
      <c r="A42" s="213">
        <v>93563</v>
      </c>
      <c r="B42" s="217" t="s">
        <v>109</v>
      </c>
      <c r="C42" s="216">
        <v>4037.89</v>
      </c>
      <c r="D42" s="216" t="s">
        <v>18</v>
      </c>
      <c r="E42" s="105">
        <v>0.48799999999999999</v>
      </c>
    </row>
    <row r="43" spans="1:5" x14ac:dyDescent="0.2">
      <c r="A43" s="213">
        <v>90767</v>
      </c>
      <c r="B43" s="217" t="s">
        <v>110</v>
      </c>
      <c r="C43" s="216">
        <v>20.79</v>
      </c>
      <c r="D43" s="216" t="s">
        <v>93</v>
      </c>
      <c r="E43" s="105">
        <v>0.87080000000000002</v>
      </c>
    </row>
    <row r="44" spans="1:5" x14ac:dyDescent="0.2">
      <c r="A44" s="213">
        <v>93564</v>
      </c>
      <c r="B44" s="217" t="s">
        <v>111</v>
      </c>
      <c r="C44" s="216">
        <v>3648.94</v>
      </c>
      <c r="D44" s="216" t="s">
        <v>18</v>
      </c>
      <c r="E44" s="105">
        <v>0.48799999999999999</v>
      </c>
    </row>
    <row r="45" spans="1:5" x14ac:dyDescent="0.2">
      <c r="A45" s="213">
        <v>90775</v>
      </c>
      <c r="B45" s="217" t="s">
        <v>112</v>
      </c>
      <c r="C45" s="216">
        <v>19.11</v>
      </c>
      <c r="D45" s="216" t="s">
        <v>93</v>
      </c>
      <c r="E45" s="105">
        <v>0.87080000000000002</v>
      </c>
    </row>
    <row r="46" spans="1:5" x14ac:dyDescent="0.2">
      <c r="A46" s="213">
        <v>93561</v>
      </c>
      <c r="B46" s="217" t="s">
        <v>112</v>
      </c>
      <c r="C46" s="216">
        <v>3369.5</v>
      </c>
      <c r="D46" s="216" t="s">
        <v>18</v>
      </c>
      <c r="E46" s="105">
        <v>0.48799999999999999</v>
      </c>
    </row>
    <row r="47" spans="1:5" x14ac:dyDescent="0.2">
      <c r="A47" s="213">
        <v>88316</v>
      </c>
      <c r="B47" s="217" t="s">
        <v>113</v>
      </c>
      <c r="C47" s="216">
        <v>22.72</v>
      </c>
      <c r="D47" s="216" t="s">
        <v>93</v>
      </c>
      <c r="E47" s="105">
        <v>0.87080000000000002</v>
      </c>
    </row>
    <row r="48" spans="1:5" x14ac:dyDescent="0.2">
      <c r="A48" s="213">
        <v>101452</v>
      </c>
      <c r="B48" s="217" t="s">
        <v>113</v>
      </c>
      <c r="C48" s="216">
        <v>4067.54</v>
      </c>
      <c r="D48" s="216" t="s">
        <v>18</v>
      </c>
      <c r="E48" s="105">
        <v>0.48799999999999999</v>
      </c>
    </row>
    <row r="49" spans="1:5" x14ac:dyDescent="0.2">
      <c r="A49" s="213">
        <v>200001</v>
      </c>
      <c r="B49" s="217" t="s">
        <v>114</v>
      </c>
      <c r="C49" s="216">
        <v>28.320152</v>
      </c>
      <c r="D49" s="216" t="s">
        <v>93</v>
      </c>
      <c r="E49" s="105">
        <v>0.87080000000000002</v>
      </c>
    </row>
    <row r="50" spans="1:5" x14ac:dyDescent="0.2">
      <c r="A50" s="213">
        <v>200002</v>
      </c>
      <c r="B50" s="217" t="s">
        <v>114</v>
      </c>
      <c r="C50" s="216">
        <v>5032.8395404746634</v>
      </c>
      <c r="D50" s="216" t="s">
        <v>18</v>
      </c>
      <c r="E50" s="105">
        <v>0.48799999999999999</v>
      </c>
    </row>
    <row r="51" spans="1:5" x14ac:dyDescent="0.2">
      <c r="A51" s="213">
        <v>200003</v>
      </c>
      <c r="B51" s="217" t="s">
        <v>115</v>
      </c>
      <c r="C51" s="216">
        <v>23.417363999999999</v>
      </c>
      <c r="D51" s="216" t="s">
        <v>93</v>
      </c>
      <c r="E51" s="105">
        <v>0.87080000000000002</v>
      </c>
    </row>
    <row r="52" spans="1:5" x14ac:dyDescent="0.2">
      <c r="A52" s="213">
        <v>200004</v>
      </c>
      <c r="B52" s="217" t="s">
        <v>115</v>
      </c>
      <c r="C52" s="216">
        <v>4174.7321404746635</v>
      </c>
      <c r="D52" s="216" t="s">
        <v>18</v>
      </c>
      <c r="E52" s="105">
        <v>0.48799999999999999</v>
      </c>
    </row>
    <row r="53" spans="1:5" x14ac:dyDescent="0.2">
      <c r="A53" s="213">
        <v>88314</v>
      </c>
      <c r="B53" s="217" t="s">
        <v>116</v>
      </c>
      <c r="C53" s="216">
        <v>20.62</v>
      </c>
      <c r="D53" s="216" t="s">
        <v>93</v>
      </c>
      <c r="E53" s="105">
        <v>0.87080000000000002</v>
      </c>
    </row>
    <row r="54" spans="1:5" x14ac:dyDescent="0.2">
      <c r="A54" s="213">
        <v>101450</v>
      </c>
      <c r="B54" s="217" t="s">
        <v>116</v>
      </c>
      <c r="C54" s="216">
        <v>3697.59</v>
      </c>
      <c r="D54" s="216" t="s">
        <v>18</v>
      </c>
      <c r="E54" s="105">
        <v>0.48799999999999999</v>
      </c>
    </row>
    <row r="55" spans="1:5" x14ac:dyDescent="0.2">
      <c r="A55" s="213">
        <v>88269</v>
      </c>
      <c r="B55" s="217" t="s">
        <v>117</v>
      </c>
      <c r="C55" s="216">
        <v>27.95</v>
      </c>
      <c r="D55" s="216" t="s">
        <v>93</v>
      </c>
      <c r="E55" s="105">
        <v>0.87080000000000002</v>
      </c>
    </row>
    <row r="56" spans="1:5" x14ac:dyDescent="0.2">
      <c r="A56" s="213">
        <v>101407</v>
      </c>
      <c r="B56" s="217" t="s">
        <v>117</v>
      </c>
      <c r="C56" s="216">
        <v>4990.82</v>
      </c>
      <c r="D56" s="216" t="s">
        <v>18</v>
      </c>
      <c r="E56" s="105">
        <v>0.48799999999999999</v>
      </c>
    </row>
    <row r="57" spans="1:5" x14ac:dyDescent="0.2">
      <c r="A57" s="213">
        <v>88245</v>
      </c>
      <c r="B57" s="217" t="s">
        <v>118</v>
      </c>
      <c r="C57" s="216">
        <v>28.94</v>
      </c>
      <c r="D57" s="216" t="s">
        <v>93</v>
      </c>
      <c r="E57" s="105">
        <v>0.87080000000000002</v>
      </c>
    </row>
    <row r="58" spans="1:5" x14ac:dyDescent="0.2">
      <c r="A58" s="213">
        <v>101381</v>
      </c>
      <c r="B58" s="217" t="s">
        <v>119</v>
      </c>
      <c r="C58" s="216">
        <v>5161.6000000000004</v>
      </c>
      <c r="D58" s="216" t="s">
        <v>18</v>
      </c>
      <c r="E58" s="105">
        <v>0.48799999999999999</v>
      </c>
    </row>
    <row r="59" spans="1:5" x14ac:dyDescent="0.2">
      <c r="A59" s="213">
        <v>88246</v>
      </c>
      <c r="B59" s="217" t="s">
        <v>120</v>
      </c>
      <c r="C59" s="216">
        <v>26.23</v>
      </c>
      <c r="D59" s="216" t="s">
        <v>93</v>
      </c>
      <c r="E59" s="105">
        <v>0.87080000000000002</v>
      </c>
    </row>
    <row r="60" spans="1:5" x14ac:dyDescent="0.2">
      <c r="A60" s="213">
        <v>101382</v>
      </c>
      <c r="B60" s="217" t="s">
        <v>120</v>
      </c>
      <c r="C60" s="216">
        <v>4670.24</v>
      </c>
      <c r="D60" s="216" t="s">
        <v>18</v>
      </c>
      <c r="E60" s="105">
        <v>0.48799999999999999</v>
      </c>
    </row>
    <row r="61" spans="1:5" x14ac:dyDescent="0.2">
      <c r="A61" s="213">
        <v>88256</v>
      </c>
      <c r="B61" s="214" t="s">
        <v>121</v>
      </c>
      <c r="C61" s="216">
        <v>29.01</v>
      </c>
      <c r="D61" s="216" t="s">
        <v>93</v>
      </c>
      <c r="E61" s="105">
        <v>0.87080000000000002</v>
      </c>
    </row>
    <row r="62" spans="1:5" x14ac:dyDescent="0.2">
      <c r="A62" s="213">
        <v>101391</v>
      </c>
      <c r="B62" s="214" t="s">
        <v>121</v>
      </c>
      <c r="C62" s="216">
        <v>5170.8900000000003</v>
      </c>
      <c r="D62" s="216" t="s">
        <v>18</v>
      </c>
      <c r="E62" s="105">
        <v>0.48799999999999999</v>
      </c>
    </row>
    <row r="63" spans="1:5" x14ac:dyDescent="0.2">
      <c r="A63" s="213">
        <v>88260</v>
      </c>
      <c r="B63" s="214" t="s">
        <v>122</v>
      </c>
      <c r="C63" s="216">
        <v>25.75</v>
      </c>
      <c r="D63" s="216" t="s">
        <v>93</v>
      </c>
      <c r="E63" s="105">
        <v>0.87080000000000002</v>
      </c>
    </row>
    <row r="64" spans="1:5" x14ac:dyDescent="0.2">
      <c r="A64" s="213">
        <v>101394</v>
      </c>
      <c r="B64" s="214" t="s">
        <v>122</v>
      </c>
      <c r="C64" s="216">
        <v>4608.6400000000003</v>
      </c>
      <c r="D64" s="216" t="s">
        <v>18</v>
      </c>
      <c r="E64" s="105">
        <v>0.48799999999999999</v>
      </c>
    </row>
    <row r="65" spans="1:5" x14ac:dyDescent="0.2">
      <c r="A65" s="213">
        <v>88261</v>
      </c>
      <c r="B65" s="214" t="s">
        <v>123</v>
      </c>
      <c r="C65" s="216">
        <v>27.59</v>
      </c>
      <c r="D65" s="216" t="s">
        <v>93</v>
      </c>
      <c r="E65" s="105">
        <v>0.87080000000000002</v>
      </c>
    </row>
    <row r="66" spans="1:5" x14ac:dyDescent="0.2">
      <c r="A66" s="213">
        <v>101396</v>
      </c>
      <c r="B66" s="214" t="s">
        <v>123</v>
      </c>
      <c r="C66" s="216">
        <v>4922.54</v>
      </c>
      <c r="D66" s="216" t="s">
        <v>18</v>
      </c>
      <c r="E66" s="105">
        <v>0.48799999999999999</v>
      </c>
    </row>
    <row r="67" spans="1:5" x14ac:dyDescent="0.2">
      <c r="A67" s="213">
        <v>88262</v>
      </c>
      <c r="B67" s="217" t="s">
        <v>124</v>
      </c>
      <c r="C67" s="216">
        <v>28.76</v>
      </c>
      <c r="D67" s="216" t="s">
        <v>93</v>
      </c>
      <c r="E67" s="105">
        <v>0.87080000000000002</v>
      </c>
    </row>
    <row r="68" spans="1:5" x14ac:dyDescent="0.2">
      <c r="A68" s="213">
        <v>101397</v>
      </c>
      <c r="B68" s="217" t="s">
        <v>124</v>
      </c>
      <c r="C68" s="216">
        <v>5128.33</v>
      </c>
      <c r="D68" s="216" t="s">
        <v>18</v>
      </c>
      <c r="E68" s="105">
        <v>0.48799999999999999</v>
      </c>
    </row>
    <row r="69" spans="1:5" x14ac:dyDescent="0.2">
      <c r="A69" s="213">
        <v>88264</v>
      </c>
      <c r="B69" s="217" t="s">
        <v>125</v>
      </c>
      <c r="C69" s="216">
        <v>29.49</v>
      </c>
      <c r="D69" s="216" t="s">
        <v>93</v>
      </c>
      <c r="E69" s="105">
        <v>0.87080000000000002</v>
      </c>
    </row>
    <row r="70" spans="1:5" x14ac:dyDescent="0.2">
      <c r="A70" s="213">
        <v>101399</v>
      </c>
      <c r="B70" s="217" t="s">
        <v>125</v>
      </c>
      <c r="C70" s="216">
        <v>5232.34</v>
      </c>
      <c r="D70" s="216" t="s">
        <v>18</v>
      </c>
      <c r="E70" s="105">
        <v>0.48799999999999999</v>
      </c>
    </row>
    <row r="71" spans="1:5" x14ac:dyDescent="0.2">
      <c r="A71" s="213">
        <v>200015</v>
      </c>
      <c r="B71" s="34" t="s">
        <v>126</v>
      </c>
      <c r="C71" s="216">
        <v>30.752923200000001</v>
      </c>
      <c r="D71" s="216" t="s">
        <v>93</v>
      </c>
      <c r="E71" s="105">
        <v>0.87080000000000002</v>
      </c>
    </row>
    <row r="72" spans="1:5" x14ac:dyDescent="0.2">
      <c r="A72" s="213">
        <v>200016</v>
      </c>
      <c r="B72" s="34" t="s">
        <v>126</v>
      </c>
      <c r="C72" s="216">
        <v>5467.1537399999988</v>
      </c>
      <c r="D72" s="216" t="s">
        <v>18</v>
      </c>
      <c r="E72" s="105">
        <v>0.48799999999999999</v>
      </c>
    </row>
    <row r="73" spans="1:5" x14ac:dyDescent="0.2">
      <c r="A73" s="213">
        <v>200017</v>
      </c>
      <c r="B73" s="34" t="s">
        <v>127</v>
      </c>
      <c r="C73" s="216">
        <v>32.9660796</v>
      </c>
      <c r="D73" s="216" t="s">
        <v>93</v>
      </c>
      <c r="E73" s="105">
        <v>0.87080000000000002</v>
      </c>
    </row>
    <row r="74" spans="1:5" x14ac:dyDescent="0.2">
      <c r="A74" s="213">
        <v>200018</v>
      </c>
      <c r="B74" s="34" t="s">
        <v>127</v>
      </c>
      <c r="C74" s="216">
        <v>5854.4206200000008</v>
      </c>
      <c r="D74" s="216" t="s">
        <v>18</v>
      </c>
      <c r="E74" s="105">
        <v>0.48799999999999999</v>
      </c>
    </row>
    <row r="75" spans="1:5" x14ac:dyDescent="0.2">
      <c r="A75" s="213">
        <v>88267</v>
      </c>
      <c r="B75" s="217" t="s">
        <v>128</v>
      </c>
      <c r="C75" s="216">
        <v>28.4</v>
      </c>
      <c r="D75" s="216" t="s">
        <v>93</v>
      </c>
      <c r="E75" s="105">
        <v>0.87080000000000002</v>
      </c>
    </row>
    <row r="76" spans="1:5" x14ac:dyDescent="0.2">
      <c r="A76" s="213">
        <v>101402</v>
      </c>
      <c r="B76" s="217" t="s">
        <v>128</v>
      </c>
      <c r="C76" s="216">
        <v>5050.79</v>
      </c>
      <c r="D76" s="216" t="s">
        <v>18</v>
      </c>
      <c r="E76" s="105">
        <v>0.48799999999999999</v>
      </c>
    </row>
    <row r="77" spans="1:5" x14ac:dyDescent="0.2">
      <c r="A77" s="213">
        <v>88441</v>
      </c>
      <c r="B77" s="214" t="s">
        <v>129</v>
      </c>
      <c r="C77" s="216">
        <v>23.64</v>
      </c>
      <c r="D77" s="216" t="s">
        <v>93</v>
      </c>
      <c r="E77" s="105">
        <v>0.87080000000000002</v>
      </c>
    </row>
    <row r="78" spans="1:5" x14ac:dyDescent="0.2">
      <c r="A78" s="213">
        <v>101410</v>
      </c>
      <c r="B78" s="217" t="s">
        <v>129</v>
      </c>
      <c r="C78" s="216">
        <v>4243.8999999999996</v>
      </c>
      <c r="D78" s="216" t="s">
        <v>18</v>
      </c>
      <c r="E78" s="105">
        <v>0.48799999999999999</v>
      </c>
    </row>
    <row r="79" spans="1:5" x14ac:dyDescent="0.2">
      <c r="A79" s="213">
        <v>88284</v>
      </c>
      <c r="B79" s="217" t="s">
        <v>130</v>
      </c>
      <c r="C79" s="216">
        <v>25.98</v>
      </c>
      <c r="D79" s="216" t="s">
        <v>93</v>
      </c>
      <c r="E79" s="105">
        <v>0.87080000000000002</v>
      </c>
    </row>
    <row r="80" spans="1:5" x14ac:dyDescent="0.2">
      <c r="A80" s="213">
        <v>101422</v>
      </c>
      <c r="B80" s="214" t="s">
        <v>130</v>
      </c>
      <c r="C80" s="216">
        <v>4632.66</v>
      </c>
      <c r="D80" s="216" t="s">
        <v>18</v>
      </c>
      <c r="E80" s="105">
        <v>0.48799999999999999</v>
      </c>
    </row>
    <row r="81" spans="1:5" x14ac:dyDescent="0.2">
      <c r="A81" s="213">
        <v>88282</v>
      </c>
      <c r="B81" s="214" t="s">
        <v>131</v>
      </c>
      <c r="C81" s="216">
        <v>24.38</v>
      </c>
      <c r="D81" s="216" t="s">
        <v>93</v>
      </c>
      <c r="E81" s="105">
        <v>0.87080000000000002</v>
      </c>
    </row>
    <row r="82" spans="1:5" ht="12.75" customHeight="1" x14ac:dyDescent="0.2">
      <c r="A82" s="213">
        <v>93558</v>
      </c>
      <c r="B82" s="214" t="s">
        <v>131</v>
      </c>
      <c r="C82" s="216">
        <v>4352.87</v>
      </c>
      <c r="D82" s="216" t="s">
        <v>18</v>
      </c>
      <c r="E82" s="105">
        <v>0.48799999999999999</v>
      </c>
    </row>
    <row r="83" spans="1:5" ht="12.75" customHeight="1" x14ac:dyDescent="0.2">
      <c r="A83" s="213">
        <v>88285</v>
      </c>
      <c r="B83" s="214" t="s">
        <v>132</v>
      </c>
      <c r="C83" s="216">
        <v>26.69</v>
      </c>
      <c r="D83" s="216" t="s">
        <v>93</v>
      </c>
      <c r="E83" s="105">
        <v>0.87080000000000002</v>
      </c>
    </row>
    <row r="84" spans="1:5" ht="12.75" customHeight="1" x14ac:dyDescent="0.2">
      <c r="A84" s="213">
        <v>200005</v>
      </c>
      <c r="B84" s="214" t="s">
        <v>133</v>
      </c>
      <c r="C84" s="216">
        <v>4737.4849248236042</v>
      </c>
      <c r="D84" s="216" t="s">
        <v>18</v>
      </c>
      <c r="E84" s="105">
        <v>0.48799999999999999</v>
      </c>
    </row>
    <row r="85" spans="1:5" x14ac:dyDescent="0.2">
      <c r="A85" s="213">
        <v>88283</v>
      </c>
      <c r="B85" s="214" t="s">
        <v>134</v>
      </c>
      <c r="C85" s="216">
        <v>30.3</v>
      </c>
      <c r="D85" s="216" t="s">
        <v>93</v>
      </c>
      <c r="E85" s="105">
        <v>0.87080000000000002</v>
      </c>
    </row>
    <row r="86" spans="1:5" x14ac:dyDescent="0.2">
      <c r="A86" s="213">
        <v>101421</v>
      </c>
      <c r="B86" s="214" t="s">
        <v>134</v>
      </c>
      <c r="C86" s="216">
        <v>5390.39</v>
      </c>
      <c r="D86" s="216" t="s">
        <v>18</v>
      </c>
      <c r="E86" s="105">
        <v>0.48799999999999999</v>
      </c>
    </row>
    <row r="87" spans="1:5" x14ac:dyDescent="0.2">
      <c r="A87" s="213">
        <v>88286</v>
      </c>
      <c r="B87" s="214" t="s">
        <v>135</v>
      </c>
      <c r="C87" s="216">
        <v>27.46</v>
      </c>
      <c r="D87" s="216" t="s">
        <v>93</v>
      </c>
      <c r="E87" s="105">
        <v>0.87080000000000002</v>
      </c>
    </row>
    <row r="88" spans="1:5" x14ac:dyDescent="0.2">
      <c r="A88" s="213">
        <v>101424</v>
      </c>
      <c r="B88" s="214" t="s">
        <v>135</v>
      </c>
      <c r="C88" s="216">
        <v>4881.67</v>
      </c>
      <c r="D88" s="216" t="s">
        <v>18</v>
      </c>
      <c r="E88" s="105">
        <v>0.48799999999999999</v>
      </c>
    </row>
    <row r="89" spans="1:5" x14ac:dyDescent="0.2">
      <c r="A89" s="213">
        <v>88302</v>
      </c>
      <c r="B89" s="214" t="s">
        <v>136</v>
      </c>
      <c r="C89" s="216">
        <v>27.36</v>
      </c>
      <c r="D89" s="216" t="s">
        <v>93</v>
      </c>
      <c r="E89" s="105">
        <v>0.87080000000000002</v>
      </c>
    </row>
    <row r="90" spans="1:5" x14ac:dyDescent="0.2">
      <c r="A90" s="213">
        <v>101440</v>
      </c>
      <c r="B90" s="214" t="s">
        <v>136</v>
      </c>
      <c r="C90" s="216">
        <v>4872.9799999999996</v>
      </c>
      <c r="D90" s="216" t="s">
        <v>18</v>
      </c>
      <c r="E90" s="105">
        <v>0.48799999999999999</v>
      </c>
    </row>
    <row r="91" spans="1:5" x14ac:dyDescent="0.2">
      <c r="A91" s="213">
        <v>200011</v>
      </c>
      <c r="B91" s="214" t="s">
        <v>137</v>
      </c>
      <c r="C91" s="216">
        <v>24.482935999999999</v>
      </c>
      <c r="D91" s="216" t="s">
        <v>93</v>
      </c>
      <c r="E91" s="105">
        <v>0.87080000000000002</v>
      </c>
    </row>
    <row r="92" spans="1:5" ht="12.75" customHeight="1" x14ac:dyDescent="0.2">
      <c r="A92" s="213">
        <v>200012</v>
      </c>
      <c r="B92" s="217" t="s">
        <v>137</v>
      </c>
      <c r="C92" s="216">
        <v>4352.0766000000003</v>
      </c>
      <c r="D92" s="216" t="s">
        <v>18</v>
      </c>
      <c r="E92" s="105">
        <v>0.48799999999999999</v>
      </c>
    </row>
    <row r="93" spans="1:5" ht="12.75" customHeight="1" x14ac:dyDescent="0.2">
      <c r="A93" s="213">
        <v>88293</v>
      </c>
      <c r="B93" s="217" t="s">
        <v>138</v>
      </c>
      <c r="C93" s="216">
        <v>26.39</v>
      </c>
      <c r="D93" s="216" t="s">
        <v>93</v>
      </c>
      <c r="E93" s="105">
        <v>0.87080000000000002</v>
      </c>
    </row>
    <row r="94" spans="1:5" x14ac:dyDescent="0.2">
      <c r="A94" s="213">
        <v>101430</v>
      </c>
      <c r="B94" s="217" t="s">
        <v>138</v>
      </c>
      <c r="C94" s="216">
        <v>4700.93</v>
      </c>
      <c r="D94" s="216" t="s">
        <v>18</v>
      </c>
      <c r="E94" s="105">
        <v>0.48799999999999999</v>
      </c>
    </row>
    <row r="95" spans="1:5" x14ac:dyDescent="0.2">
      <c r="A95" s="213">
        <v>88294</v>
      </c>
      <c r="B95" s="217" t="s">
        <v>139</v>
      </c>
      <c r="C95" s="216">
        <v>28.34</v>
      </c>
      <c r="D95" s="216" t="s">
        <v>93</v>
      </c>
      <c r="E95" s="105">
        <v>0.87080000000000002</v>
      </c>
    </row>
    <row r="96" spans="1:5" x14ac:dyDescent="0.2">
      <c r="A96" s="213">
        <v>101431</v>
      </c>
      <c r="B96" s="214" t="s">
        <v>139</v>
      </c>
      <c r="C96" s="216">
        <v>5038.91</v>
      </c>
      <c r="D96" s="216" t="s">
        <v>18</v>
      </c>
      <c r="E96" s="105">
        <v>0.48799999999999999</v>
      </c>
    </row>
    <row r="97" spans="1:5" x14ac:dyDescent="0.2">
      <c r="A97" s="213">
        <v>200006</v>
      </c>
      <c r="B97" s="217" t="s">
        <v>140</v>
      </c>
      <c r="C97" s="216">
        <v>28.231952</v>
      </c>
      <c r="D97" s="216" t="s">
        <v>93</v>
      </c>
      <c r="E97" s="105">
        <v>0.87080000000000002</v>
      </c>
    </row>
    <row r="98" spans="1:5" x14ac:dyDescent="0.2">
      <c r="A98" s="213">
        <v>200007</v>
      </c>
      <c r="B98" s="217" t="s">
        <v>140</v>
      </c>
      <c r="C98" s="216">
        <v>5007.7970999999998</v>
      </c>
      <c r="D98" s="216" t="s">
        <v>18</v>
      </c>
      <c r="E98" s="105">
        <v>0.48799999999999999</v>
      </c>
    </row>
    <row r="99" spans="1:5" x14ac:dyDescent="0.2">
      <c r="A99" s="213">
        <v>88302</v>
      </c>
      <c r="B99" s="217" t="s">
        <v>141</v>
      </c>
      <c r="C99" s="216">
        <v>27.36</v>
      </c>
      <c r="D99" s="216" t="s">
        <v>93</v>
      </c>
      <c r="E99" s="105">
        <v>0.87080000000000002</v>
      </c>
    </row>
    <row r="100" spans="1:5" ht="12.75" customHeight="1" x14ac:dyDescent="0.2">
      <c r="A100" s="213">
        <v>101440</v>
      </c>
      <c r="B100" s="217" t="s">
        <v>141</v>
      </c>
      <c r="C100" s="216">
        <v>4872.9799999999996</v>
      </c>
      <c r="D100" s="216" t="s">
        <v>18</v>
      </c>
      <c r="E100" s="105">
        <v>0.48799999999999999</v>
      </c>
    </row>
    <row r="101" spans="1:5" ht="12.75" customHeight="1" x14ac:dyDescent="0.2">
      <c r="A101" s="213">
        <v>200008</v>
      </c>
      <c r="B101" s="217" t="s">
        <v>142</v>
      </c>
      <c r="C101" s="216">
        <v>22.956296000000002</v>
      </c>
      <c r="D101" s="216" t="s">
        <v>93</v>
      </c>
      <c r="E101" s="105">
        <v>0.87080000000000002</v>
      </c>
    </row>
    <row r="102" spans="1:5" x14ac:dyDescent="0.2">
      <c r="A102" s="213">
        <v>200009</v>
      </c>
      <c r="B102" s="217" t="s">
        <v>142</v>
      </c>
      <c r="C102" s="216">
        <v>4084.6419000000001</v>
      </c>
      <c r="D102" s="216" t="s">
        <v>18</v>
      </c>
      <c r="E102" s="105">
        <v>0.48799999999999999</v>
      </c>
    </row>
    <row r="103" spans="1:5" x14ac:dyDescent="0.2">
      <c r="A103" s="213">
        <v>88300</v>
      </c>
      <c r="B103" s="217" t="s">
        <v>143</v>
      </c>
      <c r="C103" s="216">
        <v>31.27</v>
      </c>
      <c r="D103" s="216" t="s">
        <v>93</v>
      </c>
      <c r="E103" s="105">
        <v>0.87080000000000002</v>
      </c>
    </row>
    <row r="104" spans="1:5" x14ac:dyDescent="0.2">
      <c r="A104" s="213">
        <v>101438</v>
      </c>
      <c r="B104" s="217" t="s">
        <v>143</v>
      </c>
      <c r="C104" s="216">
        <v>5553.39</v>
      </c>
      <c r="D104" s="216" t="s">
        <v>18</v>
      </c>
      <c r="E104" s="105">
        <v>0.48799999999999999</v>
      </c>
    </row>
    <row r="105" spans="1:5" x14ac:dyDescent="0.2">
      <c r="A105" s="213">
        <v>88301</v>
      </c>
      <c r="B105" s="217" t="s">
        <v>144</v>
      </c>
      <c r="C105" s="216">
        <v>27</v>
      </c>
      <c r="D105" s="216" t="s">
        <v>93</v>
      </c>
      <c r="E105" s="105">
        <v>0.87080000000000002</v>
      </c>
    </row>
    <row r="106" spans="1:5" x14ac:dyDescent="0.2">
      <c r="A106" s="213">
        <v>101439</v>
      </c>
      <c r="B106" s="217" t="s">
        <v>145</v>
      </c>
      <c r="C106" s="216">
        <v>4809.7</v>
      </c>
      <c r="D106" s="216" t="s">
        <v>18</v>
      </c>
      <c r="E106" s="105">
        <v>0.48799999999999999</v>
      </c>
    </row>
    <row r="107" spans="1:5" x14ac:dyDescent="0.2">
      <c r="A107" s="213">
        <v>88294</v>
      </c>
      <c r="B107" s="217" t="s">
        <v>146</v>
      </c>
      <c r="C107" s="216">
        <v>28.34</v>
      </c>
      <c r="D107" s="216" t="s">
        <v>93</v>
      </c>
      <c r="E107" s="105">
        <v>0.87080000000000002</v>
      </c>
    </row>
    <row r="108" spans="1:5" ht="12.75" customHeight="1" x14ac:dyDescent="0.2">
      <c r="A108" s="213">
        <v>101431</v>
      </c>
      <c r="B108" s="217" t="s">
        <v>146</v>
      </c>
      <c r="C108" s="216">
        <v>5038.91</v>
      </c>
      <c r="D108" s="216" t="s">
        <v>18</v>
      </c>
      <c r="E108" s="105">
        <v>0.48799999999999999</v>
      </c>
    </row>
    <row r="109" spans="1:5" ht="12.75" customHeight="1" x14ac:dyDescent="0.2">
      <c r="A109" s="213">
        <v>88303</v>
      </c>
      <c r="B109" s="217" t="s">
        <v>147</v>
      </c>
      <c r="C109" s="216">
        <v>24.7</v>
      </c>
      <c r="D109" s="216" t="s">
        <v>93</v>
      </c>
      <c r="E109" s="105">
        <v>0.87080000000000002</v>
      </c>
    </row>
    <row r="110" spans="1:5" x14ac:dyDescent="0.2">
      <c r="A110" s="213">
        <v>101441</v>
      </c>
      <c r="B110" s="217" t="s">
        <v>147</v>
      </c>
      <c r="C110" s="216">
        <v>4409.47</v>
      </c>
      <c r="D110" s="216" t="s">
        <v>18</v>
      </c>
      <c r="E110" s="105">
        <v>0.48799999999999999</v>
      </c>
    </row>
    <row r="111" spans="1:5" x14ac:dyDescent="0.2">
      <c r="A111" s="213">
        <v>88324</v>
      </c>
      <c r="B111" s="217" t="s">
        <v>148</v>
      </c>
      <c r="C111" s="216">
        <v>29.52</v>
      </c>
      <c r="D111" s="216" t="s">
        <v>93</v>
      </c>
      <c r="E111" s="105">
        <v>0.87080000000000002</v>
      </c>
    </row>
    <row r="112" spans="1:5" x14ac:dyDescent="0.2">
      <c r="A112" s="213">
        <v>101442</v>
      </c>
      <c r="B112" s="217" t="s">
        <v>148</v>
      </c>
      <c r="C112" s="216">
        <v>5246.07</v>
      </c>
      <c r="D112" s="216" t="s">
        <v>18</v>
      </c>
      <c r="E112" s="105">
        <v>0.48799999999999999</v>
      </c>
    </row>
    <row r="113" spans="1:5" x14ac:dyDescent="0.2">
      <c r="A113" s="213">
        <v>200010</v>
      </c>
      <c r="B113" s="217" t="s">
        <v>149</v>
      </c>
      <c r="C113" s="216">
        <v>22.986295999999999</v>
      </c>
      <c r="D113" s="216" t="s">
        <v>93</v>
      </c>
      <c r="E113" s="105">
        <v>0.87080000000000002</v>
      </c>
    </row>
    <row r="114" spans="1:5" x14ac:dyDescent="0.2">
      <c r="A114" s="213">
        <v>101435</v>
      </c>
      <c r="B114" s="217" t="s">
        <v>150</v>
      </c>
      <c r="C114" s="216">
        <v>4977.28</v>
      </c>
      <c r="D114" s="216" t="s">
        <v>18</v>
      </c>
      <c r="E114" s="105">
        <v>0.48799999999999999</v>
      </c>
    </row>
    <row r="115" spans="1:5" x14ac:dyDescent="0.2">
      <c r="A115" s="213">
        <v>88304</v>
      </c>
      <c r="B115" s="217" t="s">
        <v>151</v>
      </c>
      <c r="C115" s="216">
        <v>24.44</v>
      </c>
      <c r="D115" s="216" t="s">
        <v>93</v>
      </c>
      <c r="E115" s="105">
        <v>0.87080000000000002</v>
      </c>
    </row>
    <row r="116" spans="1:5" ht="12.75" customHeight="1" x14ac:dyDescent="0.2">
      <c r="A116" s="213">
        <v>101443</v>
      </c>
      <c r="B116" s="217" t="s">
        <v>151</v>
      </c>
      <c r="C116" s="216">
        <v>4362.6899999999996</v>
      </c>
      <c r="D116" s="216" t="s">
        <v>18</v>
      </c>
      <c r="E116" s="105">
        <v>0.48799999999999999</v>
      </c>
    </row>
    <row r="117" spans="1:5" ht="12.75" customHeight="1" x14ac:dyDescent="0.2">
      <c r="A117" s="213">
        <v>88298</v>
      </c>
      <c r="B117" s="217" t="s">
        <v>152</v>
      </c>
      <c r="C117" s="216">
        <v>23.76</v>
      </c>
      <c r="D117" s="216" t="s">
        <v>93</v>
      </c>
      <c r="E117" s="105">
        <v>0.87080000000000002</v>
      </c>
    </row>
    <row r="118" spans="1:5" x14ac:dyDescent="0.2">
      <c r="A118" s="213">
        <v>101436</v>
      </c>
      <c r="B118" s="217" t="s">
        <v>152</v>
      </c>
      <c r="C118" s="216">
        <v>4244.12</v>
      </c>
      <c r="D118" s="216" t="s">
        <v>18</v>
      </c>
      <c r="E118" s="105">
        <v>0.48799999999999999</v>
      </c>
    </row>
    <row r="119" spans="1:5" x14ac:dyDescent="0.2">
      <c r="A119" s="213">
        <v>200013</v>
      </c>
      <c r="B119" s="217" t="s">
        <v>153</v>
      </c>
      <c r="C119" s="216">
        <v>24.452936000000001</v>
      </c>
      <c r="D119" s="216" t="s">
        <v>93</v>
      </c>
      <c r="E119" s="105">
        <v>0.87080000000000002</v>
      </c>
    </row>
    <row r="120" spans="1:5" x14ac:dyDescent="0.2">
      <c r="A120" s="213">
        <v>200014</v>
      </c>
      <c r="B120" s="217" t="s">
        <v>153</v>
      </c>
      <c r="C120" s="216">
        <v>4346.5299000000005</v>
      </c>
      <c r="D120" s="216" t="s">
        <v>18</v>
      </c>
      <c r="E120" s="105">
        <v>0.48799999999999999</v>
      </c>
    </row>
    <row r="121" spans="1:5" x14ac:dyDescent="0.2">
      <c r="A121" s="213">
        <v>88309</v>
      </c>
      <c r="B121" s="217" t="s">
        <v>154</v>
      </c>
      <c r="C121" s="216">
        <v>29.15</v>
      </c>
      <c r="D121" s="216" t="s">
        <v>93</v>
      </c>
      <c r="E121" s="105">
        <v>0.87080000000000002</v>
      </c>
    </row>
    <row r="122" spans="1:5" x14ac:dyDescent="0.2">
      <c r="A122" s="213">
        <v>101445</v>
      </c>
      <c r="B122" s="217" t="s">
        <v>155</v>
      </c>
      <c r="C122" s="216">
        <v>5189.43</v>
      </c>
      <c r="D122" s="216" t="s">
        <v>18</v>
      </c>
      <c r="E122" s="105">
        <v>0.48799999999999999</v>
      </c>
    </row>
    <row r="123" spans="1:5" x14ac:dyDescent="0.2">
      <c r="A123" s="213">
        <v>88310</v>
      </c>
      <c r="B123" s="217" t="s">
        <v>156</v>
      </c>
      <c r="C123" s="216">
        <v>30.36</v>
      </c>
      <c r="D123" s="216" t="s">
        <v>93</v>
      </c>
      <c r="E123" s="105">
        <v>0.87080000000000002</v>
      </c>
    </row>
    <row r="124" spans="1:5" x14ac:dyDescent="0.2">
      <c r="A124" s="213">
        <v>101446</v>
      </c>
      <c r="B124" s="217" t="s">
        <v>156</v>
      </c>
      <c r="C124" s="216">
        <v>5423.39</v>
      </c>
      <c r="D124" s="216" t="s">
        <v>18</v>
      </c>
      <c r="E124" s="105">
        <v>0.48799999999999999</v>
      </c>
    </row>
    <row r="125" spans="1:5" x14ac:dyDescent="0.2">
      <c r="A125" s="213">
        <v>88315</v>
      </c>
      <c r="B125" s="218" t="s">
        <v>157</v>
      </c>
      <c r="C125" s="216">
        <v>28.94</v>
      </c>
      <c r="D125" s="216" t="s">
        <v>93</v>
      </c>
      <c r="E125" s="105">
        <v>0.87080000000000002</v>
      </c>
    </row>
    <row r="126" spans="1:5" x14ac:dyDescent="0.2">
      <c r="A126" s="213">
        <v>101451</v>
      </c>
      <c r="B126" s="218" t="s">
        <v>157</v>
      </c>
      <c r="C126" s="216">
        <v>5161.6000000000004</v>
      </c>
      <c r="D126" s="216" t="s">
        <v>18</v>
      </c>
      <c r="E126" s="105">
        <v>0.48799999999999999</v>
      </c>
    </row>
    <row r="127" spans="1:5" x14ac:dyDescent="0.2">
      <c r="A127" s="213">
        <v>88317</v>
      </c>
      <c r="B127" s="217" t="s">
        <v>158</v>
      </c>
      <c r="C127" s="216">
        <v>30.36</v>
      </c>
      <c r="D127" s="216" t="s">
        <v>93</v>
      </c>
      <c r="E127" s="105">
        <v>0.87080000000000002</v>
      </c>
    </row>
    <row r="128" spans="1:5" x14ac:dyDescent="0.2">
      <c r="A128" s="213">
        <v>101453</v>
      </c>
      <c r="B128" s="217" t="s">
        <v>158</v>
      </c>
      <c r="C128" s="216">
        <v>5422.79</v>
      </c>
      <c r="D128" s="216" t="s">
        <v>18</v>
      </c>
      <c r="E128" s="105">
        <v>0.48799999999999999</v>
      </c>
    </row>
    <row r="129" spans="1:5" x14ac:dyDescent="0.2">
      <c r="A129" s="213">
        <v>88323</v>
      </c>
      <c r="B129" s="217" t="s">
        <v>159</v>
      </c>
      <c r="C129" s="216">
        <v>28.49</v>
      </c>
      <c r="D129" s="216" t="s">
        <v>93</v>
      </c>
      <c r="E129" s="105">
        <v>0.87080000000000002</v>
      </c>
    </row>
    <row r="130" spans="1:5" x14ac:dyDescent="0.2">
      <c r="A130" s="213">
        <v>101458</v>
      </c>
      <c r="B130" s="217" t="s">
        <v>159</v>
      </c>
      <c r="C130" s="216">
        <v>5084.62</v>
      </c>
      <c r="D130" s="216" t="s">
        <v>18</v>
      </c>
      <c r="E130" s="105">
        <v>0.48799999999999999</v>
      </c>
    </row>
    <row r="131" spans="1:5" x14ac:dyDescent="0.2">
      <c r="A131" s="213">
        <v>90781</v>
      </c>
      <c r="B131" s="217" t="s">
        <v>160</v>
      </c>
      <c r="C131" s="216">
        <v>22.96</v>
      </c>
      <c r="D131" s="216" t="s">
        <v>93</v>
      </c>
      <c r="E131" s="105">
        <v>0.87080000000000002</v>
      </c>
    </row>
    <row r="132" spans="1:5" x14ac:dyDescent="0.2">
      <c r="A132" s="213">
        <v>94296</v>
      </c>
      <c r="B132" s="217" t="s">
        <v>160</v>
      </c>
      <c r="C132" s="216">
        <v>4037.77</v>
      </c>
      <c r="D132" s="216" t="s">
        <v>18</v>
      </c>
      <c r="E132" s="105">
        <v>0.48799999999999999</v>
      </c>
    </row>
    <row r="133" spans="1:5" x14ac:dyDescent="0.2">
      <c r="A133" s="213">
        <v>88325</v>
      </c>
      <c r="B133" s="217" t="s">
        <v>161</v>
      </c>
      <c r="C133" s="216">
        <v>29.31</v>
      </c>
      <c r="D133" s="216" t="s">
        <v>93</v>
      </c>
      <c r="E133" s="105">
        <v>0.87080000000000002</v>
      </c>
    </row>
    <row r="134" spans="1:5" x14ac:dyDescent="0.2">
      <c r="A134" s="213">
        <v>101459</v>
      </c>
      <c r="B134" s="217" t="s">
        <v>161</v>
      </c>
      <c r="C134" s="216">
        <v>5226.92</v>
      </c>
      <c r="D134" s="216" t="s">
        <v>18</v>
      </c>
      <c r="E134" s="105">
        <v>0.48799999999999999</v>
      </c>
    </row>
    <row r="135" spans="1:5" x14ac:dyDescent="0.2">
      <c r="A135" s="213">
        <v>200027</v>
      </c>
      <c r="B135" s="34" t="s">
        <v>162</v>
      </c>
      <c r="C135" s="216">
        <v>35.665644</v>
      </c>
      <c r="D135" s="216" t="s">
        <v>93</v>
      </c>
      <c r="E135" s="105">
        <v>0.87080000000000002</v>
      </c>
    </row>
    <row r="136" spans="1:5" x14ac:dyDescent="0.2">
      <c r="A136" s="213">
        <v>200028</v>
      </c>
      <c r="B136" s="34" t="s">
        <v>162</v>
      </c>
      <c r="C136" s="216">
        <v>6326.8010999999997</v>
      </c>
      <c r="D136" s="216" t="s">
        <v>18</v>
      </c>
      <c r="E136" s="105">
        <v>0.48799999999999999</v>
      </c>
    </row>
    <row r="137" spans="1:5" x14ac:dyDescent="0.2">
      <c r="A137" s="213">
        <v>200019</v>
      </c>
      <c r="B137" s="34" t="s">
        <v>163</v>
      </c>
      <c r="C137" s="216">
        <v>42.061909200000002</v>
      </c>
      <c r="D137" s="216" t="s">
        <v>93</v>
      </c>
      <c r="E137" s="105">
        <v>0.87080000000000002</v>
      </c>
    </row>
    <row r="138" spans="1:5" ht="12.75" customHeight="1" x14ac:dyDescent="0.2">
      <c r="A138" s="213">
        <v>200020</v>
      </c>
      <c r="B138" s="34" t="s">
        <v>163</v>
      </c>
      <c r="C138" s="216">
        <v>7446.0449399999998</v>
      </c>
      <c r="D138" s="216" t="s">
        <v>18</v>
      </c>
      <c r="E138" s="105">
        <v>0.48799999999999999</v>
      </c>
    </row>
    <row r="139" spans="1:5" ht="12.75" customHeight="1" x14ac:dyDescent="0.2">
      <c r="A139" s="213">
        <v>200021</v>
      </c>
      <c r="B139" s="32" t="s">
        <v>164</v>
      </c>
      <c r="C139" s="216">
        <v>44.031861599999999</v>
      </c>
      <c r="D139" s="216" t="s">
        <v>93</v>
      </c>
      <c r="E139" s="105">
        <v>0.87080000000000002</v>
      </c>
    </row>
    <row r="140" spans="1:5" x14ac:dyDescent="0.2">
      <c r="A140" s="213">
        <v>200022</v>
      </c>
      <c r="B140" s="32" t="s">
        <v>164</v>
      </c>
      <c r="C140" s="216">
        <v>7790.7550199999987</v>
      </c>
      <c r="D140" s="216" t="s">
        <v>18</v>
      </c>
      <c r="E140" s="105">
        <v>0.48799999999999999</v>
      </c>
    </row>
    <row r="141" spans="1:5" x14ac:dyDescent="0.2">
      <c r="A141" s="213">
        <v>90776</v>
      </c>
      <c r="B141" s="217" t="s">
        <v>165</v>
      </c>
      <c r="C141" s="216">
        <v>34.75</v>
      </c>
      <c r="D141" s="216" t="s">
        <v>93</v>
      </c>
      <c r="E141" s="105">
        <v>0.87080000000000002</v>
      </c>
    </row>
    <row r="142" spans="1:5" s="242" customFormat="1" x14ac:dyDescent="0.2">
      <c r="A142" s="213">
        <v>93572</v>
      </c>
      <c r="B142" s="214" t="s">
        <v>165</v>
      </c>
      <c r="C142" s="216">
        <v>6086.51</v>
      </c>
      <c r="D142" s="216" t="s">
        <v>18</v>
      </c>
      <c r="E142" s="105">
        <v>0.48799999999999999</v>
      </c>
    </row>
    <row r="143" spans="1:5" s="242" customFormat="1" x14ac:dyDescent="0.2">
      <c r="A143" s="213">
        <v>200023</v>
      </c>
      <c r="B143" s="217" t="s">
        <v>166</v>
      </c>
      <c r="C143" s="216">
        <v>40.327250800000002</v>
      </c>
      <c r="D143" s="216" t="s">
        <v>93</v>
      </c>
      <c r="E143" s="105">
        <v>0.87080000000000002</v>
      </c>
    </row>
    <row r="144" spans="1:5" s="242" customFormat="1" x14ac:dyDescent="0.2">
      <c r="A144" s="213">
        <v>200024</v>
      </c>
      <c r="B144" s="217" t="s">
        <v>166</v>
      </c>
      <c r="C144" s="216">
        <v>7088.22246</v>
      </c>
      <c r="D144" s="216" t="s">
        <v>18</v>
      </c>
      <c r="E144" s="105">
        <v>0.48799999999999999</v>
      </c>
    </row>
    <row r="145" spans="1:5" s="242" customFormat="1" x14ac:dyDescent="0.2">
      <c r="A145" s="213">
        <v>200029</v>
      </c>
      <c r="B145" s="217" t="s">
        <v>167</v>
      </c>
      <c r="C145" s="216">
        <v>33.098976</v>
      </c>
      <c r="D145" s="216" t="s">
        <v>93</v>
      </c>
      <c r="E145" s="105">
        <v>0.87080000000000002</v>
      </c>
    </row>
    <row r="146" spans="1:5" s="242" customFormat="1" ht="12.75" customHeight="1" x14ac:dyDescent="0.2">
      <c r="A146" s="213">
        <v>200030</v>
      </c>
      <c r="B146" s="217" t="s">
        <v>167</v>
      </c>
      <c r="C146" s="216">
        <v>5828.3432999999995</v>
      </c>
      <c r="D146" s="216" t="s">
        <v>18</v>
      </c>
      <c r="E146" s="105">
        <v>0.48799999999999999</v>
      </c>
    </row>
    <row r="147" spans="1:5" s="242" customFormat="1" ht="12.75" customHeight="1" x14ac:dyDescent="0.2">
      <c r="A147" s="213">
        <v>90780</v>
      </c>
      <c r="B147" s="217" t="s">
        <v>168</v>
      </c>
      <c r="C147" s="216">
        <v>57.73</v>
      </c>
      <c r="D147" s="216" t="s">
        <v>93</v>
      </c>
      <c r="E147" s="105">
        <v>0.87080000000000002</v>
      </c>
    </row>
    <row r="148" spans="1:5" s="242" customFormat="1" x14ac:dyDescent="0.2">
      <c r="A148" s="213">
        <v>94295</v>
      </c>
      <c r="B148" s="217" t="s">
        <v>168</v>
      </c>
      <c r="C148" s="216">
        <v>10088.280000000001</v>
      </c>
      <c r="D148" s="216" t="s">
        <v>18</v>
      </c>
      <c r="E148" s="105">
        <v>0.48799999999999999</v>
      </c>
    </row>
    <row r="149" spans="1:5" s="242" customFormat="1" x14ac:dyDescent="0.2">
      <c r="A149" s="213">
        <v>90769</v>
      </c>
      <c r="B149" s="214" t="s">
        <v>169</v>
      </c>
      <c r="C149" s="216">
        <v>101.31</v>
      </c>
      <c r="D149" s="216" t="s">
        <v>93</v>
      </c>
      <c r="E149" s="105">
        <v>0.87080000000000002</v>
      </c>
    </row>
    <row r="150" spans="1:5" s="242" customFormat="1" x14ac:dyDescent="0.2">
      <c r="A150" s="213">
        <v>93570</v>
      </c>
      <c r="B150" s="214" t="s">
        <v>169</v>
      </c>
      <c r="C150" s="216">
        <v>17721.09</v>
      </c>
      <c r="D150" s="216" t="s">
        <v>18</v>
      </c>
      <c r="E150" s="105">
        <v>0.48799999999999999</v>
      </c>
    </row>
    <row r="151" spans="1:5" s="243" customFormat="1" x14ac:dyDescent="0.2">
      <c r="A151" s="213">
        <v>90777</v>
      </c>
      <c r="B151" s="214" t="s">
        <v>170</v>
      </c>
      <c r="C151" s="216">
        <v>97.49</v>
      </c>
      <c r="D151" s="216" t="s">
        <v>93</v>
      </c>
      <c r="E151" s="105">
        <v>0.87080000000000002</v>
      </c>
    </row>
    <row r="152" spans="1:5" s="243" customFormat="1" x14ac:dyDescent="0.2">
      <c r="A152" s="213">
        <v>93565</v>
      </c>
      <c r="B152" s="214" t="s">
        <v>170</v>
      </c>
      <c r="C152" s="216">
        <v>17025.95</v>
      </c>
      <c r="D152" s="216" t="s">
        <v>18</v>
      </c>
      <c r="E152" s="105">
        <v>0.48799999999999999</v>
      </c>
    </row>
    <row r="153" spans="1:5" s="243" customFormat="1" x14ac:dyDescent="0.2">
      <c r="A153" s="213">
        <v>90778</v>
      </c>
      <c r="B153" s="214" t="s">
        <v>171</v>
      </c>
      <c r="C153" s="216">
        <v>110.7</v>
      </c>
      <c r="D153" s="216" t="s">
        <v>93</v>
      </c>
      <c r="E153" s="105">
        <v>0.87080000000000002</v>
      </c>
    </row>
    <row r="154" spans="1:5" s="243" customFormat="1" x14ac:dyDescent="0.2">
      <c r="A154" s="213">
        <v>93567</v>
      </c>
      <c r="B154" s="214" t="s">
        <v>171</v>
      </c>
      <c r="C154" s="216">
        <v>19328.669999999998</v>
      </c>
      <c r="D154" s="216" t="s">
        <v>18</v>
      </c>
      <c r="E154" s="105">
        <v>0.48799999999999999</v>
      </c>
    </row>
    <row r="155" spans="1:5" s="243" customFormat="1" x14ac:dyDescent="0.2">
      <c r="A155" s="213">
        <v>90779</v>
      </c>
      <c r="B155" s="214" t="s">
        <v>172</v>
      </c>
      <c r="C155" s="216">
        <v>150.61000000000001</v>
      </c>
      <c r="D155" s="216" t="s">
        <v>93</v>
      </c>
      <c r="E155" s="105">
        <v>0.87080000000000002</v>
      </c>
    </row>
    <row r="156" spans="1:5" s="243" customFormat="1" x14ac:dyDescent="0.2">
      <c r="A156" s="213">
        <v>93568</v>
      </c>
      <c r="B156" s="214" t="s">
        <v>172</v>
      </c>
      <c r="C156" s="216">
        <v>26288.02</v>
      </c>
      <c r="D156" s="216" t="s">
        <v>18</v>
      </c>
      <c r="E156" s="105">
        <v>0.48799999999999999</v>
      </c>
    </row>
    <row r="157" spans="1:5" x14ac:dyDescent="0.2">
      <c r="A157" s="213">
        <v>91677</v>
      </c>
      <c r="B157" s="34" t="s">
        <v>173</v>
      </c>
      <c r="C157" s="216">
        <v>98.01</v>
      </c>
      <c r="D157" s="216" t="s">
        <v>93</v>
      </c>
      <c r="E157" s="105">
        <v>0.87080000000000002</v>
      </c>
    </row>
    <row r="158" spans="1:5" x14ac:dyDescent="0.2">
      <c r="A158" s="213">
        <v>101404</v>
      </c>
      <c r="B158" s="34" t="s">
        <v>173</v>
      </c>
      <c r="C158" s="216">
        <v>17037.830000000002</v>
      </c>
      <c r="D158" s="216" t="s">
        <v>18</v>
      </c>
      <c r="E158" s="105">
        <v>0.48799999999999999</v>
      </c>
    </row>
    <row r="159" spans="1:5" x14ac:dyDescent="0.2">
      <c r="A159" s="213">
        <v>200031</v>
      </c>
      <c r="B159" s="217" t="s">
        <v>174</v>
      </c>
      <c r="C159" s="216">
        <v>46.737241825454547</v>
      </c>
      <c r="D159" s="216" t="s">
        <v>93</v>
      </c>
      <c r="E159" s="105">
        <v>0.87080000000000002</v>
      </c>
    </row>
    <row r="160" spans="1:5" x14ac:dyDescent="0.2">
      <c r="A160" s="213">
        <v>200032</v>
      </c>
      <c r="B160" s="217" t="s">
        <v>174</v>
      </c>
      <c r="C160" s="216">
        <v>8203.4291759999996</v>
      </c>
      <c r="D160" s="216" t="s">
        <v>18</v>
      </c>
      <c r="E160" s="105">
        <v>0.48799999999999999</v>
      </c>
    </row>
    <row r="161" spans="1:5" x14ac:dyDescent="0.2">
      <c r="A161" s="213">
        <v>88321</v>
      </c>
      <c r="B161" s="217" t="s">
        <v>175</v>
      </c>
      <c r="C161" s="216">
        <v>32.729999999999997</v>
      </c>
      <c r="D161" s="216" t="s">
        <v>93</v>
      </c>
      <c r="E161" s="105">
        <v>0.87080000000000002</v>
      </c>
    </row>
    <row r="162" spans="1:5" x14ac:dyDescent="0.2">
      <c r="A162" s="213">
        <v>101456</v>
      </c>
      <c r="B162" s="217" t="s">
        <v>175</v>
      </c>
      <c r="C162" s="216">
        <v>5745.01</v>
      </c>
      <c r="D162" s="216" t="s">
        <v>18</v>
      </c>
      <c r="E162" s="105">
        <v>0.48799999999999999</v>
      </c>
    </row>
    <row r="163" spans="1:5" ht="12.75" customHeight="1" x14ac:dyDescent="0.2">
      <c r="A163" s="213">
        <v>88322</v>
      </c>
      <c r="B163" s="217" t="s">
        <v>176</v>
      </c>
      <c r="C163" s="216">
        <v>24.48</v>
      </c>
      <c r="D163" s="216" t="s">
        <v>93</v>
      </c>
      <c r="E163" s="105">
        <v>0.87080000000000002</v>
      </c>
    </row>
    <row r="164" spans="1:5" x14ac:dyDescent="0.2">
      <c r="A164" s="213">
        <v>101457</v>
      </c>
      <c r="B164" s="217" t="s">
        <v>176</v>
      </c>
      <c r="C164" s="216">
        <v>5178.08</v>
      </c>
      <c r="D164" s="216" t="s">
        <v>18</v>
      </c>
      <c r="E164" s="105">
        <v>0.48799999999999999</v>
      </c>
    </row>
    <row r="165" spans="1:5" x14ac:dyDescent="0.2">
      <c r="A165" s="213">
        <v>100309</v>
      </c>
      <c r="B165" s="217" t="s">
        <v>177</v>
      </c>
      <c r="C165" s="216">
        <v>30.34</v>
      </c>
      <c r="D165" s="216" t="s">
        <v>93</v>
      </c>
      <c r="E165" s="105">
        <v>0.87080000000000002</v>
      </c>
    </row>
    <row r="166" spans="1:5" x14ac:dyDescent="0.2">
      <c r="A166" s="213">
        <v>100321</v>
      </c>
      <c r="B166" s="217" t="s">
        <v>177</v>
      </c>
      <c r="C166" s="216">
        <v>5314.1</v>
      </c>
      <c r="D166" s="216" t="s">
        <v>18</v>
      </c>
      <c r="E166" s="105">
        <v>0.48799999999999999</v>
      </c>
    </row>
    <row r="167" spans="1:5" x14ac:dyDescent="0.2">
      <c r="A167" s="213">
        <v>88278</v>
      </c>
      <c r="B167" s="217" t="s">
        <v>178</v>
      </c>
      <c r="C167" s="216">
        <v>26.52</v>
      </c>
      <c r="D167" s="216" t="s">
        <v>93</v>
      </c>
      <c r="E167" s="105">
        <v>0.87080000000000002</v>
      </c>
    </row>
    <row r="168" spans="1:5" x14ac:dyDescent="0.2">
      <c r="A168" s="213">
        <v>101418</v>
      </c>
      <c r="B168" s="217" t="s">
        <v>178</v>
      </c>
      <c r="C168" s="216">
        <v>4721.83</v>
      </c>
      <c r="D168" s="216" t="s">
        <v>18</v>
      </c>
      <c r="E168" s="105">
        <v>0.48799999999999999</v>
      </c>
    </row>
    <row r="169" spans="1:5" x14ac:dyDescent="0.2">
      <c r="A169" s="213"/>
      <c r="B169" s="217"/>
      <c r="C169" s="216"/>
      <c r="D169" s="216"/>
      <c r="E169" s="105"/>
    </row>
    <row r="170" spans="1:5" x14ac:dyDescent="0.2">
      <c r="A170" s="213"/>
      <c r="B170" s="217"/>
      <c r="C170" s="216"/>
      <c r="D170" s="216"/>
      <c r="E170" s="105"/>
    </row>
    <row r="171" spans="1:5" x14ac:dyDescent="0.2">
      <c r="A171" s="213"/>
      <c r="B171" s="214"/>
      <c r="C171" s="279"/>
      <c r="D171" s="279"/>
      <c r="E171" s="105"/>
    </row>
    <row r="172" spans="1:5" x14ac:dyDescent="0.2">
      <c r="A172" s="213"/>
      <c r="B172" s="214"/>
      <c r="C172" s="220"/>
      <c r="D172" s="220"/>
      <c r="E172" s="33"/>
    </row>
    <row r="173" spans="1:5" x14ac:dyDescent="0.2">
      <c r="B173" s="93"/>
      <c r="C173" s="221"/>
      <c r="D173" s="221"/>
    </row>
    <row r="174" spans="1:5" x14ac:dyDescent="0.2">
      <c r="B174" s="93"/>
      <c r="C174" s="93"/>
      <c r="D174" s="93"/>
    </row>
    <row r="175" spans="1:5" x14ac:dyDescent="0.2">
      <c r="B175" s="93"/>
      <c r="C175" s="93"/>
      <c r="D175" s="93"/>
    </row>
    <row r="176" spans="1:5" x14ac:dyDescent="0.2">
      <c r="B176" s="93"/>
      <c r="C176" s="93"/>
      <c r="D176" s="93"/>
    </row>
  </sheetData>
  <mergeCells count="6">
    <mergeCell ref="C8:E8"/>
    <mergeCell ref="A2:A4"/>
    <mergeCell ref="B2:E2"/>
    <mergeCell ref="B3:E3"/>
    <mergeCell ref="B4:E4"/>
    <mergeCell ref="A6:E6"/>
  </mergeCells>
  <printOptions horizontalCentered="1"/>
  <pageMargins left="0.98425196850393704" right="0.19685039370078741" top="0.98425196850393704" bottom="0.98425196850393704" header="0.51181102362204722" footer="0.51181102362204722"/>
  <pageSetup orientation="portrait" horizontalDpi="300" verticalDpi="300" r:id="rId1"/>
  <headerFooter alignWithMargins="0">
    <oddFooter>Página &amp;P de &amp;N</oddFoot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FE4DA-2A81-4E65-98DD-1C83803C7099}">
  <sheetPr>
    <tabColor rgb="FFEEFB9D"/>
  </sheetPr>
  <dimension ref="A1:F136"/>
  <sheetViews>
    <sheetView workbookViewId="0">
      <selection activeCell="G16" sqref="G16"/>
    </sheetView>
  </sheetViews>
  <sheetFormatPr defaultColWidth="11.42578125" defaultRowHeight="12.75" x14ac:dyDescent="0.2"/>
  <cols>
    <col min="1" max="1" width="13" bestFit="1" customWidth="1"/>
    <col min="2" max="2" width="105.5703125" bestFit="1" customWidth="1"/>
    <col min="3" max="3" width="10.5703125" bestFit="1" customWidth="1"/>
    <col min="4" max="4" width="9.5703125" customWidth="1"/>
  </cols>
  <sheetData>
    <row r="1" spans="1:4" ht="11.25" customHeight="1" thickBot="1" x14ac:dyDescent="0.3">
      <c r="B1" s="204"/>
      <c r="C1" s="103"/>
      <c r="D1" s="103"/>
    </row>
    <row r="2" spans="1:4" ht="14.25" customHeight="1" x14ac:dyDescent="0.2">
      <c r="A2" s="963"/>
      <c r="B2" s="975" t="s">
        <v>85</v>
      </c>
      <c r="C2" s="976"/>
      <c r="D2" s="977"/>
    </row>
    <row r="3" spans="1:4" ht="16.5" customHeight="1" x14ac:dyDescent="0.2">
      <c r="A3" s="964"/>
      <c r="B3" s="978" t="s">
        <v>86</v>
      </c>
      <c r="C3" s="946"/>
      <c r="D3" s="947"/>
    </row>
    <row r="4" spans="1:4" ht="14.25" customHeight="1" thickBot="1" x14ac:dyDescent="0.25">
      <c r="A4" s="965"/>
      <c r="B4" s="979" t="s">
        <v>1652</v>
      </c>
      <c r="C4" s="980"/>
      <c r="D4" s="981"/>
    </row>
    <row r="5" spans="1:4" ht="9" customHeight="1" thickBot="1" x14ac:dyDescent="0.25">
      <c r="A5" s="222"/>
      <c r="B5" s="205"/>
      <c r="C5" s="205"/>
      <c r="D5" s="205"/>
    </row>
    <row r="6" spans="1:4" ht="13.5" thickBot="1" x14ac:dyDescent="0.25">
      <c r="A6" s="982" t="s">
        <v>1387</v>
      </c>
      <c r="B6" s="983"/>
      <c r="C6" s="983"/>
      <c r="D6" s="984"/>
    </row>
    <row r="7" spans="1:4" ht="9" customHeight="1" thickBot="1" x14ac:dyDescent="0.25">
      <c r="A7" s="222"/>
      <c r="B7" s="205"/>
      <c r="C7" s="205"/>
      <c r="D7" s="205"/>
    </row>
    <row r="8" spans="1:4" ht="12.75" customHeight="1" thickBot="1" x14ac:dyDescent="0.25">
      <c r="A8" s="206" t="s">
        <v>88</v>
      </c>
      <c r="B8" s="207" t="s">
        <v>1653</v>
      </c>
      <c r="C8" s="960" t="s">
        <v>1637</v>
      </c>
      <c r="D8" s="962"/>
    </row>
    <row r="9" spans="1:4" ht="12" customHeight="1" thickBot="1" x14ac:dyDescent="0.25">
      <c r="A9" s="223"/>
      <c r="B9" s="205"/>
      <c r="C9" s="960" t="s">
        <v>1638</v>
      </c>
      <c r="D9" s="962"/>
    </row>
    <row r="10" spans="1:4" ht="12" customHeight="1" x14ac:dyDescent="0.2">
      <c r="A10" s="224"/>
      <c r="B10" s="205"/>
      <c r="C10" s="205"/>
      <c r="D10" s="205"/>
    </row>
    <row r="11" spans="1:4" s="208" customFormat="1" ht="9" customHeight="1" thickBot="1" x14ac:dyDescent="0.3">
      <c r="A11" s="225"/>
      <c r="B11" s="209"/>
    </row>
    <row r="12" spans="1:4" s="58" customFormat="1" ht="43.5" customHeight="1" x14ac:dyDescent="0.2">
      <c r="A12" s="226" t="s">
        <v>28</v>
      </c>
      <c r="B12" s="227" t="s">
        <v>1388</v>
      </c>
      <c r="C12" s="228" t="s">
        <v>1389</v>
      </c>
      <c r="D12" s="229" t="s">
        <v>1390</v>
      </c>
    </row>
    <row r="13" spans="1:4" x14ac:dyDescent="0.2">
      <c r="A13" s="230" t="s">
        <v>1391</v>
      </c>
      <c r="B13" s="231" t="s">
        <v>1392</v>
      </c>
      <c r="C13" s="232">
        <v>4.34</v>
      </c>
      <c r="D13" s="233">
        <v>1.38</v>
      </c>
    </row>
    <row r="14" spans="1:4" x14ac:dyDescent="0.2">
      <c r="A14" s="230" t="s">
        <v>1393</v>
      </c>
      <c r="B14" s="231" t="s">
        <v>1394</v>
      </c>
      <c r="C14" s="232">
        <v>5.04</v>
      </c>
      <c r="D14" s="233">
        <v>0.45</v>
      </c>
    </row>
    <row r="15" spans="1:4" x14ac:dyDescent="0.2">
      <c r="A15" s="234" t="s">
        <v>1395</v>
      </c>
      <c r="B15" s="235" t="s">
        <v>1396</v>
      </c>
      <c r="C15" s="232">
        <v>1.46</v>
      </c>
      <c r="D15" s="233">
        <v>0.33</v>
      </c>
    </row>
    <row r="16" spans="1:4" x14ac:dyDescent="0.2">
      <c r="A16" s="230" t="s">
        <v>1397</v>
      </c>
      <c r="B16" s="231" t="s">
        <v>1398</v>
      </c>
      <c r="C16" s="232">
        <v>45.988599999999998</v>
      </c>
      <c r="D16" s="233">
        <v>28.424800000000001</v>
      </c>
    </row>
    <row r="17" spans="1:4" x14ac:dyDescent="0.2">
      <c r="A17" s="236" t="s">
        <v>1399</v>
      </c>
      <c r="B17" s="237" t="s">
        <v>1400</v>
      </c>
      <c r="C17" s="232">
        <v>22.419699999999999</v>
      </c>
      <c r="D17" s="233">
        <v>13.5154</v>
      </c>
    </row>
    <row r="18" spans="1:4" x14ac:dyDescent="0.2">
      <c r="A18" s="236" t="s">
        <v>1401</v>
      </c>
      <c r="B18" s="237" t="s">
        <v>1402</v>
      </c>
      <c r="C18" s="232">
        <v>319.14</v>
      </c>
      <c r="D18" s="233">
        <v>77.77</v>
      </c>
    </row>
    <row r="19" spans="1:4" x14ac:dyDescent="0.2">
      <c r="A19" s="236" t="s">
        <v>1403</v>
      </c>
      <c r="B19" s="237" t="s">
        <v>1404</v>
      </c>
      <c r="C19" s="232">
        <v>290.43549999999999</v>
      </c>
      <c r="D19" s="233">
        <v>83.2791</v>
      </c>
    </row>
    <row r="20" spans="1:4" x14ac:dyDescent="0.2">
      <c r="A20" s="236" t="s">
        <v>1405</v>
      </c>
      <c r="B20" s="237" t="s">
        <v>1406</v>
      </c>
      <c r="C20" s="232">
        <v>189.07660000000001</v>
      </c>
      <c r="D20" s="233">
        <v>69.749499999999998</v>
      </c>
    </row>
    <row r="21" spans="1:4" x14ac:dyDescent="0.2">
      <c r="A21" s="236" t="s">
        <v>1407</v>
      </c>
      <c r="B21" s="237" t="s">
        <v>1408</v>
      </c>
      <c r="C21" s="232">
        <v>274.7516</v>
      </c>
      <c r="D21" s="233">
        <v>75.348799999999997</v>
      </c>
    </row>
    <row r="22" spans="1:4" x14ac:dyDescent="0.2">
      <c r="A22" s="236" t="s">
        <v>1409</v>
      </c>
      <c r="B22" s="237" t="s">
        <v>1410</v>
      </c>
      <c r="C22" s="232">
        <v>149.39340000000001</v>
      </c>
      <c r="D22" s="233">
        <v>55.758600000000001</v>
      </c>
    </row>
    <row r="23" spans="1:4" x14ac:dyDescent="0.2">
      <c r="A23" s="236" t="s">
        <v>1411</v>
      </c>
      <c r="B23" s="237" t="s">
        <v>1412</v>
      </c>
      <c r="C23" s="232">
        <v>184.28</v>
      </c>
      <c r="D23" s="233">
        <v>67.411600000000007</v>
      </c>
    </row>
    <row r="24" spans="1:4" ht="16.5" customHeight="1" x14ac:dyDescent="0.2">
      <c r="A24" s="236" t="s">
        <v>1413</v>
      </c>
      <c r="B24" s="237" t="s">
        <v>1414</v>
      </c>
      <c r="C24" s="232">
        <v>739.25559999999996</v>
      </c>
      <c r="D24" s="233">
        <v>224.82339999999999</v>
      </c>
    </row>
    <row r="25" spans="1:4" x14ac:dyDescent="0.2">
      <c r="A25" s="236" t="s">
        <v>1415</v>
      </c>
      <c r="B25" s="237" t="s">
        <v>1416</v>
      </c>
      <c r="C25" s="232">
        <v>260.44740000000002</v>
      </c>
      <c r="D25" s="233">
        <v>69.8429</v>
      </c>
    </row>
    <row r="26" spans="1:4" x14ac:dyDescent="0.2">
      <c r="A26" s="236" t="s">
        <v>1417</v>
      </c>
      <c r="B26" s="237" t="s">
        <v>1418</v>
      </c>
      <c r="C26" s="232">
        <v>313.27789999999999</v>
      </c>
      <c r="D26" s="233">
        <v>110.6397</v>
      </c>
    </row>
    <row r="27" spans="1:4" x14ac:dyDescent="0.2">
      <c r="A27" s="236" t="s">
        <v>1419</v>
      </c>
      <c r="B27" s="237" t="s">
        <v>1420</v>
      </c>
      <c r="C27" s="232">
        <v>339.31889999999999</v>
      </c>
      <c r="D27" s="233">
        <v>80.486999999999995</v>
      </c>
    </row>
    <row r="28" spans="1:4" x14ac:dyDescent="0.2">
      <c r="A28" s="236" t="s">
        <v>1421</v>
      </c>
      <c r="B28" s="237" t="s">
        <v>1422</v>
      </c>
      <c r="C28" s="232">
        <v>197.0213</v>
      </c>
      <c r="D28" s="233">
        <v>92.842200000000005</v>
      </c>
    </row>
    <row r="29" spans="1:4" x14ac:dyDescent="0.2">
      <c r="A29" s="236" t="s">
        <v>1423</v>
      </c>
      <c r="B29" s="237" t="s">
        <v>1424</v>
      </c>
      <c r="C29" s="232">
        <v>20.9817</v>
      </c>
      <c r="D29" s="233">
        <v>13.227</v>
      </c>
    </row>
    <row r="30" spans="1:4" x14ac:dyDescent="0.2">
      <c r="A30" s="236" t="s">
        <v>1425</v>
      </c>
      <c r="B30" s="237" t="s">
        <v>1426</v>
      </c>
      <c r="C30" s="232">
        <v>4.8647999999999998</v>
      </c>
      <c r="D30" s="233">
        <v>0.79200000000000004</v>
      </c>
    </row>
    <row r="31" spans="1:4" x14ac:dyDescent="0.2">
      <c r="A31" s="236" t="s">
        <v>1427</v>
      </c>
      <c r="B31" s="237" t="s">
        <v>1428</v>
      </c>
      <c r="C31" s="232">
        <v>125.2012</v>
      </c>
      <c r="D31" s="233">
        <v>24.595099999999999</v>
      </c>
    </row>
    <row r="32" spans="1:4" x14ac:dyDescent="0.2">
      <c r="A32" s="236" t="s">
        <v>1429</v>
      </c>
      <c r="B32" s="237" t="s">
        <v>1430</v>
      </c>
      <c r="C32" s="232">
        <v>28.118400000000001</v>
      </c>
      <c r="D32" s="233">
        <v>26.662099999999999</v>
      </c>
    </row>
    <row r="33" spans="1:4" x14ac:dyDescent="0.2">
      <c r="A33" s="236" t="s">
        <v>1431</v>
      </c>
      <c r="B33" s="237" t="s">
        <v>1432</v>
      </c>
      <c r="C33" s="232">
        <v>13.542</v>
      </c>
      <c r="D33" s="233">
        <v>8.7202000000000002</v>
      </c>
    </row>
    <row r="34" spans="1:4" x14ac:dyDescent="0.2">
      <c r="A34" s="236" t="s">
        <v>1433</v>
      </c>
      <c r="B34" s="237" t="s">
        <v>1434</v>
      </c>
      <c r="C34" s="232">
        <v>45.171100000000003</v>
      </c>
      <c r="D34" s="233">
        <v>39.006900000000002</v>
      </c>
    </row>
    <row r="35" spans="1:4" x14ac:dyDescent="0.2">
      <c r="A35" s="236" t="s">
        <v>1435</v>
      </c>
      <c r="B35" s="237" t="s">
        <v>1436</v>
      </c>
      <c r="C35" s="232">
        <v>331.48329999999999</v>
      </c>
      <c r="D35" s="233">
        <v>147.16990000000001</v>
      </c>
    </row>
    <row r="36" spans="1:4" x14ac:dyDescent="0.2">
      <c r="A36" s="236" t="s">
        <v>1437</v>
      </c>
      <c r="B36" s="237" t="s">
        <v>1438</v>
      </c>
      <c r="C36" s="232">
        <v>271.8888</v>
      </c>
      <c r="D36" s="233">
        <v>71.9041</v>
      </c>
    </row>
    <row r="37" spans="1:4" x14ac:dyDescent="0.2">
      <c r="A37" s="236" t="s">
        <v>1439</v>
      </c>
      <c r="B37" s="237" t="s">
        <v>1440</v>
      </c>
      <c r="C37" s="232">
        <v>4.5949</v>
      </c>
      <c r="D37" s="233">
        <v>3.1455000000000002</v>
      </c>
    </row>
    <row r="38" spans="1:4" x14ac:dyDescent="0.2">
      <c r="A38" s="236" t="s">
        <v>1441</v>
      </c>
      <c r="B38" s="237" t="s">
        <v>1442</v>
      </c>
      <c r="C38" s="232">
        <v>580.08709999999996</v>
      </c>
      <c r="D38" s="233">
        <v>216.37029999999999</v>
      </c>
    </row>
    <row r="39" spans="1:4" x14ac:dyDescent="0.2">
      <c r="A39" s="236" t="s">
        <v>1443</v>
      </c>
      <c r="B39" s="237" t="s">
        <v>1444</v>
      </c>
      <c r="C39" s="232">
        <v>0.2051</v>
      </c>
      <c r="D39" s="233">
        <v>0.1361</v>
      </c>
    </row>
    <row r="40" spans="1:4" x14ac:dyDescent="0.2">
      <c r="A40" s="236" t="s">
        <v>1445</v>
      </c>
      <c r="B40" s="237" t="s">
        <v>1446</v>
      </c>
      <c r="C40" s="232">
        <v>4.7762000000000002</v>
      </c>
      <c r="D40" s="233">
        <v>3.3260999999999998</v>
      </c>
    </row>
    <row r="41" spans="1:4" x14ac:dyDescent="0.2">
      <c r="A41" s="236" t="s">
        <v>1447</v>
      </c>
      <c r="B41" s="237" t="s">
        <v>1448</v>
      </c>
      <c r="C41" s="232">
        <v>8.5330999999999992</v>
      </c>
      <c r="D41" s="233">
        <v>5.4241000000000001</v>
      </c>
    </row>
    <row r="42" spans="1:4" s="242" customFormat="1" x14ac:dyDescent="0.2">
      <c r="A42" s="236" t="s">
        <v>1449</v>
      </c>
      <c r="B42" s="237" t="s">
        <v>1450</v>
      </c>
      <c r="C42" s="232">
        <v>14.696</v>
      </c>
      <c r="D42" s="233">
        <v>9.3415999999999997</v>
      </c>
    </row>
    <row r="43" spans="1:4" s="243" customFormat="1" x14ac:dyDescent="0.2">
      <c r="A43" s="236" t="s">
        <v>1451</v>
      </c>
      <c r="B43" s="237" t="s">
        <v>1452</v>
      </c>
      <c r="C43" s="232">
        <v>27.890799999999999</v>
      </c>
      <c r="D43" s="233">
        <v>26.5365</v>
      </c>
    </row>
    <row r="44" spans="1:4" s="243" customFormat="1" x14ac:dyDescent="0.2">
      <c r="A44" s="236" t="s">
        <v>1453</v>
      </c>
      <c r="B44" s="237" t="s">
        <v>1454</v>
      </c>
      <c r="C44" s="232">
        <v>18.86</v>
      </c>
      <c r="D44" s="233">
        <v>0.25</v>
      </c>
    </row>
    <row r="45" spans="1:4" s="243" customFormat="1" x14ac:dyDescent="0.2">
      <c r="A45" s="236" t="s">
        <v>1455</v>
      </c>
      <c r="B45" s="237" t="s">
        <v>1456</v>
      </c>
      <c r="C45" s="232">
        <v>30.8599</v>
      </c>
      <c r="D45" s="233">
        <v>26.1722</v>
      </c>
    </row>
    <row r="46" spans="1:4" s="243" customFormat="1" x14ac:dyDescent="0.2">
      <c r="A46" s="236" t="s">
        <v>1457</v>
      </c>
      <c r="B46" s="237" t="s">
        <v>1458</v>
      </c>
      <c r="C46" s="232">
        <v>1.9216</v>
      </c>
      <c r="D46" s="233">
        <v>1.2746</v>
      </c>
    </row>
    <row r="47" spans="1:4" s="243" customFormat="1" x14ac:dyDescent="0.2">
      <c r="A47" s="236" t="s">
        <v>1459</v>
      </c>
      <c r="B47" s="237" t="s">
        <v>1460</v>
      </c>
      <c r="C47" s="232">
        <v>404.09640000000002</v>
      </c>
      <c r="D47" s="233">
        <v>186.8596</v>
      </c>
    </row>
    <row r="48" spans="1:4" x14ac:dyDescent="0.2">
      <c r="A48" s="236" t="s">
        <v>1461</v>
      </c>
      <c r="B48" s="237" t="s">
        <v>1462</v>
      </c>
      <c r="C48" s="232">
        <v>849.89139999999998</v>
      </c>
      <c r="D48" s="233">
        <v>334.4708</v>
      </c>
    </row>
    <row r="49" spans="1:4" x14ac:dyDescent="0.2">
      <c r="A49" s="236" t="s">
        <v>1463</v>
      </c>
      <c r="B49" s="237" t="s">
        <v>1464</v>
      </c>
      <c r="C49" s="232">
        <v>1364.7302999999999</v>
      </c>
      <c r="D49" s="233">
        <v>413.51130000000001</v>
      </c>
    </row>
    <row r="50" spans="1:4" x14ac:dyDescent="0.2">
      <c r="A50" s="236" t="s">
        <v>1465</v>
      </c>
      <c r="B50" s="237" t="s">
        <v>1466</v>
      </c>
      <c r="C50" s="232">
        <v>7.1928999999999998</v>
      </c>
      <c r="D50" s="233">
        <v>0.53480000000000005</v>
      </c>
    </row>
    <row r="51" spans="1:4" x14ac:dyDescent="0.2">
      <c r="A51" s="236" t="s">
        <v>1467</v>
      </c>
      <c r="B51" s="237" t="s">
        <v>1468</v>
      </c>
      <c r="C51" s="232">
        <v>153.8783</v>
      </c>
      <c r="D51" s="233">
        <v>73.693200000000004</v>
      </c>
    </row>
    <row r="52" spans="1:4" x14ac:dyDescent="0.2">
      <c r="A52" s="236" t="s">
        <v>1469</v>
      </c>
      <c r="B52" s="237" t="s">
        <v>1470</v>
      </c>
      <c r="C52" s="232">
        <v>7.5355999999999996</v>
      </c>
      <c r="D52" s="233">
        <v>0.4516</v>
      </c>
    </row>
    <row r="53" spans="1:4" x14ac:dyDescent="0.2">
      <c r="A53" s="236" t="s">
        <v>1471</v>
      </c>
      <c r="B53" s="237" t="s">
        <v>1472</v>
      </c>
      <c r="C53" s="232">
        <v>187.0718</v>
      </c>
      <c r="D53" s="233">
        <v>73.932599999999994</v>
      </c>
    </row>
    <row r="54" spans="1:4" x14ac:dyDescent="0.2">
      <c r="A54" s="236" t="s">
        <v>1473</v>
      </c>
      <c r="B54" s="237" t="s">
        <v>1474</v>
      </c>
      <c r="C54" s="232">
        <v>96.976799999999997</v>
      </c>
      <c r="D54" s="233">
        <v>50.791499999999999</v>
      </c>
    </row>
    <row r="55" spans="1:4" x14ac:dyDescent="0.2">
      <c r="A55" s="236" t="s">
        <v>1475</v>
      </c>
      <c r="B55" s="237" t="s">
        <v>1476</v>
      </c>
      <c r="C55" s="232">
        <v>235.17959999999999</v>
      </c>
      <c r="D55" s="233">
        <v>107.6793</v>
      </c>
    </row>
    <row r="56" spans="1:4" x14ac:dyDescent="0.2">
      <c r="A56" s="236" t="s">
        <v>1477</v>
      </c>
      <c r="B56" s="237" t="s">
        <v>1478</v>
      </c>
      <c r="C56" s="232">
        <v>227.35</v>
      </c>
      <c r="D56" s="233">
        <v>79.88</v>
      </c>
    </row>
    <row r="57" spans="1:4" x14ac:dyDescent="0.2">
      <c r="A57" s="236" t="s">
        <v>1479</v>
      </c>
      <c r="B57" s="237" t="s">
        <v>1480</v>
      </c>
      <c r="C57" s="232">
        <v>200.68100000000001</v>
      </c>
      <c r="D57" s="233">
        <v>73.624899999999997</v>
      </c>
    </row>
    <row r="58" spans="1:4" x14ac:dyDescent="0.2">
      <c r="A58" s="236" t="s">
        <v>1481</v>
      </c>
      <c r="B58" s="237" t="s">
        <v>1482</v>
      </c>
      <c r="C58" s="232">
        <v>18.444299999999998</v>
      </c>
      <c r="D58" s="233">
        <v>1.7808999999999999</v>
      </c>
    </row>
    <row r="59" spans="1:4" x14ac:dyDescent="0.2">
      <c r="A59" s="236" t="s">
        <v>1483</v>
      </c>
      <c r="B59" s="237" t="s">
        <v>1484</v>
      </c>
      <c r="C59" s="232">
        <v>52.788499999999999</v>
      </c>
      <c r="D59" s="233">
        <v>36.058399999999999</v>
      </c>
    </row>
    <row r="60" spans="1:4" s="242" customFormat="1" x14ac:dyDescent="0.2">
      <c r="A60" s="236" t="s">
        <v>1485</v>
      </c>
      <c r="B60" s="237" t="s">
        <v>1486</v>
      </c>
      <c r="C60" s="232">
        <v>223.4975</v>
      </c>
      <c r="D60" s="233">
        <v>86.208399999999997</v>
      </c>
    </row>
    <row r="61" spans="1:4" s="242" customFormat="1" x14ac:dyDescent="0.2">
      <c r="A61" s="236" t="s">
        <v>1487</v>
      </c>
      <c r="B61" s="237" t="s">
        <v>1488</v>
      </c>
      <c r="C61" s="232">
        <v>129.7321</v>
      </c>
      <c r="D61" s="233">
        <v>38.541600000000003</v>
      </c>
    </row>
    <row r="62" spans="1:4" x14ac:dyDescent="0.2">
      <c r="A62" s="236" t="s">
        <v>1489</v>
      </c>
      <c r="B62" s="237" t="s">
        <v>1490</v>
      </c>
      <c r="C62" s="232">
        <v>1096.7732000000001</v>
      </c>
      <c r="D62" s="233">
        <v>578.84810000000004</v>
      </c>
    </row>
    <row r="63" spans="1:4" x14ac:dyDescent="0.2">
      <c r="A63" s="236" t="s">
        <v>1491</v>
      </c>
      <c r="B63" s="237" t="s">
        <v>1492</v>
      </c>
      <c r="C63" s="232">
        <v>215.15620000000001</v>
      </c>
      <c r="D63" s="233">
        <v>140.3775</v>
      </c>
    </row>
    <row r="64" spans="1:4" x14ac:dyDescent="0.2">
      <c r="A64" s="236" t="s">
        <v>1493</v>
      </c>
      <c r="B64" s="237" t="s">
        <v>1494</v>
      </c>
      <c r="C64" s="232">
        <v>76.226799999999997</v>
      </c>
      <c r="D64" s="233">
        <v>38.9086</v>
      </c>
    </row>
    <row r="65" spans="1:6" x14ac:dyDescent="0.2">
      <c r="A65" s="236" t="s">
        <v>1495</v>
      </c>
      <c r="B65" s="237" t="s">
        <v>1496</v>
      </c>
      <c r="C65" s="232">
        <v>10.6875</v>
      </c>
      <c r="D65" s="233">
        <v>6.8821000000000003</v>
      </c>
    </row>
    <row r="66" spans="1:6" x14ac:dyDescent="0.2">
      <c r="A66" s="236" t="s">
        <v>1497</v>
      </c>
      <c r="B66" s="237" t="s">
        <v>1498</v>
      </c>
      <c r="C66" s="232">
        <v>7.5255999999999998</v>
      </c>
      <c r="D66" s="233">
        <v>0.80430000000000001</v>
      </c>
    </row>
    <row r="67" spans="1:6" x14ac:dyDescent="0.2">
      <c r="A67" s="236" t="s">
        <v>1499</v>
      </c>
      <c r="B67" s="237" t="s">
        <v>1500</v>
      </c>
      <c r="C67" s="232">
        <v>1.18</v>
      </c>
      <c r="D67" s="233">
        <v>0.5</v>
      </c>
    </row>
    <row r="68" spans="1:6" x14ac:dyDescent="0.2">
      <c r="A68" s="230" t="s">
        <v>1501</v>
      </c>
      <c r="B68" s="237" t="s">
        <v>1502</v>
      </c>
      <c r="C68" s="232">
        <v>336.11610000000002</v>
      </c>
      <c r="D68" s="233">
        <v>147.02019999999999</v>
      </c>
    </row>
    <row r="69" spans="1:6" x14ac:dyDescent="0.2">
      <c r="A69" s="244" t="s">
        <v>1503</v>
      </c>
      <c r="B69" s="237" t="s">
        <v>1504</v>
      </c>
      <c r="C69" s="232">
        <v>6.1368</v>
      </c>
      <c r="D69" s="233">
        <v>0.84889999999999999</v>
      </c>
    </row>
    <row r="70" spans="1:6" x14ac:dyDescent="0.2">
      <c r="A70" s="236" t="s">
        <v>1505</v>
      </c>
      <c r="B70" s="237" t="s">
        <v>1506</v>
      </c>
      <c r="C70" s="232">
        <v>422.47609999999997</v>
      </c>
      <c r="D70" s="233">
        <v>122.43300000000001</v>
      </c>
    </row>
    <row r="71" spans="1:6" x14ac:dyDescent="0.2">
      <c r="A71" s="245" t="s">
        <v>1507</v>
      </c>
      <c r="B71" s="237" t="s">
        <v>1508</v>
      </c>
      <c r="C71" s="232">
        <v>408.74939999999998</v>
      </c>
      <c r="D71" s="233">
        <v>130.71520000000001</v>
      </c>
    </row>
    <row r="72" spans="1:6" x14ac:dyDescent="0.2">
      <c r="A72" s="245" t="s">
        <v>1509</v>
      </c>
      <c r="B72" s="237" t="s">
        <v>1510</v>
      </c>
      <c r="C72" s="232">
        <v>159.44</v>
      </c>
      <c r="D72" s="233">
        <v>90.11</v>
      </c>
    </row>
    <row r="73" spans="1:6" x14ac:dyDescent="0.2">
      <c r="A73" s="245" t="s">
        <v>1511</v>
      </c>
      <c r="B73" s="237" t="s">
        <v>1512</v>
      </c>
      <c r="C73" s="232">
        <v>7.97</v>
      </c>
      <c r="D73" s="233">
        <v>0.9</v>
      </c>
      <c r="E73" s="106"/>
      <c r="F73" s="106"/>
    </row>
    <row r="74" spans="1:6" x14ac:dyDescent="0.2">
      <c r="A74" s="245" t="s">
        <v>1513</v>
      </c>
      <c r="B74" s="237" t="s">
        <v>1514</v>
      </c>
      <c r="C74" s="232">
        <v>447.64</v>
      </c>
      <c r="D74" s="233">
        <v>83.98</v>
      </c>
      <c r="E74" s="106"/>
      <c r="F74" s="106"/>
    </row>
    <row r="75" spans="1:6" x14ac:dyDescent="0.2">
      <c r="A75" s="245" t="s">
        <v>1515</v>
      </c>
      <c r="B75" s="237" t="s">
        <v>1516</v>
      </c>
      <c r="C75" s="232">
        <v>389.21</v>
      </c>
      <c r="D75" s="233">
        <v>69.37</v>
      </c>
      <c r="E75" s="106"/>
      <c r="F75" s="106"/>
    </row>
    <row r="76" spans="1:6" x14ac:dyDescent="0.2">
      <c r="A76" s="245" t="s">
        <v>1517</v>
      </c>
      <c r="B76" s="237" t="s">
        <v>1518</v>
      </c>
      <c r="C76" s="232">
        <v>955.11900000000003</v>
      </c>
      <c r="D76" s="233">
        <v>453.52</v>
      </c>
      <c r="E76" s="106"/>
      <c r="F76" s="106"/>
    </row>
    <row r="77" spans="1:6" x14ac:dyDescent="0.2">
      <c r="A77" s="245" t="s">
        <v>1519</v>
      </c>
      <c r="B77" s="237" t="s">
        <v>1520</v>
      </c>
      <c r="C77" s="232">
        <v>390.00069999999999</v>
      </c>
      <c r="D77" s="233">
        <v>116.5115</v>
      </c>
      <c r="E77" s="106"/>
      <c r="F77" s="106"/>
    </row>
    <row r="78" spans="1:6" x14ac:dyDescent="0.2">
      <c r="A78" s="245" t="s">
        <v>1521</v>
      </c>
      <c r="B78" s="237" t="s">
        <v>1522</v>
      </c>
      <c r="C78" s="232">
        <v>1430.8643999999999</v>
      </c>
      <c r="D78" s="233">
        <v>586.54409999999996</v>
      </c>
      <c r="E78" s="106"/>
      <c r="F78" s="106"/>
    </row>
    <row r="79" spans="1:6" x14ac:dyDescent="0.2">
      <c r="A79" s="245" t="s">
        <v>1523</v>
      </c>
      <c r="B79" s="237" t="s">
        <v>1524</v>
      </c>
      <c r="C79" s="232">
        <v>786.28000000000009</v>
      </c>
      <c r="D79" s="233">
        <v>339.95</v>
      </c>
      <c r="E79" s="106"/>
      <c r="F79" s="106"/>
    </row>
    <row r="80" spans="1:6" ht="17.25" customHeight="1" x14ac:dyDescent="0.2">
      <c r="A80" s="245" t="s">
        <v>1525</v>
      </c>
      <c r="B80" s="237" t="s">
        <v>1526</v>
      </c>
      <c r="C80" s="232">
        <v>12.49</v>
      </c>
      <c r="D80" s="233">
        <v>4.29</v>
      </c>
      <c r="E80" s="106"/>
      <c r="F80" s="106"/>
    </row>
    <row r="81" spans="1:6" x14ac:dyDescent="0.2">
      <c r="A81" s="245" t="s">
        <v>1527</v>
      </c>
      <c r="B81" s="237" t="s">
        <v>1528</v>
      </c>
      <c r="C81" s="232">
        <v>25.8813</v>
      </c>
      <c r="D81" s="233">
        <v>25.561900000000001</v>
      </c>
      <c r="E81" s="106"/>
      <c r="F81" s="106"/>
    </row>
    <row r="82" spans="1:6" x14ac:dyDescent="0.2">
      <c r="A82" s="245" t="s">
        <v>1529</v>
      </c>
      <c r="B82" s="237" t="s">
        <v>1530</v>
      </c>
      <c r="C82" s="232">
        <v>18.1904</v>
      </c>
      <c r="D82" s="233">
        <v>3.8348</v>
      </c>
      <c r="E82" s="106"/>
      <c r="F82" s="106"/>
    </row>
    <row r="83" spans="1:6" x14ac:dyDescent="0.2">
      <c r="A83" s="245" t="s">
        <v>1531</v>
      </c>
      <c r="B83" s="237" t="s">
        <v>1532</v>
      </c>
      <c r="C83" s="232">
        <v>0.1477</v>
      </c>
      <c r="D83" s="233">
        <v>8.1500000000000003E-2</v>
      </c>
      <c r="E83" s="107"/>
      <c r="F83" s="107"/>
    </row>
    <row r="84" spans="1:6" x14ac:dyDescent="0.2">
      <c r="A84" s="245" t="s">
        <v>1533</v>
      </c>
      <c r="B84" s="237" t="s">
        <v>1534</v>
      </c>
      <c r="C84" s="232">
        <v>236.072</v>
      </c>
      <c r="D84" s="233">
        <v>105.9152</v>
      </c>
      <c r="E84" s="106"/>
      <c r="F84" s="106"/>
    </row>
    <row r="85" spans="1:6" x14ac:dyDescent="0.2">
      <c r="A85" s="245" t="s">
        <v>1535</v>
      </c>
      <c r="B85" s="237" t="s">
        <v>1536</v>
      </c>
      <c r="C85" s="232">
        <v>39.177599999999998</v>
      </c>
      <c r="D85" s="233">
        <v>3.6315</v>
      </c>
      <c r="E85" s="106"/>
    </row>
    <row r="86" spans="1:6" x14ac:dyDescent="0.2">
      <c r="A86" s="245" t="s">
        <v>1537</v>
      </c>
      <c r="B86" s="237" t="s">
        <v>1538</v>
      </c>
      <c r="C86" s="232">
        <v>108.8858</v>
      </c>
      <c r="D86" s="233">
        <v>78.560199999999995</v>
      </c>
      <c r="E86" s="106"/>
    </row>
    <row r="87" spans="1:6" x14ac:dyDescent="0.2">
      <c r="A87" s="245" t="s">
        <v>1539</v>
      </c>
      <c r="B87" s="237" t="s">
        <v>1540</v>
      </c>
      <c r="C87" s="232">
        <v>419.5478</v>
      </c>
      <c r="D87" s="233">
        <v>202.52610000000001</v>
      </c>
      <c r="E87" s="106"/>
      <c r="F87" s="106"/>
    </row>
    <row r="88" spans="1:6" x14ac:dyDescent="0.2">
      <c r="A88" s="245" t="s">
        <v>1541</v>
      </c>
      <c r="B88" s="237" t="s">
        <v>1542</v>
      </c>
      <c r="C88" s="232">
        <v>607.75149999999996</v>
      </c>
      <c r="D88" s="233">
        <v>279.97609999999997</v>
      </c>
    </row>
    <row r="89" spans="1:6" x14ac:dyDescent="0.2">
      <c r="A89" s="245" t="s">
        <v>1543</v>
      </c>
      <c r="B89" s="237" t="s">
        <v>1544</v>
      </c>
      <c r="C89" s="232">
        <v>27.4039</v>
      </c>
      <c r="D89" s="233">
        <v>26.3508</v>
      </c>
      <c r="E89" s="106"/>
    </row>
    <row r="90" spans="1:6" x14ac:dyDescent="0.2">
      <c r="A90" s="245" t="s">
        <v>1545</v>
      </c>
      <c r="B90" s="237" t="s">
        <v>1546</v>
      </c>
      <c r="C90" s="247">
        <v>35.321382336624779</v>
      </c>
      <c r="D90" s="233">
        <v>31.989450494651884</v>
      </c>
      <c r="E90" s="106"/>
    </row>
    <row r="91" spans="1:6" x14ac:dyDescent="0.2">
      <c r="A91" s="245" t="s">
        <v>1547</v>
      </c>
      <c r="B91" s="237" t="s">
        <v>1548</v>
      </c>
      <c r="C91" s="232">
        <v>250.33799999999999</v>
      </c>
      <c r="D91" s="233">
        <v>100.0616</v>
      </c>
      <c r="E91" s="106"/>
    </row>
    <row r="92" spans="1:6" x14ac:dyDescent="0.2">
      <c r="A92" s="245" t="s">
        <v>1491</v>
      </c>
      <c r="B92" s="237" t="s">
        <v>1549</v>
      </c>
      <c r="C92" s="232">
        <v>215.15620000000001</v>
      </c>
      <c r="D92" s="233">
        <v>140.3775</v>
      </c>
      <c r="E92" s="106"/>
    </row>
    <row r="93" spans="1:6" x14ac:dyDescent="0.2">
      <c r="A93" s="245" t="s">
        <v>1445</v>
      </c>
      <c r="B93" s="237" t="s">
        <v>1550</v>
      </c>
      <c r="C93" s="232">
        <v>4.7762000000000002</v>
      </c>
      <c r="D93" s="233">
        <v>3.3260999999999998</v>
      </c>
      <c r="E93" s="106"/>
    </row>
    <row r="94" spans="1:6" ht="15.75" customHeight="1" x14ac:dyDescent="0.2">
      <c r="A94" s="245" t="s">
        <v>1551</v>
      </c>
      <c r="B94" s="237" t="s">
        <v>1552</v>
      </c>
      <c r="C94" s="232">
        <v>157.69999999999999</v>
      </c>
      <c r="D94" s="233">
        <v>61.58</v>
      </c>
      <c r="E94" s="106"/>
    </row>
    <row r="95" spans="1:6" x14ac:dyDescent="0.2">
      <c r="A95" s="245" t="s">
        <v>1483</v>
      </c>
      <c r="B95" s="237" t="s">
        <v>1553</v>
      </c>
      <c r="C95" s="232">
        <v>52.788499999999999</v>
      </c>
      <c r="D95" s="233">
        <v>36.058399999999999</v>
      </c>
      <c r="E95" s="106"/>
    </row>
    <row r="96" spans="1:6" x14ac:dyDescent="0.2">
      <c r="A96" s="245" t="s">
        <v>1554</v>
      </c>
      <c r="B96" s="237" t="s">
        <v>1555</v>
      </c>
      <c r="C96" s="232">
        <v>18.579999999999998</v>
      </c>
      <c r="D96" s="233">
        <v>4.83</v>
      </c>
      <c r="E96" s="106"/>
    </row>
    <row r="97" spans="1:5" x14ac:dyDescent="0.2">
      <c r="A97" s="245" t="s">
        <v>1556</v>
      </c>
      <c r="B97" s="237" t="s">
        <v>1557</v>
      </c>
      <c r="C97" s="232">
        <v>19.247499999999999</v>
      </c>
      <c r="D97" s="233">
        <v>10.7393</v>
      </c>
      <c r="E97" s="106"/>
    </row>
    <row r="98" spans="1:5" x14ac:dyDescent="0.2">
      <c r="A98" s="245" t="s">
        <v>1558</v>
      </c>
      <c r="B98" s="237" t="s">
        <v>1559</v>
      </c>
      <c r="C98" s="232">
        <v>0.87270000000000003</v>
      </c>
      <c r="D98" s="233">
        <v>0.48159999999999997</v>
      </c>
      <c r="E98" s="106"/>
    </row>
    <row r="99" spans="1:5" x14ac:dyDescent="0.2">
      <c r="A99" s="245" t="s">
        <v>1560</v>
      </c>
      <c r="B99" s="237" t="s">
        <v>1561</v>
      </c>
      <c r="C99" s="232">
        <v>379.8886</v>
      </c>
      <c r="D99" s="233">
        <v>150.37780000000001</v>
      </c>
      <c r="E99" s="107"/>
    </row>
    <row r="100" spans="1:5" x14ac:dyDescent="0.2">
      <c r="A100" s="245" t="s">
        <v>1562</v>
      </c>
      <c r="B100" s="237" t="s">
        <v>1563</v>
      </c>
      <c r="C100" s="232">
        <v>527.12339999999995</v>
      </c>
      <c r="D100" s="233">
        <v>216.97460000000001</v>
      </c>
      <c r="E100" s="106"/>
    </row>
    <row r="101" spans="1:5" x14ac:dyDescent="0.2">
      <c r="A101" s="248" t="s">
        <v>1564</v>
      </c>
      <c r="B101" s="249" t="s">
        <v>1565</v>
      </c>
      <c r="C101" s="232">
        <v>238.22049999999999</v>
      </c>
      <c r="D101" s="233">
        <v>103.81359999999999</v>
      </c>
      <c r="E101" s="106"/>
    </row>
    <row r="102" spans="1:5" x14ac:dyDescent="0.2">
      <c r="A102" s="250" t="s">
        <v>1566</v>
      </c>
      <c r="B102" s="249" t="s">
        <v>1567</v>
      </c>
      <c r="C102" s="232">
        <v>2.54</v>
      </c>
      <c r="D102" s="233">
        <v>0.54</v>
      </c>
      <c r="E102" s="106"/>
    </row>
    <row r="103" spans="1:5" x14ac:dyDescent="0.2">
      <c r="A103" s="250" t="s">
        <v>1568</v>
      </c>
      <c r="B103" s="249" t="s">
        <v>1569</v>
      </c>
      <c r="C103" s="232">
        <v>432.78</v>
      </c>
      <c r="D103" s="233">
        <v>179.66</v>
      </c>
      <c r="E103" s="106"/>
    </row>
    <row r="104" spans="1:5" x14ac:dyDescent="0.2">
      <c r="A104" s="250" t="s">
        <v>1517</v>
      </c>
      <c r="B104" s="249" t="s">
        <v>1518</v>
      </c>
      <c r="C104" s="232">
        <v>955.11900000000003</v>
      </c>
      <c r="D104" s="233">
        <v>453.52</v>
      </c>
    </row>
    <row r="105" spans="1:5" x14ac:dyDescent="0.2">
      <c r="A105" s="250" t="s">
        <v>1499</v>
      </c>
      <c r="B105" s="249" t="s">
        <v>1570</v>
      </c>
      <c r="C105" s="232">
        <v>1.18</v>
      </c>
      <c r="D105" s="233">
        <v>0.5</v>
      </c>
    </row>
    <row r="106" spans="1:5" ht="17.25" customHeight="1" x14ac:dyDescent="0.2">
      <c r="A106" s="250" t="s">
        <v>1571</v>
      </c>
      <c r="B106" s="251" t="s">
        <v>1572</v>
      </c>
      <c r="C106" s="232">
        <v>97.35</v>
      </c>
      <c r="D106" s="233">
        <v>40.700000000000003</v>
      </c>
    </row>
    <row r="107" spans="1:5" x14ac:dyDescent="0.2">
      <c r="A107" s="252" t="s">
        <v>1640</v>
      </c>
      <c r="B107" s="251" t="s">
        <v>1641</v>
      </c>
      <c r="C107" s="232">
        <v>0.20519999999999999</v>
      </c>
      <c r="D107" s="233">
        <v>0.1361</v>
      </c>
    </row>
    <row r="108" spans="1:5" x14ac:dyDescent="0.2">
      <c r="A108" s="252" t="s">
        <v>1642</v>
      </c>
      <c r="B108" s="251" t="s">
        <v>1574</v>
      </c>
      <c r="C108" s="232">
        <v>0.89000000000000012</v>
      </c>
      <c r="D108" s="233">
        <v>0.55000000000000004</v>
      </c>
    </row>
    <row r="109" spans="1:5" ht="15.75" customHeight="1" x14ac:dyDescent="0.2">
      <c r="A109" s="245" t="s">
        <v>1643</v>
      </c>
      <c r="B109" s="253" t="s">
        <v>1575</v>
      </c>
      <c r="C109" s="232">
        <v>337.87430000000001</v>
      </c>
      <c r="D109" s="233">
        <v>135.35650000000001</v>
      </c>
    </row>
    <row r="110" spans="1:5" x14ac:dyDescent="0.2">
      <c r="A110" s="236" t="s">
        <v>1576</v>
      </c>
      <c r="B110" s="237" t="s">
        <v>1428</v>
      </c>
      <c r="C110" s="232">
        <v>45.297400000000003</v>
      </c>
      <c r="D110" s="233">
        <v>10.1921</v>
      </c>
    </row>
    <row r="111" spans="1:5" x14ac:dyDescent="0.2">
      <c r="A111" s="245" t="s">
        <v>1577</v>
      </c>
      <c r="B111" s="237" t="s">
        <v>1578</v>
      </c>
      <c r="C111" s="232">
        <v>43.153300000000002</v>
      </c>
      <c r="D111" s="233">
        <v>30.1568</v>
      </c>
    </row>
    <row r="112" spans="1:5" x14ac:dyDescent="0.2">
      <c r="A112" s="245" t="s">
        <v>1579</v>
      </c>
      <c r="B112" s="253" t="s">
        <v>1580</v>
      </c>
      <c r="C112" s="232">
        <v>24.9</v>
      </c>
      <c r="D112" s="233">
        <v>6.41</v>
      </c>
    </row>
    <row r="113" spans="1:4" x14ac:dyDescent="0.2">
      <c r="A113" s="245" t="s">
        <v>1581</v>
      </c>
      <c r="B113" s="253" t="s">
        <v>1582</v>
      </c>
      <c r="C113" s="232">
        <v>37.452199999999998</v>
      </c>
      <c r="D113" s="233">
        <v>35.952800000000003</v>
      </c>
    </row>
    <row r="114" spans="1:4" x14ac:dyDescent="0.2">
      <c r="A114" s="245" t="s">
        <v>1583</v>
      </c>
      <c r="B114" s="253" t="s">
        <v>1584</v>
      </c>
      <c r="C114" s="232">
        <v>443.57859999999999</v>
      </c>
      <c r="D114" s="233">
        <v>121.5532</v>
      </c>
    </row>
    <row r="115" spans="1:4" x14ac:dyDescent="0.2">
      <c r="A115" s="245" t="s">
        <v>1585</v>
      </c>
      <c r="B115" s="253" t="s">
        <v>1586</v>
      </c>
      <c r="C115" s="232">
        <v>278.47840000000002</v>
      </c>
      <c r="D115" s="233">
        <v>90.997600000000006</v>
      </c>
    </row>
    <row r="116" spans="1:4" x14ac:dyDescent="0.2">
      <c r="A116" s="245" t="s">
        <v>1587</v>
      </c>
      <c r="B116" s="253" t="s">
        <v>1588</v>
      </c>
      <c r="C116" s="232">
        <v>200.0549</v>
      </c>
      <c r="D116" s="233">
        <v>104.36060000000001</v>
      </c>
    </row>
    <row r="117" spans="1:4" x14ac:dyDescent="0.2">
      <c r="A117" s="245" t="s">
        <v>1589</v>
      </c>
      <c r="B117" s="253" t="s">
        <v>1590</v>
      </c>
      <c r="C117" s="232">
        <v>793.75469999999996</v>
      </c>
      <c r="D117" s="233">
        <v>411.05880000000002</v>
      </c>
    </row>
    <row r="118" spans="1:4" x14ac:dyDescent="0.2">
      <c r="A118" s="254" t="s">
        <v>1591</v>
      </c>
      <c r="B118" s="251" t="s">
        <v>1592</v>
      </c>
      <c r="C118" s="232">
        <v>27.76</v>
      </c>
      <c r="D118" s="233">
        <v>26.99</v>
      </c>
    </row>
    <row r="119" spans="1:4" x14ac:dyDescent="0.2">
      <c r="A119" s="245" t="s">
        <v>1593</v>
      </c>
      <c r="B119" s="251" t="s">
        <v>1594</v>
      </c>
      <c r="C119" s="232">
        <v>28.99</v>
      </c>
      <c r="D119" s="233">
        <v>28.06</v>
      </c>
    </row>
    <row r="120" spans="1:4" x14ac:dyDescent="0.2">
      <c r="A120" s="255" t="s">
        <v>1595</v>
      </c>
      <c r="B120" s="256" t="s">
        <v>1596</v>
      </c>
      <c r="C120" s="257">
        <v>52.096699999999998</v>
      </c>
      <c r="D120" s="258">
        <v>42.661299999999997</v>
      </c>
    </row>
    <row r="121" spans="1:4" x14ac:dyDescent="0.2">
      <c r="A121" s="255" t="s">
        <v>1597</v>
      </c>
      <c r="B121" s="256" t="s">
        <v>1598</v>
      </c>
      <c r="C121" s="257">
        <v>231.63</v>
      </c>
      <c r="D121" s="258">
        <v>122.51</v>
      </c>
    </row>
    <row r="122" spans="1:4" x14ac:dyDescent="0.2">
      <c r="A122" s="255" t="s">
        <v>1573</v>
      </c>
      <c r="B122" s="256" t="s">
        <v>1645</v>
      </c>
      <c r="C122" s="261">
        <v>347.84</v>
      </c>
      <c r="D122" s="262">
        <v>163.07</v>
      </c>
    </row>
    <row r="123" spans="1:4" x14ac:dyDescent="0.2">
      <c r="A123" s="255" t="s">
        <v>1654</v>
      </c>
      <c r="B123" s="256" t="s">
        <v>1655</v>
      </c>
      <c r="C123" s="257">
        <v>71.146299999999997</v>
      </c>
      <c r="D123" s="258">
        <v>40.097499999999997</v>
      </c>
    </row>
    <row r="124" spans="1:4" x14ac:dyDescent="0.2">
      <c r="A124" s="255" t="s">
        <v>1646</v>
      </c>
      <c r="B124" s="256" t="s">
        <v>1647</v>
      </c>
      <c r="C124" s="257">
        <v>101.03</v>
      </c>
      <c r="D124" s="258">
        <v>54.88</v>
      </c>
    </row>
    <row r="125" spans="1:4" x14ac:dyDescent="0.2">
      <c r="A125" s="255"/>
      <c r="B125" s="263"/>
      <c r="C125" s="257"/>
      <c r="D125" s="258"/>
    </row>
    <row r="126" spans="1:4" ht="13.5" thickBot="1" x14ac:dyDescent="0.25">
      <c r="A126" s="264"/>
      <c r="B126" s="265"/>
      <c r="C126" s="266"/>
      <c r="D126" s="267"/>
    </row>
    <row r="127" spans="1:4" x14ac:dyDescent="0.2">
      <c r="B127" s="268"/>
      <c r="C127" s="268"/>
      <c r="D127" s="268"/>
    </row>
    <row r="128" spans="1:4" x14ac:dyDescent="0.2">
      <c r="B128" s="268"/>
      <c r="C128" s="268"/>
      <c r="D128" s="268"/>
    </row>
    <row r="129" spans="2:4" x14ac:dyDescent="0.2">
      <c r="B129" s="268"/>
      <c r="C129" s="268"/>
      <c r="D129" s="268"/>
    </row>
    <row r="130" spans="2:4" x14ac:dyDescent="0.2">
      <c r="B130" s="93"/>
      <c r="C130" s="93"/>
      <c r="D130" s="93"/>
    </row>
    <row r="131" spans="2:4" x14ac:dyDescent="0.2">
      <c r="B131" s="93"/>
      <c r="C131" s="93"/>
      <c r="D131" s="93"/>
    </row>
    <row r="132" spans="2:4" x14ac:dyDescent="0.2">
      <c r="B132" s="269"/>
      <c r="C132" s="270"/>
      <c r="D132" s="270"/>
    </row>
    <row r="133" spans="2:4" x14ac:dyDescent="0.2">
      <c r="B133" s="93"/>
      <c r="C133" s="93"/>
      <c r="D133" s="93"/>
    </row>
    <row r="134" spans="2:4" x14ac:dyDescent="0.2">
      <c r="B134" s="93"/>
      <c r="C134" s="270"/>
      <c r="D134" s="270"/>
    </row>
    <row r="135" spans="2:4" x14ac:dyDescent="0.2">
      <c r="B135" s="93"/>
      <c r="C135" s="93"/>
      <c r="D135" s="93"/>
    </row>
    <row r="136" spans="2:4" x14ac:dyDescent="0.2">
      <c r="B136" s="93"/>
      <c r="C136" s="270"/>
      <c r="D136" s="270"/>
    </row>
  </sheetData>
  <mergeCells count="7">
    <mergeCell ref="C8:D8"/>
    <mergeCell ref="C9:D9"/>
    <mergeCell ref="A2:A4"/>
    <mergeCell ref="B2:D2"/>
    <mergeCell ref="B3:D3"/>
    <mergeCell ref="B4:D4"/>
    <mergeCell ref="A6:D6"/>
  </mergeCells>
  <printOptions horizontalCentered="1"/>
  <pageMargins left="0.98425196850393704" right="0.19685039370078741" top="0.98425196850393704" bottom="0.98425196850393704" header="0.51181102362204722" footer="0.51181102362204722"/>
  <pageSetup scale="90" orientation="portrait" horizontalDpi="300" verticalDpi="300" r:id="rId1"/>
  <headerFooter alignWithMargins="0">
    <oddFooter>Página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27</vt:i4>
      </vt:variant>
      <vt:variant>
        <vt:lpstr>Intervalos Nomeados</vt:lpstr>
      </vt:variant>
      <vt:variant>
        <vt:i4>21</vt:i4>
      </vt:variant>
    </vt:vector>
  </HeadingPairs>
  <TitlesOfParts>
    <vt:vector size="48" baseType="lpstr">
      <vt:lpstr>DADOS GERAIS</vt:lpstr>
      <vt:lpstr>MEMORIAL CÁLCULO QTDE</vt:lpstr>
      <vt:lpstr>Encargos Sociais</vt:lpstr>
      <vt:lpstr>ORÇAMENTO S.D.</vt:lpstr>
      <vt:lpstr>ORÇAMENTO C.D.</vt:lpstr>
      <vt:lpstr>CRONOGRAMA S.D.</vt:lpstr>
      <vt:lpstr>CRONOGRAMA C.D.</vt:lpstr>
      <vt:lpstr>COMPOSIÇÕES</vt:lpstr>
      <vt:lpstr>AUX COMPOSIÇÕES</vt:lpstr>
      <vt:lpstr>COTAÇÕES</vt:lpstr>
      <vt:lpstr>AUX COTAÇÕES</vt:lpstr>
      <vt:lpstr>MOBILIZAÇÃO</vt:lpstr>
      <vt:lpstr>SINAPI</vt:lpstr>
      <vt:lpstr>SICRO</vt:lpstr>
      <vt:lpstr>SIURB</vt:lpstr>
      <vt:lpstr>ORSE</vt:lpstr>
      <vt:lpstr>aux calc</vt:lpstr>
      <vt:lpstr>SMOP ALO-ICO-MOB S.D 2023-04</vt:lpstr>
      <vt:lpstr>SMOP INFRA S.D 2023-04</vt:lpstr>
      <vt:lpstr>SMOP ENCARGOS S.D 2023-04</vt:lpstr>
      <vt:lpstr>SMOP MO S.D 2023-04</vt:lpstr>
      <vt:lpstr>SMOP EQPTOS S.D 2023-04</vt:lpstr>
      <vt:lpstr>SMOP ALO-ICO-MOB C.D 2023-04</vt:lpstr>
      <vt:lpstr>SMOP INFRA C.D 2023-04</vt:lpstr>
      <vt:lpstr>SMOP ENCARGOS C.D 2023-04</vt:lpstr>
      <vt:lpstr>SMOP MO C.D 2023-04</vt:lpstr>
      <vt:lpstr>SMOP EQPTOS C.D 2023-04</vt:lpstr>
      <vt:lpstr>'AUX COMPOSIÇÕES'!Area_de_impressao</vt:lpstr>
      <vt:lpstr>'AUX COTAÇÕES'!Area_de_impressao</vt:lpstr>
      <vt:lpstr>COMPOSIÇÕES!Area_de_impressao</vt:lpstr>
      <vt:lpstr>COTAÇÕES!Area_de_impressao</vt:lpstr>
      <vt:lpstr>'CRONOGRAMA C.D.'!Area_de_impressao</vt:lpstr>
      <vt:lpstr>'CRONOGRAMA S.D.'!Area_de_impressao</vt:lpstr>
      <vt:lpstr>'DADOS GERAIS'!Area_de_impressao</vt:lpstr>
      <vt:lpstr>'ORÇAMENTO C.D.'!Area_de_impressao</vt:lpstr>
      <vt:lpstr>'ORÇAMENTO S.D.'!Area_de_impressao</vt:lpstr>
      <vt:lpstr>'SMOP ALO-ICO-MOB C.D 2023-04'!Area_de_impressao</vt:lpstr>
      <vt:lpstr>'SMOP ALO-ICO-MOB S.D 2023-04'!Area_de_impressao</vt:lpstr>
      <vt:lpstr>'SMOP EQPTOS C.D 2023-04'!Area_de_impressao</vt:lpstr>
      <vt:lpstr>'SMOP EQPTOS S.D 2023-04'!Area_de_impressao</vt:lpstr>
      <vt:lpstr>'SMOP INFRA C.D 2023-04'!Area_de_impressao</vt:lpstr>
      <vt:lpstr>'SMOP INFRA S.D 2023-04'!Area_de_impressao</vt:lpstr>
      <vt:lpstr>'SMOP MO C.D 2023-04'!Area_de_impressao</vt:lpstr>
      <vt:lpstr>'SMOP MO S.D 2023-04'!Area_de_impressao</vt:lpstr>
      <vt:lpstr>'SMOP ALO-ICO-MOB C.D 2023-04'!Titulos_de_impressao</vt:lpstr>
      <vt:lpstr>'SMOP ALO-ICO-MOB S.D 2023-04'!Titulos_de_impressao</vt:lpstr>
      <vt:lpstr>'SMOP INFRA C.D 2023-04'!Titulos_de_impressao</vt:lpstr>
      <vt:lpstr>'SMOP INFRA S.D 2023-04'!Titulos_de_impressao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CURITIBA</dc:creator>
  <cp:lastModifiedBy>Paulo Vitor Lucca</cp:lastModifiedBy>
  <cp:lastPrinted>2026-09-10T14:28:31Z</cp:lastPrinted>
  <dcterms:created xsi:type="dcterms:W3CDTF">1997-06-16T15:51:19Z</dcterms:created>
  <dcterms:modified xsi:type="dcterms:W3CDTF">2026-10-29T13:01:42Z</dcterms:modified>
</cp:coreProperties>
</file>