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T:\Terceirização\Vigilante\"/>
    </mc:Choice>
  </mc:AlternateContent>
  <xr:revisionPtr revIDLastSave="0" documentId="13_ncr:1_{E016363D-B89E-4AEE-BA76-1153A3B5CCB5}" xr6:coauthVersionLast="47" xr6:coauthVersionMax="47" xr10:uidLastSave="{00000000-0000-0000-0000-000000000000}"/>
  <bookViews>
    <workbookView xWindow="14400" yWindow="0" windowWidth="14400" windowHeight="15600" tabRatio="500" firstSheet="1" activeTab="1" xr2:uid="{783FBFDD-6124-4D8C-B53C-A3C679328484}"/>
  </bookViews>
  <sheets>
    <sheet name="ASG-COPEIRAGEM-D-40H I 40%" sheetId="26" r:id="rId1"/>
    <sheet name="PORTEIRO-VIGIA-N-44H 12X36" sheetId="27" r:id="rId2"/>
    <sheet name="PORTEIRO-VIGIA-D-SDF" sheetId="28" r:id="rId3"/>
  </sheets>
  <definedNames>
    <definedName name="_xlnm.Print_Area" localSheetId="0">#N/A</definedName>
    <definedName name="_xlnm.Print_Area" localSheetId="2">#N/A</definedName>
    <definedName name="_xlnm.Print_Area" localSheetId="1">#N/A</definedName>
    <definedName name="Excel_BuiltIn_Print_Area" localSheetId="0">#N/A</definedName>
    <definedName name="Excel_BuiltIn_Print_Area" localSheetId="2">#N/A</definedName>
    <definedName name="Excel_BuiltIn_Print_Area" localSheetId="1">#N/A</definedName>
  </definedNames>
  <calcPr calcId="181029"/>
</workbook>
</file>

<file path=xl/calcChain.xml><?xml version="1.0" encoding="utf-8"?>
<calcChain xmlns="http://schemas.openxmlformats.org/spreadsheetml/2006/main">
  <c r="E89" i="27" l="1"/>
  <c r="E90" i="27" s="1"/>
  <c r="E85" i="27"/>
  <c r="G75" i="27"/>
  <c r="G73" i="27"/>
  <c r="G72" i="27"/>
  <c r="E62" i="27"/>
  <c r="E58" i="27"/>
  <c r="E49" i="27"/>
  <c r="E41" i="27"/>
  <c r="E40" i="27"/>
  <c r="E39" i="27"/>
  <c r="E38" i="27"/>
  <c r="E36" i="27"/>
  <c r="E35" i="27"/>
  <c r="E34" i="27"/>
  <c r="E42" i="27" s="1"/>
  <c r="E31" i="27"/>
  <c r="G15" i="27"/>
  <c r="G74" i="27" s="1"/>
  <c r="E88" i="28"/>
  <c r="E89" i="28" s="1"/>
  <c r="E84" i="28"/>
  <c r="G73" i="28"/>
  <c r="G71" i="28"/>
  <c r="E62" i="28"/>
  <c r="E58" i="28"/>
  <c r="E49" i="28"/>
  <c r="E41" i="28"/>
  <c r="E40" i="28"/>
  <c r="E39" i="28"/>
  <c r="E38" i="28"/>
  <c r="E36" i="28"/>
  <c r="E35" i="28"/>
  <c r="E34" i="28"/>
  <c r="E31" i="28"/>
  <c r="G15" i="28"/>
  <c r="G19" i="28" s="1"/>
  <c r="H69" i="26"/>
  <c r="K69" i="26"/>
  <c r="J9" i="26"/>
  <c r="K59" i="26"/>
  <c r="K60" i="26"/>
  <c r="H62" i="26"/>
  <c r="K62" i="26"/>
  <c r="H63" i="26"/>
  <c r="K63" i="26"/>
  <c r="H64" i="26"/>
  <c r="K64" i="26"/>
  <c r="H58" i="26"/>
  <c r="K58" i="26"/>
  <c r="H59" i="26"/>
  <c r="H60" i="26"/>
  <c r="H61" i="26"/>
  <c r="K61" i="26"/>
  <c r="J92" i="26"/>
  <c r="H70" i="26"/>
  <c r="K70" i="26"/>
  <c r="H68" i="26"/>
  <c r="K68" i="26"/>
  <c r="H67" i="26"/>
  <c r="K67" i="26"/>
  <c r="H66" i="26"/>
  <c r="K66" i="26"/>
  <c r="H65" i="26"/>
  <c r="K65" i="26"/>
  <c r="H57" i="26"/>
  <c r="K57" i="26"/>
  <c r="F49" i="26"/>
  <c r="F42" i="26"/>
  <c r="F34" i="26"/>
  <c r="F33" i="26"/>
  <c r="F32" i="26"/>
  <c r="F31" i="26"/>
  <c r="F30" i="26"/>
  <c r="F29" i="26"/>
  <c r="F27" i="26"/>
  <c r="F23" i="26"/>
  <c r="F51" i="26"/>
  <c r="F52" i="26"/>
  <c r="G10" i="26"/>
  <c r="C10" i="26"/>
  <c r="K9" i="26"/>
  <c r="F36" i="26"/>
  <c r="F44" i="26"/>
  <c r="F45" i="26"/>
  <c r="F53" i="26"/>
  <c r="K71" i="26"/>
  <c r="I10" i="26"/>
  <c r="J10" i="26"/>
  <c r="H10" i="26"/>
  <c r="K10" i="26"/>
  <c r="I13" i="26"/>
  <c r="H52" i="26"/>
  <c r="H27" i="26"/>
  <c r="H39" i="26"/>
  <c r="H34" i="26"/>
  <c r="H29" i="26"/>
  <c r="H30" i="26"/>
  <c r="H44" i="26"/>
  <c r="H45" i="26"/>
  <c r="H17" i="26"/>
  <c r="H15" i="26"/>
  <c r="H40" i="26"/>
  <c r="H18" i="26"/>
  <c r="H22" i="26"/>
  <c r="H33" i="26"/>
  <c r="H75" i="26"/>
  <c r="H20" i="26"/>
  <c r="H21" i="26"/>
  <c r="H35" i="26"/>
  <c r="H32" i="26"/>
  <c r="H28" i="26"/>
  <c r="H31" i="26"/>
  <c r="H48" i="26"/>
  <c r="H19" i="26"/>
  <c r="H38" i="26"/>
  <c r="H47" i="26"/>
  <c r="H49" i="26"/>
  <c r="H41" i="26"/>
  <c r="H51" i="26"/>
  <c r="H16" i="26"/>
  <c r="H42" i="26"/>
  <c r="I75" i="26"/>
  <c r="K75" i="26"/>
  <c r="H36" i="26"/>
  <c r="H23" i="26"/>
  <c r="H53" i="26"/>
  <c r="K72" i="26"/>
  <c r="K76" i="26"/>
  <c r="K77" i="26"/>
  <c r="H81" i="26"/>
  <c r="K81" i="26"/>
  <c r="K82" i="26"/>
  <c r="K83" i="26"/>
  <c r="K85" i="26"/>
  <c r="K96" i="26"/>
  <c r="K94" i="26"/>
  <c r="K95" i="26"/>
  <c r="K90" i="26"/>
  <c r="K91" i="26"/>
  <c r="K97" i="26"/>
  <c r="K89" i="26"/>
  <c r="K92" i="26"/>
  <c r="I18" i="27" l="1"/>
  <c r="J18" i="27" s="1"/>
  <c r="L18" i="27" s="1"/>
  <c r="G18" i="27" s="1"/>
  <c r="G78" i="27"/>
  <c r="E52" i="27"/>
  <c r="E53" i="27" s="1"/>
  <c r="E64" i="27" s="1"/>
  <c r="G17" i="27"/>
  <c r="E42" i="28"/>
  <c r="E52" i="28" s="1"/>
  <c r="G45" i="28"/>
  <c r="G36" i="28"/>
  <c r="G34" i="28"/>
  <c r="G30" i="28"/>
  <c r="G26" i="28"/>
  <c r="G57" i="28"/>
  <c r="G48" i="28"/>
  <c r="G40" i="28"/>
  <c r="G38" i="28"/>
  <c r="G29" i="28"/>
  <c r="G25" i="28"/>
  <c r="G61" i="28"/>
  <c r="G62" i="28" s="1"/>
  <c r="G56" i="28"/>
  <c r="G58" i="28" s="1"/>
  <c r="G47" i="28"/>
  <c r="G35" i="28"/>
  <c r="G28" i="28"/>
  <c r="G24" i="28"/>
  <c r="G46" i="28"/>
  <c r="G41" i="28"/>
  <c r="G39" i="28"/>
  <c r="G37" i="28"/>
  <c r="G27" i="28"/>
  <c r="G23" i="28"/>
  <c r="G74" i="28"/>
  <c r="G77" i="28" s="1"/>
  <c r="I18" i="28"/>
  <c r="K18" i="27" l="1"/>
  <c r="G19" i="27"/>
  <c r="E53" i="28"/>
  <c r="G52" i="28"/>
  <c r="G53" i="28" s="1"/>
  <c r="E64" i="28"/>
  <c r="G31" i="28"/>
  <c r="J18" i="28"/>
  <c r="L18" i="28" s="1"/>
  <c r="G42" i="28"/>
  <c r="G49" i="28"/>
  <c r="G64" i="28" s="1"/>
  <c r="G67" i="28" s="1"/>
  <c r="G79" i="28" s="1"/>
  <c r="G57" i="27" l="1"/>
  <c r="G52" i="27"/>
  <c r="G53" i="27" s="1"/>
  <c r="G48" i="27"/>
  <c r="G40" i="27"/>
  <c r="G38" i="27"/>
  <c r="G29" i="27"/>
  <c r="G25" i="27"/>
  <c r="G34" i="27"/>
  <c r="G61" i="27"/>
  <c r="G62" i="27" s="1"/>
  <c r="G56" i="27"/>
  <c r="G58" i="27" s="1"/>
  <c r="G47" i="27"/>
  <c r="G35" i="27"/>
  <c r="G28" i="27"/>
  <c r="G24" i="27"/>
  <c r="G45" i="27"/>
  <c r="G49" i="27" s="1"/>
  <c r="G26" i="27"/>
  <c r="G46" i="27"/>
  <c r="G41" i="27"/>
  <c r="G39" i="27"/>
  <c r="G37" i="27"/>
  <c r="G27" i="27"/>
  <c r="G23" i="27"/>
  <c r="G36" i="27"/>
  <c r="G30" i="27"/>
  <c r="K18" i="28"/>
  <c r="G82" i="28"/>
  <c r="G31" i="27" l="1"/>
  <c r="G42" i="27"/>
  <c r="G83" i="28"/>
  <c r="G84" i="28" s="1"/>
  <c r="G64" i="27" l="1"/>
  <c r="G67" i="27" s="1"/>
  <c r="G80" i="27" s="1"/>
  <c r="G83" i="27"/>
  <c r="G87" i="28"/>
  <c r="G86" i="28"/>
  <c r="G85" i="28"/>
  <c r="G84" i="27" l="1"/>
  <c r="G85" i="27" s="1"/>
  <c r="G88" i="28"/>
  <c r="G89" i="28"/>
  <c r="G92" i="28" s="1"/>
  <c r="G94" i="28" s="1"/>
  <c r="G87" i="27" l="1"/>
  <c r="G86" i="27"/>
  <c r="G88" i="27"/>
  <c r="G89" i="27" l="1"/>
  <c r="G90" i="27"/>
  <c r="G93" i="27" s="1"/>
  <c r="G95" i="27" s="1"/>
  <c r="G97" i="27" s="1"/>
</calcChain>
</file>

<file path=xl/sharedStrings.xml><?xml version="1.0" encoding="utf-8"?>
<sst xmlns="http://schemas.openxmlformats.org/spreadsheetml/2006/main" count="263" uniqueCount="165">
  <si>
    <t>Função</t>
  </si>
  <si>
    <t>Trabalhadores</t>
  </si>
  <si>
    <t xml:space="preserve">Total </t>
  </si>
  <si>
    <t>Total Mão de Obra</t>
  </si>
  <si>
    <t>2 – ENCARGOS SOCIAIS INCIDENTES SOBRE A REMUNERAÇÃO (R$)</t>
  </si>
  <si>
    <t>Total da Remuneração para cálculo dos encargos sociais</t>
  </si>
  <si>
    <t>Grupo A</t>
  </si>
  <si>
    <t>A.01 INSS</t>
  </si>
  <si>
    <t>A.02 FGTS</t>
  </si>
  <si>
    <t>A.03 SESI/SESC</t>
  </si>
  <si>
    <t>A.04 SENAI/SENAC</t>
  </si>
  <si>
    <t>A.05 INCRA</t>
  </si>
  <si>
    <t>A.06 SEBRAE</t>
  </si>
  <si>
    <t>A.07 Salário Educação</t>
  </si>
  <si>
    <t>A.08 Riscos Ambientais do Trabalho – RAT x FAP</t>
  </si>
  <si>
    <t>Total Grupo A</t>
  </si>
  <si>
    <t>Grupo B</t>
  </si>
  <si>
    <t>Descrição</t>
  </si>
  <si>
    <t>Percentual</t>
  </si>
  <si>
    <t>Valor</t>
  </si>
  <si>
    <t>B.01 13º Salário</t>
  </si>
  <si>
    <t>B.03 Aviso Prévio Trabalhado</t>
  </si>
  <si>
    <t>B.04 Auxílio Doença</t>
  </si>
  <si>
    <t>B.05 Acidente de Trabalho</t>
  </si>
  <si>
    <t>B.06 Faltas Legais</t>
  </si>
  <si>
    <t>B.07 Férias sobre Licença Maternidade</t>
  </si>
  <si>
    <t>B.08 Licença Paternidade</t>
  </si>
  <si>
    <t>Total Grupo B</t>
  </si>
  <si>
    <t>Grupo C</t>
  </si>
  <si>
    <t>C.01 Aviso Prévio Indenizado</t>
  </si>
  <si>
    <t>C.02 Indenização Adicional</t>
  </si>
  <si>
    <t>C.03 Indenização (rescisão sem justa causa – multa de 40% do FGTS)</t>
  </si>
  <si>
    <t>C.04 Indenização (rescisão sem justa causa – contribuição de 10% do FGTS)</t>
  </si>
  <si>
    <t>Total Grupo C</t>
  </si>
  <si>
    <t>Grupo D</t>
  </si>
  <si>
    <t>D.01 Incidência dos encargos do grupo A sobre o grupo B</t>
  </si>
  <si>
    <t>Total Grupo D</t>
  </si>
  <si>
    <t>Grupo E</t>
  </si>
  <si>
    <t>E.01 Incidência do FGTS exclusivamente sobre o aviso prévio indenizado</t>
  </si>
  <si>
    <t>E.02 Incidência do FGTS exclusivamente sobre o período médio de afastamento superior a 15 dias motivado por acidente do trabalho</t>
  </si>
  <si>
    <t>Total Grupo E</t>
  </si>
  <si>
    <t>Grupo F</t>
  </si>
  <si>
    <t xml:space="preserve">F.01 Incidência dos encargos do Grupo A sobre os valores constantes da base de cálculo referente ao salário maternidade </t>
  </si>
  <si>
    <t>Total Grupo F</t>
  </si>
  <si>
    <t>TOTAL - ENCARGOS SOCIAIS (R$)</t>
  </si>
  <si>
    <t>QTD</t>
  </si>
  <si>
    <t>R$ total</t>
  </si>
  <si>
    <t>Mensal</t>
  </si>
  <si>
    <t>total</t>
  </si>
  <si>
    <t>Especificações</t>
  </si>
  <si>
    <t>custo total</t>
  </si>
  <si>
    <t>%</t>
  </si>
  <si>
    <t>Total antes dos Impostos</t>
  </si>
  <si>
    <t>ISS</t>
  </si>
  <si>
    <t>R$ Unid.</t>
  </si>
  <si>
    <t>6 - Impostos</t>
  </si>
  <si>
    <t>PIS</t>
  </si>
  <si>
    <t>COFINS</t>
  </si>
  <si>
    <t xml:space="preserve">Discriminação  </t>
  </si>
  <si>
    <t>1 - MÃO DE OBRA</t>
  </si>
  <si>
    <t>Custo total mensal</t>
  </si>
  <si>
    <t>TOTAL DAS DESPESAS OPERACIONAIS/PROVISÕES/ENCARGOS SOCIAIS-TRABALHISTAS-PREVIDENCIARIOS</t>
  </si>
  <si>
    <t>Total de Impostos/Tributos</t>
  </si>
  <si>
    <t>Insalubridade</t>
  </si>
  <si>
    <t>Valor total da insalubridade</t>
  </si>
  <si>
    <t>Valor unitário da insalubridade</t>
  </si>
  <si>
    <t>R$</t>
  </si>
  <si>
    <t>Custo Total Mensal antes do Lucro</t>
  </si>
  <si>
    <t>Base de Cálculo Insalubridade STF</t>
  </si>
  <si>
    <t>B.02 1/3 constitucional</t>
  </si>
  <si>
    <t>3 - UNIFORMES E INSUMOS/VALE ALIMENTAÇÃO E OUTROS</t>
  </si>
  <si>
    <t>Total EPIs e Uniformes/ Vale Alimentação e outros</t>
  </si>
  <si>
    <t>Vale Alimentação mensal - desconto 20%</t>
  </si>
  <si>
    <t>Total das Despesas Operacionais/Provisões/Encargos Sociais-Trabalhistas - Previdenciários e Uniformes EPIs e Vale Alimentação</t>
  </si>
  <si>
    <t>5 - Lucratividade + Despesas Administrativa</t>
  </si>
  <si>
    <t>Total de Lucratividade e Despesas Administrativa</t>
  </si>
  <si>
    <t>4 - Despesas remuneratórias e indenizatórias</t>
  </si>
  <si>
    <t>Auxílio Morte/Funeral</t>
  </si>
  <si>
    <t>Calça de Brim / Jeans</t>
  </si>
  <si>
    <t>Benefício Assistência Médica</t>
  </si>
  <si>
    <t>Benefício Social Familar</t>
  </si>
  <si>
    <t>Unidades</t>
  </si>
  <si>
    <t>VALOR POR EMPREGADO</t>
  </si>
  <si>
    <t>VALOR TOTAL MENSAL</t>
  </si>
  <si>
    <t>VALOR GLOBAL</t>
  </si>
  <si>
    <t>Gratificação contratual</t>
  </si>
  <si>
    <t>Sapato</t>
  </si>
  <si>
    <t xml:space="preserve">PLANILHA DE CUSTOS E FORMAÇÃO DE PREÇOS </t>
  </si>
  <si>
    <t>Camisa tipo gola polo Malha 100% Algodão/MC</t>
  </si>
  <si>
    <t>VALOR DO POSTO</t>
  </si>
  <si>
    <t>Jaleco</t>
  </si>
  <si>
    <t>Bota/PVC</t>
  </si>
  <si>
    <t>Trimestral</t>
  </si>
  <si>
    <t>B.09 Férias Titular</t>
  </si>
  <si>
    <t>Crachá</t>
  </si>
  <si>
    <t>Luvas</t>
  </si>
  <si>
    <t>Óculos de preteção</t>
  </si>
  <si>
    <t>Total Unid. Salário Base 40 horas semanais</t>
  </si>
  <si>
    <t>Vale Alimentação Férias</t>
  </si>
  <si>
    <t>Auxiliar de Serviços Gerais C/Copeiragem C/Insalubridade - Diurno - 44 Horas Semanais</t>
  </si>
  <si>
    <t>SAMAE - IBIPORÃ-PR</t>
  </si>
  <si>
    <t>Salário Normativo CCT PR 000753/2025/2026 - SINEEPRES/SINDEPRESTEM/PR</t>
  </si>
  <si>
    <t>Total da Remuneração + Insalubridade - CCT PR 000753/2025/2026 SINEEPRES/SINDEPRESTEM</t>
  </si>
  <si>
    <t>Vale Transporte = (R$ 5,70*2*22)-(6% sobre o salário base = R$ 96,21</t>
  </si>
  <si>
    <t xml:space="preserve">PLANILHA DE COMPOSIÇÃO DE CUSTOS E FORMAÇÃO DE PREÇOS UNITÁRIOS </t>
  </si>
  <si>
    <t>IDENTIFICAÇÃO DOS SERVIÇOS</t>
  </si>
  <si>
    <t>Tipo de Serviço</t>
  </si>
  <si>
    <t>Unidade de medida</t>
  </si>
  <si>
    <t>Quantidade total a contratar (em função da unidade de medida)</t>
  </si>
  <si>
    <t>VIGÍA diurno  SDF- Escala 12 x 36</t>
  </si>
  <si>
    <t>Posto de Trabalho</t>
  </si>
  <si>
    <t>I - SALÁRIO NORMATIVO DO PROFISSIONAL 44 HS (R$)</t>
  </si>
  <si>
    <t>CCT PR000063/2026 - SIEMACO</t>
  </si>
  <si>
    <t>II - COMPOSIÇÃO DA REMUNERAÇÃO (R$)</t>
  </si>
  <si>
    <t>Salário-base - trabalhado semanal - 44 hs - escala 12x36</t>
  </si>
  <si>
    <t>Adicional de Risco - Cláusula Décima Primeira</t>
  </si>
  <si>
    <t>ADICIONAL NOTURNO - NÃO SE APLICA</t>
  </si>
  <si>
    <t>ADICIONAL DE HORA NOTURNA REDUZIDA  - NÃO SE APLICA</t>
  </si>
  <si>
    <t>TOTAL DA REMUNERAÇÃO (R$)</t>
  </si>
  <si>
    <t>III - ENCARGOS SOCIAIS INCIDENTES SOBRE A REMUNERAÇÃO (R$)</t>
  </si>
  <si>
    <t>GRUPO A</t>
  </si>
  <si>
    <t xml:space="preserve">TOTAL - GRUPO A </t>
  </si>
  <si>
    <t>GRUPO B</t>
  </si>
  <si>
    <t>B.02 Férias (Incluindo 1/3 constitucional)</t>
  </si>
  <si>
    <t>TOTAL - GRUPO B</t>
  </si>
  <si>
    <t>GRUPO C</t>
  </si>
  <si>
    <t>TOTAL - GRUPO C</t>
  </si>
  <si>
    <t>GRUPO D</t>
  </si>
  <si>
    <t>TOTAL - GRUPO D</t>
  </si>
  <si>
    <t>GRUPO E</t>
  </si>
  <si>
    <t>TOTAL - GRUPO E</t>
  </si>
  <si>
    <t>GRUPO F</t>
  </si>
  <si>
    <t>TOTAL - GRUPO F</t>
  </si>
  <si>
    <t>VALOR TOTAL DE REMUNERAÇÃO + ENCARGOS SOCIAIS (R$)</t>
  </si>
  <si>
    <t>IV - INSUMOS</t>
  </si>
  <si>
    <t>EPI / Uniforme</t>
  </si>
  <si>
    <t>Auxílio alimentação CLÁUSULA DÉCIMA TERCEIRA - CONCESSÃO DE TÍQUETE-ALIMENTAÇÃO - R$ 30,00 x 11 = 330,00</t>
  </si>
  <si>
    <t>Desconto legal - (20% sobre o valor do Auxílio Alimentação)</t>
  </si>
  <si>
    <t>Vale Transporte  [(15 x 2 x (R$ 5,95 )]</t>
  </si>
  <si>
    <t>Desconto legal sobre transporte (máximo 6% do salário-base)</t>
  </si>
  <si>
    <t>BENEFÍCIO ASSISTÊNCIA MÉDICA - Cláusula Décima Sexta</t>
  </si>
  <si>
    <t>BENEFÍCIO SOCIAL FAMILIAR - Cláusula Décima Sétima</t>
  </si>
  <si>
    <t>TOTAL - INSUMOS (R$)</t>
  </si>
  <si>
    <t>VALOR TOTAL DE REMUNERAÇÃO + ENCARGOS SOCIAIS + INSUMOS (R$)</t>
  </si>
  <si>
    <t>V - LUCRO E DESPESAS INDIRETAS (LDI)</t>
  </si>
  <si>
    <t>Despesas Administrativas/Operacionais</t>
  </si>
  <si>
    <t>Lucro</t>
  </si>
  <si>
    <t>Total - Despesas Administrativas/Operacionais + Lucro</t>
  </si>
  <si>
    <t>ISSQN ou ISS</t>
  </si>
  <si>
    <t>TOTAL - Impostos</t>
  </si>
  <si>
    <t>% Total - LDI</t>
  </si>
  <si>
    <t>PREÇO MENSAL PARA 1 (UM) POSTO (R$)</t>
  </si>
  <si>
    <t xml:space="preserve"> </t>
  </si>
  <si>
    <t>PREÇO ANUAL PARA 1 (UM) POSTO (R$)</t>
  </si>
  <si>
    <t>POSTO DE VIGIlANTE - SDF</t>
  </si>
  <si>
    <t>VIGÍA noturno - Escala 12 x 36</t>
  </si>
  <si>
    <t>CCT UTILIZADA PR000063/2026 - SIEMACO</t>
  </si>
  <si>
    <t>ADICIONAL NOTURNO</t>
  </si>
  <si>
    <t xml:space="preserve">ADICIONAL DE HORA NOTURNA REDUZIDA </t>
  </si>
  <si>
    <t>EPI / Uniforme - reajuste IPCA 12 meses R$ 65,50 x 4,83% = R$ 68,66</t>
  </si>
  <si>
    <t>Auxílio alimentação CLÁUSULA DÉCIMA TERCEIRA - CONCESSÃO DE TÍQUETE-ALIMENTAÇÃO</t>
  </si>
  <si>
    <t>Auxílio alimentação FÉRIAS</t>
  </si>
  <si>
    <t>PREÇO MENSAL MÉDIO PARA 2 (DOIS) POSTOS (R$)</t>
  </si>
  <si>
    <t>PREÇO ANUAL PARA 2 (DOIS) POSTOS (R$)</t>
  </si>
  <si>
    <t>POSTO DE VIGILANTE NOTURNO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</si>
</sst>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7" formatCode="&quot;R$&quot;\ #,##0.00;\-&quot;R$&quot;\ #,##0.00"/>
    <numFmt numFmtId="164" formatCode="_(&quot;R$&quot;* #,##0.00_);_(&quot;R$&quot;* \(#,##0.00\);_(&quot;R$&quot;* \-??_);_(@_)"/>
    <numFmt numFmtId="165" formatCode="_(* #,##0.00_);_(* \(#,##0.00\);_(* \-??_);_(@_)"/>
    <numFmt numFmtId="166" formatCode="_-* #,##0.00_-;\-* #,##0.00_-;_-* \-??_-;_-@_-"/>
    <numFmt numFmtId="167" formatCode="_-* #,##0_-;\-* #,##0_-;_-* \-??_-;_-@_-"/>
    <numFmt numFmtId="168" formatCode="0.0%"/>
    <numFmt numFmtId="169" formatCode="_-&quot;R$ &quot;* #,##0.00_-;&quot;-R$ &quot;* #,##0.00_-;_-&quot;R$ &quot;* \-??_-;_-@_-"/>
    <numFmt numFmtId="170" formatCode="0.000%"/>
    <numFmt numFmtId="171" formatCode="[$R$-416]\ #,##0.00;[Red]\-[$R$-416]\ #,##0.00"/>
    <numFmt numFmtId="172" formatCode="_-[$R$-416]\ * #,##0.00_-;\-[$R$-416]\ * #,##0.00_-;_-[$R$-416]\ * &quot;-&quot;??_-;_-@_-"/>
  </numFmts>
  <fonts count="23" x14ac:knownFonts="1">
    <font>
      <sz val="11"/>
      <color indexed="8"/>
      <name val="Calibri"/>
      <family val="2"/>
    </font>
    <font>
      <sz val="10"/>
      <name val="Arial"/>
      <family val="2"/>
    </font>
    <font>
      <sz val="9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Courier New"/>
      <family val="3"/>
    </font>
    <font>
      <b/>
      <sz val="10"/>
      <color indexed="8"/>
      <name val="Courier New"/>
      <family val="3"/>
    </font>
    <font>
      <b/>
      <sz val="10"/>
      <color indexed="8"/>
      <name val="Courier New"/>
      <family val="1"/>
    </font>
    <font>
      <sz val="10"/>
      <color indexed="8"/>
      <name val="Calibri"/>
      <family val="2"/>
    </font>
    <font>
      <b/>
      <sz val="10"/>
      <name val="Courier New"/>
      <family val="1"/>
    </font>
    <font>
      <b/>
      <sz val="10"/>
      <color theme="1"/>
      <name val="Courier New"/>
      <family val="1"/>
    </font>
    <font>
      <sz val="10"/>
      <color theme="1"/>
      <name val="Courier New"/>
      <family val="1"/>
    </font>
    <font>
      <b/>
      <sz val="10"/>
      <color rgb="FF000000"/>
      <name val="Courier New"/>
      <family val="3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</font>
    <font>
      <b/>
      <sz val="10"/>
      <color rgb="FFFF0000"/>
      <name val="Courier New"/>
      <family val="1"/>
    </font>
    <font>
      <sz val="9"/>
      <color theme="0"/>
      <name val="Calibri"/>
      <family val="2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23"/>
        <bgColor indexed="5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42">
    <border>
      <left/>
      <right/>
      <top/>
      <bottom/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169" fontId="3" fillId="0" borderId="0" applyFill="0" applyBorder="0" applyAlignment="0" applyProtection="0"/>
    <xf numFmtId="164" fontId="3" fillId="0" borderId="0" applyFill="0" applyBorder="0" applyAlignment="0" applyProtection="0"/>
    <xf numFmtId="0" fontId="1" fillId="0" borderId="0"/>
    <xf numFmtId="0" fontId="1" fillId="0" borderId="0"/>
    <xf numFmtId="9" fontId="3" fillId="0" borderId="0" applyFill="0" applyBorder="0" applyAlignment="0" applyProtection="0"/>
    <xf numFmtId="9" fontId="3" fillId="0" borderId="0" applyFill="0" applyBorder="0" applyAlignment="0" applyProtection="0"/>
    <xf numFmtId="165" fontId="3" fillId="0" borderId="0" applyFill="0" applyBorder="0" applyAlignment="0" applyProtection="0"/>
    <xf numFmtId="166" fontId="3" fillId="0" borderId="0" applyFill="0" applyBorder="0" applyAlignment="0" applyProtection="0"/>
    <xf numFmtId="165" fontId="3" fillId="0" borderId="0" applyFill="0" applyBorder="0" applyAlignment="0" applyProtection="0"/>
  </cellStyleXfs>
  <cellXfs count="536">
    <xf numFmtId="0" fontId="0" fillId="0" borderId="0" xfId="0"/>
    <xf numFmtId="0" fontId="2" fillId="0" borderId="0" xfId="0" applyFont="1"/>
    <xf numFmtId="166" fontId="2" fillId="0" borderId="0" xfId="8" applyFont="1" applyFill="1" applyBorder="1" applyAlignment="1" applyProtection="1"/>
    <xf numFmtId="167" fontId="2" fillId="0" borderId="0" xfId="8" applyNumberFormat="1" applyFont="1" applyFill="1" applyBorder="1" applyAlignment="1" applyProtection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0" xfId="0" applyFont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166" fontId="4" fillId="0" borderId="5" xfId="8" applyFont="1" applyFill="1" applyBorder="1" applyAlignment="1" applyProtection="1">
      <alignment horizontal="center" vertical="center" textRotation="90"/>
    </xf>
    <xf numFmtId="7" fontId="4" fillId="2" borderId="6" xfId="8" applyNumberFormat="1" applyFont="1" applyFill="1" applyBorder="1" applyAlignment="1" applyProtection="1">
      <alignment horizontal="center" vertical="center"/>
    </xf>
    <xf numFmtId="7" fontId="4" fillId="0" borderId="6" xfId="8" applyNumberFormat="1" applyFont="1" applyFill="1" applyBorder="1" applyAlignment="1" applyProtection="1">
      <alignment horizontal="center" vertical="center"/>
    </xf>
    <xf numFmtId="0" fontId="5" fillId="5" borderId="7" xfId="0" applyFont="1" applyFill="1" applyBorder="1" applyAlignment="1">
      <alignment horizontal="center"/>
    </xf>
    <xf numFmtId="7" fontId="5" fillId="0" borderId="8" xfId="8" applyNumberFormat="1" applyFont="1" applyFill="1" applyBorder="1" applyAlignment="1" applyProtection="1"/>
    <xf numFmtId="9" fontId="5" fillId="0" borderId="9" xfId="8" applyNumberFormat="1" applyFont="1" applyFill="1" applyBorder="1" applyAlignment="1" applyProtection="1">
      <alignment horizontal="center"/>
    </xf>
    <xf numFmtId="7" fontId="5" fillId="0" borderId="9" xfId="8" applyNumberFormat="1" applyFont="1" applyFill="1" applyBorder="1" applyAlignment="1" applyProtection="1"/>
    <xf numFmtId="0" fontId="5" fillId="6" borderId="10" xfId="0" applyFont="1" applyFill="1" applyBorder="1" applyAlignment="1">
      <alignment horizontal="left" wrapText="1"/>
    </xf>
    <xf numFmtId="0" fontId="5" fillId="6" borderId="0" xfId="0" applyFont="1" applyFill="1" applyAlignment="1">
      <alignment horizontal="left" wrapText="1"/>
    </xf>
    <xf numFmtId="0" fontId="4" fillId="0" borderId="11" xfId="0" applyFont="1" applyBorder="1" applyAlignment="1">
      <alignment horizontal="center"/>
    </xf>
    <xf numFmtId="166" fontId="4" fillId="0" borderId="5" xfId="8" applyFont="1" applyFill="1" applyBorder="1" applyAlignment="1" applyProtection="1"/>
    <xf numFmtId="169" fontId="4" fillId="0" borderId="11" xfId="1" applyFont="1" applyFill="1" applyBorder="1" applyAlignment="1" applyProtection="1">
      <alignment horizontal="center"/>
    </xf>
    <xf numFmtId="169" fontId="5" fillId="0" borderId="12" xfId="1" applyFont="1" applyFill="1" applyBorder="1" applyAlignment="1" applyProtection="1"/>
    <xf numFmtId="0" fontId="5" fillId="0" borderId="11" xfId="0" applyFont="1" applyBorder="1" applyAlignment="1">
      <alignment horizontal="center"/>
    </xf>
    <xf numFmtId="171" fontId="4" fillId="0" borderId="11" xfId="0" applyNumberFormat="1" applyFont="1" applyBorder="1"/>
    <xf numFmtId="166" fontId="5" fillId="0" borderId="13" xfId="8" applyFont="1" applyFill="1" applyBorder="1" applyAlignment="1" applyProtection="1"/>
    <xf numFmtId="7" fontId="5" fillId="3" borderId="14" xfId="8" applyNumberFormat="1" applyFont="1" applyFill="1" applyBorder="1" applyAlignment="1" applyProtection="1"/>
    <xf numFmtId="167" fontId="4" fillId="0" borderId="15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6" fontId="4" fillId="0" borderId="15" xfId="8" applyFont="1" applyFill="1" applyBorder="1" applyAlignment="1" applyProtection="1">
      <alignment horizontal="center"/>
    </xf>
    <xf numFmtId="10" fontId="5" fillId="0" borderId="4" xfId="5" applyNumberFormat="1" applyFont="1" applyFill="1" applyBorder="1" applyAlignment="1" applyProtection="1">
      <alignment horizontal="center"/>
    </xf>
    <xf numFmtId="7" fontId="4" fillId="0" borderId="5" xfId="8" applyNumberFormat="1" applyFont="1" applyFill="1" applyBorder="1" applyAlignment="1" applyProtection="1"/>
    <xf numFmtId="0" fontId="5" fillId="0" borderId="16" xfId="0" applyFont="1" applyBorder="1"/>
    <xf numFmtId="10" fontId="5" fillId="0" borderId="17" xfId="0" applyNumberFormat="1" applyFont="1" applyBorder="1" applyAlignment="1">
      <alignment horizontal="center"/>
    </xf>
    <xf numFmtId="7" fontId="5" fillId="0" borderId="12" xfId="8" applyNumberFormat="1" applyFont="1" applyFill="1" applyBorder="1" applyAlignment="1" applyProtection="1"/>
    <xf numFmtId="172" fontId="5" fillId="0" borderId="18" xfId="0" applyNumberFormat="1" applyFont="1" applyBorder="1"/>
    <xf numFmtId="172" fontId="6" fillId="0" borderId="9" xfId="0" applyNumberFormat="1" applyFont="1" applyBorder="1" applyAlignment="1">
      <alignment horizontal="center"/>
    </xf>
    <xf numFmtId="172" fontId="5" fillId="0" borderId="19" xfId="8" applyNumberFormat="1" applyFont="1" applyFill="1" applyBorder="1" applyAlignment="1" applyProtection="1"/>
    <xf numFmtId="172" fontId="5" fillId="0" borderId="9" xfId="0" applyNumberFormat="1" applyFont="1" applyBorder="1"/>
    <xf numFmtId="166" fontId="6" fillId="0" borderId="5" xfId="8" applyFont="1" applyFill="1" applyBorder="1" applyAlignment="1" applyProtection="1">
      <alignment horizontal="center"/>
    </xf>
    <xf numFmtId="166" fontId="4" fillId="0" borderId="20" xfId="8" applyFont="1" applyFill="1" applyBorder="1" applyAlignment="1" applyProtection="1"/>
    <xf numFmtId="169" fontId="4" fillId="0" borderId="21" xfId="1" applyFont="1" applyFill="1" applyBorder="1" applyAlignment="1" applyProtection="1">
      <alignment horizontal="center"/>
    </xf>
    <xf numFmtId="169" fontId="4" fillId="0" borderId="22" xfId="1" applyFont="1" applyFill="1" applyBorder="1" applyAlignment="1" applyProtection="1">
      <alignment horizontal="center"/>
    </xf>
    <xf numFmtId="7" fontId="5" fillId="0" borderId="8" xfId="8" applyNumberFormat="1" applyFont="1" applyFill="1" applyBorder="1" applyAlignment="1" applyProtection="1">
      <alignment horizontal="center"/>
    </xf>
    <xf numFmtId="7" fontId="5" fillId="0" borderId="9" xfId="8" applyNumberFormat="1" applyFont="1" applyFill="1" applyBorder="1" applyAlignment="1" applyProtection="1">
      <alignment horizontal="right"/>
    </xf>
    <xf numFmtId="7" fontId="5" fillId="0" borderId="23" xfId="8" applyNumberFormat="1" applyFont="1" applyFill="1" applyBorder="1" applyAlignment="1" applyProtection="1">
      <alignment horizontal="right"/>
    </xf>
    <xf numFmtId="166" fontId="6" fillId="0" borderId="12" xfId="8" applyFont="1" applyFill="1" applyBorder="1" applyAlignment="1" applyProtection="1"/>
    <xf numFmtId="0" fontId="4" fillId="0" borderId="22" xfId="8" applyNumberFormat="1" applyFont="1" applyFill="1" applyBorder="1" applyAlignment="1" applyProtection="1">
      <alignment horizontal="center"/>
    </xf>
    <xf numFmtId="0" fontId="4" fillId="0" borderId="21" xfId="8" applyNumberFormat="1" applyFont="1" applyFill="1" applyBorder="1" applyAlignment="1" applyProtection="1">
      <alignment horizontal="center"/>
    </xf>
    <xf numFmtId="0" fontId="4" fillId="0" borderId="11" xfId="8" applyNumberFormat="1" applyFont="1" applyFill="1" applyBorder="1" applyAlignment="1" applyProtection="1">
      <alignment horizontal="center"/>
    </xf>
    <xf numFmtId="7" fontId="5" fillId="0" borderId="7" xfId="8" applyNumberFormat="1" applyFont="1" applyFill="1" applyBorder="1" applyAlignment="1" applyProtection="1"/>
    <xf numFmtId="0" fontId="4" fillId="0" borderId="2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166" fontId="4" fillId="0" borderId="24" xfId="8" applyFont="1" applyFill="1" applyBorder="1" applyAlignment="1" applyProtection="1"/>
    <xf numFmtId="10" fontId="5" fillId="5" borderId="4" xfId="5" applyNumberFormat="1" applyFont="1" applyFill="1" applyBorder="1" applyAlignment="1" applyProtection="1">
      <alignment horizontal="center"/>
    </xf>
    <xf numFmtId="172" fontId="6" fillId="0" borderId="19" xfId="0" applyNumberFormat="1" applyFont="1" applyBorder="1" applyAlignment="1">
      <alignment horizontal="center"/>
    </xf>
    <xf numFmtId="7" fontId="5" fillId="0" borderId="25" xfId="8" applyNumberFormat="1" applyFont="1" applyFill="1" applyBorder="1" applyAlignment="1" applyProtection="1">
      <alignment horizontal="center"/>
    </xf>
    <xf numFmtId="0" fontId="4" fillId="0" borderId="26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textRotation="90"/>
    </xf>
    <xf numFmtId="0" fontId="4" fillId="0" borderId="9" xfId="0" applyFont="1" applyBorder="1" applyAlignment="1">
      <alignment horizontal="center" vertical="center"/>
    </xf>
    <xf numFmtId="170" fontId="7" fillId="2" borderId="6" xfId="5" applyNumberFormat="1" applyFont="1" applyFill="1" applyBorder="1" applyAlignment="1" applyProtection="1">
      <alignment horizontal="center" vertical="center"/>
    </xf>
    <xf numFmtId="7" fontId="6" fillId="0" borderId="6" xfId="8" applyNumberFormat="1" applyFont="1" applyFill="1" applyBorder="1" applyAlignment="1" applyProtection="1">
      <alignment horizontal="center" vertical="center"/>
    </xf>
    <xf numFmtId="7" fontId="6" fillId="2" borderId="6" xfId="8" applyNumberFormat="1" applyFont="1" applyFill="1" applyBorder="1" applyAlignment="1" applyProtection="1">
      <alignment horizontal="center" vertical="center"/>
    </xf>
    <xf numFmtId="7" fontId="6" fillId="2" borderId="28" xfId="8" applyNumberFormat="1" applyFont="1" applyFill="1" applyBorder="1" applyAlignment="1" applyProtection="1">
      <alignment horizontal="right" vertical="center"/>
    </xf>
    <xf numFmtId="0" fontId="4" fillId="0" borderId="73" xfId="0" applyFont="1" applyBorder="1" applyAlignment="1">
      <alignment horizontal="left"/>
    </xf>
    <xf numFmtId="0" fontId="4" fillId="0" borderId="89" xfId="0" applyFont="1" applyBorder="1" applyAlignment="1">
      <alignment horizontal="left"/>
    </xf>
    <xf numFmtId="0" fontId="4" fillId="0" borderId="57" xfId="0" applyFont="1" applyBorder="1" applyAlignment="1">
      <alignment horizontal="left"/>
    </xf>
    <xf numFmtId="0" fontId="4" fillId="0" borderId="53" xfId="0" applyFont="1" applyBorder="1" applyAlignment="1">
      <alignment horizontal="left"/>
    </xf>
    <xf numFmtId="0" fontId="4" fillId="0" borderId="55" xfId="0" applyFont="1" applyBorder="1" applyAlignment="1">
      <alignment horizontal="left"/>
    </xf>
    <xf numFmtId="0" fontId="4" fillId="0" borderId="90" xfId="0" applyFont="1" applyBorder="1" applyAlignment="1">
      <alignment horizontal="left"/>
    </xf>
    <xf numFmtId="172" fontId="5" fillId="0" borderId="21" xfId="0" applyNumberFormat="1" applyFont="1" applyBorder="1" applyAlignment="1">
      <alignment horizontal="center"/>
    </xf>
    <xf numFmtId="10" fontId="4" fillId="0" borderId="91" xfId="0" applyNumberFormat="1" applyFont="1" applyBorder="1" applyAlignment="1">
      <alignment horizontal="center"/>
    </xf>
    <xf numFmtId="10" fontId="4" fillId="0" borderId="92" xfId="0" applyNumberFormat="1" applyFont="1" applyBorder="1" applyAlignment="1">
      <alignment horizontal="center"/>
    </xf>
    <xf numFmtId="10" fontId="4" fillId="0" borderId="93" xfId="0" applyNumberFormat="1" applyFont="1" applyBorder="1" applyAlignment="1">
      <alignment horizontal="center"/>
    </xf>
    <xf numFmtId="10" fontId="4" fillId="0" borderId="94" xfId="0" applyNumberFormat="1" applyFont="1" applyBorder="1" applyAlignment="1">
      <alignment horizontal="center"/>
    </xf>
    <xf numFmtId="0" fontId="5" fillId="0" borderId="76" xfId="0" applyFont="1" applyBorder="1" applyAlignment="1">
      <alignment horizontal="left"/>
    </xf>
    <xf numFmtId="0" fontId="5" fillId="0" borderId="77" xfId="0" applyFont="1" applyBorder="1" applyAlignment="1">
      <alignment horizontal="left"/>
    </xf>
    <xf numFmtId="0" fontId="5" fillId="0" borderId="78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47" xfId="0" applyFont="1" applyBorder="1" applyAlignment="1">
      <alignment horizontal="left"/>
    </xf>
    <xf numFmtId="0" fontId="5" fillId="0" borderId="95" xfId="0" applyFont="1" applyBorder="1" applyAlignment="1">
      <alignment horizontal="left"/>
    </xf>
    <xf numFmtId="0" fontId="5" fillId="0" borderId="96" xfId="0" applyFont="1" applyBorder="1" applyAlignment="1">
      <alignment horizontal="left"/>
    </xf>
    <xf numFmtId="0" fontId="4" fillId="0" borderId="97" xfId="0" applyFont="1" applyBorder="1" applyAlignment="1">
      <alignment horizontal="center"/>
    </xf>
    <xf numFmtId="0" fontId="4" fillId="0" borderId="87" xfId="0" applyFont="1" applyBorder="1" applyAlignment="1">
      <alignment horizontal="center"/>
    </xf>
    <xf numFmtId="0" fontId="4" fillId="0" borderId="98" xfId="0" applyFont="1" applyBorder="1" applyAlignment="1">
      <alignment horizontal="center"/>
    </xf>
    <xf numFmtId="0" fontId="5" fillId="0" borderId="7" xfId="0" applyFont="1" applyBorder="1" applyAlignment="1">
      <alignment horizontal="left"/>
    </xf>
    <xf numFmtId="0" fontId="5" fillId="0" borderId="99" xfId="0" applyFont="1" applyBorder="1" applyAlignment="1">
      <alignment horizontal="left"/>
    </xf>
    <xf numFmtId="0" fontId="5" fillId="0" borderId="84" xfId="0" applyFont="1" applyBorder="1" applyAlignment="1">
      <alignment horizontal="left"/>
    </xf>
    <xf numFmtId="0" fontId="5" fillId="3" borderId="79" xfId="0" applyFont="1" applyFill="1" applyBorder="1" applyAlignment="1">
      <alignment horizontal="left"/>
    </xf>
    <xf numFmtId="0" fontId="5" fillId="3" borderId="100" xfId="0" applyFont="1" applyFill="1" applyBorder="1" applyAlignment="1">
      <alignment horizontal="left"/>
    </xf>
    <xf numFmtId="0" fontId="4" fillId="0" borderId="35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4" fillId="0" borderId="37" xfId="0" applyFont="1" applyBorder="1" applyAlignment="1">
      <alignment horizontal="center"/>
    </xf>
    <xf numFmtId="0" fontId="5" fillId="4" borderId="69" xfId="0" applyFont="1" applyFill="1" applyBorder="1" applyAlignment="1">
      <alignment horizontal="left"/>
    </xf>
    <xf numFmtId="0" fontId="5" fillId="4" borderId="70" xfId="0" applyFont="1" applyFill="1" applyBorder="1" applyAlignment="1">
      <alignment horizontal="left"/>
    </xf>
    <xf numFmtId="0" fontId="5" fillId="4" borderId="71" xfId="0" applyFont="1" applyFill="1" applyBorder="1" applyAlignment="1">
      <alignment horizontal="left"/>
    </xf>
    <xf numFmtId="0" fontId="4" fillId="0" borderId="51" xfId="0" applyFont="1" applyBorder="1"/>
    <xf numFmtId="0" fontId="4" fillId="0" borderId="72" xfId="0" applyFont="1" applyBorder="1"/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5" borderId="51" xfId="0" applyFont="1" applyFill="1" applyBorder="1" applyAlignment="1">
      <alignment wrapText="1"/>
    </xf>
    <xf numFmtId="0" fontId="5" fillId="5" borderId="72" xfId="0" applyFont="1" applyFill="1" applyBorder="1" applyAlignment="1">
      <alignment wrapText="1"/>
    </xf>
    <xf numFmtId="171" fontId="4" fillId="0" borderId="11" xfId="0" applyNumberFormat="1" applyFont="1" applyBorder="1" applyAlignment="1">
      <alignment horizontal="center"/>
    </xf>
    <xf numFmtId="171" fontId="4" fillId="0" borderId="27" xfId="0" applyNumberFormat="1" applyFont="1" applyBorder="1" applyAlignment="1">
      <alignment horizontal="center"/>
    </xf>
    <xf numFmtId="0" fontId="5" fillId="0" borderId="51" xfId="0" applyFont="1" applyBorder="1" applyAlignment="1">
      <alignment horizontal="left" wrapText="1"/>
    </xf>
    <xf numFmtId="0" fontId="5" fillId="0" borderId="4" xfId="0" applyFont="1" applyBorder="1" applyAlignment="1">
      <alignment horizontal="left" wrapText="1"/>
    </xf>
    <xf numFmtId="0" fontId="5" fillId="0" borderId="10" xfId="0" applyFont="1" applyBorder="1" applyAlignment="1">
      <alignment horizontal="left"/>
    </xf>
    <xf numFmtId="0" fontId="5" fillId="0" borderId="81" xfId="0" applyFont="1" applyBorder="1" applyAlignment="1">
      <alignment horizontal="left"/>
    </xf>
    <xf numFmtId="0" fontId="4" fillId="0" borderId="82" xfId="0" applyFont="1" applyBorder="1" applyAlignment="1">
      <alignment horizontal="center"/>
    </xf>
    <xf numFmtId="0" fontId="4" fillId="0" borderId="83" xfId="0" applyFont="1" applyBorder="1" applyAlignment="1">
      <alignment horizontal="center"/>
    </xf>
    <xf numFmtId="0" fontId="4" fillId="0" borderId="84" xfId="0" applyFont="1" applyBorder="1" applyAlignment="1">
      <alignment horizontal="center"/>
    </xf>
    <xf numFmtId="0" fontId="5" fillId="3" borderId="85" xfId="0" applyFont="1" applyFill="1" applyBorder="1" applyAlignment="1">
      <alignment horizontal="left"/>
    </xf>
    <xf numFmtId="0" fontId="5" fillId="3" borderId="86" xfId="0" applyFont="1" applyFill="1" applyBorder="1" applyAlignment="1">
      <alignment horizontal="left"/>
    </xf>
    <xf numFmtId="0" fontId="5" fillId="3" borderId="87" xfId="0" applyFont="1" applyFill="1" applyBorder="1" applyAlignment="1">
      <alignment horizontal="left"/>
    </xf>
    <xf numFmtId="0" fontId="5" fillId="3" borderId="88" xfId="0" applyFont="1" applyFill="1" applyBorder="1" applyAlignment="1">
      <alignment horizontal="left"/>
    </xf>
    <xf numFmtId="0" fontId="4" fillId="0" borderId="51" xfId="0" applyFont="1" applyBorder="1" applyAlignment="1">
      <alignment horizontal="left"/>
    </xf>
    <xf numFmtId="0" fontId="4" fillId="0" borderId="72" xfId="0" applyFont="1" applyBorder="1" applyAlignment="1">
      <alignment horizontal="left"/>
    </xf>
    <xf numFmtId="0" fontId="4" fillId="0" borderId="21" xfId="0" applyFont="1" applyBorder="1" applyAlignment="1">
      <alignment horizontal="center"/>
    </xf>
    <xf numFmtId="0" fontId="4" fillId="0" borderId="73" xfId="3" applyFont="1" applyBorder="1" applyAlignment="1">
      <alignment horizontal="left" wrapText="1"/>
    </xf>
    <xf numFmtId="0" fontId="4" fillId="0" borderId="15" xfId="3" applyFont="1" applyBorder="1" applyAlignment="1">
      <alignment horizontal="left" wrapText="1"/>
    </xf>
    <xf numFmtId="169" fontId="4" fillId="0" borderId="74" xfId="1" applyFont="1" applyFill="1" applyBorder="1" applyAlignment="1" applyProtection="1">
      <alignment horizontal="center"/>
    </xf>
    <xf numFmtId="169" fontId="4" fillId="0" borderId="15" xfId="1" applyFont="1" applyFill="1" applyBorder="1" applyAlignment="1" applyProtection="1">
      <alignment horizontal="center"/>
    </xf>
    <xf numFmtId="0" fontId="4" fillId="0" borderId="11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73" xfId="3" applyFont="1" applyBorder="1" applyAlignment="1">
      <alignment horizontal="left"/>
    </xf>
    <xf numFmtId="0" fontId="4" fillId="0" borderId="15" xfId="3" applyFont="1" applyBorder="1" applyAlignment="1">
      <alignment horizontal="left"/>
    </xf>
    <xf numFmtId="0" fontId="4" fillId="0" borderId="75" xfId="3" applyFont="1" applyBorder="1" applyAlignment="1">
      <alignment horizontal="left"/>
    </xf>
    <xf numFmtId="169" fontId="4" fillId="0" borderId="75" xfId="1" applyFont="1" applyFill="1" applyBorder="1" applyAlignment="1" applyProtection="1">
      <alignment horizontal="center"/>
    </xf>
    <xf numFmtId="0" fontId="5" fillId="5" borderId="76" xfId="0" applyFont="1" applyFill="1" applyBorder="1" applyAlignment="1">
      <alignment horizontal="left"/>
    </xf>
    <xf numFmtId="0" fontId="5" fillId="5" borderId="77" xfId="0" applyFont="1" applyFill="1" applyBorder="1" applyAlignment="1">
      <alignment horizontal="left"/>
    </xf>
    <xf numFmtId="0" fontId="5" fillId="5" borderId="78" xfId="0" applyFont="1" applyFill="1" applyBorder="1" applyAlignment="1">
      <alignment horizontal="left"/>
    </xf>
    <xf numFmtId="0" fontId="5" fillId="0" borderId="79" xfId="0" applyFont="1" applyBorder="1" applyAlignment="1">
      <alignment horizontal="left"/>
    </xf>
    <xf numFmtId="0" fontId="5" fillId="0" borderId="80" xfId="0" applyFont="1" applyBorder="1" applyAlignment="1">
      <alignment horizontal="left"/>
    </xf>
    <xf numFmtId="0" fontId="5" fillId="3" borderId="69" xfId="0" applyFont="1" applyFill="1" applyBorder="1" applyAlignment="1">
      <alignment horizontal="left"/>
    </xf>
    <xf numFmtId="0" fontId="5" fillId="3" borderId="70" xfId="0" applyFont="1" applyFill="1" applyBorder="1" applyAlignment="1">
      <alignment horizontal="left"/>
    </xf>
    <xf numFmtId="0" fontId="5" fillId="3" borderId="71" xfId="0" applyFont="1" applyFill="1" applyBorder="1" applyAlignment="1">
      <alignment horizontal="left"/>
    </xf>
    <xf numFmtId="0" fontId="4" fillId="0" borderId="27" xfId="3" applyFont="1" applyBorder="1" applyAlignment="1">
      <alignment horizontal="left"/>
    </xf>
    <xf numFmtId="169" fontId="4" fillId="0" borderId="11" xfId="1" applyFont="1" applyFill="1" applyBorder="1" applyAlignment="1" applyProtection="1">
      <alignment horizontal="center"/>
    </xf>
    <xf numFmtId="169" fontId="4" fillId="0" borderId="27" xfId="1" applyFont="1" applyFill="1" applyBorder="1" applyAlignment="1" applyProtection="1">
      <alignment horizontal="center"/>
    </xf>
    <xf numFmtId="0" fontId="4" fillId="0" borderId="27" xfId="3" applyFont="1" applyBorder="1" applyAlignment="1">
      <alignment horizontal="left" wrapText="1"/>
    </xf>
    <xf numFmtId="0" fontId="4" fillId="0" borderId="51" xfId="3" applyFont="1" applyBorder="1" applyAlignment="1">
      <alignment horizontal="left"/>
    </xf>
    <xf numFmtId="0" fontId="4" fillId="0" borderId="72" xfId="3" applyFont="1" applyBorder="1" applyAlignment="1">
      <alignment horizontal="left"/>
    </xf>
    <xf numFmtId="0" fontId="5" fillId="2" borderId="7" xfId="0" applyFont="1" applyFill="1" applyBorder="1" applyAlignment="1">
      <alignment horizontal="left" wrapText="1"/>
    </xf>
    <xf numFmtId="0" fontId="5" fillId="2" borderId="8" xfId="0" applyFont="1" applyFill="1" applyBorder="1" applyAlignment="1">
      <alignment horizontal="left" wrapText="1"/>
    </xf>
    <xf numFmtId="0" fontId="5" fillId="2" borderId="54" xfId="0" applyFont="1" applyFill="1" applyBorder="1" applyAlignment="1">
      <alignment horizontal="left" wrapText="1"/>
    </xf>
    <xf numFmtId="10" fontId="5" fillId="2" borderId="45" xfId="0" applyNumberFormat="1" applyFont="1" applyFill="1" applyBorder="1" applyAlignment="1">
      <alignment horizontal="center"/>
    </xf>
    <xf numFmtId="10" fontId="5" fillId="2" borderId="54" xfId="0" applyNumberFormat="1" applyFont="1" applyFill="1" applyBorder="1" applyAlignment="1">
      <alignment horizontal="center"/>
    </xf>
    <xf numFmtId="169" fontId="5" fillId="2" borderId="45" xfId="1" applyFont="1" applyFill="1" applyBorder="1" applyAlignment="1" applyProtection="1">
      <alignment horizontal="left" wrapText="1"/>
    </xf>
    <xf numFmtId="169" fontId="5" fillId="2" borderId="46" xfId="1" applyFont="1" applyFill="1" applyBorder="1" applyAlignment="1" applyProtection="1">
      <alignment horizontal="left" wrapText="1"/>
    </xf>
    <xf numFmtId="0" fontId="5" fillId="2" borderId="64" xfId="0" applyFont="1" applyFill="1" applyBorder="1" applyAlignment="1">
      <alignment horizontal="left" wrapText="1"/>
    </xf>
    <xf numFmtId="0" fontId="5" fillId="2" borderId="65" xfId="0" applyFont="1" applyFill="1" applyBorder="1" applyAlignment="1">
      <alignment horizontal="left" wrapText="1"/>
    </xf>
    <xf numFmtId="10" fontId="5" fillId="2" borderId="66" xfId="5" applyNumberFormat="1" applyFont="1" applyFill="1" applyBorder="1" applyAlignment="1" applyProtection="1">
      <alignment horizontal="center" wrapText="1"/>
    </xf>
    <xf numFmtId="10" fontId="5" fillId="2" borderId="67" xfId="5" applyNumberFormat="1" applyFont="1" applyFill="1" applyBorder="1" applyAlignment="1" applyProtection="1">
      <alignment horizontal="center" wrapText="1"/>
    </xf>
    <xf numFmtId="169" fontId="5" fillId="2" borderId="66" xfId="1" applyFont="1" applyFill="1" applyBorder="1" applyAlignment="1" applyProtection="1">
      <alignment horizontal="left" wrapText="1"/>
    </xf>
    <xf numFmtId="169" fontId="5" fillId="2" borderId="68" xfId="1" applyFont="1" applyFill="1" applyBorder="1" applyAlignment="1" applyProtection="1">
      <alignment horizontal="left" wrapText="1"/>
    </xf>
    <xf numFmtId="0" fontId="5" fillId="6" borderId="33" xfId="0" applyFont="1" applyFill="1" applyBorder="1" applyAlignment="1">
      <alignment horizontal="center" wrapText="1"/>
    </xf>
    <xf numFmtId="0" fontId="5" fillId="6" borderId="34" xfId="0" applyFont="1" applyFill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27" xfId="0" applyFont="1" applyBorder="1" applyAlignment="1">
      <alignment horizontal="center" wrapText="1"/>
    </xf>
    <xf numFmtId="0" fontId="4" fillId="2" borderId="52" xfId="0" applyFont="1" applyFill="1" applyBorder="1" applyAlignment="1">
      <alignment horizontal="left" wrapText="1"/>
    </xf>
    <xf numFmtId="0" fontId="4" fillId="2" borderId="6" xfId="0" applyFont="1" applyFill="1" applyBorder="1" applyAlignment="1">
      <alignment horizontal="left" wrapText="1"/>
    </xf>
    <xf numFmtId="10" fontId="4" fillId="2" borderId="22" xfId="0" applyNumberFormat="1" applyFont="1" applyFill="1" applyBorder="1" applyAlignment="1">
      <alignment horizontal="center" vertical="center"/>
    </xf>
    <xf numFmtId="10" fontId="4" fillId="2" borderId="26" xfId="0" applyNumberFormat="1" applyFont="1" applyFill="1" applyBorder="1" applyAlignment="1">
      <alignment horizontal="center" vertical="center"/>
    </xf>
    <xf numFmtId="169" fontId="4" fillId="2" borderId="22" xfId="1" applyFont="1" applyFill="1" applyBorder="1" applyAlignment="1" applyProtection="1">
      <alignment horizontal="left" wrapText="1"/>
    </xf>
    <xf numFmtId="169" fontId="4" fillId="2" borderId="13" xfId="1" applyFont="1" applyFill="1" applyBorder="1" applyAlignment="1" applyProtection="1">
      <alignment horizontal="left" wrapText="1"/>
    </xf>
    <xf numFmtId="10" fontId="5" fillId="2" borderId="45" xfId="0" applyNumberFormat="1" applyFont="1" applyFill="1" applyBorder="1" applyAlignment="1">
      <alignment horizontal="center" vertical="center"/>
    </xf>
    <xf numFmtId="10" fontId="5" fillId="2" borderId="54" xfId="0" applyNumberFormat="1" applyFont="1" applyFill="1" applyBorder="1" applyAlignment="1">
      <alignment horizontal="center" vertical="center"/>
    </xf>
    <xf numFmtId="0" fontId="5" fillId="2" borderId="45" xfId="0" applyFont="1" applyFill="1" applyBorder="1" applyAlignment="1">
      <alignment horizontal="left" wrapText="1"/>
    </xf>
    <xf numFmtId="0" fontId="5" fillId="2" borderId="46" xfId="0" applyFont="1" applyFill="1" applyBorder="1" applyAlignment="1">
      <alignment horizontal="left" wrapText="1"/>
    </xf>
    <xf numFmtId="0" fontId="4" fillId="2" borderId="60" xfId="0" applyFont="1" applyFill="1" applyBorder="1" applyAlignment="1">
      <alignment horizontal="left" wrapText="1"/>
    </xf>
    <xf numFmtId="0" fontId="4" fillId="2" borderId="61" xfId="0" applyFont="1" applyFill="1" applyBorder="1" applyAlignment="1">
      <alignment horizontal="left" wrapText="1"/>
    </xf>
    <xf numFmtId="10" fontId="4" fillId="2" borderId="62" xfId="0" applyNumberFormat="1" applyFont="1" applyFill="1" applyBorder="1" applyAlignment="1">
      <alignment horizontal="center"/>
    </xf>
    <xf numFmtId="10" fontId="4" fillId="2" borderId="63" xfId="0" applyNumberFormat="1" applyFont="1" applyFill="1" applyBorder="1" applyAlignment="1">
      <alignment horizontal="center"/>
    </xf>
    <xf numFmtId="169" fontId="4" fillId="2" borderId="62" xfId="1" applyFont="1" applyFill="1" applyBorder="1" applyAlignment="1" applyProtection="1">
      <alignment horizontal="left" wrapText="1"/>
    </xf>
    <xf numFmtId="169" fontId="4" fillId="2" borderId="28" xfId="1" applyFont="1" applyFill="1" applyBorder="1" applyAlignment="1" applyProtection="1">
      <alignment horizontal="left" wrapText="1"/>
    </xf>
    <xf numFmtId="0" fontId="5" fillId="2" borderId="55" xfId="0" applyFont="1" applyFill="1" applyBorder="1" applyAlignment="1">
      <alignment horizontal="left" wrapText="1"/>
    </xf>
    <xf numFmtId="0" fontId="5" fillId="2" borderId="56" xfId="0" applyFont="1" applyFill="1" applyBorder="1" applyAlignment="1">
      <alignment horizontal="left" wrapText="1"/>
    </xf>
    <xf numFmtId="0" fontId="5" fillId="2" borderId="50" xfId="0" applyFont="1" applyFill="1" applyBorder="1" applyAlignment="1">
      <alignment horizontal="left" wrapText="1"/>
    </xf>
    <xf numFmtId="0" fontId="4" fillId="2" borderId="51" xfId="0" applyFont="1" applyFill="1" applyBorder="1" applyAlignment="1">
      <alignment horizontal="left" wrapText="1"/>
    </xf>
    <xf numFmtId="0" fontId="4" fillId="2" borderId="4" xfId="0" applyFont="1" applyFill="1" applyBorder="1" applyAlignment="1">
      <alignment horizontal="left" wrapText="1"/>
    </xf>
    <xf numFmtId="10" fontId="4" fillId="2" borderId="11" xfId="0" applyNumberFormat="1" applyFont="1" applyFill="1" applyBorder="1" applyAlignment="1">
      <alignment horizontal="center" vertical="center"/>
    </xf>
    <xf numFmtId="10" fontId="4" fillId="2" borderId="27" xfId="0" applyNumberFormat="1" applyFont="1" applyFill="1" applyBorder="1" applyAlignment="1">
      <alignment horizontal="center" vertical="center"/>
    </xf>
    <xf numFmtId="169" fontId="4" fillId="2" borderId="11" xfId="1" applyFont="1" applyFill="1" applyBorder="1" applyAlignment="1" applyProtection="1">
      <alignment horizontal="left" wrapText="1"/>
    </xf>
    <xf numFmtId="169" fontId="4" fillId="2" borderId="5" xfId="1" applyFont="1" applyFill="1" applyBorder="1" applyAlignment="1" applyProtection="1">
      <alignment horizontal="left" wrapText="1"/>
    </xf>
    <xf numFmtId="10" fontId="4" fillId="2" borderId="11" xfId="0" applyNumberFormat="1" applyFont="1" applyFill="1" applyBorder="1" applyAlignment="1">
      <alignment horizontal="center"/>
    </xf>
    <xf numFmtId="10" fontId="4" fillId="2" borderId="27" xfId="0" applyNumberFormat="1" applyFont="1" applyFill="1" applyBorder="1" applyAlignment="1">
      <alignment horizontal="center"/>
    </xf>
    <xf numFmtId="0" fontId="4" fillId="2" borderId="57" xfId="0" applyFont="1" applyFill="1" applyBorder="1" applyAlignment="1">
      <alignment horizontal="left" wrapText="1"/>
    </xf>
    <xf numFmtId="0" fontId="4" fillId="2" borderId="53" xfId="0" applyFont="1" applyFill="1" applyBorder="1" applyAlignment="1">
      <alignment horizontal="left" wrapText="1"/>
    </xf>
    <xf numFmtId="0" fontId="4" fillId="2" borderId="26" xfId="0" applyFont="1" applyFill="1" applyBorder="1" applyAlignment="1">
      <alignment horizontal="left" wrapText="1"/>
    </xf>
    <xf numFmtId="10" fontId="4" fillId="2" borderId="58" xfId="0" applyNumberFormat="1" applyFont="1" applyFill="1" applyBorder="1" applyAlignment="1">
      <alignment horizontal="center"/>
    </xf>
    <xf numFmtId="10" fontId="4" fillId="2" borderId="59" xfId="0" applyNumberFormat="1" applyFont="1" applyFill="1" applyBorder="1" applyAlignment="1">
      <alignment horizontal="center"/>
    </xf>
    <xf numFmtId="10" fontId="4" fillId="2" borderId="22" xfId="5" applyNumberFormat="1" applyFont="1" applyFill="1" applyBorder="1" applyAlignment="1" applyProtection="1">
      <alignment horizontal="center" wrapText="1"/>
    </xf>
    <xf numFmtId="10" fontId="4" fillId="2" borderId="26" xfId="5" applyNumberFormat="1" applyFont="1" applyFill="1" applyBorder="1" applyAlignment="1" applyProtection="1">
      <alignment horizontal="center" wrapText="1"/>
    </xf>
    <xf numFmtId="169" fontId="4" fillId="2" borderId="6" xfId="1" applyFont="1" applyFill="1" applyBorder="1" applyAlignment="1" applyProtection="1">
      <alignment horizontal="center" wrapText="1"/>
    </xf>
    <xf numFmtId="169" fontId="4" fillId="2" borderId="53" xfId="1" applyFont="1" applyFill="1" applyBorder="1" applyAlignment="1" applyProtection="1">
      <alignment horizontal="center" wrapText="1"/>
    </xf>
    <xf numFmtId="169" fontId="4" fillId="2" borderId="20" xfId="1" applyFont="1" applyFill="1" applyBorder="1" applyAlignment="1" applyProtection="1">
      <alignment horizontal="center" wrapText="1"/>
    </xf>
    <xf numFmtId="0" fontId="5" fillId="2" borderId="41" xfId="0" applyFont="1" applyFill="1" applyBorder="1" applyAlignment="1">
      <alignment horizontal="left" wrapText="1"/>
    </xf>
    <xf numFmtId="0" fontId="5" fillId="2" borderId="42" xfId="0" applyFont="1" applyFill="1" applyBorder="1" applyAlignment="1">
      <alignment horizontal="left" wrapText="1"/>
    </xf>
    <xf numFmtId="10" fontId="5" fillId="2" borderId="45" xfId="5" applyNumberFormat="1" applyFont="1" applyFill="1" applyBorder="1" applyAlignment="1" applyProtection="1">
      <alignment horizontal="center" wrapText="1"/>
    </xf>
    <xf numFmtId="10" fontId="5" fillId="2" borderId="54" xfId="5" applyNumberFormat="1" applyFont="1" applyFill="1" applyBorder="1" applyAlignment="1" applyProtection="1">
      <alignment horizontal="center" wrapText="1"/>
    </xf>
    <xf numFmtId="169" fontId="5" fillId="2" borderId="42" xfId="1" applyFont="1" applyFill="1" applyBorder="1" applyAlignment="1" applyProtection="1">
      <alignment horizontal="center" wrapText="1"/>
    </xf>
    <xf numFmtId="169" fontId="5" fillId="2" borderId="46" xfId="1" applyFont="1" applyFill="1" applyBorder="1" applyAlignment="1" applyProtection="1">
      <alignment horizontal="center" wrapText="1"/>
    </xf>
    <xf numFmtId="10" fontId="5" fillId="0" borderId="7" xfId="0" applyNumberFormat="1" applyFont="1" applyBorder="1" applyAlignment="1">
      <alignment horizontal="center"/>
    </xf>
    <xf numFmtId="10" fontId="5" fillId="0" borderId="8" xfId="0" applyNumberFormat="1" applyFont="1" applyBorder="1" applyAlignment="1">
      <alignment horizontal="center"/>
    </xf>
    <xf numFmtId="10" fontId="5" fillId="0" borderId="47" xfId="0" applyNumberFormat="1" applyFont="1" applyBorder="1" applyAlignment="1">
      <alignment horizontal="center"/>
    </xf>
    <xf numFmtId="0" fontId="5" fillId="2" borderId="51" xfId="0" applyFont="1" applyFill="1" applyBorder="1" applyAlignment="1">
      <alignment horizontal="left" wrapText="1"/>
    </xf>
    <xf numFmtId="0" fontId="5" fillId="2" borderId="4" xfId="0" applyFont="1" applyFill="1" applyBorder="1" applyAlignment="1">
      <alignment horizontal="left" wrapText="1"/>
    </xf>
    <xf numFmtId="0" fontId="5" fillId="2" borderId="11" xfId="0" applyFont="1" applyFill="1" applyBorder="1" applyAlignment="1">
      <alignment horizontal="center" wrapText="1"/>
    </xf>
    <xf numFmtId="0" fontId="5" fillId="2" borderId="27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  <xf numFmtId="168" fontId="4" fillId="2" borderId="11" xfId="5" applyNumberFormat="1" applyFont="1" applyFill="1" applyBorder="1" applyAlignment="1" applyProtection="1">
      <alignment horizontal="center" wrapText="1"/>
    </xf>
    <xf numFmtId="168" fontId="4" fillId="2" borderId="27" xfId="5" applyNumberFormat="1" applyFont="1" applyFill="1" applyBorder="1" applyAlignment="1" applyProtection="1">
      <alignment horizontal="center" wrapText="1"/>
    </xf>
    <xf numFmtId="169" fontId="4" fillId="2" borderId="4" xfId="1" applyFont="1" applyFill="1" applyBorder="1" applyAlignment="1" applyProtection="1">
      <alignment horizontal="center" wrapText="1"/>
    </xf>
    <xf numFmtId="169" fontId="4" fillId="2" borderId="15" xfId="1" applyFont="1" applyFill="1" applyBorder="1" applyAlignment="1" applyProtection="1">
      <alignment horizontal="center" wrapText="1"/>
    </xf>
    <xf numFmtId="169" fontId="4" fillId="2" borderId="24" xfId="1" applyFont="1" applyFill="1" applyBorder="1" applyAlignment="1" applyProtection="1">
      <alignment horizontal="center" wrapText="1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5" fillId="3" borderId="35" xfId="0" applyFont="1" applyFill="1" applyBorder="1" applyAlignment="1">
      <alignment horizontal="left"/>
    </xf>
    <xf numFmtId="0" fontId="5" fillId="3" borderId="36" xfId="0" applyFont="1" applyFill="1" applyBorder="1" applyAlignment="1">
      <alignment horizontal="left"/>
    </xf>
    <xf numFmtId="0" fontId="5" fillId="3" borderId="37" xfId="0" applyFont="1" applyFill="1" applyBorder="1" applyAlignment="1">
      <alignment horizontal="left"/>
    </xf>
    <xf numFmtId="0" fontId="5" fillId="0" borderId="38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5" fillId="3" borderId="41" xfId="0" applyFont="1" applyFill="1" applyBorder="1" applyAlignment="1">
      <alignment horizontal="left"/>
    </xf>
    <xf numFmtId="0" fontId="5" fillId="3" borderId="42" xfId="0" applyFont="1" applyFill="1" applyBorder="1" applyAlignment="1">
      <alignment horizontal="left"/>
    </xf>
    <xf numFmtId="0" fontId="5" fillId="3" borderId="43" xfId="0" applyFont="1" applyFill="1" applyBorder="1" applyAlignment="1">
      <alignment horizontal="left"/>
    </xf>
    <xf numFmtId="0" fontId="5" fillId="3" borderId="44" xfId="0" applyFont="1" applyFill="1" applyBorder="1" applyAlignment="1">
      <alignment horizontal="left"/>
    </xf>
    <xf numFmtId="0" fontId="5" fillId="5" borderId="7" xfId="0" applyFont="1" applyFill="1" applyBorder="1" applyAlignment="1">
      <alignment horizontal="left"/>
    </xf>
    <xf numFmtId="0" fontId="5" fillId="5" borderId="45" xfId="0" applyFont="1" applyFill="1" applyBorder="1" applyAlignment="1">
      <alignment horizontal="left"/>
    </xf>
    <xf numFmtId="0" fontId="5" fillId="5" borderId="46" xfId="0" applyFont="1" applyFill="1" applyBorder="1" applyAlignment="1">
      <alignment horizontal="left"/>
    </xf>
    <xf numFmtId="7" fontId="5" fillId="0" borderId="7" xfId="0" applyNumberFormat="1" applyFont="1" applyBorder="1" applyAlignment="1">
      <alignment horizontal="center"/>
    </xf>
    <xf numFmtId="7" fontId="5" fillId="0" borderId="8" xfId="0" applyNumberFormat="1" applyFont="1" applyBorder="1" applyAlignment="1">
      <alignment horizontal="center"/>
    </xf>
    <xf numFmtId="7" fontId="5" fillId="0" borderId="47" xfId="0" applyNumberFormat="1" applyFont="1" applyBorder="1" applyAlignment="1">
      <alignment horizontal="center"/>
    </xf>
    <xf numFmtId="0" fontId="5" fillId="2" borderId="48" xfId="0" applyFont="1" applyFill="1" applyBorder="1" applyAlignment="1">
      <alignment horizontal="left" wrapText="1"/>
    </xf>
    <xf numFmtId="0" fontId="5" fillId="2" borderId="49" xfId="0" applyFont="1" applyFill="1" applyBorder="1" applyAlignment="1">
      <alignment horizontal="left" wrapText="1"/>
    </xf>
    <xf numFmtId="169" fontId="4" fillId="2" borderId="5" xfId="1" applyFont="1" applyFill="1" applyBorder="1" applyAlignment="1" applyProtection="1">
      <alignment horizontal="center" wrapText="1"/>
    </xf>
    <xf numFmtId="0" fontId="12" fillId="0" borderId="0" xfId="0" applyFont="1"/>
    <xf numFmtId="0" fontId="13" fillId="0" borderId="0" xfId="0" applyFont="1" applyAlignment="1">
      <alignment horizontal="center"/>
    </xf>
    <xf numFmtId="0" fontId="10" fillId="5" borderId="10" xfId="0" applyFont="1" applyFill="1" applyBorder="1" applyAlignment="1">
      <alignment horizontal="center"/>
    </xf>
    <xf numFmtId="0" fontId="10" fillId="5" borderId="0" xfId="0" applyFont="1" applyFill="1" applyAlignment="1">
      <alignment horizontal="center"/>
    </xf>
    <xf numFmtId="0" fontId="10" fillId="5" borderId="101" xfId="0" applyFont="1" applyFill="1" applyBorder="1" applyAlignment="1">
      <alignment horizontal="center"/>
    </xf>
    <xf numFmtId="0" fontId="10" fillId="5" borderId="10" xfId="0" applyFont="1" applyFill="1" applyBorder="1" applyAlignment="1">
      <alignment horizontal="left" wrapText="1"/>
    </xf>
    <xf numFmtId="0" fontId="10" fillId="5" borderId="0" xfId="0" applyFont="1" applyFill="1" applyAlignment="1">
      <alignment horizontal="left" wrapText="1"/>
    </xf>
    <xf numFmtId="0" fontId="10" fillId="5" borderId="101" xfId="0" applyFont="1" applyFill="1" applyBorder="1" applyAlignment="1">
      <alignment horizontal="left" wrapText="1"/>
    </xf>
    <xf numFmtId="0" fontId="9" fillId="7" borderId="102" xfId="0" applyFont="1" applyFill="1" applyBorder="1" applyAlignment="1">
      <alignment horizontal="center"/>
    </xf>
    <xf numFmtId="0" fontId="9" fillId="7" borderId="25" xfId="0" applyFont="1" applyFill="1" applyBorder="1" applyAlignment="1">
      <alignment horizontal="center"/>
    </xf>
    <xf numFmtId="0" fontId="9" fillId="7" borderId="103" xfId="0" applyFont="1" applyFill="1" applyBorder="1" applyAlignment="1">
      <alignment horizontal="center"/>
    </xf>
    <xf numFmtId="0" fontId="9" fillId="5" borderId="104" xfId="0" applyFont="1" applyFill="1" applyBorder="1" applyAlignment="1">
      <alignment horizontal="center" vertical="center" wrapText="1"/>
    </xf>
    <xf numFmtId="0" fontId="9" fillId="5" borderId="105" xfId="0" applyFont="1" applyFill="1" applyBorder="1" applyAlignment="1">
      <alignment horizontal="center" vertical="center" wrapText="1"/>
    </xf>
    <xf numFmtId="0" fontId="9" fillId="5" borderId="106" xfId="0" applyFont="1" applyFill="1" applyBorder="1" applyAlignment="1">
      <alignment horizontal="center" vertical="center" wrapText="1"/>
    </xf>
    <xf numFmtId="0" fontId="9" fillId="5" borderId="107" xfId="0" applyFont="1" applyFill="1" applyBorder="1" applyAlignment="1">
      <alignment horizontal="center" vertical="center" wrapText="1"/>
    </xf>
    <xf numFmtId="0" fontId="9" fillId="5" borderId="108" xfId="0" applyFont="1" applyFill="1" applyBorder="1" applyAlignment="1">
      <alignment horizontal="center" vertical="center" wrapText="1"/>
    </xf>
    <xf numFmtId="3" fontId="9" fillId="5" borderId="108" xfId="0" applyNumberFormat="1" applyFont="1" applyFill="1" applyBorder="1" applyAlignment="1">
      <alignment horizontal="center" vertical="center" wrapText="1"/>
    </xf>
    <xf numFmtId="0" fontId="9" fillId="5" borderId="109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wrapText="1"/>
    </xf>
    <xf numFmtId="0" fontId="10" fillId="5" borderId="0" xfId="0" applyFont="1" applyFill="1" applyAlignment="1">
      <alignment horizontal="center" wrapText="1"/>
    </xf>
    <xf numFmtId="0" fontId="10" fillId="5" borderId="101" xfId="0" applyFont="1" applyFill="1" applyBorder="1" applyAlignment="1">
      <alignment horizontal="center" wrapText="1"/>
    </xf>
    <xf numFmtId="0" fontId="9" fillId="7" borderId="110" xfId="0" applyFont="1" applyFill="1" applyBorder="1" applyAlignment="1">
      <alignment horizontal="left" vertical="center"/>
    </xf>
    <xf numFmtId="0" fontId="9" fillId="7" borderId="111" xfId="0" applyFont="1" applyFill="1" applyBorder="1" applyAlignment="1">
      <alignment horizontal="left" vertical="center"/>
    </xf>
    <xf numFmtId="4" fontId="9" fillId="8" borderId="111" xfId="0" applyNumberFormat="1" applyFont="1" applyFill="1" applyBorder="1" applyAlignment="1">
      <alignment horizontal="center"/>
    </xf>
    <xf numFmtId="4" fontId="9" fillId="8" borderId="112" xfId="0" applyNumberFormat="1" applyFont="1" applyFill="1" applyBorder="1" applyAlignment="1">
      <alignment horizontal="center"/>
    </xf>
    <xf numFmtId="0" fontId="14" fillId="5" borderId="113" xfId="0" applyFont="1" applyFill="1" applyBorder="1" applyAlignment="1">
      <alignment horizontal="left" wrapText="1"/>
    </xf>
    <xf numFmtId="0" fontId="14" fillId="5" borderId="114" xfId="0" applyFont="1" applyFill="1" applyBorder="1" applyAlignment="1">
      <alignment horizontal="left" wrapText="1"/>
    </xf>
    <xf numFmtId="0" fontId="14" fillId="5" borderId="115" xfId="0" applyFont="1" applyFill="1" applyBorder="1" applyAlignment="1">
      <alignment horizontal="left" wrapText="1"/>
    </xf>
    <xf numFmtId="0" fontId="9" fillId="7" borderId="113" xfId="0" applyFont="1" applyFill="1" applyBorder="1" applyAlignment="1">
      <alignment horizontal="left" vertical="center"/>
    </xf>
    <xf numFmtId="0" fontId="9" fillId="7" borderId="114" xfId="0" applyFont="1" applyFill="1" applyBorder="1" applyAlignment="1">
      <alignment horizontal="left" vertical="center"/>
    </xf>
    <xf numFmtId="0" fontId="9" fillId="7" borderId="115" xfId="0" applyFont="1" applyFill="1" applyBorder="1" applyAlignment="1">
      <alignment horizontal="left" vertical="center"/>
    </xf>
    <xf numFmtId="0" fontId="10" fillId="5" borderId="116" xfId="0" applyFont="1" applyFill="1" applyBorder="1" applyAlignment="1">
      <alignment horizontal="left"/>
    </xf>
    <xf numFmtId="0" fontId="10" fillId="5" borderId="21" xfId="0" applyFont="1" applyFill="1" applyBorder="1" applyAlignment="1">
      <alignment horizontal="left"/>
    </xf>
    <xf numFmtId="4" fontId="10" fillId="5" borderId="93" xfId="0" applyNumberFormat="1" applyFont="1" applyFill="1" applyBorder="1" applyAlignment="1">
      <alignment horizontal="center"/>
    </xf>
    <xf numFmtId="4" fontId="10" fillId="5" borderId="115" xfId="0" applyNumberFormat="1" applyFont="1" applyFill="1" applyBorder="1" applyAlignment="1">
      <alignment horizontal="center"/>
    </xf>
    <xf numFmtId="0" fontId="9" fillId="5" borderId="113" xfId="0" applyFont="1" applyFill="1" applyBorder="1" applyAlignment="1">
      <alignment horizontal="left"/>
    </xf>
    <xf numFmtId="0" fontId="9" fillId="5" borderId="114" xfId="0" applyFont="1" applyFill="1" applyBorder="1" applyAlignment="1">
      <alignment horizontal="left"/>
    </xf>
    <xf numFmtId="0" fontId="9" fillId="5" borderId="94" xfId="0" applyFont="1" applyFill="1" applyBorder="1" applyAlignment="1">
      <alignment horizontal="left"/>
    </xf>
    <xf numFmtId="10" fontId="10" fillId="5" borderId="23" xfId="5" applyNumberFormat="1" applyFont="1" applyFill="1" applyBorder="1" applyAlignment="1">
      <alignment horizontal="center"/>
    </xf>
    <xf numFmtId="0" fontId="10" fillId="5" borderId="23" xfId="0" applyFont="1" applyFill="1" applyBorder="1" applyAlignment="1">
      <alignment horizontal="left"/>
    </xf>
    <xf numFmtId="0" fontId="15" fillId="0" borderId="0" xfId="0" applyFont="1"/>
    <xf numFmtId="0" fontId="9" fillId="9" borderId="107" xfId="0" applyFont="1" applyFill="1" applyBorder="1" applyAlignment="1">
      <alignment horizontal="left" vertical="center" wrapText="1"/>
    </xf>
    <xf numFmtId="0" fontId="9" fillId="9" borderId="108" xfId="0" applyFont="1" applyFill="1" applyBorder="1" applyAlignment="1">
      <alignment horizontal="left" vertical="center" wrapText="1"/>
    </xf>
    <xf numFmtId="4" fontId="9" fillId="8" borderId="108" xfId="0" applyNumberFormat="1" applyFont="1" applyFill="1" applyBorder="1" applyAlignment="1">
      <alignment horizontal="center"/>
    </xf>
    <xf numFmtId="4" fontId="9" fillId="8" borderId="109" xfId="0" applyNumberFormat="1" applyFont="1" applyFill="1" applyBorder="1" applyAlignment="1">
      <alignment horizontal="center"/>
    </xf>
    <xf numFmtId="0" fontId="9" fillId="7" borderId="104" xfId="0" applyFont="1" applyFill="1" applyBorder="1" applyAlignment="1">
      <alignment horizontal="left" wrapText="1"/>
    </xf>
    <xf numFmtId="0" fontId="9" fillId="7" borderId="105" xfId="0" applyFont="1" applyFill="1" applyBorder="1" applyAlignment="1">
      <alignment horizontal="left" wrapText="1"/>
    </xf>
    <xf numFmtId="0" fontId="9" fillId="7" borderId="106" xfId="0" applyFont="1" applyFill="1" applyBorder="1" applyAlignment="1">
      <alignment horizontal="left" wrapText="1"/>
    </xf>
    <xf numFmtId="0" fontId="10" fillId="0" borderId="116" xfId="0" applyFont="1" applyBorder="1" applyAlignment="1">
      <alignment horizontal="left" wrapText="1"/>
    </xf>
    <xf numFmtId="0" fontId="10" fillId="0" borderId="21" xfId="0" applyFont="1" applyBorder="1" applyAlignment="1">
      <alignment horizontal="left" wrapText="1"/>
    </xf>
    <xf numFmtId="170" fontId="10" fillId="0" borderId="21" xfId="0" applyNumberFormat="1" applyFont="1" applyBorder="1" applyAlignment="1">
      <alignment horizontal="center"/>
    </xf>
    <xf numFmtId="4" fontId="10" fillId="5" borderId="21" xfId="0" applyNumberFormat="1" applyFont="1" applyFill="1" applyBorder="1" applyAlignment="1">
      <alignment horizontal="center"/>
    </xf>
    <xf numFmtId="4" fontId="10" fillId="5" borderId="117" xfId="0" applyNumberFormat="1" applyFont="1" applyFill="1" applyBorder="1" applyAlignment="1">
      <alignment horizontal="center"/>
    </xf>
    <xf numFmtId="0" fontId="10" fillId="5" borderId="116" xfId="0" applyFont="1" applyFill="1" applyBorder="1" applyAlignment="1">
      <alignment horizontal="left" wrapText="1"/>
    </xf>
    <xf numFmtId="0" fontId="10" fillId="5" borderId="21" xfId="0" applyFont="1" applyFill="1" applyBorder="1" applyAlignment="1">
      <alignment horizontal="left" wrapText="1"/>
    </xf>
    <xf numFmtId="170" fontId="10" fillId="5" borderId="21" xfId="0" applyNumberFormat="1" applyFont="1" applyFill="1" applyBorder="1" applyAlignment="1">
      <alignment horizontal="center"/>
    </xf>
    <xf numFmtId="170" fontId="10" fillId="5" borderId="21" xfId="0" applyNumberFormat="1" applyFont="1" applyFill="1" applyBorder="1" applyAlignment="1">
      <alignment horizontal="center" vertical="center"/>
    </xf>
    <xf numFmtId="0" fontId="9" fillId="5" borderId="107" xfId="0" applyFont="1" applyFill="1" applyBorder="1" applyAlignment="1">
      <alignment horizontal="left" wrapText="1"/>
    </xf>
    <xf numFmtId="0" fontId="9" fillId="5" borderId="108" xfId="0" applyFont="1" applyFill="1" applyBorder="1" applyAlignment="1">
      <alignment horizontal="left" wrapText="1"/>
    </xf>
    <xf numFmtId="170" fontId="9" fillId="5" borderId="108" xfId="0" applyNumberFormat="1" applyFont="1" applyFill="1" applyBorder="1" applyAlignment="1">
      <alignment horizontal="center"/>
    </xf>
    <xf numFmtId="4" fontId="9" fillId="5" borderId="108" xfId="0" applyNumberFormat="1" applyFont="1" applyFill="1" applyBorder="1" applyAlignment="1">
      <alignment horizontal="center"/>
    </xf>
    <xf numFmtId="4" fontId="9" fillId="5" borderId="109" xfId="0" applyNumberFormat="1" applyFont="1" applyFill="1" applyBorder="1" applyAlignment="1">
      <alignment horizontal="center"/>
    </xf>
    <xf numFmtId="0" fontId="9" fillId="7" borderId="110" xfId="0" applyFont="1" applyFill="1" applyBorder="1" applyAlignment="1">
      <alignment horizontal="left" wrapText="1"/>
    </xf>
    <xf numFmtId="0" fontId="9" fillId="7" borderId="111" xfId="0" applyFont="1" applyFill="1" applyBorder="1" applyAlignment="1">
      <alignment horizontal="left" wrapText="1"/>
    </xf>
    <xf numFmtId="0" fontId="9" fillId="7" borderId="112" xfId="0" applyFont="1" applyFill="1" applyBorder="1" applyAlignment="1">
      <alignment horizontal="left" wrapText="1"/>
    </xf>
    <xf numFmtId="0" fontId="10" fillId="5" borderId="113" xfId="0" applyFont="1" applyFill="1" applyBorder="1" applyAlignment="1">
      <alignment horizontal="left" vertical="center" wrapText="1"/>
    </xf>
    <xf numFmtId="0" fontId="10" fillId="5" borderId="114" xfId="0" applyFont="1" applyFill="1" applyBorder="1" applyAlignment="1">
      <alignment horizontal="left" vertical="center" wrapText="1"/>
    </xf>
    <xf numFmtId="0" fontId="10" fillId="5" borderId="94" xfId="0" applyFont="1" applyFill="1" applyBorder="1" applyAlignment="1">
      <alignment horizontal="left" vertical="center" wrapText="1"/>
    </xf>
    <xf numFmtId="0" fontId="10" fillId="5" borderId="116" xfId="0" applyFont="1" applyFill="1" applyBorder="1" applyAlignment="1">
      <alignment horizontal="left" vertical="center" wrapText="1"/>
    </xf>
    <xf numFmtId="0" fontId="10" fillId="5" borderId="21" xfId="0" applyFont="1" applyFill="1" applyBorder="1" applyAlignment="1">
      <alignment horizontal="left" vertical="center" wrapText="1"/>
    </xf>
    <xf numFmtId="0" fontId="9" fillId="7" borderId="102" xfId="0" applyFont="1" applyFill="1" applyBorder="1" applyAlignment="1">
      <alignment horizontal="left" wrapText="1"/>
    </xf>
    <xf numFmtId="0" fontId="9" fillId="7" borderId="25" xfId="0" applyFont="1" applyFill="1" applyBorder="1" applyAlignment="1">
      <alignment horizontal="left" wrapText="1"/>
    </xf>
    <xf numFmtId="0" fontId="9" fillId="7" borderId="103" xfId="0" applyFont="1" applyFill="1" applyBorder="1" applyAlignment="1">
      <alignment horizontal="left" wrapText="1"/>
    </xf>
    <xf numFmtId="0" fontId="10" fillId="5" borderId="104" xfId="0" applyFont="1" applyFill="1" applyBorder="1" applyAlignment="1">
      <alignment horizontal="left" wrapText="1"/>
    </xf>
    <xf numFmtId="0" fontId="10" fillId="5" borderId="105" xfId="0" applyFont="1" applyFill="1" applyBorder="1" applyAlignment="1">
      <alignment horizontal="left" wrapText="1"/>
    </xf>
    <xf numFmtId="170" fontId="10" fillId="5" borderId="91" xfId="0" applyNumberFormat="1" applyFont="1" applyFill="1" applyBorder="1" applyAlignment="1">
      <alignment horizontal="center" vertical="center"/>
    </xf>
    <xf numFmtId="170" fontId="10" fillId="5" borderId="118" xfId="0" applyNumberFormat="1" applyFont="1" applyFill="1" applyBorder="1" applyAlignment="1">
      <alignment horizontal="center" vertical="center"/>
    </xf>
    <xf numFmtId="4" fontId="10" fillId="5" borderId="105" xfId="0" applyNumberFormat="1" applyFont="1" applyFill="1" applyBorder="1" applyAlignment="1">
      <alignment horizontal="center"/>
    </xf>
    <xf numFmtId="4" fontId="10" fillId="5" borderId="106" xfId="0" applyNumberFormat="1" applyFont="1" applyFill="1" applyBorder="1" applyAlignment="1">
      <alignment horizontal="center"/>
    </xf>
    <xf numFmtId="0" fontId="10" fillId="5" borderId="119" xfId="0" applyFont="1" applyFill="1" applyBorder="1" applyAlignment="1">
      <alignment horizontal="left" wrapText="1"/>
    </xf>
    <xf numFmtId="0" fontId="10" fillId="5" borderId="23" xfId="0" applyFont="1" applyFill="1" applyBorder="1" applyAlignment="1">
      <alignment horizontal="left" wrapText="1"/>
    </xf>
    <xf numFmtId="170" fontId="10" fillId="5" borderId="23" xfId="0" applyNumberFormat="1" applyFont="1" applyFill="1" applyBorder="1" applyAlignment="1">
      <alignment horizontal="center" vertical="center"/>
    </xf>
    <xf numFmtId="4" fontId="10" fillId="5" borderId="23" xfId="0" applyNumberFormat="1" applyFont="1" applyFill="1" applyBorder="1" applyAlignment="1">
      <alignment horizontal="center"/>
    </xf>
    <xf numFmtId="4" fontId="10" fillId="5" borderId="120" xfId="0" applyNumberFormat="1" applyFont="1" applyFill="1" applyBorder="1" applyAlignment="1">
      <alignment horizontal="center"/>
    </xf>
    <xf numFmtId="0" fontId="9" fillId="5" borderId="102" xfId="0" applyFont="1" applyFill="1" applyBorder="1" applyAlignment="1">
      <alignment horizontal="left" wrapText="1"/>
    </xf>
    <xf numFmtId="0" fontId="9" fillId="5" borderId="25" xfId="0" applyFont="1" applyFill="1" applyBorder="1" applyAlignment="1">
      <alignment horizontal="left" wrapText="1"/>
    </xf>
    <xf numFmtId="170" fontId="9" fillId="5" borderId="25" xfId="0" applyNumberFormat="1" applyFont="1" applyFill="1" applyBorder="1" applyAlignment="1">
      <alignment horizontal="center"/>
    </xf>
    <xf numFmtId="4" fontId="9" fillId="5" borderId="25" xfId="0" applyNumberFormat="1" applyFont="1" applyFill="1" applyBorder="1" applyAlignment="1">
      <alignment horizontal="center"/>
    </xf>
    <xf numFmtId="4" fontId="9" fillId="5" borderId="103" xfId="0" applyNumberFormat="1" applyFont="1" applyFill="1" applyBorder="1" applyAlignment="1">
      <alignment horizontal="center"/>
    </xf>
    <xf numFmtId="170" fontId="10" fillId="5" borderId="105" xfId="0" applyNumberFormat="1" applyFont="1" applyFill="1" applyBorder="1" applyAlignment="1">
      <alignment horizontal="center"/>
    </xf>
    <xf numFmtId="170" fontId="9" fillId="5" borderId="108" xfId="0" applyNumberFormat="1" applyFont="1" applyFill="1" applyBorder="1" applyAlignment="1">
      <alignment horizontal="center" vertical="center"/>
    </xf>
    <xf numFmtId="0" fontId="9" fillId="5" borderId="116" xfId="0" applyFont="1" applyFill="1" applyBorder="1" applyAlignment="1">
      <alignment horizontal="left" wrapText="1"/>
    </xf>
    <xf numFmtId="0" fontId="9" fillId="5" borderId="21" xfId="0" applyFont="1" applyFill="1" applyBorder="1" applyAlignment="1">
      <alignment horizontal="left" wrapText="1"/>
    </xf>
    <xf numFmtId="170" fontId="9" fillId="5" borderId="21" xfId="0" applyNumberFormat="1" applyFont="1" applyFill="1" applyBorder="1" applyAlignment="1">
      <alignment horizontal="center"/>
    </xf>
    <xf numFmtId="4" fontId="9" fillId="5" borderId="21" xfId="0" applyNumberFormat="1" applyFont="1" applyFill="1" applyBorder="1" applyAlignment="1">
      <alignment horizontal="center"/>
    </xf>
    <xf numFmtId="4" fontId="9" fillId="5" borderId="117" xfId="0" applyNumberFormat="1" applyFont="1" applyFill="1" applyBorder="1" applyAlignment="1">
      <alignment horizontal="center"/>
    </xf>
    <xf numFmtId="0" fontId="9" fillId="5" borderId="10" xfId="0" applyFont="1" applyFill="1" applyBorder="1" applyAlignment="1">
      <alignment wrapText="1"/>
    </xf>
    <xf numFmtId="0" fontId="9" fillId="5" borderId="0" xfId="0" applyFont="1" applyFill="1" applyAlignment="1">
      <alignment wrapText="1"/>
    </xf>
    <xf numFmtId="0" fontId="9" fillId="5" borderId="101" xfId="0" applyFont="1" applyFill="1" applyBorder="1" applyAlignment="1">
      <alignment wrapText="1"/>
    </xf>
    <xf numFmtId="0" fontId="13" fillId="5" borderId="0" xfId="0" applyFont="1" applyFill="1" applyAlignment="1">
      <alignment wrapText="1"/>
    </xf>
    <xf numFmtId="0" fontId="10" fillId="0" borderId="10" xfId="0" applyFont="1" applyBorder="1"/>
    <xf numFmtId="0" fontId="10" fillId="0" borderId="0" xfId="0" applyFont="1"/>
    <xf numFmtId="0" fontId="10" fillId="0" borderId="101" xfId="0" applyFont="1" applyBorder="1"/>
    <xf numFmtId="0" fontId="9" fillId="9" borderId="121" xfId="0" applyFont="1" applyFill="1" applyBorder="1" applyAlignment="1">
      <alignment horizontal="left" wrapText="1"/>
    </xf>
    <xf numFmtId="0" fontId="9" fillId="9" borderId="122" xfId="0" applyFont="1" applyFill="1" applyBorder="1" applyAlignment="1">
      <alignment horizontal="left" wrapText="1"/>
    </xf>
    <xf numFmtId="0" fontId="9" fillId="9" borderId="123" xfId="0" applyFont="1" applyFill="1" applyBorder="1" applyAlignment="1">
      <alignment horizontal="left" wrapText="1"/>
    </xf>
    <xf numFmtId="0" fontId="9" fillId="7" borderId="124" xfId="0" applyFont="1" applyFill="1" applyBorder="1" applyAlignment="1">
      <alignment horizontal="left" wrapText="1"/>
    </xf>
    <xf numFmtId="0" fontId="9" fillId="7" borderId="125" xfId="0" applyFont="1" applyFill="1" applyBorder="1" applyAlignment="1">
      <alignment horizontal="left" wrapText="1"/>
    </xf>
    <xf numFmtId="0" fontId="9" fillId="7" borderId="126" xfId="0" applyFont="1" applyFill="1" applyBorder="1" applyAlignment="1">
      <alignment horizontal="left" wrapText="1"/>
    </xf>
    <xf numFmtId="2" fontId="10" fillId="5" borderId="93" xfId="0" applyNumberFormat="1" applyFont="1" applyFill="1" applyBorder="1" applyAlignment="1">
      <alignment horizontal="center"/>
    </xf>
    <xf numFmtId="0" fontId="10" fillId="5" borderId="115" xfId="0" applyFont="1" applyFill="1" applyBorder="1" applyAlignment="1">
      <alignment horizontal="center"/>
    </xf>
    <xf numFmtId="0" fontId="10" fillId="5" borderId="113" xfId="0" applyFont="1" applyFill="1" applyBorder="1" applyAlignment="1">
      <alignment horizontal="left"/>
    </xf>
    <xf numFmtId="0" fontId="10" fillId="5" borderId="114" xfId="0" applyFont="1" applyFill="1" applyBorder="1" applyAlignment="1">
      <alignment horizontal="left"/>
    </xf>
    <xf numFmtId="0" fontId="10" fillId="5" borderId="94" xfId="0" applyFont="1" applyFill="1" applyBorder="1" applyAlignment="1">
      <alignment horizontal="left"/>
    </xf>
    <xf numFmtId="2" fontId="10" fillId="5" borderId="115" xfId="0" applyNumberFormat="1" applyFont="1" applyFill="1" applyBorder="1" applyAlignment="1">
      <alignment horizontal="center"/>
    </xf>
    <xf numFmtId="2" fontId="12" fillId="0" borderId="0" xfId="0" applyNumberFormat="1" applyFont="1"/>
    <xf numFmtId="0" fontId="9" fillId="5" borderId="107" xfId="0" applyFont="1" applyFill="1" applyBorder="1" applyAlignment="1">
      <alignment horizontal="left"/>
    </xf>
    <xf numFmtId="0" fontId="9" fillId="5" borderId="108" xfId="0" applyFont="1" applyFill="1" applyBorder="1" applyAlignment="1">
      <alignment horizontal="left"/>
    </xf>
    <xf numFmtId="2" fontId="9" fillId="5" borderId="108" xfId="0" applyNumberFormat="1" applyFont="1" applyFill="1" applyBorder="1" applyAlignment="1">
      <alignment horizontal="center"/>
    </xf>
    <xf numFmtId="0" fontId="9" fillId="5" borderId="109" xfId="0" applyFont="1" applyFill="1" applyBorder="1" applyAlignment="1">
      <alignment horizontal="center"/>
    </xf>
    <xf numFmtId="0" fontId="9" fillId="9" borderId="116" xfId="0" applyFont="1" applyFill="1" applyBorder="1" applyAlignment="1">
      <alignment horizontal="left" wrapText="1"/>
    </xf>
    <xf numFmtId="0" fontId="9" fillId="9" borderId="21" xfId="0" applyFont="1" applyFill="1" applyBorder="1" applyAlignment="1">
      <alignment horizontal="left" wrapText="1"/>
    </xf>
    <xf numFmtId="0" fontId="9" fillId="5" borderId="117" xfId="0" applyFont="1" applyFill="1" applyBorder="1" applyAlignment="1">
      <alignment horizontal="center"/>
    </xf>
    <xf numFmtId="0" fontId="10" fillId="5" borderId="127" xfId="0" applyFont="1" applyFill="1" applyBorder="1" applyAlignment="1">
      <alignment horizontal="center"/>
    </xf>
    <xf numFmtId="0" fontId="10" fillId="5" borderId="128" xfId="0" applyFont="1" applyFill="1" applyBorder="1" applyAlignment="1">
      <alignment horizontal="center"/>
    </xf>
    <xf numFmtId="0" fontId="10" fillId="5" borderId="129" xfId="0" applyFont="1" applyFill="1" applyBorder="1" applyAlignment="1">
      <alignment horizontal="center"/>
    </xf>
    <xf numFmtId="10" fontId="10" fillId="5" borderId="21" xfId="0" applyNumberFormat="1" applyFont="1" applyFill="1" applyBorder="1" applyAlignment="1">
      <alignment horizontal="center"/>
    </xf>
    <xf numFmtId="0" fontId="9" fillId="5" borderId="113" xfId="0" applyFont="1" applyFill="1" applyBorder="1" applyAlignment="1">
      <alignment horizontal="left" wrapText="1"/>
    </xf>
    <xf numFmtId="0" fontId="9" fillId="5" borderId="114" xfId="0" applyFont="1" applyFill="1" applyBorder="1" applyAlignment="1">
      <alignment horizontal="left" wrapText="1"/>
    </xf>
    <xf numFmtId="0" fontId="9" fillId="5" borderId="94" xfId="0" applyFont="1" applyFill="1" applyBorder="1" applyAlignment="1">
      <alignment horizontal="left" wrapText="1"/>
    </xf>
    <xf numFmtId="10" fontId="9" fillId="5" borderId="93" xfId="0" applyNumberFormat="1" applyFont="1" applyFill="1" applyBorder="1" applyAlignment="1">
      <alignment horizontal="center"/>
    </xf>
    <xf numFmtId="10" fontId="9" fillId="5" borderId="94" xfId="0" applyNumberFormat="1" applyFont="1" applyFill="1" applyBorder="1" applyAlignment="1">
      <alignment horizontal="center"/>
    </xf>
    <xf numFmtId="2" fontId="9" fillId="5" borderId="93" xfId="0" applyNumberFormat="1" applyFont="1" applyFill="1" applyBorder="1" applyAlignment="1">
      <alignment horizontal="center"/>
    </xf>
    <xf numFmtId="2" fontId="9" fillId="5" borderId="115" xfId="0" applyNumberFormat="1" applyFont="1" applyFill="1" applyBorder="1" applyAlignment="1">
      <alignment horizontal="center"/>
    </xf>
    <xf numFmtId="4" fontId="12" fillId="0" borderId="0" xfId="0" applyNumberFormat="1" applyFont="1"/>
    <xf numFmtId="0" fontId="9" fillId="5" borderId="116" xfId="0" applyFont="1" applyFill="1" applyBorder="1" applyAlignment="1">
      <alignment horizontal="center" wrapText="1"/>
    </xf>
    <xf numFmtId="0" fontId="9" fillId="5" borderId="21" xfId="0" applyFont="1" applyFill="1" applyBorder="1" applyAlignment="1">
      <alignment horizontal="center" wrapText="1"/>
    </xf>
    <xf numFmtId="10" fontId="9" fillId="5" borderId="21" xfId="0" applyNumberFormat="1" applyFont="1" applyFill="1" applyBorder="1" applyAlignment="1">
      <alignment horizontal="center"/>
    </xf>
    <xf numFmtId="2" fontId="9" fillId="0" borderId="21" xfId="0" applyNumberFormat="1" applyFont="1" applyBorder="1" applyAlignment="1">
      <alignment horizontal="center"/>
    </xf>
    <xf numFmtId="0" fontId="9" fillId="0" borderId="117" xfId="0" applyFont="1" applyBorder="1" applyAlignment="1">
      <alignment horizontal="center"/>
    </xf>
    <xf numFmtId="0" fontId="9" fillId="7" borderId="107" xfId="0" applyFont="1" applyFill="1" applyBorder="1" applyAlignment="1">
      <alignment horizontal="center"/>
    </xf>
    <xf numFmtId="0" fontId="9" fillId="7" borderId="108" xfId="0" applyFont="1" applyFill="1" applyBorder="1" applyAlignment="1">
      <alignment horizontal="center"/>
    </xf>
    <xf numFmtId="10" fontId="8" fillId="5" borderId="108" xfId="0" applyNumberFormat="1" applyFont="1" applyFill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0" xfId="0" applyFont="1" applyAlignment="1">
      <alignment horizontal="center"/>
    </xf>
    <xf numFmtId="10" fontId="8" fillId="0" borderId="0" xfId="0" applyNumberFormat="1" applyFont="1" applyAlignment="1">
      <alignment horizontal="center"/>
    </xf>
    <xf numFmtId="4" fontId="9" fillId="0" borderId="0" xfId="0" applyNumberFormat="1" applyFont="1" applyAlignment="1">
      <alignment horizontal="center"/>
    </xf>
    <xf numFmtId="0" fontId="9" fillId="0" borderId="101" xfId="0" applyFont="1" applyBorder="1" applyAlignment="1">
      <alignment horizontal="center"/>
    </xf>
    <xf numFmtId="4" fontId="9" fillId="5" borderId="111" xfId="0" applyNumberFormat="1" applyFont="1" applyFill="1" applyBorder="1" applyAlignment="1">
      <alignment horizontal="center"/>
    </xf>
    <xf numFmtId="4" fontId="9" fillId="5" borderId="112" xfId="0" applyNumberFormat="1" applyFont="1" applyFill="1" applyBorder="1" applyAlignment="1">
      <alignment horizontal="center"/>
    </xf>
    <xf numFmtId="0" fontId="10" fillId="5" borderId="10" xfId="0" applyFont="1" applyFill="1" applyBorder="1"/>
    <xf numFmtId="0" fontId="10" fillId="5" borderId="0" xfId="0" applyFont="1" applyFill="1"/>
    <xf numFmtId="0" fontId="10" fillId="5" borderId="101" xfId="0" applyFont="1" applyFill="1" applyBorder="1"/>
    <xf numFmtId="0" fontId="9" fillId="7" borderId="121" xfId="0" applyFont="1" applyFill="1" applyBorder="1" applyAlignment="1">
      <alignment horizontal="left" wrapText="1"/>
    </xf>
    <xf numFmtId="0" fontId="9" fillId="7" borderId="122" xfId="0" applyFont="1" applyFill="1" applyBorder="1" applyAlignment="1">
      <alignment horizontal="left" wrapText="1"/>
    </xf>
    <xf numFmtId="0" fontId="9" fillId="7" borderId="123" xfId="0" applyFont="1" applyFill="1" applyBorder="1" applyAlignment="1">
      <alignment horizontal="left" wrapText="1"/>
    </xf>
    <xf numFmtId="0" fontId="16" fillId="0" borderId="0" xfId="0" applyFont="1" applyAlignment="1">
      <alignment horizontal="center"/>
    </xf>
    <xf numFmtId="0" fontId="17" fillId="5" borderId="134" xfId="0" applyFont="1" applyFill="1" applyBorder="1" applyAlignment="1">
      <alignment horizontal="center"/>
    </xf>
    <xf numFmtId="0" fontId="17" fillId="5" borderId="0" xfId="0" applyFont="1" applyFill="1" applyAlignment="1">
      <alignment horizontal="center"/>
    </xf>
    <xf numFmtId="0" fontId="17" fillId="5" borderId="135" xfId="0" applyFont="1" applyFill="1" applyBorder="1" applyAlignment="1">
      <alignment horizontal="center"/>
    </xf>
    <xf numFmtId="0" fontId="17" fillId="5" borderId="134" xfId="0" applyFont="1" applyFill="1" applyBorder="1" applyAlignment="1">
      <alignment horizontal="left" wrapText="1"/>
    </xf>
    <xf numFmtId="0" fontId="17" fillId="5" borderId="0" xfId="0" applyFont="1" applyFill="1" applyAlignment="1">
      <alignment horizontal="left" wrapText="1"/>
    </xf>
    <xf numFmtId="0" fontId="17" fillId="5" borderId="135" xfId="0" applyFont="1" applyFill="1" applyBorder="1" applyAlignment="1">
      <alignment horizontal="left" wrapText="1"/>
    </xf>
    <xf numFmtId="0" fontId="16" fillId="7" borderId="25" xfId="0" applyFont="1" applyFill="1" applyBorder="1" applyAlignment="1">
      <alignment horizontal="center"/>
    </xf>
    <xf numFmtId="0" fontId="16" fillId="5" borderId="105" xfId="0" applyFont="1" applyFill="1" applyBorder="1" applyAlignment="1">
      <alignment horizontal="center" vertical="center" wrapText="1"/>
    </xf>
    <xf numFmtId="0" fontId="18" fillId="5" borderId="105" xfId="0" applyFont="1" applyFill="1" applyBorder="1" applyAlignment="1">
      <alignment horizontal="center" vertical="center" wrapText="1"/>
    </xf>
    <xf numFmtId="0" fontId="16" fillId="5" borderId="108" xfId="0" applyFont="1" applyFill="1" applyBorder="1" applyAlignment="1">
      <alignment horizontal="center" vertical="center" wrapText="1"/>
    </xf>
    <xf numFmtId="3" fontId="16" fillId="5" borderId="108" xfId="0" applyNumberFormat="1" applyFont="1" applyFill="1" applyBorder="1" applyAlignment="1">
      <alignment horizontal="center" vertical="center" wrapText="1"/>
    </xf>
    <xf numFmtId="0" fontId="17" fillId="5" borderId="134" xfId="0" applyFont="1" applyFill="1" applyBorder="1" applyAlignment="1">
      <alignment horizontal="center" wrapText="1"/>
    </xf>
    <xf numFmtId="0" fontId="17" fillId="5" borderId="0" xfId="0" applyFont="1" applyFill="1" applyAlignment="1">
      <alignment horizontal="center" wrapText="1"/>
    </xf>
    <xf numFmtId="0" fontId="17" fillId="5" borderId="135" xfId="0" applyFont="1" applyFill="1" applyBorder="1" applyAlignment="1">
      <alignment horizontal="center" wrapText="1"/>
    </xf>
    <xf numFmtId="0" fontId="16" fillId="7" borderId="111" xfId="0" applyFont="1" applyFill="1" applyBorder="1" applyAlignment="1">
      <alignment horizontal="left" vertical="center"/>
    </xf>
    <xf numFmtId="4" fontId="19" fillId="5" borderId="111" xfId="0" applyNumberFormat="1" applyFont="1" applyFill="1" applyBorder="1" applyAlignment="1">
      <alignment horizontal="center"/>
    </xf>
    <xf numFmtId="0" fontId="20" fillId="5" borderId="113" xfId="0" applyFont="1" applyFill="1" applyBorder="1" applyAlignment="1">
      <alignment horizontal="left" wrapText="1"/>
    </xf>
    <xf numFmtId="0" fontId="20" fillId="5" borderId="114" xfId="0" applyFont="1" applyFill="1" applyBorder="1" applyAlignment="1">
      <alignment horizontal="left" wrapText="1"/>
    </xf>
    <xf numFmtId="0" fontId="20" fillId="5" borderId="115" xfId="0" applyFont="1" applyFill="1" applyBorder="1" applyAlignment="1">
      <alignment horizontal="left" wrapText="1"/>
    </xf>
    <xf numFmtId="0" fontId="16" fillId="7" borderId="93" xfId="0" applyFont="1" applyFill="1" applyBorder="1" applyAlignment="1">
      <alignment horizontal="left" vertical="center"/>
    </xf>
    <xf numFmtId="0" fontId="16" fillId="7" borderId="114" xfId="0" applyFont="1" applyFill="1" applyBorder="1" applyAlignment="1">
      <alignment horizontal="left" vertical="center"/>
    </xf>
    <xf numFmtId="0" fontId="16" fillId="7" borderId="94" xfId="0" applyFont="1" applyFill="1" applyBorder="1" applyAlignment="1">
      <alignment horizontal="left" vertical="center"/>
    </xf>
    <xf numFmtId="0" fontId="21" fillId="5" borderId="21" xfId="0" applyFont="1" applyFill="1" applyBorder="1" applyAlignment="1">
      <alignment horizontal="left"/>
    </xf>
    <xf numFmtId="4" fontId="17" fillId="5" borderId="93" xfId="0" applyNumberFormat="1" applyFont="1" applyFill="1" applyBorder="1" applyAlignment="1">
      <alignment horizontal="center"/>
    </xf>
    <xf numFmtId="4" fontId="17" fillId="5" borderId="94" xfId="0" applyNumberFormat="1" applyFont="1" applyFill="1" applyBorder="1" applyAlignment="1">
      <alignment horizontal="center"/>
    </xf>
    <xf numFmtId="0" fontId="21" fillId="5" borderId="93" xfId="0" applyFont="1" applyFill="1" applyBorder="1" applyAlignment="1">
      <alignment horizontal="left"/>
    </xf>
    <xf numFmtId="0" fontId="21" fillId="5" borderId="114" xfId="0" applyFont="1" applyFill="1" applyBorder="1" applyAlignment="1">
      <alignment horizontal="left"/>
    </xf>
    <xf numFmtId="0" fontId="21" fillId="5" borderId="94" xfId="0" applyFont="1" applyFill="1" applyBorder="1" applyAlignment="1">
      <alignment horizontal="left"/>
    </xf>
    <xf numFmtId="10" fontId="21" fillId="5" borderId="23" xfId="5" applyNumberFormat="1" applyFont="1" applyFill="1" applyBorder="1" applyAlignment="1">
      <alignment horizontal="center"/>
    </xf>
    <xf numFmtId="0" fontId="21" fillId="5" borderId="23" xfId="0" applyFont="1" applyFill="1" applyBorder="1" applyAlignment="1">
      <alignment horizontal="left"/>
    </xf>
    <xf numFmtId="0" fontId="16" fillId="9" borderId="108" xfId="0" applyFont="1" applyFill="1" applyBorder="1" applyAlignment="1">
      <alignment horizontal="left" vertical="center" wrapText="1"/>
    </xf>
    <xf numFmtId="4" fontId="19" fillId="5" borderId="108" xfId="0" applyNumberFormat="1" applyFont="1" applyFill="1" applyBorder="1" applyAlignment="1">
      <alignment horizontal="center"/>
    </xf>
    <xf numFmtId="0" fontId="16" fillId="7" borderId="105" xfId="0" applyFont="1" applyFill="1" applyBorder="1" applyAlignment="1">
      <alignment horizontal="left" wrapText="1"/>
    </xf>
    <xf numFmtId="0" fontId="21" fillId="0" borderId="21" xfId="0" applyFont="1" applyBorder="1" applyAlignment="1">
      <alignment horizontal="left" wrapText="1"/>
    </xf>
    <xf numFmtId="10" fontId="21" fillId="0" borderId="21" xfId="0" applyNumberFormat="1" applyFont="1" applyBorder="1" applyAlignment="1">
      <alignment horizontal="center"/>
    </xf>
    <xf numFmtId="4" fontId="17" fillId="5" borderId="21" xfId="0" applyNumberFormat="1" applyFont="1" applyFill="1" applyBorder="1" applyAlignment="1">
      <alignment horizontal="center"/>
    </xf>
    <xf numFmtId="0" fontId="21" fillId="5" borderId="21" xfId="0" applyFont="1" applyFill="1" applyBorder="1" applyAlignment="1">
      <alignment horizontal="left" wrapText="1"/>
    </xf>
    <xf numFmtId="10" fontId="21" fillId="5" borderId="21" xfId="0" applyNumberFormat="1" applyFont="1" applyFill="1" applyBorder="1" applyAlignment="1">
      <alignment horizontal="center"/>
    </xf>
    <xf numFmtId="10" fontId="21" fillId="5" borderId="21" xfId="0" applyNumberFormat="1" applyFont="1" applyFill="1" applyBorder="1" applyAlignment="1">
      <alignment horizontal="center" vertical="center"/>
    </xf>
    <xf numFmtId="0" fontId="16" fillId="5" borderId="108" xfId="0" applyFont="1" applyFill="1" applyBorder="1" applyAlignment="1">
      <alignment horizontal="left" wrapText="1"/>
    </xf>
    <xf numFmtId="170" fontId="16" fillId="5" borderId="108" xfId="0" applyNumberFormat="1" applyFont="1" applyFill="1" applyBorder="1" applyAlignment="1">
      <alignment horizontal="center"/>
    </xf>
    <xf numFmtId="0" fontId="16" fillId="7" borderId="111" xfId="0" applyFont="1" applyFill="1" applyBorder="1" applyAlignment="1">
      <alignment horizontal="left" wrapText="1"/>
    </xf>
    <xf numFmtId="0" fontId="21" fillId="5" borderId="93" xfId="0" applyFont="1" applyFill="1" applyBorder="1" applyAlignment="1">
      <alignment horizontal="left" vertical="center" wrapText="1"/>
    </xf>
    <xf numFmtId="0" fontId="21" fillId="5" borderId="114" xfId="0" applyFont="1" applyFill="1" applyBorder="1" applyAlignment="1">
      <alignment horizontal="left" vertical="center" wrapText="1"/>
    </xf>
    <xf numFmtId="0" fontId="21" fillId="5" borderId="94" xfId="0" applyFont="1" applyFill="1" applyBorder="1" applyAlignment="1">
      <alignment horizontal="left" vertical="center" wrapText="1"/>
    </xf>
    <xf numFmtId="0" fontId="21" fillId="5" borderId="21" xfId="0" applyFont="1" applyFill="1" applyBorder="1" applyAlignment="1">
      <alignment horizontal="left" vertical="center" wrapText="1"/>
    </xf>
    <xf numFmtId="0" fontId="16" fillId="7" borderId="25" xfId="0" applyFont="1" applyFill="1" applyBorder="1" applyAlignment="1">
      <alignment horizontal="left" wrapText="1"/>
    </xf>
    <xf numFmtId="0" fontId="21" fillId="5" borderId="105" xfId="0" applyFont="1" applyFill="1" applyBorder="1" applyAlignment="1">
      <alignment horizontal="left" wrapText="1"/>
    </xf>
    <xf numFmtId="170" fontId="21" fillId="5" borderId="91" xfId="0" applyNumberFormat="1" applyFont="1" applyFill="1" applyBorder="1" applyAlignment="1">
      <alignment horizontal="center" vertical="center"/>
    </xf>
    <xf numFmtId="170" fontId="21" fillId="5" borderId="118" xfId="0" applyNumberFormat="1" applyFont="1" applyFill="1" applyBorder="1" applyAlignment="1">
      <alignment horizontal="center" vertical="center"/>
    </xf>
    <xf numFmtId="4" fontId="17" fillId="5" borderId="105" xfId="0" applyNumberFormat="1" applyFont="1" applyFill="1" applyBorder="1" applyAlignment="1">
      <alignment horizontal="center"/>
    </xf>
    <xf numFmtId="0" fontId="21" fillId="5" borderId="23" xfId="0" applyFont="1" applyFill="1" applyBorder="1" applyAlignment="1">
      <alignment horizontal="left" wrapText="1"/>
    </xf>
    <xf numFmtId="10" fontId="21" fillId="5" borderId="23" xfId="0" applyNumberFormat="1" applyFont="1" applyFill="1" applyBorder="1" applyAlignment="1">
      <alignment horizontal="center" vertical="center"/>
    </xf>
    <xf numFmtId="4" fontId="17" fillId="5" borderId="23" xfId="0" applyNumberFormat="1" applyFont="1" applyFill="1" applyBorder="1" applyAlignment="1">
      <alignment horizontal="center"/>
    </xf>
    <xf numFmtId="0" fontId="16" fillId="5" borderId="25" xfId="0" applyFont="1" applyFill="1" applyBorder="1" applyAlignment="1">
      <alignment horizontal="left" wrapText="1"/>
    </xf>
    <xf numFmtId="170" fontId="16" fillId="5" borderId="25" xfId="0" applyNumberFormat="1" applyFont="1" applyFill="1" applyBorder="1" applyAlignment="1">
      <alignment horizontal="center"/>
    </xf>
    <xf numFmtId="4" fontId="19" fillId="5" borderId="25" xfId="0" applyNumberFormat="1" applyFont="1" applyFill="1" applyBorder="1" applyAlignment="1">
      <alignment horizontal="center"/>
    </xf>
    <xf numFmtId="10" fontId="21" fillId="5" borderId="105" xfId="0" applyNumberFormat="1" applyFont="1" applyFill="1" applyBorder="1" applyAlignment="1">
      <alignment horizontal="center"/>
    </xf>
    <xf numFmtId="10" fontId="16" fillId="5" borderId="108" xfId="0" applyNumberFormat="1" applyFont="1" applyFill="1" applyBorder="1" applyAlignment="1">
      <alignment horizontal="center" vertical="center"/>
    </xf>
    <xf numFmtId="0" fontId="16" fillId="5" borderId="21" xfId="0" applyFont="1" applyFill="1" applyBorder="1" applyAlignment="1">
      <alignment horizontal="left" wrapText="1"/>
    </xf>
    <xf numFmtId="170" fontId="16" fillId="5" borderId="21" xfId="0" applyNumberFormat="1" applyFont="1" applyFill="1" applyBorder="1" applyAlignment="1">
      <alignment horizontal="center"/>
    </xf>
    <xf numFmtId="4" fontId="19" fillId="5" borderId="21" xfId="0" applyNumberFormat="1" applyFont="1" applyFill="1" applyBorder="1" applyAlignment="1">
      <alignment horizontal="center"/>
    </xf>
    <xf numFmtId="0" fontId="16" fillId="5" borderId="136" xfId="0" applyFont="1" applyFill="1" applyBorder="1" applyAlignment="1">
      <alignment horizontal="center" wrapText="1"/>
    </xf>
    <xf numFmtId="0" fontId="16" fillId="5" borderId="128" xfId="0" applyFont="1" applyFill="1" applyBorder="1" applyAlignment="1">
      <alignment horizontal="center" wrapText="1"/>
    </xf>
    <xf numFmtId="0" fontId="16" fillId="5" borderId="137" xfId="0" applyFont="1" applyFill="1" applyBorder="1" applyAlignment="1">
      <alignment horizontal="center" wrapText="1"/>
    </xf>
    <xf numFmtId="0" fontId="16" fillId="5" borderId="91" xfId="0" applyFont="1" applyFill="1" applyBorder="1" applyAlignment="1">
      <alignment horizontal="center" wrapText="1"/>
    </xf>
    <xf numFmtId="0" fontId="16" fillId="5" borderId="138" xfId="0" applyFont="1" applyFill="1" applyBorder="1" applyAlignment="1">
      <alignment horizontal="center" wrapText="1"/>
    </xf>
    <xf numFmtId="0" fontId="16" fillId="5" borderId="118" xfId="0" applyFont="1" applyFill="1" applyBorder="1" applyAlignment="1">
      <alignment horizontal="center" wrapText="1"/>
    </xf>
    <xf numFmtId="0" fontId="16" fillId="9" borderId="139" xfId="0" applyFont="1" applyFill="1" applyBorder="1" applyAlignment="1">
      <alignment horizontal="left" wrapText="1"/>
    </xf>
    <xf numFmtId="0" fontId="16" fillId="9" borderId="122" xfId="0" applyFont="1" applyFill="1" applyBorder="1" applyAlignment="1">
      <alignment horizontal="left" wrapText="1"/>
    </xf>
    <xf numFmtId="0" fontId="16" fillId="9" borderId="123" xfId="0" applyFont="1" applyFill="1" applyBorder="1" applyAlignment="1">
      <alignment horizontal="left" wrapText="1"/>
    </xf>
    <xf numFmtId="0" fontId="16" fillId="7" borderId="140" xfId="0" applyFont="1" applyFill="1" applyBorder="1" applyAlignment="1">
      <alignment horizontal="left" wrapText="1"/>
    </xf>
    <xf numFmtId="0" fontId="16" fillId="7" borderId="125" xfId="0" applyFont="1" applyFill="1" applyBorder="1" applyAlignment="1">
      <alignment horizontal="left" wrapText="1"/>
    </xf>
    <xf numFmtId="0" fontId="16" fillId="7" borderId="141" xfId="0" applyFont="1" applyFill="1" applyBorder="1" applyAlignment="1">
      <alignment horizontal="left" wrapText="1"/>
    </xf>
    <xf numFmtId="2" fontId="17" fillId="5" borderId="93" xfId="0" applyNumberFormat="1" applyFont="1" applyFill="1" applyBorder="1" applyAlignment="1">
      <alignment horizontal="center"/>
    </xf>
    <xf numFmtId="0" fontId="17" fillId="5" borderId="94" xfId="0" applyFont="1" applyFill="1" applyBorder="1" applyAlignment="1">
      <alignment horizontal="center"/>
    </xf>
    <xf numFmtId="2" fontId="17" fillId="5" borderId="94" xfId="0" applyNumberFormat="1" applyFont="1" applyFill="1" applyBorder="1" applyAlignment="1">
      <alignment horizontal="center"/>
    </xf>
    <xf numFmtId="0" fontId="16" fillId="5" borderId="108" xfId="0" applyFont="1" applyFill="1" applyBorder="1" applyAlignment="1">
      <alignment horizontal="left"/>
    </xf>
    <xf numFmtId="2" fontId="19" fillId="5" borderId="108" xfId="0" applyNumberFormat="1" applyFont="1" applyFill="1" applyBorder="1" applyAlignment="1">
      <alignment horizontal="center"/>
    </xf>
    <xf numFmtId="0" fontId="19" fillId="5" borderId="108" xfId="0" applyFont="1" applyFill="1" applyBorder="1" applyAlignment="1">
      <alignment horizontal="center"/>
    </xf>
    <xf numFmtId="0" fontId="16" fillId="9" borderId="21" xfId="0" applyFont="1" applyFill="1" applyBorder="1" applyAlignment="1">
      <alignment horizontal="left" wrapText="1"/>
    </xf>
    <xf numFmtId="0" fontId="19" fillId="5" borderId="21" xfId="0" applyFont="1" applyFill="1" applyBorder="1" applyAlignment="1">
      <alignment horizontal="center"/>
    </xf>
    <xf numFmtId="0" fontId="17" fillId="5" borderId="136" xfId="0" applyFont="1" applyFill="1" applyBorder="1" applyAlignment="1">
      <alignment horizontal="center"/>
    </xf>
    <xf numFmtId="0" fontId="17" fillId="5" borderId="128" xfId="0" applyFont="1" applyFill="1" applyBorder="1" applyAlignment="1">
      <alignment horizontal="center"/>
    </xf>
    <xf numFmtId="0" fontId="17" fillId="5" borderId="137" xfId="0" applyFont="1" applyFill="1" applyBorder="1" applyAlignment="1">
      <alignment horizontal="center"/>
    </xf>
    <xf numFmtId="0" fontId="16" fillId="5" borderId="93" xfId="0" applyFont="1" applyFill="1" applyBorder="1" applyAlignment="1">
      <alignment horizontal="left" wrapText="1"/>
    </xf>
    <xf numFmtId="0" fontId="16" fillId="5" borderId="114" xfId="0" applyFont="1" applyFill="1" applyBorder="1" applyAlignment="1">
      <alignment horizontal="left" wrapText="1"/>
    </xf>
    <xf numFmtId="0" fontId="16" fillId="5" borderId="94" xfId="0" applyFont="1" applyFill="1" applyBorder="1" applyAlignment="1">
      <alignment horizontal="left" wrapText="1"/>
    </xf>
    <xf numFmtId="10" fontId="16" fillId="5" borderId="93" xfId="0" applyNumberFormat="1" applyFont="1" applyFill="1" applyBorder="1" applyAlignment="1">
      <alignment horizontal="center"/>
    </xf>
    <xf numFmtId="10" fontId="16" fillId="5" borderId="94" xfId="0" applyNumberFormat="1" applyFont="1" applyFill="1" applyBorder="1" applyAlignment="1">
      <alignment horizontal="center"/>
    </xf>
    <xf numFmtId="2" fontId="19" fillId="5" borderId="93" xfId="0" applyNumberFormat="1" applyFont="1" applyFill="1" applyBorder="1" applyAlignment="1">
      <alignment horizontal="center"/>
    </xf>
    <xf numFmtId="2" fontId="19" fillId="5" borderId="94" xfId="0" applyNumberFormat="1" applyFont="1" applyFill="1" applyBorder="1" applyAlignment="1">
      <alignment horizontal="center"/>
    </xf>
    <xf numFmtId="0" fontId="16" fillId="5" borderId="21" xfId="0" applyFont="1" applyFill="1" applyBorder="1" applyAlignment="1">
      <alignment horizontal="center" wrapText="1"/>
    </xf>
    <xf numFmtId="10" fontId="16" fillId="5" borderId="21" xfId="0" applyNumberFormat="1" applyFont="1" applyFill="1" applyBorder="1" applyAlignment="1">
      <alignment horizontal="center"/>
    </xf>
    <xf numFmtId="2" fontId="19" fillId="0" borderId="21" xfId="0" applyNumberFormat="1" applyFont="1" applyBorder="1" applyAlignment="1">
      <alignment horizontal="center"/>
    </xf>
    <xf numFmtId="0" fontId="19" fillId="0" borderId="21" xfId="0" applyFont="1" applyBorder="1" applyAlignment="1">
      <alignment horizontal="center"/>
    </xf>
    <xf numFmtId="0" fontId="19" fillId="7" borderId="108" xfId="0" applyFont="1" applyFill="1" applyBorder="1" applyAlignment="1">
      <alignment horizontal="center"/>
    </xf>
    <xf numFmtId="10" fontId="22" fillId="5" borderId="108" xfId="0" applyNumberFormat="1" applyFont="1" applyFill="1" applyBorder="1" applyAlignment="1">
      <alignment horizontal="center"/>
    </xf>
    <xf numFmtId="0" fontId="19" fillId="0" borderId="134" xfId="0" applyFont="1" applyBorder="1" applyAlignment="1">
      <alignment horizontal="center"/>
    </xf>
    <xf numFmtId="0" fontId="19" fillId="0" borderId="0" xfId="0" applyFont="1" applyAlignment="1">
      <alignment horizontal="center"/>
    </xf>
    <xf numFmtId="10" fontId="22" fillId="0" borderId="0" xfId="0" applyNumberFormat="1" applyFont="1" applyAlignment="1">
      <alignment horizontal="center"/>
    </xf>
    <xf numFmtId="4" fontId="19" fillId="0" borderId="0" xfId="0" applyNumberFormat="1" applyFont="1" applyAlignment="1">
      <alignment horizontal="center"/>
    </xf>
    <xf numFmtId="0" fontId="19" fillId="0" borderId="135" xfId="0" applyFont="1" applyBorder="1" applyAlignment="1">
      <alignment horizontal="center"/>
    </xf>
    <xf numFmtId="0" fontId="17" fillId="5" borderId="134" xfId="0" applyFont="1" applyFill="1" applyBorder="1"/>
    <xf numFmtId="0" fontId="17" fillId="5" borderId="0" xfId="0" applyFont="1" applyFill="1"/>
    <xf numFmtId="0" fontId="17" fillId="5" borderId="135" xfId="0" applyFont="1" applyFill="1" applyBorder="1"/>
    <xf numFmtId="0" fontId="16" fillId="7" borderId="93" xfId="0" applyFont="1" applyFill="1" applyBorder="1" applyAlignment="1">
      <alignment horizontal="left" wrapText="1"/>
    </xf>
    <xf numFmtId="0" fontId="16" fillId="7" borderId="114" xfId="0" applyFont="1" applyFill="1" applyBorder="1" applyAlignment="1">
      <alignment horizontal="left" wrapText="1"/>
    </xf>
    <xf numFmtId="0" fontId="16" fillId="7" borderId="94" xfId="0" applyFont="1" applyFill="1" applyBorder="1" applyAlignment="1">
      <alignment horizontal="left" wrapText="1"/>
    </xf>
    <xf numFmtId="0" fontId="17" fillId="5" borderId="91" xfId="0" applyFont="1" applyFill="1" applyBorder="1"/>
    <xf numFmtId="0" fontId="17" fillId="5" borderId="138" xfId="0" applyFont="1" applyFill="1" applyBorder="1"/>
    <xf numFmtId="0" fontId="17" fillId="5" borderId="118" xfId="0" applyFont="1" applyFill="1" applyBorder="1"/>
    <xf numFmtId="0" fontId="17" fillId="0" borderId="0" xfId="0" applyFont="1"/>
    <xf numFmtId="0" fontId="16" fillId="5" borderId="130" xfId="0" applyFont="1" applyFill="1" applyBorder="1" applyAlignment="1">
      <alignment horizontal="center" vertical="center"/>
    </xf>
    <xf numFmtId="0" fontId="16" fillId="5" borderId="30" xfId="0" applyFont="1" applyFill="1" applyBorder="1" applyAlignment="1">
      <alignment horizontal="center" vertical="center"/>
    </xf>
    <xf numFmtId="0" fontId="16" fillId="5" borderId="131" xfId="0" applyFont="1" applyFill="1" applyBorder="1" applyAlignment="1">
      <alignment horizontal="center" vertical="center"/>
    </xf>
    <xf numFmtId="0" fontId="16" fillId="5" borderId="132" xfId="0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/>
    </xf>
    <xf numFmtId="0" fontId="16" fillId="5" borderId="133" xfId="0" applyFont="1" applyFill="1" applyBorder="1" applyAlignment="1">
      <alignment horizontal="center" vertical="center"/>
    </xf>
    <xf numFmtId="0" fontId="9" fillId="5" borderId="29" xfId="0" applyFont="1" applyFill="1" applyBorder="1" applyAlignment="1">
      <alignment horizontal="center" vertical="center"/>
    </xf>
    <xf numFmtId="0" fontId="9" fillId="5" borderId="30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0" fontId="9" fillId="5" borderId="38" xfId="0" applyFont="1" applyFill="1" applyBorder="1" applyAlignment="1">
      <alignment horizontal="center" vertical="center"/>
    </xf>
    <xf numFmtId="0" fontId="9" fillId="5" borderId="39" xfId="0" applyFont="1" applyFill="1" applyBorder="1" applyAlignment="1">
      <alignment horizontal="center" vertical="center"/>
    </xf>
    <xf numFmtId="0" fontId="9" fillId="5" borderId="40" xfId="0" applyFont="1" applyFill="1" applyBorder="1" applyAlignment="1">
      <alignment horizontal="center" vertical="center"/>
    </xf>
  </cellXfs>
  <cellStyles count="10">
    <cellStyle name="Moeda" xfId="1" builtinId="4"/>
    <cellStyle name="Moeda 2" xfId="2" xr:uid="{362D160E-8A72-4FBC-8B03-85345225B740}"/>
    <cellStyle name="Normal" xfId="0" builtinId="0"/>
    <cellStyle name="Normal 2" xfId="3" xr:uid="{A58F291F-AC9C-43C9-AE4E-23568A423185}"/>
    <cellStyle name="Normal 2 2" xfId="4" xr:uid="{2DAFF2FF-1006-45EF-9D5E-D961B0905F37}"/>
    <cellStyle name="Porcentagem" xfId="5" builtinId="5"/>
    <cellStyle name="Porcentagem 2" xfId="6" xr:uid="{1DFA364F-EF0C-49C7-A6BE-B9DE5E0CCB35}"/>
    <cellStyle name="Separador de milhares 2" xfId="7" xr:uid="{F2182FE7-0F4F-4005-A45E-3CD4E2930865}"/>
    <cellStyle name="Vírgula" xfId="8" builtinId="3"/>
    <cellStyle name="Vírgula 2" xfId="9" xr:uid="{241737FF-71E8-46FD-B3C3-EB2A5080A6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5AE5D-4858-4F09-BE26-A6706737A991}">
  <dimension ref="B2:L101"/>
  <sheetViews>
    <sheetView view="pageBreakPreview" topLeftCell="A75" zoomScale="130" zoomScaleNormal="130" zoomScaleSheetLayoutView="130" workbookViewId="0">
      <selection activeCell="M48" sqref="M48"/>
    </sheetView>
  </sheetViews>
  <sheetFormatPr defaultColWidth="11.42578125" defaultRowHeight="12" x14ac:dyDescent="0.2"/>
  <cols>
    <col min="1" max="1" width="4.42578125" style="1" customWidth="1"/>
    <col min="2" max="2" width="26" style="1" bestFit="1" customWidth="1"/>
    <col min="3" max="3" width="3.42578125" style="1" bestFit="1" customWidth="1"/>
    <col min="4" max="4" width="13" style="1" customWidth="1"/>
    <col min="5" max="5" width="4.28515625" style="1" bestFit="1" customWidth="1"/>
    <col min="6" max="6" width="13.42578125" style="1" customWidth="1"/>
    <col min="7" max="7" width="10.85546875" style="1" customWidth="1"/>
    <col min="8" max="8" width="16.42578125" style="1" bestFit="1" customWidth="1"/>
    <col min="9" max="9" width="11.140625" style="1" customWidth="1"/>
    <col min="10" max="10" width="14.28515625" style="1" bestFit="1" customWidth="1"/>
    <col min="11" max="11" width="18.42578125" style="2" bestFit="1" customWidth="1"/>
    <col min="12" max="12" width="10.42578125" style="3" customWidth="1"/>
    <col min="13" max="13" width="9.42578125" style="1" customWidth="1"/>
    <col min="14" max="16384" width="11.42578125" style="1"/>
  </cols>
  <sheetData>
    <row r="2" spans="2:12" ht="12.75" thickBot="1" x14ac:dyDescent="0.25"/>
    <row r="3" spans="2:12" ht="17.100000000000001" customHeight="1" x14ac:dyDescent="0.2">
      <c r="B3" s="226" t="s">
        <v>100</v>
      </c>
      <c r="C3" s="227"/>
      <c r="D3" s="227"/>
      <c r="E3" s="227"/>
      <c r="F3" s="227"/>
      <c r="G3" s="227"/>
      <c r="H3" s="227"/>
      <c r="I3" s="227"/>
      <c r="J3" s="227"/>
      <c r="K3" s="228"/>
    </row>
    <row r="4" spans="2:12" ht="15" customHeight="1" thickBot="1" x14ac:dyDescent="0.25">
      <c r="B4" s="229"/>
      <c r="C4" s="230"/>
      <c r="D4" s="230"/>
      <c r="E4" s="230"/>
      <c r="F4" s="230"/>
      <c r="G4" s="230"/>
      <c r="H4" s="230"/>
      <c r="I4" s="230"/>
      <c r="J4" s="230"/>
      <c r="K4" s="231"/>
    </row>
    <row r="5" spans="2:12" ht="14.25" thickBot="1" x14ac:dyDescent="0.3">
      <c r="B5" s="232" t="s">
        <v>87</v>
      </c>
      <c r="C5" s="233"/>
      <c r="D5" s="233"/>
      <c r="E5" s="233"/>
      <c r="F5" s="233"/>
      <c r="G5" s="233"/>
      <c r="H5" s="233"/>
      <c r="I5" s="233"/>
      <c r="J5" s="233"/>
      <c r="K5" s="234"/>
    </row>
    <row r="6" spans="2:12" ht="21.75" customHeight="1" thickBot="1" x14ac:dyDescent="0.3">
      <c r="B6" s="4"/>
      <c r="C6" s="5"/>
      <c r="D6" s="5"/>
      <c r="E6" s="5"/>
      <c r="F6" s="5"/>
      <c r="G6" s="5"/>
      <c r="H6" s="5"/>
      <c r="I6" s="5"/>
      <c r="J6" s="5"/>
      <c r="K6" s="6"/>
    </row>
    <row r="7" spans="2:12" ht="14.25" thickBot="1" x14ac:dyDescent="0.3">
      <c r="B7" s="235" t="s">
        <v>59</v>
      </c>
      <c r="C7" s="236"/>
      <c r="D7" s="236"/>
      <c r="E7" s="236"/>
      <c r="F7" s="236"/>
      <c r="G7" s="236"/>
      <c r="H7" s="236"/>
      <c r="I7" s="236"/>
      <c r="J7" s="236"/>
      <c r="K7" s="237"/>
    </row>
    <row r="8" spans="2:12" ht="137.1" customHeight="1" thickBot="1" x14ac:dyDescent="0.25">
      <c r="B8" s="59" t="s">
        <v>0</v>
      </c>
      <c r="C8" s="58" t="s">
        <v>1</v>
      </c>
      <c r="D8" s="8" t="s">
        <v>101</v>
      </c>
      <c r="E8" s="7" t="s">
        <v>63</v>
      </c>
      <c r="F8" s="8" t="s">
        <v>68</v>
      </c>
      <c r="G8" s="8" t="s">
        <v>65</v>
      </c>
      <c r="H8" s="8" t="s">
        <v>64</v>
      </c>
      <c r="I8" s="8" t="s">
        <v>85</v>
      </c>
      <c r="J8" s="8" t="s">
        <v>97</v>
      </c>
      <c r="K8" s="9" t="s">
        <v>2</v>
      </c>
    </row>
    <row r="9" spans="2:12" ht="63" customHeight="1" thickBot="1" x14ac:dyDescent="0.25">
      <c r="B9" s="57" t="s">
        <v>99</v>
      </c>
      <c r="C9" s="56">
        <v>3</v>
      </c>
      <c r="D9" s="10"/>
      <c r="E9" s="60"/>
      <c r="F9" s="10"/>
      <c r="G9" s="10"/>
      <c r="H9" s="11"/>
      <c r="I9" s="61">
        <v>40</v>
      </c>
      <c r="J9" s="62">
        <f>(D10/220*200)</f>
        <v>1603.6363636363635</v>
      </c>
      <c r="K9" s="63">
        <f>(J9*C10)</f>
        <v>4810.9090909090901</v>
      </c>
      <c r="L9" s="2"/>
    </row>
    <row r="10" spans="2:12" ht="26.45" customHeight="1" thickBot="1" x14ac:dyDescent="0.3">
      <c r="B10" s="12" t="s">
        <v>3</v>
      </c>
      <c r="C10" s="51">
        <f>C9</f>
        <v>3</v>
      </c>
      <c r="D10" s="13">
        <v>1764</v>
      </c>
      <c r="E10" s="14">
        <v>0.4</v>
      </c>
      <c r="F10" s="13">
        <v>1518</v>
      </c>
      <c r="G10" s="15">
        <f>(F10*E10)</f>
        <v>607.20000000000005</v>
      </c>
      <c r="H10" s="49">
        <f>(G10*C10)</f>
        <v>1821.6000000000001</v>
      </c>
      <c r="I10" s="55">
        <f>(I9*C10)</f>
        <v>120</v>
      </c>
      <c r="J10" s="42">
        <f>J9*C10</f>
        <v>4810.9090909090901</v>
      </c>
      <c r="K10" s="43">
        <f>SUM(J10+H10+I10)</f>
        <v>6752.5090909090904</v>
      </c>
      <c r="L10" s="2"/>
    </row>
    <row r="11" spans="2:12" ht="14.25" thickBot="1" x14ac:dyDescent="0.3">
      <c r="B11" s="238"/>
      <c r="C11" s="239"/>
      <c r="D11" s="239"/>
      <c r="E11" s="239"/>
      <c r="F11" s="239"/>
      <c r="G11" s="239"/>
      <c r="H11" s="239"/>
      <c r="I11" s="239"/>
      <c r="J11" s="239"/>
      <c r="K11" s="240"/>
      <c r="L11" s="2"/>
    </row>
    <row r="12" spans="2:12" ht="14.25" thickBot="1" x14ac:dyDescent="0.3">
      <c r="B12" s="241" t="s">
        <v>4</v>
      </c>
      <c r="C12" s="242"/>
      <c r="D12" s="242"/>
      <c r="E12" s="242"/>
      <c r="F12" s="242"/>
      <c r="G12" s="242"/>
      <c r="H12" s="242"/>
      <c r="I12" s="243"/>
      <c r="J12" s="243"/>
      <c r="K12" s="244"/>
      <c r="L12" s="2"/>
    </row>
    <row r="13" spans="2:12" ht="15.95" customHeight="1" thickBot="1" x14ac:dyDescent="0.3">
      <c r="B13" s="245" t="s">
        <v>5</v>
      </c>
      <c r="C13" s="246"/>
      <c r="D13" s="246"/>
      <c r="E13" s="246"/>
      <c r="F13" s="246"/>
      <c r="G13" s="246"/>
      <c r="H13" s="247"/>
      <c r="I13" s="248">
        <f>(J10+I10+H10)</f>
        <v>6752.5090909090904</v>
      </c>
      <c r="J13" s="249"/>
      <c r="K13" s="250"/>
      <c r="L13" s="2"/>
    </row>
    <row r="14" spans="2:12" ht="12" customHeight="1" x14ac:dyDescent="0.25">
      <c r="B14" s="251" t="s">
        <v>6</v>
      </c>
      <c r="C14" s="252"/>
      <c r="D14" s="252"/>
      <c r="E14" s="252"/>
      <c r="F14" s="252"/>
      <c r="G14" s="252"/>
      <c r="H14" s="252"/>
      <c r="I14" s="252"/>
      <c r="J14" s="252"/>
      <c r="K14" s="188"/>
      <c r="L14" s="2"/>
    </row>
    <row r="15" spans="2:12" ht="12" customHeight="1" x14ac:dyDescent="0.25">
      <c r="B15" s="189" t="s">
        <v>7</v>
      </c>
      <c r="C15" s="190"/>
      <c r="D15" s="190"/>
      <c r="E15" s="190"/>
      <c r="F15" s="221">
        <v>0.2</v>
      </c>
      <c r="G15" s="222"/>
      <c r="H15" s="223">
        <f t="shared" ref="H15:H22" si="0">$I$13*F15</f>
        <v>1350.5018181818182</v>
      </c>
      <c r="I15" s="223"/>
      <c r="J15" s="223"/>
      <c r="K15" s="253"/>
      <c r="L15" s="2"/>
    </row>
    <row r="16" spans="2:12" ht="12" customHeight="1" x14ac:dyDescent="0.25">
      <c r="B16" s="189" t="s">
        <v>8</v>
      </c>
      <c r="C16" s="190"/>
      <c r="D16" s="190"/>
      <c r="E16" s="190"/>
      <c r="F16" s="221">
        <v>0.08</v>
      </c>
      <c r="G16" s="222"/>
      <c r="H16" s="223">
        <f t="shared" si="0"/>
        <v>540.20072727272725</v>
      </c>
      <c r="I16" s="224"/>
      <c r="J16" s="224"/>
      <c r="K16" s="225"/>
      <c r="L16" s="2"/>
    </row>
    <row r="17" spans="2:12" ht="12" customHeight="1" x14ac:dyDescent="0.25">
      <c r="B17" s="189" t="s">
        <v>9</v>
      </c>
      <c r="C17" s="190"/>
      <c r="D17" s="190"/>
      <c r="E17" s="190"/>
      <c r="F17" s="221">
        <v>1.4999999999999999E-2</v>
      </c>
      <c r="G17" s="222"/>
      <c r="H17" s="223">
        <f t="shared" si="0"/>
        <v>101.28763636363635</v>
      </c>
      <c r="I17" s="224"/>
      <c r="J17" s="224"/>
      <c r="K17" s="225"/>
      <c r="L17" s="2"/>
    </row>
    <row r="18" spans="2:12" ht="12" customHeight="1" x14ac:dyDescent="0.25">
      <c r="B18" s="189" t="s">
        <v>10</v>
      </c>
      <c r="C18" s="190"/>
      <c r="D18" s="190"/>
      <c r="E18" s="190"/>
      <c r="F18" s="221">
        <v>0.01</v>
      </c>
      <c r="G18" s="222"/>
      <c r="H18" s="223">
        <f t="shared" si="0"/>
        <v>67.525090909090906</v>
      </c>
      <c r="I18" s="224"/>
      <c r="J18" s="224"/>
      <c r="K18" s="225"/>
      <c r="L18" s="2"/>
    </row>
    <row r="19" spans="2:12" ht="12" customHeight="1" x14ac:dyDescent="0.25">
      <c r="B19" s="189" t="s">
        <v>11</v>
      </c>
      <c r="C19" s="190"/>
      <c r="D19" s="190"/>
      <c r="E19" s="190"/>
      <c r="F19" s="221">
        <v>2E-3</v>
      </c>
      <c r="G19" s="222"/>
      <c r="H19" s="223">
        <f t="shared" si="0"/>
        <v>13.505018181818182</v>
      </c>
      <c r="I19" s="224"/>
      <c r="J19" s="224"/>
      <c r="K19" s="225"/>
      <c r="L19" s="2"/>
    </row>
    <row r="20" spans="2:12" ht="12" customHeight="1" x14ac:dyDescent="0.25">
      <c r="B20" s="189" t="s">
        <v>12</v>
      </c>
      <c r="C20" s="190"/>
      <c r="D20" s="190"/>
      <c r="E20" s="190"/>
      <c r="F20" s="221">
        <v>6.0000000000000001E-3</v>
      </c>
      <c r="G20" s="222"/>
      <c r="H20" s="223">
        <f t="shared" si="0"/>
        <v>40.515054545454547</v>
      </c>
      <c r="I20" s="224"/>
      <c r="J20" s="224"/>
      <c r="K20" s="225"/>
      <c r="L20" s="2"/>
    </row>
    <row r="21" spans="2:12" ht="15" customHeight="1" x14ac:dyDescent="0.25">
      <c r="B21" s="189" t="s">
        <v>13</v>
      </c>
      <c r="C21" s="190">
        <v>2.5000000000000001E-2</v>
      </c>
      <c r="D21" s="190"/>
      <c r="E21" s="190"/>
      <c r="F21" s="221">
        <v>2.5000000000000001E-2</v>
      </c>
      <c r="G21" s="222"/>
      <c r="H21" s="223">
        <f t="shared" si="0"/>
        <v>168.81272727272727</v>
      </c>
      <c r="I21" s="224"/>
      <c r="J21" s="224"/>
      <c r="K21" s="225"/>
      <c r="L21" s="2"/>
    </row>
    <row r="22" spans="2:12" ht="14.25" thickBot="1" x14ac:dyDescent="0.3">
      <c r="B22" s="170" t="s">
        <v>14</v>
      </c>
      <c r="C22" s="171"/>
      <c r="D22" s="171"/>
      <c r="E22" s="171"/>
      <c r="F22" s="202">
        <v>3.5099999999999999E-2</v>
      </c>
      <c r="G22" s="203"/>
      <c r="H22" s="204">
        <f t="shared" si="0"/>
        <v>237.01306909090906</v>
      </c>
      <c r="I22" s="205"/>
      <c r="J22" s="205"/>
      <c r="K22" s="206"/>
      <c r="L22" s="2"/>
    </row>
    <row r="23" spans="2:12" ht="17.100000000000001" customHeight="1" thickBot="1" x14ac:dyDescent="0.3">
      <c r="B23" s="207" t="s">
        <v>15</v>
      </c>
      <c r="C23" s="208"/>
      <c r="D23" s="208"/>
      <c r="E23" s="208"/>
      <c r="F23" s="209">
        <f>SUM(F15:G22)</f>
        <v>0.3731000000000001</v>
      </c>
      <c r="G23" s="210"/>
      <c r="H23" s="211">
        <f>SUM(H15:K22)</f>
        <v>2519.3611418181822</v>
      </c>
      <c r="I23" s="211"/>
      <c r="J23" s="211"/>
      <c r="K23" s="212"/>
      <c r="L23" s="2"/>
    </row>
    <row r="24" spans="2:12" ht="14.25" thickBot="1" x14ac:dyDescent="0.3">
      <c r="B24" s="213"/>
      <c r="C24" s="214"/>
      <c r="D24" s="214"/>
      <c r="E24" s="214"/>
      <c r="F24" s="214"/>
      <c r="G24" s="214"/>
      <c r="H24" s="214"/>
      <c r="I24" s="214"/>
      <c r="J24" s="214"/>
      <c r="K24" s="215"/>
      <c r="L24" s="2"/>
    </row>
    <row r="25" spans="2:12" ht="12" customHeight="1" x14ac:dyDescent="0.25">
      <c r="B25" s="186" t="s">
        <v>16</v>
      </c>
      <c r="C25" s="187"/>
      <c r="D25" s="187"/>
      <c r="E25" s="187"/>
      <c r="F25" s="187"/>
      <c r="G25" s="187"/>
      <c r="H25" s="187"/>
      <c r="I25" s="187"/>
      <c r="J25" s="187"/>
      <c r="K25" s="188"/>
      <c r="L25" s="2"/>
    </row>
    <row r="26" spans="2:12" ht="12" customHeight="1" x14ac:dyDescent="0.25">
      <c r="B26" s="216" t="s">
        <v>17</v>
      </c>
      <c r="C26" s="217"/>
      <c r="D26" s="217"/>
      <c r="E26" s="217"/>
      <c r="F26" s="218" t="s">
        <v>18</v>
      </c>
      <c r="G26" s="219"/>
      <c r="H26" s="218" t="s">
        <v>19</v>
      </c>
      <c r="I26" s="218"/>
      <c r="J26" s="218"/>
      <c r="K26" s="220"/>
      <c r="L26" s="2"/>
    </row>
    <row r="27" spans="2:12" ht="13.5" x14ac:dyDescent="0.25">
      <c r="B27" s="189" t="s">
        <v>20</v>
      </c>
      <c r="C27" s="190"/>
      <c r="D27" s="190"/>
      <c r="E27" s="190"/>
      <c r="F27" s="195">
        <f>(1/12)</f>
        <v>8.3333333333333329E-2</v>
      </c>
      <c r="G27" s="196"/>
      <c r="H27" s="193">
        <f t="shared" ref="H27:H35" si="1">F27*$I$13</f>
        <v>562.70909090909083</v>
      </c>
      <c r="I27" s="193"/>
      <c r="J27" s="193"/>
      <c r="K27" s="194"/>
      <c r="L27" s="2"/>
    </row>
    <row r="28" spans="2:12" ht="13.5" x14ac:dyDescent="0.25">
      <c r="B28" s="189" t="s">
        <v>69</v>
      </c>
      <c r="C28" s="190"/>
      <c r="D28" s="190"/>
      <c r="E28" s="190"/>
      <c r="F28" s="195">
        <v>0.1111</v>
      </c>
      <c r="G28" s="196"/>
      <c r="H28" s="193">
        <f t="shared" si="1"/>
        <v>750.20375999999999</v>
      </c>
      <c r="I28" s="193"/>
      <c r="J28" s="193"/>
      <c r="K28" s="194"/>
      <c r="L28" s="2"/>
    </row>
    <row r="29" spans="2:12" ht="13.5" x14ac:dyDescent="0.25">
      <c r="B29" s="189" t="s">
        <v>21</v>
      </c>
      <c r="C29" s="190"/>
      <c r="D29" s="190"/>
      <c r="E29" s="190"/>
      <c r="F29" s="195">
        <f>7/30/12</f>
        <v>1.9444444444444445E-2</v>
      </c>
      <c r="G29" s="196"/>
      <c r="H29" s="193">
        <f t="shared" si="1"/>
        <v>131.29878787878786</v>
      </c>
      <c r="I29" s="193"/>
      <c r="J29" s="193"/>
      <c r="K29" s="194"/>
      <c r="L29" s="2"/>
    </row>
    <row r="30" spans="2:12" ht="16.5" customHeight="1" x14ac:dyDescent="0.25">
      <c r="B30" s="189" t="s">
        <v>22</v>
      </c>
      <c r="C30" s="190"/>
      <c r="D30" s="190"/>
      <c r="E30" s="190"/>
      <c r="F30" s="195">
        <f>5/30/12</f>
        <v>1.3888888888888888E-2</v>
      </c>
      <c r="G30" s="196"/>
      <c r="H30" s="193">
        <f t="shared" si="1"/>
        <v>93.784848484848467</v>
      </c>
      <c r="I30" s="193"/>
      <c r="J30" s="193"/>
      <c r="K30" s="194"/>
      <c r="L30" s="2"/>
    </row>
    <row r="31" spans="2:12" ht="16.5" customHeight="1" x14ac:dyDescent="0.25">
      <c r="B31" s="189" t="s">
        <v>23</v>
      </c>
      <c r="C31" s="190"/>
      <c r="D31" s="190"/>
      <c r="E31" s="190"/>
      <c r="F31" s="195">
        <f>15/30/12*0.08</f>
        <v>3.3333333333333331E-3</v>
      </c>
      <c r="G31" s="196"/>
      <c r="H31" s="193">
        <f t="shared" si="1"/>
        <v>22.508363636363633</v>
      </c>
      <c r="I31" s="193"/>
      <c r="J31" s="193"/>
      <c r="K31" s="194"/>
      <c r="L31" s="2"/>
    </row>
    <row r="32" spans="2:12" ht="16.5" customHeight="1" x14ac:dyDescent="0.25">
      <c r="B32" s="189" t="s">
        <v>24</v>
      </c>
      <c r="C32" s="190"/>
      <c r="D32" s="190"/>
      <c r="E32" s="190"/>
      <c r="F32" s="195">
        <f>1/30/12</f>
        <v>2.7777777777777779E-3</v>
      </c>
      <c r="G32" s="196"/>
      <c r="H32" s="193">
        <f t="shared" si="1"/>
        <v>18.756969696969698</v>
      </c>
      <c r="I32" s="193"/>
      <c r="J32" s="193"/>
      <c r="K32" s="194"/>
      <c r="L32" s="2"/>
    </row>
    <row r="33" spans="2:12" ht="16.5" customHeight="1" x14ac:dyDescent="0.25">
      <c r="B33" s="189" t="s">
        <v>25</v>
      </c>
      <c r="C33" s="190">
        <v>2.5000000000000001E-2</v>
      </c>
      <c r="D33" s="190"/>
      <c r="E33" s="190"/>
      <c r="F33" s="195">
        <f>0.11111*0.02*0.333</f>
        <v>7.3999260000000007E-4</v>
      </c>
      <c r="G33" s="196"/>
      <c r="H33" s="193">
        <f t="shared" si="1"/>
        <v>4.9968067587054543</v>
      </c>
      <c r="I33" s="193"/>
      <c r="J33" s="193"/>
      <c r="K33" s="194"/>
      <c r="L33" s="2"/>
    </row>
    <row r="34" spans="2:12" ht="16.5" customHeight="1" x14ac:dyDescent="0.25">
      <c r="B34" s="189" t="s">
        <v>26</v>
      </c>
      <c r="C34" s="190"/>
      <c r="D34" s="190"/>
      <c r="E34" s="190"/>
      <c r="F34" s="195">
        <f>5/30/12*0.015</f>
        <v>2.0833333333333332E-4</v>
      </c>
      <c r="G34" s="196"/>
      <c r="H34" s="193">
        <f t="shared" si="1"/>
        <v>1.4067727272727271</v>
      </c>
      <c r="I34" s="193"/>
      <c r="J34" s="193"/>
      <c r="K34" s="194"/>
      <c r="L34" s="2"/>
    </row>
    <row r="35" spans="2:12" ht="16.5" customHeight="1" thickBot="1" x14ac:dyDescent="0.3">
      <c r="B35" s="197" t="s">
        <v>93</v>
      </c>
      <c r="C35" s="198"/>
      <c r="D35" s="198"/>
      <c r="E35" s="199"/>
      <c r="F35" s="200">
        <v>8.3299999999999999E-2</v>
      </c>
      <c r="G35" s="201"/>
      <c r="H35" s="193">
        <f t="shared" si="1"/>
        <v>562.48400727272724</v>
      </c>
      <c r="I35" s="193"/>
      <c r="J35" s="193"/>
      <c r="K35" s="194"/>
      <c r="L35" s="2"/>
    </row>
    <row r="36" spans="2:12" ht="14.25" thickBot="1" x14ac:dyDescent="0.3">
      <c r="B36" s="153" t="s">
        <v>27</v>
      </c>
      <c r="C36" s="154"/>
      <c r="D36" s="154"/>
      <c r="E36" s="155"/>
      <c r="F36" s="156">
        <f>SUM(F27:G35)</f>
        <v>0.31812610371111111</v>
      </c>
      <c r="G36" s="157"/>
      <c r="H36" s="158">
        <f>SUM(H27:K35)</f>
        <v>2148.1494073647655</v>
      </c>
      <c r="I36" s="158"/>
      <c r="J36" s="158"/>
      <c r="K36" s="159"/>
      <c r="L36" s="2"/>
    </row>
    <row r="37" spans="2:12" ht="16.5" customHeight="1" x14ac:dyDescent="0.25">
      <c r="B37" s="186" t="s">
        <v>28</v>
      </c>
      <c r="C37" s="187"/>
      <c r="D37" s="187"/>
      <c r="E37" s="187"/>
      <c r="F37" s="187"/>
      <c r="G37" s="187"/>
      <c r="H37" s="187"/>
      <c r="I37" s="187"/>
      <c r="J37" s="187"/>
      <c r="K37" s="188"/>
      <c r="L37" s="2"/>
    </row>
    <row r="38" spans="2:12" ht="13.5" x14ac:dyDescent="0.25">
      <c r="B38" s="189" t="s">
        <v>29</v>
      </c>
      <c r="C38" s="190"/>
      <c r="D38" s="190"/>
      <c r="E38" s="190"/>
      <c r="F38" s="191">
        <v>4.1700000000000001E-3</v>
      </c>
      <c r="G38" s="192"/>
      <c r="H38" s="193">
        <f>F38*$I$13</f>
        <v>28.157962909090909</v>
      </c>
      <c r="I38" s="193"/>
      <c r="J38" s="193"/>
      <c r="K38" s="194"/>
      <c r="L38" s="2"/>
    </row>
    <row r="39" spans="2:12" ht="13.5" x14ac:dyDescent="0.25">
      <c r="B39" s="189" t="s">
        <v>30</v>
      </c>
      <c r="C39" s="190"/>
      <c r="D39" s="190"/>
      <c r="E39" s="190"/>
      <c r="F39" s="191">
        <v>1.67E-3</v>
      </c>
      <c r="G39" s="192"/>
      <c r="H39" s="193">
        <f>F39*$I$13</f>
        <v>11.276690181818182</v>
      </c>
      <c r="I39" s="193"/>
      <c r="J39" s="193"/>
      <c r="K39" s="194"/>
      <c r="L39" s="2"/>
    </row>
    <row r="40" spans="2:12" ht="27.95" customHeight="1" x14ac:dyDescent="0.25">
      <c r="B40" s="189" t="s">
        <v>31</v>
      </c>
      <c r="C40" s="190"/>
      <c r="D40" s="190"/>
      <c r="E40" s="190"/>
      <c r="F40" s="191">
        <v>3.2000000000000001E-2</v>
      </c>
      <c r="G40" s="192"/>
      <c r="H40" s="193">
        <f>F40*$I$13</f>
        <v>216.08029090909091</v>
      </c>
      <c r="I40" s="193"/>
      <c r="J40" s="193"/>
      <c r="K40" s="194"/>
      <c r="L40" s="2"/>
    </row>
    <row r="41" spans="2:12" ht="32.1" customHeight="1" thickBot="1" x14ac:dyDescent="0.3">
      <c r="B41" s="170" t="s">
        <v>32</v>
      </c>
      <c r="C41" s="171"/>
      <c r="D41" s="171"/>
      <c r="E41" s="171"/>
      <c r="F41" s="172">
        <v>8.0000000000000002E-3</v>
      </c>
      <c r="G41" s="173"/>
      <c r="H41" s="174">
        <f>F41*$I$13</f>
        <v>54.020072727272726</v>
      </c>
      <c r="I41" s="174"/>
      <c r="J41" s="174"/>
      <c r="K41" s="175"/>
      <c r="L41" s="2"/>
    </row>
    <row r="42" spans="2:12" ht="14.25" thickBot="1" x14ac:dyDescent="0.3">
      <c r="B42" s="153" t="s">
        <v>33</v>
      </c>
      <c r="C42" s="154"/>
      <c r="D42" s="154"/>
      <c r="E42" s="155"/>
      <c r="F42" s="156">
        <f>SUM(F38:G41)</f>
        <v>4.5839999999999999E-2</v>
      </c>
      <c r="G42" s="157"/>
      <c r="H42" s="158">
        <f>SUM(H38:K41)</f>
        <v>309.53501672727276</v>
      </c>
      <c r="I42" s="158"/>
      <c r="J42" s="158"/>
      <c r="K42" s="159"/>
      <c r="L42" s="2"/>
    </row>
    <row r="43" spans="2:12" ht="28.7" customHeight="1" x14ac:dyDescent="0.25">
      <c r="B43" s="186" t="s">
        <v>34</v>
      </c>
      <c r="C43" s="187"/>
      <c r="D43" s="187"/>
      <c r="E43" s="187"/>
      <c r="F43" s="187"/>
      <c r="G43" s="187"/>
      <c r="H43" s="187"/>
      <c r="I43" s="187"/>
      <c r="J43" s="187"/>
      <c r="K43" s="188"/>
      <c r="L43" s="2"/>
    </row>
    <row r="44" spans="2:12" ht="30.95" customHeight="1" thickBot="1" x14ac:dyDescent="0.3">
      <c r="B44" s="170" t="s">
        <v>35</v>
      </c>
      <c r="C44" s="171"/>
      <c r="D44" s="171"/>
      <c r="E44" s="171"/>
      <c r="F44" s="172">
        <f>F23*F36</f>
        <v>0.11869284929461558</v>
      </c>
      <c r="G44" s="173"/>
      <c r="H44" s="174">
        <f>F44*$I$13</f>
        <v>801.47454388779431</v>
      </c>
      <c r="I44" s="174"/>
      <c r="J44" s="174"/>
      <c r="K44" s="175"/>
      <c r="L44" s="2"/>
    </row>
    <row r="45" spans="2:12" ht="32.450000000000003" customHeight="1" thickBot="1" x14ac:dyDescent="0.3">
      <c r="B45" s="153" t="s">
        <v>36</v>
      </c>
      <c r="C45" s="154"/>
      <c r="D45" s="154"/>
      <c r="E45" s="155"/>
      <c r="F45" s="176">
        <f>SUM(F44)</f>
        <v>0.11869284929461558</v>
      </c>
      <c r="G45" s="177"/>
      <c r="H45" s="158">
        <f>SUM(H44)</f>
        <v>801.47454388779431</v>
      </c>
      <c r="I45" s="158"/>
      <c r="J45" s="158"/>
      <c r="K45" s="159"/>
      <c r="L45" s="2"/>
    </row>
    <row r="46" spans="2:12" ht="16.5" customHeight="1" x14ac:dyDescent="0.25">
      <c r="B46" s="186" t="s">
        <v>37</v>
      </c>
      <c r="C46" s="187"/>
      <c r="D46" s="187"/>
      <c r="E46" s="187"/>
      <c r="F46" s="187"/>
      <c r="G46" s="187"/>
      <c r="H46" s="187"/>
      <c r="I46" s="187"/>
      <c r="J46" s="187"/>
      <c r="K46" s="188"/>
      <c r="L46" s="2"/>
    </row>
    <row r="47" spans="2:12" ht="33" customHeight="1" x14ac:dyDescent="0.25">
      <c r="B47" s="189" t="s">
        <v>38</v>
      </c>
      <c r="C47" s="190"/>
      <c r="D47" s="190"/>
      <c r="E47" s="190"/>
      <c r="F47" s="191">
        <v>3.3E-4</v>
      </c>
      <c r="G47" s="192"/>
      <c r="H47" s="193">
        <f>F47*$I$13</f>
        <v>2.2283279999999999</v>
      </c>
      <c r="I47" s="193"/>
      <c r="J47" s="193"/>
      <c r="K47" s="194"/>
      <c r="L47" s="2"/>
    </row>
    <row r="48" spans="2:12" ht="54" customHeight="1" thickBot="1" x14ac:dyDescent="0.3">
      <c r="B48" s="170" t="s">
        <v>39</v>
      </c>
      <c r="C48" s="171"/>
      <c r="D48" s="171"/>
      <c r="E48" s="171"/>
      <c r="F48" s="172">
        <v>2.5999999999999998E-4</v>
      </c>
      <c r="G48" s="173"/>
      <c r="H48" s="174">
        <f>F48*$I$13</f>
        <v>1.7556523636363635</v>
      </c>
      <c r="I48" s="174"/>
      <c r="J48" s="174"/>
      <c r="K48" s="175"/>
      <c r="L48" s="2"/>
    </row>
    <row r="49" spans="2:12" ht="34.700000000000003" customHeight="1" thickBot="1" x14ac:dyDescent="0.3">
      <c r="B49" s="153" t="s">
        <v>40</v>
      </c>
      <c r="C49" s="154"/>
      <c r="D49" s="154"/>
      <c r="E49" s="155"/>
      <c r="F49" s="176">
        <f>SUM(F47:G48)</f>
        <v>5.9000000000000003E-4</v>
      </c>
      <c r="G49" s="177"/>
      <c r="H49" s="158">
        <f>SUM(H47:K48)</f>
        <v>3.9839803636363635</v>
      </c>
      <c r="I49" s="158"/>
      <c r="J49" s="158"/>
      <c r="K49" s="159"/>
      <c r="L49" s="2"/>
    </row>
    <row r="50" spans="2:12" ht="16.5" customHeight="1" thickBot="1" x14ac:dyDescent="0.3">
      <c r="B50" s="153" t="s">
        <v>41</v>
      </c>
      <c r="C50" s="178"/>
      <c r="D50" s="178"/>
      <c r="E50" s="178"/>
      <c r="F50" s="178"/>
      <c r="G50" s="178"/>
      <c r="H50" s="178"/>
      <c r="I50" s="178"/>
      <c r="J50" s="178"/>
      <c r="K50" s="179"/>
      <c r="L50" s="2"/>
    </row>
    <row r="51" spans="2:12" ht="45" customHeight="1" thickBot="1" x14ac:dyDescent="0.3">
      <c r="B51" s="180" t="s">
        <v>42</v>
      </c>
      <c r="C51" s="181"/>
      <c r="D51" s="181"/>
      <c r="E51" s="181"/>
      <c r="F51" s="182">
        <f>F23*(13/12)*(4/12)*2/100</f>
        <v>2.6946111111111116E-3</v>
      </c>
      <c r="G51" s="183"/>
      <c r="H51" s="184">
        <f>F51*$I$13</f>
        <v>18.195386024242428</v>
      </c>
      <c r="I51" s="184"/>
      <c r="J51" s="184"/>
      <c r="K51" s="185"/>
      <c r="L51" s="2"/>
    </row>
    <row r="52" spans="2:12" ht="29.45" customHeight="1" thickBot="1" x14ac:dyDescent="0.3">
      <c r="B52" s="153" t="s">
        <v>43</v>
      </c>
      <c r="C52" s="154"/>
      <c r="D52" s="154"/>
      <c r="E52" s="155"/>
      <c r="F52" s="156">
        <f>SUM(F51)</f>
        <v>2.6946111111111116E-3</v>
      </c>
      <c r="G52" s="157"/>
      <c r="H52" s="158">
        <f>F52*$I$13</f>
        <v>18.195386024242428</v>
      </c>
      <c r="I52" s="158"/>
      <c r="J52" s="158"/>
      <c r="K52" s="159"/>
      <c r="L52" s="2"/>
    </row>
    <row r="53" spans="2:12" ht="16.5" customHeight="1" thickBot="1" x14ac:dyDescent="0.3">
      <c r="B53" s="160" t="s">
        <v>44</v>
      </c>
      <c r="C53" s="161"/>
      <c r="D53" s="161"/>
      <c r="E53" s="161"/>
      <c r="F53" s="162">
        <f>SUM(F52,F49,F45,F42,F36,F23)</f>
        <v>0.85904356411683791</v>
      </c>
      <c r="G53" s="163"/>
      <c r="H53" s="164">
        <f>SUM(H23,H52,H49,H45,H42,H36)</f>
        <v>5800.6994761858932</v>
      </c>
      <c r="I53" s="164"/>
      <c r="J53" s="164"/>
      <c r="K53" s="165"/>
      <c r="L53" s="2"/>
    </row>
    <row r="54" spans="2:12" ht="14.25" thickBot="1" x14ac:dyDescent="0.3">
      <c r="B54" s="16"/>
      <c r="C54" s="17"/>
      <c r="D54" s="166"/>
      <c r="E54" s="166"/>
      <c r="F54" s="166"/>
      <c r="G54" s="166"/>
      <c r="H54" s="166"/>
      <c r="I54" s="166"/>
      <c r="J54" s="166"/>
      <c r="K54" s="167"/>
      <c r="L54" s="2"/>
    </row>
    <row r="55" spans="2:12" ht="13.5" x14ac:dyDescent="0.25">
      <c r="B55" s="144" t="s">
        <v>70</v>
      </c>
      <c r="C55" s="145"/>
      <c r="D55" s="145"/>
      <c r="E55" s="145"/>
      <c r="F55" s="145"/>
      <c r="G55" s="145"/>
      <c r="H55" s="145"/>
      <c r="I55" s="145"/>
      <c r="J55" s="145"/>
      <c r="K55" s="146"/>
    </row>
    <row r="56" spans="2:12" ht="19.350000000000001" customHeight="1" x14ac:dyDescent="0.25">
      <c r="B56" s="151" t="s">
        <v>58</v>
      </c>
      <c r="C56" s="152"/>
      <c r="D56" s="152"/>
      <c r="E56" s="18" t="s">
        <v>45</v>
      </c>
      <c r="F56" s="133" t="s">
        <v>54</v>
      </c>
      <c r="G56" s="134"/>
      <c r="H56" s="18" t="s">
        <v>66</v>
      </c>
      <c r="I56" s="168" t="s">
        <v>81</v>
      </c>
      <c r="J56" s="169"/>
      <c r="K56" s="19" t="s">
        <v>46</v>
      </c>
    </row>
    <row r="57" spans="2:12" ht="15" customHeight="1" x14ac:dyDescent="0.25">
      <c r="B57" s="151" t="s">
        <v>88</v>
      </c>
      <c r="C57" s="152"/>
      <c r="D57" s="152"/>
      <c r="E57" s="48">
        <v>6</v>
      </c>
      <c r="F57" s="148">
        <v>35</v>
      </c>
      <c r="G57" s="149"/>
      <c r="H57" s="20">
        <f>(E57*F57)</f>
        <v>210</v>
      </c>
      <c r="I57" s="133">
        <v>3</v>
      </c>
      <c r="J57" s="134"/>
      <c r="K57" s="19">
        <f>(H57*I57/12)</f>
        <v>52.5</v>
      </c>
    </row>
    <row r="58" spans="2:12" ht="15" customHeight="1" x14ac:dyDescent="0.25">
      <c r="B58" s="135" t="s">
        <v>78</v>
      </c>
      <c r="C58" s="136"/>
      <c r="D58" s="147"/>
      <c r="E58" s="48">
        <v>4</v>
      </c>
      <c r="F58" s="148">
        <v>65.900000000000006</v>
      </c>
      <c r="G58" s="149"/>
      <c r="H58" s="20">
        <f t="shared" ref="H58:H64" si="2">(E58*F58)</f>
        <v>263.60000000000002</v>
      </c>
      <c r="I58" s="133">
        <v>3</v>
      </c>
      <c r="J58" s="134"/>
      <c r="K58" s="19">
        <f t="shared" ref="K58:K64" si="3">(H58*I58/12)</f>
        <v>65.900000000000006</v>
      </c>
    </row>
    <row r="59" spans="2:12" ht="15" customHeight="1" x14ac:dyDescent="0.25">
      <c r="B59" s="135" t="s">
        <v>90</v>
      </c>
      <c r="C59" s="136"/>
      <c r="D59" s="147"/>
      <c r="E59" s="48">
        <v>4</v>
      </c>
      <c r="F59" s="148">
        <v>30</v>
      </c>
      <c r="G59" s="149"/>
      <c r="H59" s="20">
        <f t="shared" si="2"/>
        <v>120</v>
      </c>
      <c r="I59" s="133">
        <v>3</v>
      </c>
      <c r="J59" s="134"/>
      <c r="K59" s="19">
        <f t="shared" si="3"/>
        <v>30</v>
      </c>
    </row>
    <row r="60" spans="2:12" ht="15" customHeight="1" x14ac:dyDescent="0.25">
      <c r="B60" s="135" t="s">
        <v>86</v>
      </c>
      <c r="C60" s="136"/>
      <c r="D60" s="147"/>
      <c r="E60" s="48">
        <v>3</v>
      </c>
      <c r="F60" s="148">
        <v>50</v>
      </c>
      <c r="G60" s="149"/>
      <c r="H60" s="20">
        <f t="shared" si="2"/>
        <v>150</v>
      </c>
      <c r="I60" s="133">
        <v>3</v>
      </c>
      <c r="J60" s="134"/>
      <c r="K60" s="19">
        <f t="shared" si="3"/>
        <v>37.5</v>
      </c>
    </row>
    <row r="61" spans="2:12" ht="15" customHeight="1" x14ac:dyDescent="0.25">
      <c r="B61" s="135" t="s">
        <v>91</v>
      </c>
      <c r="C61" s="136"/>
      <c r="D61" s="147"/>
      <c r="E61" s="48">
        <v>2</v>
      </c>
      <c r="F61" s="148">
        <v>45</v>
      </c>
      <c r="G61" s="149"/>
      <c r="H61" s="20">
        <f t="shared" si="2"/>
        <v>90</v>
      </c>
      <c r="I61" s="133">
        <v>3</v>
      </c>
      <c r="J61" s="134"/>
      <c r="K61" s="19">
        <f t="shared" si="3"/>
        <v>22.5</v>
      </c>
    </row>
    <row r="62" spans="2:12" ht="15" customHeight="1" x14ac:dyDescent="0.25">
      <c r="B62" s="135" t="s">
        <v>94</v>
      </c>
      <c r="C62" s="136"/>
      <c r="D62" s="147"/>
      <c r="E62" s="48">
        <v>2</v>
      </c>
      <c r="F62" s="148">
        <v>18</v>
      </c>
      <c r="G62" s="149"/>
      <c r="H62" s="20">
        <f t="shared" si="2"/>
        <v>36</v>
      </c>
      <c r="I62" s="133">
        <v>3</v>
      </c>
      <c r="J62" s="134"/>
      <c r="K62" s="19">
        <f t="shared" si="3"/>
        <v>9</v>
      </c>
    </row>
    <row r="63" spans="2:12" ht="15" customHeight="1" x14ac:dyDescent="0.25">
      <c r="B63" s="135" t="s">
        <v>95</v>
      </c>
      <c r="C63" s="136"/>
      <c r="D63" s="147"/>
      <c r="E63" s="48">
        <v>180</v>
      </c>
      <c r="F63" s="148">
        <v>1.55</v>
      </c>
      <c r="G63" s="149"/>
      <c r="H63" s="20">
        <f t="shared" si="2"/>
        <v>279</v>
      </c>
      <c r="I63" s="133">
        <v>3</v>
      </c>
      <c r="J63" s="134"/>
      <c r="K63" s="19">
        <f t="shared" si="3"/>
        <v>69.75</v>
      </c>
    </row>
    <row r="64" spans="2:12" ht="15" customHeight="1" x14ac:dyDescent="0.25">
      <c r="B64" s="135" t="s">
        <v>96</v>
      </c>
      <c r="C64" s="136"/>
      <c r="D64" s="147"/>
      <c r="E64" s="48">
        <v>2</v>
      </c>
      <c r="F64" s="148">
        <v>7</v>
      </c>
      <c r="G64" s="149"/>
      <c r="H64" s="20">
        <f t="shared" si="2"/>
        <v>14</v>
      </c>
      <c r="I64" s="133">
        <v>3</v>
      </c>
      <c r="J64" s="134"/>
      <c r="K64" s="19">
        <f t="shared" si="3"/>
        <v>3.5</v>
      </c>
    </row>
    <row r="65" spans="2:11" ht="15" customHeight="1" x14ac:dyDescent="0.25">
      <c r="B65" s="135" t="s">
        <v>79</v>
      </c>
      <c r="C65" s="136"/>
      <c r="D65" s="147"/>
      <c r="E65" s="48">
        <v>1</v>
      </c>
      <c r="F65" s="148">
        <v>87.5</v>
      </c>
      <c r="G65" s="149"/>
      <c r="H65" s="20">
        <f>(F65*E65)</f>
        <v>87.5</v>
      </c>
      <c r="I65" s="133">
        <v>3</v>
      </c>
      <c r="J65" s="134"/>
      <c r="K65" s="19">
        <f t="shared" ref="K65:K70" si="4">(H65*I65)</f>
        <v>262.5</v>
      </c>
    </row>
    <row r="66" spans="2:11" ht="15" customHeight="1" x14ac:dyDescent="0.25">
      <c r="B66" s="135" t="s">
        <v>80</v>
      </c>
      <c r="C66" s="136"/>
      <c r="D66" s="147"/>
      <c r="E66" s="48">
        <v>1</v>
      </c>
      <c r="F66" s="148">
        <v>28</v>
      </c>
      <c r="G66" s="149"/>
      <c r="H66" s="20">
        <f>(E66*F66)</f>
        <v>28</v>
      </c>
      <c r="I66" s="133">
        <v>3</v>
      </c>
      <c r="J66" s="134"/>
      <c r="K66" s="19">
        <f t="shared" si="4"/>
        <v>84</v>
      </c>
    </row>
    <row r="67" spans="2:11" ht="27.95" customHeight="1" x14ac:dyDescent="0.25">
      <c r="B67" s="129" t="s">
        <v>103</v>
      </c>
      <c r="C67" s="130"/>
      <c r="D67" s="150"/>
      <c r="E67" s="46">
        <v>1</v>
      </c>
      <c r="F67" s="148">
        <v>154.59</v>
      </c>
      <c r="G67" s="149"/>
      <c r="H67" s="41">
        <f>F67</f>
        <v>154.59</v>
      </c>
      <c r="I67" s="133">
        <v>3</v>
      </c>
      <c r="J67" s="134"/>
      <c r="K67" s="19">
        <f t="shared" si="4"/>
        <v>463.77</v>
      </c>
    </row>
    <row r="68" spans="2:11" ht="15" customHeight="1" x14ac:dyDescent="0.25">
      <c r="B68" s="135" t="s">
        <v>72</v>
      </c>
      <c r="C68" s="136"/>
      <c r="D68" s="136"/>
      <c r="E68" s="47">
        <v>1</v>
      </c>
      <c r="F68" s="131">
        <v>805</v>
      </c>
      <c r="G68" s="132"/>
      <c r="H68" s="40">
        <f>(F68*80%)</f>
        <v>644</v>
      </c>
      <c r="I68" s="133">
        <v>3</v>
      </c>
      <c r="J68" s="134"/>
      <c r="K68" s="39">
        <f t="shared" si="4"/>
        <v>1932</v>
      </c>
    </row>
    <row r="69" spans="2:11" ht="15" customHeight="1" x14ac:dyDescent="0.25">
      <c r="B69" s="135" t="s">
        <v>98</v>
      </c>
      <c r="C69" s="136"/>
      <c r="D69" s="137"/>
      <c r="E69" s="47">
        <v>1</v>
      </c>
      <c r="F69" s="131">
        <v>805</v>
      </c>
      <c r="G69" s="138"/>
      <c r="H69" s="40">
        <f>(F69/12)</f>
        <v>67.083333333333329</v>
      </c>
      <c r="I69" s="133">
        <v>3</v>
      </c>
      <c r="J69" s="134"/>
      <c r="K69" s="39">
        <f t="shared" si="4"/>
        <v>201.25</v>
      </c>
    </row>
    <row r="70" spans="2:11" ht="15" customHeight="1" x14ac:dyDescent="0.25">
      <c r="B70" s="129" t="s">
        <v>77</v>
      </c>
      <c r="C70" s="130"/>
      <c r="D70" s="130"/>
      <c r="E70" s="47">
        <v>1</v>
      </c>
      <c r="F70" s="131">
        <v>15</v>
      </c>
      <c r="G70" s="132"/>
      <c r="H70" s="40">
        <f>(E70*F70)</f>
        <v>15</v>
      </c>
      <c r="I70" s="133">
        <v>3</v>
      </c>
      <c r="J70" s="134"/>
      <c r="K70" s="39">
        <f t="shared" si="4"/>
        <v>45</v>
      </c>
    </row>
    <row r="71" spans="2:11" ht="14.25" thickBot="1" x14ac:dyDescent="0.3">
      <c r="B71" s="139" t="s">
        <v>71</v>
      </c>
      <c r="C71" s="140"/>
      <c r="D71" s="140"/>
      <c r="E71" s="141"/>
      <c r="F71" s="140"/>
      <c r="G71" s="140"/>
      <c r="H71" s="141"/>
      <c r="I71" s="141"/>
      <c r="J71" s="141"/>
      <c r="K71" s="21">
        <f>SUM(K57:K70)</f>
        <v>3279.17</v>
      </c>
    </row>
    <row r="72" spans="2:11" s="3" customFormat="1" ht="14.25" thickBot="1" x14ac:dyDescent="0.3">
      <c r="B72" s="142" t="s">
        <v>61</v>
      </c>
      <c r="C72" s="143"/>
      <c r="D72" s="143"/>
      <c r="E72" s="143"/>
      <c r="F72" s="143"/>
      <c r="G72" s="143"/>
      <c r="H72" s="143"/>
      <c r="I72" s="143"/>
      <c r="J72" s="143"/>
      <c r="K72" s="34">
        <f>(H53+K71)</f>
        <v>9079.8694761858933</v>
      </c>
    </row>
    <row r="73" spans="2:11" s="3" customFormat="1" ht="13.5" x14ac:dyDescent="0.25">
      <c r="B73" s="144" t="s">
        <v>76</v>
      </c>
      <c r="C73" s="145"/>
      <c r="D73" s="145"/>
      <c r="E73" s="145"/>
      <c r="F73" s="145"/>
      <c r="G73" s="145"/>
      <c r="H73" s="145"/>
      <c r="I73" s="145"/>
      <c r="J73" s="145"/>
      <c r="K73" s="146"/>
    </row>
    <row r="74" spans="2:11" s="3" customFormat="1" ht="21.6" customHeight="1" x14ac:dyDescent="0.25">
      <c r="B74" s="106"/>
      <c r="C74" s="107"/>
      <c r="D74" s="107"/>
      <c r="E74" s="107"/>
      <c r="F74" s="107"/>
      <c r="G74" s="107"/>
      <c r="H74" s="22" t="s">
        <v>47</v>
      </c>
      <c r="I74" s="108" t="s">
        <v>92</v>
      </c>
      <c r="J74" s="109"/>
      <c r="K74" s="110"/>
    </row>
    <row r="75" spans="2:11" s="3" customFormat="1" ht="27.95" customHeight="1" x14ac:dyDescent="0.25">
      <c r="B75" s="111" t="s">
        <v>102</v>
      </c>
      <c r="C75" s="112"/>
      <c r="D75" s="112"/>
      <c r="E75" s="112"/>
      <c r="F75" s="112"/>
      <c r="G75" s="112"/>
      <c r="H75" s="23">
        <f>(I13)</f>
        <v>6752.5090909090904</v>
      </c>
      <c r="I75" s="113">
        <f>H75*3</f>
        <v>20257.527272727271</v>
      </c>
      <c r="J75" s="114"/>
      <c r="K75" s="19">
        <f>I75</f>
        <v>20257.527272727271</v>
      </c>
    </row>
    <row r="76" spans="2:11" s="3" customFormat="1" ht="30" customHeight="1" x14ac:dyDescent="0.25">
      <c r="B76" s="115" t="s">
        <v>73</v>
      </c>
      <c r="C76" s="116"/>
      <c r="D76" s="116"/>
      <c r="E76" s="116"/>
      <c r="F76" s="116"/>
      <c r="G76" s="116"/>
      <c r="H76" s="116"/>
      <c r="I76" s="116"/>
      <c r="J76" s="116"/>
      <c r="K76" s="24">
        <f>(K72)</f>
        <v>9079.8694761858933</v>
      </c>
    </row>
    <row r="77" spans="2:11" s="3" customFormat="1" ht="14.25" thickBot="1" x14ac:dyDescent="0.3">
      <c r="B77" s="117" t="s">
        <v>67</v>
      </c>
      <c r="C77" s="118"/>
      <c r="D77" s="118"/>
      <c r="E77" s="118"/>
      <c r="F77" s="118"/>
      <c r="G77" s="118"/>
      <c r="H77" s="118"/>
      <c r="I77" s="118"/>
      <c r="J77" s="118"/>
      <c r="K77" s="44">
        <f>(H75+K72)</f>
        <v>15832.378567094984</v>
      </c>
    </row>
    <row r="78" spans="2:11" s="3" customFormat="1" ht="13.5" x14ac:dyDescent="0.25">
      <c r="B78" s="119"/>
      <c r="C78" s="120"/>
      <c r="D78" s="120"/>
      <c r="E78" s="120"/>
      <c r="F78" s="120"/>
      <c r="G78" s="120"/>
      <c r="H78" s="120"/>
      <c r="I78" s="120"/>
      <c r="J78" s="120"/>
      <c r="K78" s="121"/>
    </row>
    <row r="79" spans="2:11" s="3" customFormat="1" ht="13.5" x14ac:dyDescent="0.25">
      <c r="B79" s="122" t="s">
        <v>74</v>
      </c>
      <c r="C79" s="123"/>
      <c r="D79" s="123"/>
      <c r="E79" s="123"/>
      <c r="F79" s="123"/>
      <c r="G79" s="123"/>
      <c r="H79" s="123"/>
      <c r="I79" s="124"/>
      <c r="J79" s="124"/>
      <c r="K79" s="125"/>
    </row>
    <row r="80" spans="2:11" s="3" customFormat="1" ht="15" customHeight="1" x14ac:dyDescent="0.25">
      <c r="B80" s="126" t="s">
        <v>49</v>
      </c>
      <c r="C80" s="127"/>
      <c r="D80" s="127"/>
      <c r="E80" s="127"/>
      <c r="F80" s="127"/>
      <c r="G80" s="127"/>
      <c r="H80" s="50" t="s">
        <v>50</v>
      </c>
      <c r="I80" s="128" t="s">
        <v>51</v>
      </c>
      <c r="J80" s="128"/>
      <c r="K80" s="52" t="s">
        <v>48</v>
      </c>
    </row>
    <row r="81" spans="2:11" s="3" customFormat="1" ht="15" customHeight="1" x14ac:dyDescent="0.25">
      <c r="B81" s="66" t="s">
        <v>60</v>
      </c>
      <c r="C81" s="67"/>
      <c r="D81" s="67"/>
      <c r="E81" s="67"/>
      <c r="F81" s="67"/>
      <c r="G81" s="67"/>
      <c r="H81" s="70">
        <f>K77</f>
        <v>15832.378567094984</v>
      </c>
      <c r="I81" s="71">
        <v>0.1</v>
      </c>
      <c r="J81" s="72"/>
      <c r="K81" s="19">
        <f>ROUND(H81*I81,2)</f>
        <v>1583.24</v>
      </c>
    </row>
    <row r="82" spans="2:11" s="3" customFormat="1" ht="15" customHeight="1" x14ac:dyDescent="0.25">
      <c r="B82" s="68"/>
      <c r="C82" s="69"/>
      <c r="D82" s="69"/>
      <c r="E82" s="69"/>
      <c r="F82" s="69"/>
      <c r="G82" s="69"/>
      <c r="H82" s="70"/>
      <c r="I82" s="73">
        <v>0.05</v>
      </c>
      <c r="J82" s="74"/>
      <c r="K82" s="39">
        <f>(I82*H81)</f>
        <v>791.61892835474919</v>
      </c>
    </row>
    <row r="83" spans="2:11" s="3" customFormat="1" ht="14.25" thickBot="1" x14ac:dyDescent="0.3">
      <c r="B83" s="75" t="s">
        <v>75</v>
      </c>
      <c r="C83" s="76"/>
      <c r="D83" s="76"/>
      <c r="E83" s="76"/>
      <c r="F83" s="76"/>
      <c r="G83" s="76"/>
      <c r="H83" s="77"/>
      <c r="I83" s="77"/>
      <c r="J83" s="77"/>
      <c r="K83" s="45">
        <f>SUM(K81:K82)</f>
        <v>2374.858928354749</v>
      </c>
    </row>
    <row r="84" spans="2:11" s="3" customFormat="1" ht="14.25" thickBot="1" x14ac:dyDescent="0.3">
      <c r="B84" s="78"/>
      <c r="C84" s="79"/>
      <c r="D84" s="79"/>
      <c r="E84" s="79"/>
      <c r="F84" s="79"/>
      <c r="G84" s="79"/>
      <c r="H84" s="79"/>
      <c r="I84" s="79"/>
      <c r="J84" s="79"/>
      <c r="K84" s="80"/>
    </row>
    <row r="85" spans="2:11" s="3" customFormat="1" ht="14.25" thickBot="1" x14ac:dyDescent="0.3">
      <c r="B85" s="98" t="s">
        <v>52</v>
      </c>
      <c r="C85" s="99"/>
      <c r="D85" s="99"/>
      <c r="E85" s="99"/>
      <c r="F85" s="99"/>
      <c r="G85" s="99"/>
      <c r="H85" s="99"/>
      <c r="I85" s="99"/>
      <c r="J85" s="99"/>
      <c r="K85" s="25">
        <f>ROUND(K77+K83,2)</f>
        <v>18207.240000000002</v>
      </c>
    </row>
    <row r="86" spans="2:11" s="3" customFormat="1" ht="14.25" thickBot="1" x14ac:dyDescent="0.3">
      <c r="B86" s="100"/>
      <c r="C86" s="101"/>
      <c r="D86" s="101"/>
      <c r="E86" s="101"/>
      <c r="F86" s="101"/>
      <c r="G86" s="101"/>
      <c r="H86" s="101"/>
      <c r="I86" s="101"/>
      <c r="J86" s="101"/>
      <c r="K86" s="102"/>
    </row>
    <row r="87" spans="2:11" s="3" customFormat="1" ht="13.5" x14ac:dyDescent="0.25">
      <c r="B87" s="103" t="s">
        <v>55</v>
      </c>
      <c r="C87" s="104"/>
      <c r="D87" s="104"/>
      <c r="E87" s="104"/>
      <c r="F87" s="104"/>
      <c r="G87" s="104"/>
      <c r="H87" s="104"/>
      <c r="I87" s="104"/>
      <c r="J87" s="104"/>
      <c r="K87" s="105"/>
    </row>
    <row r="88" spans="2:11" s="3" customFormat="1" ht="13.5" x14ac:dyDescent="0.25">
      <c r="B88" s="64" t="s">
        <v>49</v>
      </c>
      <c r="C88" s="65"/>
      <c r="D88" s="65"/>
      <c r="E88" s="65"/>
      <c r="F88" s="65"/>
      <c r="G88" s="65"/>
      <c r="H88" s="26"/>
      <c r="I88" s="26"/>
      <c r="J88" s="27" t="s">
        <v>51</v>
      </c>
      <c r="K88" s="38" t="s">
        <v>48</v>
      </c>
    </row>
    <row r="89" spans="2:11" s="3" customFormat="1" ht="13.5" x14ac:dyDescent="0.25">
      <c r="B89" s="64" t="s">
        <v>53</v>
      </c>
      <c r="C89" s="65"/>
      <c r="D89" s="65"/>
      <c r="E89" s="65"/>
      <c r="F89" s="65"/>
      <c r="G89" s="65"/>
      <c r="H89" s="28"/>
      <c r="I89" s="28"/>
      <c r="J89" s="29">
        <v>0.05</v>
      </c>
      <c r="K89" s="30">
        <f>ROUND(K96*J89,2)</f>
        <v>996.57</v>
      </c>
    </row>
    <row r="90" spans="2:11" s="3" customFormat="1" ht="13.5" x14ac:dyDescent="0.25">
      <c r="B90" s="64" t="s">
        <v>56</v>
      </c>
      <c r="C90" s="65"/>
      <c r="D90" s="65"/>
      <c r="E90" s="65"/>
      <c r="F90" s="65"/>
      <c r="G90" s="65"/>
      <c r="H90" s="28"/>
      <c r="I90" s="28"/>
      <c r="J90" s="53">
        <v>6.4999999999999997E-3</v>
      </c>
      <c r="K90" s="30">
        <f>ROUND(K96*J90,2)</f>
        <v>129.55000000000001</v>
      </c>
    </row>
    <row r="91" spans="2:11" s="3" customFormat="1" ht="13.5" x14ac:dyDescent="0.25">
      <c r="B91" s="64" t="s">
        <v>57</v>
      </c>
      <c r="C91" s="65"/>
      <c r="D91" s="65"/>
      <c r="E91" s="65"/>
      <c r="F91" s="65"/>
      <c r="G91" s="65"/>
      <c r="H91" s="28"/>
      <c r="I91" s="28"/>
      <c r="J91" s="53">
        <v>0.03</v>
      </c>
      <c r="K91" s="30">
        <f>ROUND(K96*J91,2)</f>
        <v>597.94000000000005</v>
      </c>
    </row>
    <row r="92" spans="2:11" s="3" customFormat="1" ht="14.25" thickBot="1" x14ac:dyDescent="0.3">
      <c r="B92" s="90" t="s">
        <v>62</v>
      </c>
      <c r="C92" s="91"/>
      <c r="D92" s="91"/>
      <c r="E92" s="91"/>
      <c r="F92" s="91"/>
      <c r="G92" s="91"/>
      <c r="H92" s="31"/>
      <c r="I92" s="31"/>
      <c r="J92" s="32">
        <f>SUM(J89:J91)</f>
        <v>8.6499999999999994E-2</v>
      </c>
      <c r="K92" s="33">
        <f>SUM(K89:K91)</f>
        <v>1724.0600000000002</v>
      </c>
    </row>
    <row r="93" spans="2:11" s="3" customFormat="1" ht="14.25" thickBot="1" x14ac:dyDescent="0.3">
      <c r="B93" s="92"/>
      <c r="C93" s="93"/>
      <c r="D93" s="93"/>
      <c r="E93" s="93"/>
      <c r="F93" s="93"/>
      <c r="G93" s="93"/>
      <c r="H93" s="93"/>
      <c r="I93" s="93"/>
      <c r="J93" s="93"/>
      <c r="K93" s="94"/>
    </row>
    <row r="94" spans="2:11" s="3" customFormat="1" ht="14.25" thickBot="1" x14ac:dyDescent="0.3">
      <c r="B94" s="87" t="s">
        <v>82</v>
      </c>
      <c r="C94" s="88"/>
      <c r="D94" s="88"/>
      <c r="E94" s="88"/>
      <c r="F94" s="88"/>
      <c r="G94" s="88"/>
      <c r="H94" s="88"/>
      <c r="I94" s="88"/>
      <c r="J94" s="89"/>
      <c r="K94" s="35">
        <f>(K96/C10)</f>
        <v>6643.7666666666664</v>
      </c>
    </row>
    <row r="95" spans="2:11" s="3" customFormat="1" ht="15.95" customHeight="1" thickBot="1" x14ac:dyDescent="0.3">
      <c r="B95" s="87" t="s">
        <v>89</v>
      </c>
      <c r="C95" s="88"/>
      <c r="D95" s="88"/>
      <c r="E95" s="88"/>
      <c r="F95" s="88"/>
      <c r="G95" s="88"/>
      <c r="H95" s="88"/>
      <c r="I95" s="88"/>
      <c r="J95" s="89"/>
      <c r="K95" s="54">
        <f>(K94*2)</f>
        <v>13287.533333333333</v>
      </c>
    </row>
    <row r="96" spans="2:11" s="3" customFormat="1" ht="14.25" thickBot="1" x14ac:dyDescent="0.3">
      <c r="B96" s="95" t="s">
        <v>83</v>
      </c>
      <c r="C96" s="96"/>
      <c r="D96" s="96"/>
      <c r="E96" s="96"/>
      <c r="F96" s="96"/>
      <c r="G96" s="96"/>
      <c r="H96" s="96"/>
      <c r="I96" s="96"/>
      <c r="J96" s="97"/>
      <c r="K96" s="36">
        <f>ROUND((K85*100/(100-J92*100)),2)</f>
        <v>19931.3</v>
      </c>
    </row>
    <row r="97" spans="2:11" s="3" customFormat="1" ht="14.25" thickBot="1" x14ac:dyDescent="0.3">
      <c r="B97" s="95" t="s">
        <v>84</v>
      </c>
      <c r="C97" s="96"/>
      <c r="D97" s="96"/>
      <c r="E97" s="96"/>
      <c r="F97" s="96"/>
      <c r="G97" s="96"/>
      <c r="H97" s="96"/>
      <c r="I97" s="96"/>
      <c r="J97" s="97"/>
      <c r="K97" s="37">
        <f>(K96*3)</f>
        <v>59793.899999999994</v>
      </c>
    </row>
    <row r="98" spans="2:11" s="3" customFormat="1" ht="12.75" thickBot="1" x14ac:dyDescent="0.25">
      <c r="B98" s="81"/>
      <c r="C98" s="82"/>
      <c r="D98" s="82"/>
      <c r="E98" s="82"/>
      <c r="F98" s="82"/>
      <c r="G98" s="82"/>
      <c r="H98" s="82"/>
      <c r="I98" s="82"/>
      <c r="J98" s="82"/>
      <c r="K98" s="83"/>
    </row>
    <row r="99" spans="2:11" s="3" customFormat="1" ht="29.1" customHeight="1" thickBot="1" x14ac:dyDescent="0.25">
      <c r="B99" s="84"/>
      <c r="C99" s="85"/>
      <c r="D99" s="85"/>
      <c r="E99" s="85"/>
      <c r="F99" s="85"/>
      <c r="G99" s="85"/>
      <c r="H99" s="85"/>
      <c r="I99" s="85"/>
      <c r="J99" s="85"/>
      <c r="K99" s="86"/>
    </row>
    <row r="100" spans="2:11" s="3" customFormat="1" ht="12.75" thickBot="1" x14ac:dyDescent="0.25">
      <c r="B100" s="81"/>
      <c r="C100" s="82"/>
      <c r="D100" s="82"/>
      <c r="E100" s="82"/>
      <c r="F100" s="82"/>
      <c r="G100" s="82"/>
      <c r="H100" s="82"/>
      <c r="I100" s="82"/>
      <c r="J100" s="82"/>
      <c r="K100" s="83"/>
    </row>
    <row r="101" spans="2:11" s="3" customFormat="1" ht="12.75" thickBot="1" x14ac:dyDescent="0.25">
      <c r="B101" s="84"/>
      <c r="C101" s="85"/>
      <c r="D101" s="85"/>
      <c r="E101" s="85"/>
      <c r="F101" s="85"/>
      <c r="G101" s="85"/>
      <c r="H101" s="85"/>
      <c r="I101" s="85"/>
      <c r="J101" s="85"/>
      <c r="K101" s="86"/>
    </row>
  </sheetData>
  <sheetProtection selectLockedCells="1" selectUnlockedCells="1"/>
  <mergeCells count="194">
    <mergeCell ref="B3:K4"/>
    <mergeCell ref="B5:K5"/>
    <mergeCell ref="B7:K7"/>
    <mergeCell ref="B11:K11"/>
    <mergeCell ref="B12:K12"/>
    <mergeCell ref="B13:H13"/>
    <mergeCell ref="I13:K13"/>
    <mergeCell ref="B14:K14"/>
    <mergeCell ref="B15:E15"/>
    <mergeCell ref="F15:G15"/>
    <mergeCell ref="H15:K15"/>
    <mergeCell ref="B16:E16"/>
    <mergeCell ref="F16:G16"/>
    <mergeCell ref="H16:K16"/>
    <mergeCell ref="B17:E17"/>
    <mergeCell ref="F17:G17"/>
    <mergeCell ref="H17:K17"/>
    <mergeCell ref="B18:E18"/>
    <mergeCell ref="F18:G18"/>
    <mergeCell ref="H18:K18"/>
    <mergeCell ref="B19:E19"/>
    <mergeCell ref="F19:G19"/>
    <mergeCell ref="H19:K19"/>
    <mergeCell ref="B20:E20"/>
    <mergeCell ref="F20:G20"/>
    <mergeCell ref="H20:K20"/>
    <mergeCell ref="B21:E21"/>
    <mergeCell ref="F21:G21"/>
    <mergeCell ref="H21:K21"/>
    <mergeCell ref="B22:E22"/>
    <mergeCell ref="F22:G22"/>
    <mergeCell ref="H22:K22"/>
    <mergeCell ref="B23:E23"/>
    <mergeCell ref="F23:G23"/>
    <mergeCell ref="H23:K23"/>
    <mergeCell ref="B24:K24"/>
    <mergeCell ref="B25:K25"/>
    <mergeCell ref="B26:E26"/>
    <mergeCell ref="F26:G26"/>
    <mergeCell ref="H26:K26"/>
    <mergeCell ref="B27:E27"/>
    <mergeCell ref="F27:G27"/>
    <mergeCell ref="H27:K27"/>
    <mergeCell ref="B28:E28"/>
    <mergeCell ref="F28:G28"/>
    <mergeCell ref="H28:K28"/>
    <mergeCell ref="B29:E29"/>
    <mergeCell ref="F29:G29"/>
    <mergeCell ref="H29:K29"/>
    <mergeCell ref="B30:E30"/>
    <mergeCell ref="F30:G30"/>
    <mergeCell ref="H30:K30"/>
    <mergeCell ref="B31:E31"/>
    <mergeCell ref="F31:G31"/>
    <mergeCell ref="H31:K31"/>
    <mergeCell ref="B32:E32"/>
    <mergeCell ref="F32:G32"/>
    <mergeCell ref="H32:K32"/>
    <mergeCell ref="B33:E33"/>
    <mergeCell ref="F33:G33"/>
    <mergeCell ref="H33:K33"/>
    <mergeCell ref="B34:E34"/>
    <mergeCell ref="F34:G34"/>
    <mergeCell ref="H34:K34"/>
    <mergeCell ref="B35:E35"/>
    <mergeCell ref="F35:G35"/>
    <mergeCell ref="H35:K35"/>
    <mergeCell ref="B36:E36"/>
    <mergeCell ref="F36:G36"/>
    <mergeCell ref="H36:K36"/>
    <mergeCell ref="B37:K37"/>
    <mergeCell ref="B38:E38"/>
    <mergeCell ref="F38:G38"/>
    <mergeCell ref="H38:K38"/>
    <mergeCell ref="B39:E39"/>
    <mergeCell ref="F39:G39"/>
    <mergeCell ref="H39:K39"/>
    <mergeCell ref="B40:E40"/>
    <mergeCell ref="F40:G40"/>
    <mergeCell ref="H40:K40"/>
    <mergeCell ref="B41:E41"/>
    <mergeCell ref="F41:G41"/>
    <mergeCell ref="H41:K41"/>
    <mergeCell ref="B42:E42"/>
    <mergeCell ref="F42:G42"/>
    <mergeCell ref="H42:K42"/>
    <mergeCell ref="B43:K43"/>
    <mergeCell ref="B44:E44"/>
    <mergeCell ref="F44:G44"/>
    <mergeCell ref="H44:K44"/>
    <mergeCell ref="B45:E45"/>
    <mergeCell ref="F45:G45"/>
    <mergeCell ref="H45:K45"/>
    <mergeCell ref="B46:K46"/>
    <mergeCell ref="B47:E47"/>
    <mergeCell ref="F47:G47"/>
    <mergeCell ref="H47:K47"/>
    <mergeCell ref="B48:E48"/>
    <mergeCell ref="F48:G48"/>
    <mergeCell ref="H48:K48"/>
    <mergeCell ref="B49:E49"/>
    <mergeCell ref="F49:G49"/>
    <mergeCell ref="H49:K49"/>
    <mergeCell ref="B50:K50"/>
    <mergeCell ref="B51:E51"/>
    <mergeCell ref="F51:G51"/>
    <mergeCell ref="H51:K51"/>
    <mergeCell ref="B52:E52"/>
    <mergeCell ref="F52:G52"/>
    <mergeCell ref="H52:K52"/>
    <mergeCell ref="B53:E53"/>
    <mergeCell ref="F53:G53"/>
    <mergeCell ref="H53:K53"/>
    <mergeCell ref="D54:K54"/>
    <mergeCell ref="B55:K55"/>
    <mergeCell ref="B56:D56"/>
    <mergeCell ref="F56:G56"/>
    <mergeCell ref="I56:J56"/>
    <mergeCell ref="B57:D57"/>
    <mergeCell ref="F57:G57"/>
    <mergeCell ref="I57:J57"/>
    <mergeCell ref="B58:D58"/>
    <mergeCell ref="F58:G58"/>
    <mergeCell ref="I58:J58"/>
    <mergeCell ref="B59:D59"/>
    <mergeCell ref="F59:G59"/>
    <mergeCell ref="I59:J59"/>
    <mergeCell ref="B60:D60"/>
    <mergeCell ref="F60:G60"/>
    <mergeCell ref="I60:J60"/>
    <mergeCell ref="B61:D61"/>
    <mergeCell ref="F61:G61"/>
    <mergeCell ref="I61:J61"/>
    <mergeCell ref="B65:D65"/>
    <mergeCell ref="F65:G65"/>
    <mergeCell ref="I65:J65"/>
    <mergeCell ref="I63:J63"/>
    <mergeCell ref="I64:J64"/>
    <mergeCell ref="B64:D64"/>
    <mergeCell ref="B63:D63"/>
    <mergeCell ref="B62:D62"/>
    <mergeCell ref="F62:G62"/>
    <mergeCell ref="F63:G63"/>
    <mergeCell ref="F64:G64"/>
    <mergeCell ref="I62:J62"/>
    <mergeCell ref="B66:D66"/>
    <mergeCell ref="F66:G66"/>
    <mergeCell ref="I66:J66"/>
    <mergeCell ref="B67:D67"/>
    <mergeCell ref="F67:G67"/>
    <mergeCell ref="I67:J67"/>
    <mergeCell ref="B68:D68"/>
    <mergeCell ref="F68:G68"/>
    <mergeCell ref="I68:J68"/>
    <mergeCell ref="B70:D70"/>
    <mergeCell ref="F70:G70"/>
    <mergeCell ref="I70:J70"/>
    <mergeCell ref="B69:D69"/>
    <mergeCell ref="F69:G69"/>
    <mergeCell ref="I69:J69"/>
    <mergeCell ref="B71:J71"/>
    <mergeCell ref="B72:J72"/>
    <mergeCell ref="B73:K73"/>
    <mergeCell ref="B74:G74"/>
    <mergeCell ref="I74:K74"/>
    <mergeCell ref="B75:G75"/>
    <mergeCell ref="I75:J75"/>
    <mergeCell ref="B76:J76"/>
    <mergeCell ref="B77:J77"/>
    <mergeCell ref="B78:K78"/>
    <mergeCell ref="B79:K79"/>
    <mergeCell ref="B80:G80"/>
    <mergeCell ref="I80:J80"/>
    <mergeCell ref="B89:G89"/>
    <mergeCell ref="B90:G90"/>
    <mergeCell ref="B81:G82"/>
    <mergeCell ref="H81:H82"/>
    <mergeCell ref="I81:J81"/>
    <mergeCell ref="I82:J82"/>
    <mergeCell ref="B83:J83"/>
    <mergeCell ref="B84:K84"/>
    <mergeCell ref="B100:K101"/>
    <mergeCell ref="B95:J95"/>
    <mergeCell ref="B91:G91"/>
    <mergeCell ref="B92:G92"/>
    <mergeCell ref="B93:K93"/>
    <mergeCell ref="B94:J94"/>
    <mergeCell ref="B96:J96"/>
    <mergeCell ref="B97:J97"/>
    <mergeCell ref="B98:K99"/>
    <mergeCell ref="B85:J85"/>
    <mergeCell ref="B86:K86"/>
    <mergeCell ref="B87:K87"/>
    <mergeCell ref="B88:G88"/>
  </mergeCells>
  <pageMargins left="0.39374999999999999" right="0.39374999999999999" top="0.19652777777777777" bottom="0.19652777777777777" header="0.51180555555555551" footer="0.51180555555555551"/>
  <pageSetup paperSize="9" scale="75" firstPageNumber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0E958-DC98-4996-9AD6-B240F2AA31BB}">
  <dimension ref="B1:M97"/>
  <sheetViews>
    <sheetView tabSelected="1" view="pageBreakPreview" topLeftCell="A7" zoomScaleNormal="130" zoomScaleSheetLayoutView="100" workbookViewId="0">
      <selection activeCell="B2" sqref="B2:H3"/>
    </sheetView>
  </sheetViews>
  <sheetFormatPr defaultColWidth="11.42578125" defaultRowHeight="12.75" x14ac:dyDescent="0.2"/>
  <cols>
    <col min="1" max="1" width="11.42578125" style="254"/>
    <col min="2" max="2" width="15.7109375" style="523" customWidth="1"/>
    <col min="3" max="3" width="7" style="523" customWidth="1"/>
    <col min="4" max="4" width="14.85546875" style="523" customWidth="1"/>
    <col min="5" max="5" width="11.85546875" style="523" customWidth="1"/>
    <col min="6" max="6" width="14.140625" style="523" customWidth="1"/>
    <col min="7" max="7" width="8.140625" style="523" customWidth="1"/>
    <col min="8" max="8" width="20.140625" style="523" customWidth="1"/>
    <col min="9" max="257" width="11.42578125" style="254"/>
    <col min="258" max="258" width="15.7109375" style="254" customWidth="1"/>
    <col min="259" max="259" width="7" style="254" customWidth="1"/>
    <col min="260" max="260" width="14.85546875" style="254" customWidth="1"/>
    <col min="261" max="261" width="11.85546875" style="254" customWidth="1"/>
    <col min="262" max="262" width="14.140625" style="254" customWidth="1"/>
    <col min="263" max="263" width="8.140625" style="254" customWidth="1"/>
    <col min="264" max="264" width="20.140625" style="254" customWidth="1"/>
    <col min="265" max="513" width="11.42578125" style="254"/>
    <col min="514" max="514" width="15.7109375" style="254" customWidth="1"/>
    <col min="515" max="515" width="7" style="254" customWidth="1"/>
    <col min="516" max="516" width="14.85546875" style="254" customWidth="1"/>
    <col min="517" max="517" width="11.85546875" style="254" customWidth="1"/>
    <col min="518" max="518" width="14.140625" style="254" customWidth="1"/>
    <col min="519" max="519" width="8.140625" style="254" customWidth="1"/>
    <col min="520" max="520" width="20.140625" style="254" customWidth="1"/>
    <col min="521" max="769" width="11.42578125" style="254"/>
    <col min="770" max="770" width="15.7109375" style="254" customWidth="1"/>
    <col min="771" max="771" width="7" style="254" customWidth="1"/>
    <col min="772" max="772" width="14.85546875" style="254" customWidth="1"/>
    <col min="773" max="773" width="11.85546875" style="254" customWidth="1"/>
    <col min="774" max="774" width="14.140625" style="254" customWidth="1"/>
    <col min="775" max="775" width="8.140625" style="254" customWidth="1"/>
    <col min="776" max="776" width="20.140625" style="254" customWidth="1"/>
    <col min="777" max="1025" width="11.42578125" style="254"/>
    <col min="1026" max="1026" width="15.7109375" style="254" customWidth="1"/>
    <col min="1027" max="1027" width="7" style="254" customWidth="1"/>
    <col min="1028" max="1028" width="14.85546875" style="254" customWidth="1"/>
    <col min="1029" max="1029" width="11.85546875" style="254" customWidth="1"/>
    <col min="1030" max="1030" width="14.140625" style="254" customWidth="1"/>
    <col min="1031" max="1031" width="8.140625" style="254" customWidth="1"/>
    <col min="1032" max="1032" width="20.140625" style="254" customWidth="1"/>
    <col min="1033" max="1281" width="11.42578125" style="254"/>
    <col min="1282" max="1282" width="15.7109375" style="254" customWidth="1"/>
    <col min="1283" max="1283" width="7" style="254" customWidth="1"/>
    <col min="1284" max="1284" width="14.85546875" style="254" customWidth="1"/>
    <col min="1285" max="1285" width="11.85546875" style="254" customWidth="1"/>
    <col min="1286" max="1286" width="14.140625" style="254" customWidth="1"/>
    <col min="1287" max="1287" width="8.140625" style="254" customWidth="1"/>
    <col min="1288" max="1288" width="20.140625" style="254" customWidth="1"/>
    <col min="1289" max="1537" width="11.42578125" style="254"/>
    <col min="1538" max="1538" width="15.7109375" style="254" customWidth="1"/>
    <col min="1539" max="1539" width="7" style="254" customWidth="1"/>
    <col min="1540" max="1540" width="14.85546875" style="254" customWidth="1"/>
    <col min="1541" max="1541" width="11.85546875" style="254" customWidth="1"/>
    <col min="1542" max="1542" width="14.140625" style="254" customWidth="1"/>
    <col min="1543" max="1543" width="8.140625" style="254" customWidth="1"/>
    <col min="1544" max="1544" width="20.140625" style="254" customWidth="1"/>
    <col min="1545" max="1793" width="11.42578125" style="254"/>
    <col min="1794" max="1794" width="15.7109375" style="254" customWidth="1"/>
    <col min="1795" max="1795" width="7" style="254" customWidth="1"/>
    <col min="1796" max="1796" width="14.85546875" style="254" customWidth="1"/>
    <col min="1797" max="1797" width="11.85546875" style="254" customWidth="1"/>
    <col min="1798" max="1798" width="14.140625" style="254" customWidth="1"/>
    <col min="1799" max="1799" width="8.140625" style="254" customWidth="1"/>
    <col min="1800" max="1800" width="20.140625" style="254" customWidth="1"/>
    <col min="1801" max="2049" width="11.42578125" style="254"/>
    <col min="2050" max="2050" width="15.7109375" style="254" customWidth="1"/>
    <col min="2051" max="2051" width="7" style="254" customWidth="1"/>
    <col min="2052" max="2052" width="14.85546875" style="254" customWidth="1"/>
    <col min="2053" max="2053" width="11.85546875" style="254" customWidth="1"/>
    <col min="2054" max="2054" width="14.140625" style="254" customWidth="1"/>
    <col min="2055" max="2055" width="8.140625" style="254" customWidth="1"/>
    <col min="2056" max="2056" width="20.140625" style="254" customWidth="1"/>
    <col min="2057" max="2305" width="11.42578125" style="254"/>
    <col min="2306" max="2306" width="15.7109375" style="254" customWidth="1"/>
    <col min="2307" max="2307" width="7" style="254" customWidth="1"/>
    <col min="2308" max="2308" width="14.85546875" style="254" customWidth="1"/>
    <col min="2309" max="2309" width="11.85546875" style="254" customWidth="1"/>
    <col min="2310" max="2310" width="14.140625" style="254" customWidth="1"/>
    <col min="2311" max="2311" width="8.140625" style="254" customWidth="1"/>
    <col min="2312" max="2312" width="20.140625" style="254" customWidth="1"/>
    <col min="2313" max="2561" width="11.42578125" style="254"/>
    <col min="2562" max="2562" width="15.7109375" style="254" customWidth="1"/>
    <col min="2563" max="2563" width="7" style="254" customWidth="1"/>
    <col min="2564" max="2564" width="14.85546875" style="254" customWidth="1"/>
    <col min="2565" max="2565" width="11.85546875" style="254" customWidth="1"/>
    <col min="2566" max="2566" width="14.140625" style="254" customWidth="1"/>
    <col min="2567" max="2567" width="8.140625" style="254" customWidth="1"/>
    <col min="2568" max="2568" width="20.140625" style="254" customWidth="1"/>
    <col min="2569" max="2817" width="11.42578125" style="254"/>
    <col min="2818" max="2818" width="15.7109375" style="254" customWidth="1"/>
    <col min="2819" max="2819" width="7" style="254" customWidth="1"/>
    <col min="2820" max="2820" width="14.85546875" style="254" customWidth="1"/>
    <col min="2821" max="2821" width="11.85546875" style="254" customWidth="1"/>
    <col min="2822" max="2822" width="14.140625" style="254" customWidth="1"/>
    <col min="2823" max="2823" width="8.140625" style="254" customWidth="1"/>
    <col min="2824" max="2824" width="20.140625" style="254" customWidth="1"/>
    <col min="2825" max="3073" width="11.42578125" style="254"/>
    <col min="3074" max="3074" width="15.7109375" style="254" customWidth="1"/>
    <col min="3075" max="3075" width="7" style="254" customWidth="1"/>
    <col min="3076" max="3076" width="14.85546875" style="254" customWidth="1"/>
    <col min="3077" max="3077" width="11.85546875" style="254" customWidth="1"/>
    <col min="3078" max="3078" width="14.140625" style="254" customWidth="1"/>
    <col min="3079" max="3079" width="8.140625" style="254" customWidth="1"/>
    <col min="3080" max="3080" width="20.140625" style="254" customWidth="1"/>
    <col min="3081" max="3329" width="11.42578125" style="254"/>
    <col min="3330" max="3330" width="15.7109375" style="254" customWidth="1"/>
    <col min="3331" max="3331" width="7" style="254" customWidth="1"/>
    <col min="3332" max="3332" width="14.85546875" style="254" customWidth="1"/>
    <col min="3333" max="3333" width="11.85546875" style="254" customWidth="1"/>
    <col min="3334" max="3334" width="14.140625" style="254" customWidth="1"/>
    <col min="3335" max="3335" width="8.140625" style="254" customWidth="1"/>
    <col min="3336" max="3336" width="20.140625" style="254" customWidth="1"/>
    <col min="3337" max="3585" width="11.42578125" style="254"/>
    <col min="3586" max="3586" width="15.7109375" style="254" customWidth="1"/>
    <col min="3587" max="3587" width="7" style="254" customWidth="1"/>
    <col min="3588" max="3588" width="14.85546875" style="254" customWidth="1"/>
    <col min="3589" max="3589" width="11.85546875" style="254" customWidth="1"/>
    <col min="3590" max="3590" width="14.140625" style="254" customWidth="1"/>
    <col min="3591" max="3591" width="8.140625" style="254" customWidth="1"/>
    <col min="3592" max="3592" width="20.140625" style="254" customWidth="1"/>
    <col min="3593" max="3841" width="11.42578125" style="254"/>
    <col min="3842" max="3842" width="15.7109375" style="254" customWidth="1"/>
    <col min="3843" max="3843" width="7" style="254" customWidth="1"/>
    <col min="3844" max="3844" width="14.85546875" style="254" customWidth="1"/>
    <col min="3845" max="3845" width="11.85546875" style="254" customWidth="1"/>
    <col min="3846" max="3846" width="14.140625" style="254" customWidth="1"/>
    <col min="3847" max="3847" width="8.140625" style="254" customWidth="1"/>
    <col min="3848" max="3848" width="20.140625" style="254" customWidth="1"/>
    <col min="3849" max="4097" width="11.42578125" style="254"/>
    <col min="4098" max="4098" width="15.7109375" style="254" customWidth="1"/>
    <col min="4099" max="4099" width="7" style="254" customWidth="1"/>
    <col min="4100" max="4100" width="14.85546875" style="254" customWidth="1"/>
    <col min="4101" max="4101" width="11.85546875" style="254" customWidth="1"/>
    <col min="4102" max="4102" width="14.140625" style="254" customWidth="1"/>
    <col min="4103" max="4103" width="8.140625" style="254" customWidth="1"/>
    <col min="4104" max="4104" width="20.140625" style="254" customWidth="1"/>
    <col min="4105" max="4353" width="11.42578125" style="254"/>
    <col min="4354" max="4354" width="15.7109375" style="254" customWidth="1"/>
    <col min="4355" max="4355" width="7" style="254" customWidth="1"/>
    <col min="4356" max="4356" width="14.85546875" style="254" customWidth="1"/>
    <col min="4357" max="4357" width="11.85546875" style="254" customWidth="1"/>
    <col min="4358" max="4358" width="14.140625" style="254" customWidth="1"/>
    <col min="4359" max="4359" width="8.140625" style="254" customWidth="1"/>
    <col min="4360" max="4360" width="20.140625" style="254" customWidth="1"/>
    <col min="4361" max="4609" width="11.42578125" style="254"/>
    <col min="4610" max="4610" width="15.7109375" style="254" customWidth="1"/>
    <col min="4611" max="4611" width="7" style="254" customWidth="1"/>
    <col min="4612" max="4612" width="14.85546875" style="254" customWidth="1"/>
    <col min="4613" max="4613" width="11.85546875" style="254" customWidth="1"/>
    <col min="4614" max="4614" width="14.140625" style="254" customWidth="1"/>
    <col min="4615" max="4615" width="8.140625" style="254" customWidth="1"/>
    <col min="4616" max="4616" width="20.140625" style="254" customWidth="1"/>
    <col min="4617" max="4865" width="11.42578125" style="254"/>
    <col min="4866" max="4866" width="15.7109375" style="254" customWidth="1"/>
    <col min="4867" max="4867" width="7" style="254" customWidth="1"/>
    <col min="4868" max="4868" width="14.85546875" style="254" customWidth="1"/>
    <col min="4869" max="4869" width="11.85546875" style="254" customWidth="1"/>
    <col min="4870" max="4870" width="14.140625" style="254" customWidth="1"/>
    <col min="4871" max="4871" width="8.140625" style="254" customWidth="1"/>
    <col min="4872" max="4872" width="20.140625" style="254" customWidth="1"/>
    <col min="4873" max="5121" width="11.42578125" style="254"/>
    <col min="5122" max="5122" width="15.7109375" style="254" customWidth="1"/>
    <col min="5123" max="5123" width="7" style="254" customWidth="1"/>
    <col min="5124" max="5124" width="14.85546875" style="254" customWidth="1"/>
    <col min="5125" max="5125" width="11.85546875" style="254" customWidth="1"/>
    <col min="5126" max="5126" width="14.140625" style="254" customWidth="1"/>
    <col min="5127" max="5127" width="8.140625" style="254" customWidth="1"/>
    <col min="5128" max="5128" width="20.140625" style="254" customWidth="1"/>
    <col min="5129" max="5377" width="11.42578125" style="254"/>
    <col min="5378" max="5378" width="15.7109375" style="254" customWidth="1"/>
    <col min="5379" max="5379" width="7" style="254" customWidth="1"/>
    <col min="5380" max="5380" width="14.85546875" style="254" customWidth="1"/>
    <col min="5381" max="5381" width="11.85546875" style="254" customWidth="1"/>
    <col min="5382" max="5382" width="14.140625" style="254" customWidth="1"/>
    <col min="5383" max="5383" width="8.140625" style="254" customWidth="1"/>
    <col min="5384" max="5384" width="20.140625" style="254" customWidth="1"/>
    <col min="5385" max="5633" width="11.42578125" style="254"/>
    <col min="5634" max="5634" width="15.7109375" style="254" customWidth="1"/>
    <col min="5635" max="5635" width="7" style="254" customWidth="1"/>
    <col min="5636" max="5636" width="14.85546875" style="254" customWidth="1"/>
    <col min="5637" max="5637" width="11.85546875" style="254" customWidth="1"/>
    <col min="5638" max="5638" width="14.140625" style="254" customWidth="1"/>
    <col min="5639" max="5639" width="8.140625" style="254" customWidth="1"/>
    <col min="5640" max="5640" width="20.140625" style="254" customWidth="1"/>
    <col min="5641" max="5889" width="11.42578125" style="254"/>
    <col min="5890" max="5890" width="15.7109375" style="254" customWidth="1"/>
    <col min="5891" max="5891" width="7" style="254" customWidth="1"/>
    <col min="5892" max="5892" width="14.85546875" style="254" customWidth="1"/>
    <col min="5893" max="5893" width="11.85546875" style="254" customWidth="1"/>
    <col min="5894" max="5894" width="14.140625" style="254" customWidth="1"/>
    <col min="5895" max="5895" width="8.140625" style="254" customWidth="1"/>
    <col min="5896" max="5896" width="20.140625" style="254" customWidth="1"/>
    <col min="5897" max="6145" width="11.42578125" style="254"/>
    <col min="6146" max="6146" width="15.7109375" style="254" customWidth="1"/>
    <col min="6147" max="6147" width="7" style="254" customWidth="1"/>
    <col min="6148" max="6148" width="14.85546875" style="254" customWidth="1"/>
    <col min="6149" max="6149" width="11.85546875" style="254" customWidth="1"/>
    <col min="6150" max="6150" width="14.140625" style="254" customWidth="1"/>
    <col min="6151" max="6151" width="8.140625" style="254" customWidth="1"/>
    <col min="6152" max="6152" width="20.140625" style="254" customWidth="1"/>
    <col min="6153" max="6401" width="11.42578125" style="254"/>
    <col min="6402" max="6402" width="15.7109375" style="254" customWidth="1"/>
    <col min="6403" max="6403" width="7" style="254" customWidth="1"/>
    <col min="6404" max="6404" width="14.85546875" style="254" customWidth="1"/>
    <col min="6405" max="6405" width="11.85546875" style="254" customWidth="1"/>
    <col min="6406" max="6406" width="14.140625" style="254" customWidth="1"/>
    <col min="6407" max="6407" width="8.140625" style="254" customWidth="1"/>
    <col min="6408" max="6408" width="20.140625" style="254" customWidth="1"/>
    <col min="6409" max="6657" width="11.42578125" style="254"/>
    <col min="6658" max="6658" width="15.7109375" style="254" customWidth="1"/>
    <col min="6659" max="6659" width="7" style="254" customWidth="1"/>
    <col min="6660" max="6660" width="14.85546875" style="254" customWidth="1"/>
    <col min="6661" max="6661" width="11.85546875" style="254" customWidth="1"/>
    <col min="6662" max="6662" width="14.140625" style="254" customWidth="1"/>
    <col min="6663" max="6663" width="8.140625" style="254" customWidth="1"/>
    <col min="6664" max="6664" width="20.140625" style="254" customWidth="1"/>
    <col min="6665" max="6913" width="11.42578125" style="254"/>
    <col min="6914" max="6914" width="15.7109375" style="254" customWidth="1"/>
    <col min="6915" max="6915" width="7" style="254" customWidth="1"/>
    <col min="6916" max="6916" width="14.85546875" style="254" customWidth="1"/>
    <col min="6917" max="6917" width="11.85546875" style="254" customWidth="1"/>
    <col min="6918" max="6918" width="14.140625" style="254" customWidth="1"/>
    <col min="6919" max="6919" width="8.140625" style="254" customWidth="1"/>
    <col min="6920" max="6920" width="20.140625" style="254" customWidth="1"/>
    <col min="6921" max="7169" width="11.42578125" style="254"/>
    <col min="7170" max="7170" width="15.7109375" style="254" customWidth="1"/>
    <col min="7171" max="7171" width="7" style="254" customWidth="1"/>
    <col min="7172" max="7172" width="14.85546875" style="254" customWidth="1"/>
    <col min="7173" max="7173" width="11.85546875" style="254" customWidth="1"/>
    <col min="7174" max="7174" width="14.140625" style="254" customWidth="1"/>
    <col min="7175" max="7175" width="8.140625" style="254" customWidth="1"/>
    <col min="7176" max="7176" width="20.140625" style="254" customWidth="1"/>
    <col min="7177" max="7425" width="11.42578125" style="254"/>
    <col min="7426" max="7426" width="15.7109375" style="254" customWidth="1"/>
    <col min="7427" max="7427" width="7" style="254" customWidth="1"/>
    <col min="7428" max="7428" width="14.85546875" style="254" customWidth="1"/>
    <col min="7429" max="7429" width="11.85546875" style="254" customWidth="1"/>
    <col min="7430" max="7430" width="14.140625" style="254" customWidth="1"/>
    <col min="7431" max="7431" width="8.140625" style="254" customWidth="1"/>
    <col min="7432" max="7432" width="20.140625" style="254" customWidth="1"/>
    <col min="7433" max="7681" width="11.42578125" style="254"/>
    <col min="7682" max="7682" width="15.7109375" style="254" customWidth="1"/>
    <col min="7683" max="7683" width="7" style="254" customWidth="1"/>
    <col min="7684" max="7684" width="14.85546875" style="254" customWidth="1"/>
    <col min="7685" max="7685" width="11.85546875" style="254" customWidth="1"/>
    <col min="7686" max="7686" width="14.140625" style="254" customWidth="1"/>
    <col min="7687" max="7687" width="8.140625" style="254" customWidth="1"/>
    <col min="7688" max="7688" width="20.140625" style="254" customWidth="1"/>
    <col min="7689" max="7937" width="11.42578125" style="254"/>
    <col min="7938" max="7938" width="15.7109375" style="254" customWidth="1"/>
    <col min="7939" max="7939" width="7" style="254" customWidth="1"/>
    <col min="7940" max="7940" width="14.85546875" style="254" customWidth="1"/>
    <col min="7941" max="7941" width="11.85546875" style="254" customWidth="1"/>
    <col min="7942" max="7942" width="14.140625" style="254" customWidth="1"/>
    <col min="7943" max="7943" width="8.140625" style="254" customWidth="1"/>
    <col min="7944" max="7944" width="20.140625" style="254" customWidth="1"/>
    <col min="7945" max="8193" width="11.42578125" style="254"/>
    <col min="8194" max="8194" width="15.7109375" style="254" customWidth="1"/>
    <col min="8195" max="8195" width="7" style="254" customWidth="1"/>
    <col min="8196" max="8196" width="14.85546875" style="254" customWidth="1"/>
    <col min="8197" max="8197" width="11.85546875" style="254" customWidth="1"/>
    <col min="8198" max="8198" width="14.140625" style="254" customWidth="1"/>
    <col min="8199" max="8199" width="8.140625" style="254" customWidth="1"/>
    <col min="8200" max="8200" width="20.140625" style="254" customWidth="1"/>
    <col min="8201" max="8449" width="11.42578125" style="254"/>
    <col min="8450" max="8450" width="15.7109375" style="254" customWidth="1"/>
    <col min="8451" max="8451" width="7" style="254" customWidth="1"/>
    <col min="8452" max="8452" width="14.85546875" style="254" customWidth="1"/>
    <col min="8453" max="8453" width="11.85546875" style="254" customWidth="1"/>
    <col min="8454" max="8454" width="14.140625" style="254" customWidth="1"/>
    <col min="8455" max="8455" width="8.140625" style="254" customWidth="1"/>
    <col min="8456" max="8456" width="20.140625" style="254" customWidth="1"/>
    <col min="8457" max="8705" width="11.42578125" style="254"/>
    <col min="8706" max="8706" width="15.7109375" style="254" customWidth="1"/>
    <col min="8707" max="8707" width="7" style="254" customWidth="1"/>
    <col min="8708" max="8708" width="14.85546875" style="254" customWidth="1"/>
    <col min="8709" max="8709" width="11.85546875" style="254" customWidth="1"/>
    <col min="8710" max="8710" width="14.140625" style="254" customWidth="1"/>
    <col min="8711" max="8711" width="8.140625" style="254" customWidth="1"/>
    <col min="8712" max="8712" width="20.140625" style="254" customWidth="1"/>
    <col min="8713" max="8961" width="11.42578125" style="254"/>
    <col min="8962" max="8962" width="15.7109375" style="254" customWidth="1"/>
    <col min="8963" max="8963" width="7" style="254" customWidth="1"/>
    <col min="8964" max="8964" width="14.85546875" style="254" customWidth="1"/>
    <col min="8965" max="8965" width="11.85546875" style="254" customWidth="1"/>
    <col min="8966" max="8966" width="14.140625" style="254" customWidth="1"/>
    <col min="8967" max="8967" width="8.140625" style="254" customWidth="1"/>
    <col min="8968" max="8968" width="20.140625" style="254" customWidth="1"/>
    <col min="8969" max="9217" width="11.42578125" style="254"/>
    <col min="9218" max="9218" width="15.7109375" style="254" customWidth="1"/>
    <col min="9219" max="9219" width="7" style="254" customWidth="1"/>
    <col min="9220" max="9220" width="14.85546875" style="254" customWidth="1"/>
    <col min="9221" max="9221" width="11.85546875" style="254" customWidth="1"/>
    <col min="9222" max="9222" width="14.140625" style="254" customWidth="1"/>
    <col min="9223" max="9223" width="8.140625" style="254" customWidth="1"/>
    <col min="9224" max="9224" width="20.140625" style="254" customWidth="1"/>
    <col min="9225" max="9473" width="11.42578125" style="254"/>
    <col min="9474" max="9474" width="15.7109375" style="254" customWidth="1"/>
    <col min="9475" max="9475" width="7" style="254" customWidth="1"/>
    <col min="9476" max="9476" width="14.85546875" style="254" customWidth="1"/>
    <col min="9477" max="9477" width="11.85546875" style="254" customWidth="1"/>
    <col min="9478" max="9478" width="14.140625" style="254" customWidth="1"/>
    <col min="9479" max="9479" width="8.140625" style="254" customWidth="1"/>
    <col min="9480" max="9480" width="20.140625" style="254" customWidth="1"/>
    <col min="9481" max="9729" width="11.42578125" style="254"/>
    <col min="9730" max="9730" width="15.7109375" style="254" customWidth="1"/>
    <col min="9731" max="9731" width="7" style="254" customWidth="1"/>
    <col min="9732" max="9732" width="14.85546875" style="254" customWidth="1"/>
    <col min="9733" max="9733" width="11.85546875" style="254" customWidth="1"/>
    <col min="9734" max="9734" width="14.140625" style="254" customWidth="1"/>
    <col min="9735" max="9735" width="8.140625" style="254" customWidth="1"/>
    <col min="9736" max="9736" width="20.140625" style="254" customWidth="1"/>
    <col min="9737" max="9985" width="11.42578125" style="254"/>
    <col min="9986" max="9986" width="15.7109375" style="254" customWidth="1"/>
    <col min="9987" max="9987" width="7" style="254" customWidth="1"/>
    <col min="9988" max="9988" width="14.85546875" style="254" customWidth="1"/>
    <col min="9989" max="9989" width="11.85546875" style="254" customWidth="1"/>
    <col min="9990" max="9990" width="14.140625" style="254" customWidth="1"/>
    <col min="9991" max="9991" width="8.140625" style="254" customWidth="1"/>
    <col min="9992" max="9992" width="20.140625" style="254" customWidth="1"/>
    <col min="9993" max="10241" width="11.42578125" style="254"/>
    <col min="10242" max="10242" width="15.7109375" style="254" customWidth="1"/>
    <col min="10243" max="10243" width="7" style="254" customWidth="1"/>
    <col min="10244" max="10244" width="14.85546875" style="254" customWidth="1"/>
    <col min="10245" max="10245" width="11.85546875" style="254" customWidth="1"/>
    <col min="10246" max="10246" width="14.140625" style="254" customWidth="1"/>
    <col min="10247" max="10247" width="8.140625" style="254" customWidth="1"/>
    <col min="10248" max="10248" width="20.140625" style="254" customWidth="1"/>
    <col min="10249" max="10497" width="11.42578125" style="254"/>
    <col min="10498" max="10498" width="15.7109375" style="254" customWidth="1"/>
    <col min="10499" max="10499" width="7" style="254" customWidth="1"/>
    <col min="10500" max="10500" width="14.85546875" style="254" customWidth="1"/>
    <col min="10501" max="10501" width="11.85546875" style="254" customWidth="1"/>
    <col min="10502" max="10502" width="14.140625" style="254" customWidth="1"/>
    <col min="10503" max="10503" width="8.140625" style="254" customWidth="1"/>
    <col min="10504" max="10504" width="20.140625" style="254" customWidth="1"/>
    <col min="10505" max="10753" width="11.42578125" style="254"/>
    <col min="10754" max="10754" width="15.7109375" style="254" customWidth="1"/>
    <col min="10755" max="10755" width="7" style="254" customWidth="1"/>
    <col min="10756" max="10756" width="14.85546875" style="254" customWidth="1"/>
    <col min="10757" max="10757" width="11.85546875" style="254" customWidth="1"/>
    <col min="10758" max="10758" width="14.140625" style="254" customWidth="1"/>
    <col min="10759" max="10759" width="8.140625" style="254" customWidth="1"/>
    <col min="10760" max="10760" width="20.140625" style="254" customWidth="1"/>
    <col min="10761" max="11009" width="11.42578125" style="254"/>
    <col min="11010" max="11010" width="15.7109375" style="254" customWidth="1"/>
    <col min="11011" max="11011" width="7" style="254" customWidth="1"/>
    <col min="11012" max="11012" width="14.85546875" style="254" customWidth="1"/>
    <col min="11013" max="11013" width="11.85546875" style="254" customWidth="1"/>
    <col min="11014" max="11014" width="14.140625" style="254" customWidth="1"/>
    <col min="11015" max="11015" width="8.140625" style="254" customWidth="1"/>
    <col min="11016" max="11016" width="20.140625" style="254" customWidth="1"/>
    <col min="11017" max="11265" width="11.42578125" style="254"/>
    <col min="11266" max="11266" width="15.7109375" style="254" customWidth="1"/>
    <col min="11267" max="11267" width="7" style="254" customWidth="1"/>
    <col min="11268" max="11268" width="14.85546875" style="254" customWidth="1"/>
    <col min="11269" max="11269" width="11.85546875" style="254" customWidth="1"/>
    <col min="11270" max="11270" width="14.140625" style="254" customWidth="1"/>
    <col min="11271" max="11271" width="8.140625" style="254" customWidth="1"/>
    <col min="11272" max="11272" width="20.140625" style="254" customWidth="1"/>
    <col min="11273" max="11521" width="11.42578125" style="254"/>
    <col min="11522" max="11522" width="15.7109375" style="254" customWidth="1"/>
    <col min="11523" max="11523" width="7" style="254" customWidth="1"/>
    <col min="11524" max="11524" width="14.85546875" style="254" customWidth="1"/>
    <col min="11525" max="11525" width="11.85546875" style="254" customWidth="1"/>
    <col min="11526" max="11526" width="14.140625" style="254" customWidth="1"/>
    <col min="11527" max="11527" width="8.140625" style="254" customWidth="1"/>
    <col min="11528" max="11528" width="20.140625" style="254" customWidth="1"/>
    <col min="11529" max="11777" width="11.42578125" style="254"/>
    <col min="11778" max="11778" width="15.7109375" style="254" customWidth="1"/>
    <col min="11779" max="11779" width="7" style="254" customWidth="1"/>
    <col min="11780" max="11780" width="14.85546875" style="254" customWidth="1"/>
    <col min="11781" max="11781" width="11.85546875" style="254" customWidth="1"/>
    <col min="11782" max="11782" width="14.140625" style="254" customWidth="1"/>
    <col min="11783" max="11783" width="8.140625" style="254" customWidth="1"/>
    <col min="11784" max="11784" width="20.140625" style="254" customWidth="1"/>
    <col min="11785" max="12033" width="11.42578125" style="254"/>
    <col min="12034" max="12034" width="15.7109375" style="254" customWidth="1"/>
    <col min="12035" max="12035" width="7" style="254" customWidth="1"/>
    <col min="12036" max="12036" width="14.85546875" style="254" customWidth="1"/>
    <col min="12037" max="12037" width="11.85546875" style="254" customWidth="1"/>
    <col min="12038" max="12038" width="14.140625" style="254" customWidth="1"/>
    <col min="12039" max="12039" width="8.140625" style="254" customWidth="1"/>
    <col min="12040" max="12040" width="20.140625" style="254" customWidth="1"/>
    <col min="12041" max="12289" width="11.42578125" style="254"/>
    <col min="12290" max="12290" width="15.7109375" style="254" customWidth="1"/>
    <col min="12291" max="12291" width="7" style="254" customWidth="1"/>
    <col min="12292" max="12292" width="14.85546875" style="254" customWidth="1"/>
    <col min="12293" max="12293" width="11.85546875" style="254" customWidth="1"/>
    <col min="12294" max="12294" width="14.140625" style="254" customWidth="1"/>
    <col min="12295" max="12295" width="8.140625" style="254" customWidth="1"/>
    <col min="12296" max="12296" width="20.140625" style="254" customWidth="1"/>
    <col min="12297" max="12545" width="11.42578125" style="254"/>
    <col min="12546" max="12546" width="15.7109375" style="254" customWidth="1"/>
    <col min="12547" max="12547" width="7" style="254" customWidth="1"/>
    <col min="12548" max="12548" width="14.85546875" style="254" customWidth="1"/>
    <col min="12549" max="12549" width="11.85546875" style="254" customWidth="1"/>
    <col min="12550" max="12550" width="14.140625" style="254" customWidth="1"/>
    <col min="12551" max="12551" width="8.140625" style="254" customWidth="1"/>
    <col min="12552" max="12552" width="20.140625" style="254" customWidth="1"/>
    <col min="12553" max="12801" width="11.42578125" style="254"/>
    <col min="12802" max="12802" width="15.7109375" style="254" customWidth="1"/>
    <col min="12803" max="12803" width="7" style="254" customWidth="1"/>
    <col min="12804" max="12804" width="14.85546875" style="254" customWidth="1"/>
    <col min="12805" max="12805" width="11.85546875" style="254" customWidth="1"/>
    <col min="12806" max="12806" width="14.140625" style="254" customWidth="1"/>
    <col min="12807" max="12807" width="8.140625" style="254" customWidth="1"/>
    <col min="12808" max="12808" width="20.140625" style="254" customWidth="1"/>
    <col min="12809" max="13057" width="11.42578125" style="254"/>
    <col min="13058" max="13058" width="15.7109375" style="254" customWidth="1"/>
    <col min="13059" max="13059" width="7" style="254" customWidth="1"/>
    <col min="13060" max="13060" width="14.85546875" style="254" customWidth="1"/>
    <col min="13061" max="13061" width="11.85546875" style="254" customWidth="1"/>
    <col min="13062" max="13062" width="14.140625" style="254" customWidth="1"/>
    <col min="13063" max="13063" width="8.140625" style="254" customWidth="1"/>
    <col min="13064" max="13064" width="20.140625" style="254" customWidth="1"/>
    <col min="13065" max="13313" width="11.42578125" style="254"/>
    <col min="13314" max="13314" width="15.7109375" style="254" customWidth="1"/>
    <col min="13315" max="13315" width="7" style="254" customWidth="1"/>
    <col min="13316" max="13316" width="14.85546875" style="254" customWidth="1"/>
    <col min="13317" max="13317" width="11.85546875" style="254" customWidth="1"/>
    <col min="13318" max="13318" width="14.140625" style="254" customWidth="1"/>
    <col min="13319" max="13319" width="8.140625" style="254" customWidth="1"/>
    <col min="13320" max="13320" width="20.140625" style="254" customWidth="1"/>
    <col min="13321" max="13569" width="11.42578125" style="254"/>
    <col min="13570" max="13570" width="15.7109375" style="254" customWidth="1"/>
    <col min="13571" max="13571" width="7" style="254" customWidth="1"/>
    <col min="13572" max="13572" width="14.85546875" style="254" customWidth="1"/>
    <col min="13573" max="13573" width="11.85546875" style="254" customWidth="1"/>
    <col min="13574" max="13574" width="14.140625" style="254" customWidth="1"/>
    <col min="13575" max="13575" width="8.140625" style="254" customWidth="1"/>
    <col min="13576" max="13576" width="20.140625" style="254" customWidth="1"/>
    <col min="13577" max="13825" width="11.42578125" style="254"/>
    <col min="13826" max="13826" width="15.7109375" style="254" customWidth="1"/>
    <col min="13827" max="13827" width="7" style="254" customWidth="1"/>
    <col min="13828" max="13828" width="14.85546875" style="254" customWidth="1"/>
    <col min="13829" max="13829" width="11.85546875" style="254" customWidth="1"/>
    <col min="13830" max="13830" width="14.140625" style="254" customWidth="1"/>
    <col min="13831" max="13831" width="8.140625" style="254" customWidth="1"/>
    <col min="13832" max="13832" width="20.140625" style="254" customWidth="1"/>
    <col min="13833" max="14081" width="11.42578125" style="254"/>
    <col min="14082" max="14082" width="15.7109375" style="254" customWidth="1"/>
    <col min="14083" max="14083" width="7" style="254" customWidth="1"/>
    <col min="14084" max="14084" width="14.85546875" style="254" customWidth="1"/>
    <col min="14085" max="14085" width="11.85546875" style="254" customWidth="1"/>
    <col min="14086" max="14086" width="14.140625" style="254" customWidth="1"/>
    <col min="14087" max="14087" width="8.140625" style="254" customWidth="1"/>
    <col min="14088" max="14088" width="20.140625" style="254" customWidth="1"/>
    <col min="14089" max="14337" width="11.42578125" style="254"/>
    <col min="14338" max="14338" width="15.7109375" style="254" customWidth="1"/>
    <col min="14339" max="14339" width="7" style="254" customWidth="1"/>
    <col min="14340" max="14340" width="14.85546875" style="254" customWidth="1"/>
    <col min="14341" max="14341" width="11.85546875" style="254" customWidth="1"/>
    <col min="14342" max="14342" width="14.140625" style="254" customWidth="1"/>
    <col min="14343" max="14343" width="8.140625" style="254" customWidth="1"/>
    <col min="14344" max="14344" width="20.140625" style="254" customWidth="1"/>
    <col min="14345" max="14593" width="11.42578125" style="254"/>
    <col min="14594" max="14594" width="15.7109375" style="254" customWidth="1"/>
    <col min="14595" max="14595" width="7" style="254" customWidth="1"/>
    <col min="14596" max="14596" width="14.85546875" style="254" customWidth="1"/>
    <col min="14597" max="14597" width="11.85546875" style="254" customWidth="1"/>
    <col min="14598" max="14598" width="14.140625" style="254" customWidth="1"/>
    <col min="14599" max="14599" width="8.140625" style="254" customWidth="1"/>
    <col min="14600" max="14600" width="20.140625" style="254" customWidth="1"/>
    <col min="14601" max="14849" width="11.42578125" style="254"/>
    <col min="14850" max="14850" width="15.7109375" style="254" customWidth="1"/>
    <col min="14851" max="14851" width="7" style="254" customWidth="1"/>
    <col min="14852" max="14852" width="14.85546875" style="254" customWidth="1"/>
    <col min="14853" max="14853" width="11.85546875" style="254" customWidth="1"/>
    <col min="14854" max="14854" width="14.140625" style="254" customWidth="1"/>
    <col min="14855" max="14855" width="8.140625" style="254" customWidth="1"/>
    <col min="14856" max="14856" width="20.140625" style="254" customWidth="1"/>
    <col min="14857" max="15105" width="11.42578125" style="254"/>
    <col min="15106" max="15106" width="15.7109375" style="254" customWidth="1"/>
    <col min="15107" max="15107" width="7" style="254" customWidth="1"/>
    <col min="15108" max="15108" width="14.85546875" style="254" customWidth="1"/>
    <col min="15109" max="15109" width="11.85546875" style="254" customWidth="1"/>
    <col min="15110" max="15110" width="14.140625" style="254" customWidth="1"/>
    <col min="15111" max="15111" width="8.140625" style="254" customWidth="1"/>
    <col min="15112" max="15112" width="20.140625" style="254" customWidth="1"/>
    <col min="15113" max="15361" width="11.42578125" style="254"/>
    <col min="15362" max="15362" width="15.7109375" style="254" customWidth="1"/>
    <col min="15363" max="15363" width="7" style="254" customWidth="1"/>
    <col min="15364" max="15364" width="14.85546875" style="254" customWidth="1"/>
    <col min="15365" max="15365" width="11.85546875" style="254" customWidth="1"/>
    <col min="15366" max="15366" width="14.140625" style="254" customWidth="1"/>
    <col min="15367" max="15367" width="8.140625" style="254" customWidth="1"/>
    <col min="15368" max="15368" width="20.140625" style="254" customWidth="1"/>
    <col min="15369" max="15617" width="11.42578125" style="254"/>
    <col min="15618" max="15618" width="15.7109375" style="254" customWidth="1"/>
    <col min="15619" max="15619" width="7" style="254" customWidth="1"/>
    <col min="15620" max="15620" width="14.85546875" style="254" customWidth="1"/>
    <col min="15621" max="15621" width="11.85546875" style="254" customWidth="1"/>
    <col min="15622" max="15622" width="14.140625" style="254" customWidth="1"/>
    <col min="15623" max="15623" width="8.140625" style="254" customWidth="1"/>
    <col min="15624" max="15624" width="20.140625" style="254" customWidth="1"/>
    <col min="15625" max="15873" width="11.42578125" style="254"/>
    <col min="15874" max="15874" width="15.7109375" style="254" customWidth="1"/>
    <col min="15875" max="15875" width="7" style="254" customWidth="1"/>
    <col min="15876" max="15876" width="14.85546875" style="254" customWidth="1"/>
    <col min="15877" max="15877" width="11.85546875" style="254" customWidth="1"/>
    <col min="15878" max="15878" width="14.140625" style="254" customWidth="1"/>
    <col min="15879" max="15879" width="8.140625" style="254" customWidth="1"/>
    <col min="15880" max="15880" width="20.140625" style="254" customWidth="1"/>
    <col min="15881" max="16129" width="11.42578125" style="254"/>
    <col min="16130" max="16130" width="15.7109375" style="254" customWidth="1"/>
    <col min="16131" max="16131" width="7" style="254" customWidth="1"/>
    <col min="16132" max="16132" width="14.85546875" style="254" customWidth="1"/>
    <col min="16133" max="16133" width="11.85546875" style="254" customWidth="1"/>
    <col min="16134" max="16134" width="14.140625" style="254" customWidth="1"/>
    <col min="16135" max="16135" width="8.140625" style="254" customWidth="1"/>
    <col min="16136" max="16136" width="20.140625" style="254" customWidth="1"/>
    <col min="16137" max="16384" width="11.42578125" style="254"/>
  </cols>
  <sheetData>
    <row r="1" spans="2:8" ht="13.5" thickBot="1" x14ac:dyDescent="0.25">
      <c r="B1" s="410"/>
      <c r="C1" s="410"/>
      <c r="D1" s="410"/>
      <c r="E1" s="410"/>
      <c r="F1" s="410"/>
      <c r="G1" s="410"/>
      <c r="H1" s="410"/>
    </row>
    <row r="2" spans="2:8" ht="15" customHeight="1" x14ac:dyDescent="0.2">
      <c r="B2" s="524" t="s">
        <v>164</v>
      </c>
      <c r="C2" s="525"/>
      <c r="D2" s="525"/>
      <c r="E2" s="525"/>
      <c r="F2" s="525"/>
      <c r="G2" s="525"/>
      <c r="H2" s="526"/>
    </row>
    <row r="3" spans="2:8" thickBot="1" x14ac:dyDescent="0.25">
      <c r="B3" s="527"/>
      <c r="C3" s="528"/>
      <c r="D3" s="528"/>
      <c r="E3" s="528"/>
      <c r="F3" s="528"/>
      <c r="G3" s="528"/>
      <c r="H3" s="529"/>
    </row>
    <row r="4" spans="2:8" ht="15.75" customHeight="1" x14ac:dyDescent="0.2">
      <c r="B4" s="524" t="s">
        <v>104</v>
      </c>
      <c r="C4" s="525"/>
      <c r="D4" s="525"/>
      <c r="E4" s="525"/>
      <c r="F4" s="525"/>
      <c r="G4" s="525"/>
      <c r="H4" s="526"/>
    </row>
    <row r="5" spans="2:8" ht="15" customHeight="1" thickBot="1" x14ac:dyDescent="0.25">
      <c r="B5" s="527"/>
      <c r="C5" s="528"/>
      <c r="D5" s="528"/>
      <c r="E5" s="528"/>
      <c r="F5" s="528"/>
      <c r="G5" s="528"/>
      <c r="H5" s="529"/>
    </row>
    <row r="6" spans="2:8" x14ac:dyDescent="0.2">
      <c r="B6" s="411"/>
      <c r="C6" s="412"/>
      <c r="D6" s="412"/>
      <c r="E6" s="412"/>
      <c r="F6" s="412"/>
      <c r="G6" s="412"/>
      <c r="H6" s="413"/>
    </row>
    <row r="7" spans="2:8" ht="13.5" thickBot="1" x14ac:dyDescent="0.25">
      <c r="B7" s="414"/>
      <c r="C7" s="415"/>
      <c r="D7" s="415"/>
      <c r="E7" s="415"/>
      <c r="F7" s="415"/>
      <c r="G7" s="415"/>
      <c r="H7" s="416"/>
    </row>
    <row r="8" spans="2:8" ht="13.5" thickBot="1" x14ac:dyDescent="0.25">
      <c r="B8" s="417" t="s">
        <v>105</v>
      </c>
      <c r="C8" s="417"/>
      <c r="D8" s="417"/>
      <c r="E8" s="417"/>
      <c r="F8" s="417"/>
      <c r="G8" s="417"/>
      <c r="H8" s="417"/>
    </row>
    <row r="9" spans="2:8" ht="60" customHeight="1" x14ac:dyDescent="0.2">
      <c r="B9" s="418" t="s">
        <v>106</v>
      </c>
      <c r="C9" s="418"/>
      <c r="D9" s="418"/>
      <c r="E9" s="418" t="s">
        <v>107</v>
      </c>
      <c r="F9" s="418"/>
      <c r="G9" s="419" t="s">
        <v>108</v>
      </c>
      <c r="H9" s="419"/>
    </row>
    <row r="10" spans="2:8" ht="23.25" customHeight="1" thickBot="1" x14ac:dyDescent="0.25">
      <c r="B10" s="420" t="s">
        <v>155</v>
      </c>
      <c r="C10" s="420"/>
      <c r="D10" s="420"/>
      <c r="E10" s="420" t="s">
        <v>110</v>
      </c>
      <c r="F10" s="420"/>
      <c r="G10" s="421">
        <v>2</v>
      </c>
      <c r="H10" s="420"/>
    </row>
    <row r="11" spans="2:8" ht="13.5" thickBot="1" x14ac:dyDescent="0.25">
      <c r="B11" s="422"/>
      <c r="C11" s="423"/>
      <c r="D11" s="423"/>
      <c r="E11" s="423"/>
      <c r="F11" s="423"/>
      <c r="G11" s="423"/>
      <c r="H11" s="424"/>
    </row>
    <row r="12" spans="2:8" x14ac:dyDescent="0.2">
      <c r="B12" s="425" t="s">
        <v>111</v>
      </c>
      <c r="C12" s="425"/>
      <c r="D12" s="425"/>
      <c r="E12" s="425"/>
      <c r="F12" s="425"/>
      <c r="G12" s="426">
        <v>2141</v>
      </c>
      <c r="H12" s="426"/>
    </row>
    <row r="13" spans="2:8" ht="15" customHeight="1" x14ac:dyDescent="0.2">
      <c r="B13" s="427" t="s">
        <v>156</v>
      </c>
      <c r="C13" s="428"/>
      <c r="D13" s="428"/>
      <c r="E13" s="428"/>
      <c r="F13" s="428"/>
      <c r="G13" s="428"/>
      <c r="H13" s="429"/>
    </row>
    <row r="14" spans="2:8" x14ac:dyDescent="0.2">
      <c r="B14" s="430" t="s">
        <v>113</v>
      </c>
      <c r="C14" s="431"/>
      <c r="D14" s="431"/>
      <c r="E14" s="431"/>
      <c r="F14" s="431"/>
      <c r="G14" s="431"/>
      <c r="H14" s="432"/>
    </row>
    <row r="15" spans="2:8" x14ac:dyDescent="0.2">
      <c r="B15" s="433" t="s">
        <v>114</v>
      </c>
      <c r="C15" s="433"/>
      <c r="D15" s="433"/>
      <c r="E15" s="433"/>
      <c r="F15" s="433"/>
      <c r="G15" s="434">
        <f>G12/220*220</f>
        <v>2141</v>
      </c>
      <c r="H15" s="435"/>
    </row>
    <row r="16" spans="2:8" x14ac:dyDescent="0.2">
      <c r="B16" s="433" t="s">
        <v>115</v>
      </c>
      <c r="C16" s="433"/>
      <c r="D16" s="433"/>
      <c r="E16" s="433"/>
      <c r="F16" s="433"/>
      <c r="G16" s="434">
        <v>43</v>
      </c>
      <c r="H16" s="435"/>
    </row>
    <row r="17" spans="2:13" x14ac:dyDescent="0.2">
      <c r="B17" s="436" t="s">
        <v>157</v>
      </c>
      <c r="C17" s="437"/>
      <c r="D17" s="437"/>
      <c r="E17" s="438"/>
      <c r="F17" s="439">
        <v>0.2</v>
      </c>
      <c r="G17" s="434">
        <f>(G15+G16)/220*20%*105</f>
        <v>208.4727272727273</v>
      </c>
      <c r="H17" s="435"/>
    </row>
    <row r="18" spans="2:13" x14ac:dyDescent="0.2">
      <c r="B18" s="436" t="s">
        <v>158</v>
      </c>
      <c r="C18" s="437"/>
      <c r="D18" s="437"/>
      <c r="E18" s="438"/>
      <c r="F18" s="440"/>
      <c r="G18" s="434">
        <f>L18*15</f>
        <v>262.7590909090909</v>
      </c>
      <c r="H18" s="435"/>
      <c r="I18" s="294">
        <f>G15/220</f>
        <v>9.7318181818181824</v>
      </c>
      <c r="J18" s="294">
        <f>I18*120%</f>
        <v>11.678181818181818</v>
      </c>
      <c r="K18" s="294">
        <f>I18+J18</f>
        <v>21.41</v>
      </c>
      <c r="L18" s="294">
        <f>J18*150%</f>
        <v>17.517272727272726</v>
      </c>
      <c r="M18" s="294"/>
    </row>
    <row r="19" spans="2:13" ht="13.5" thickBot="1" x14ac:dyDescent="0.25">
      <c r="B19" s="441" t="s">
        <v>118</v>
      </c>
      <c r="C19" s="441"/>
      <c r="D19" s="441"/>
      <c r="E19" s="441"/>
      <c r="F19" s="441"/>
      <c r="G19" s="442">
        <f>SUM(G15:H18)</f>
        <v>2655.2318181818182</v>
      </c>
      <c r="H19" s="442"/>
    </row>
    <row r="20" spans="2:13" ht="13.5" thickBot="1" x14ac:dyDescent="0.25">
      <c r="B20" s="411"/>
      <c r="C20" s="412"/>
      <c r="D20" s="412"/>
      <c r="E20" s="412"/>
      <c r="F20" s="412"/>
      <c r="G20" s="412"/>
      <c r="H20" s="413"/>
    </row>
    <row r="21" spans="2:13" ht="13.5" thickBot="1" x14ac:dyDescent="0.25">
      <c r="B21" s="417" t="s">
        <v>119</v>
      </c>
      <c r="C21" s="417"/>
      <c r="D21" s="417"/>
      <c r="E21" s="417"/>
      <c r="F21" s="417"/>
      <c r="G21" s="417"/>
      <c r="H21" s="417"/>
    </row>
    <row r="22" spans="2:13" x14ac:dyDescent="0.2">
      <c r="B22" s="443" t="s">
        <v>120</v>
      </c>
      <c r="C22" s="443"/>
      <c r="D22" s="443"/>
      <c r="E22" s="443"/>
      <c r="F22" s="443"/>
      <c r="G22" s="443"/>
      <c r="H22" s="443"/>
    </row>
    <row r="23" spans="2:13" x14ac:dyDescent="0.2">
      <c r="B23" s="444" t="s">
        <v>7</v>
      </c>
      <c r="C23" s="444"/>
      <c r="D23" s="444"/>
      <c r="E23" s="445">
        <v>0.2</v>
      </c>
      <c r="F23" s="445"/>
      <c r="G23" s="446">
        <f>$G$19*E23</f>
        <v>531.04636363636371</v>
      </c>
      <c r="H23" s="446"/>
    </row>
    <row r="24" spans="2:13" x14ac:dyDescent="0.2">
      <c r="B24" s="447" t="s">
        <v>8</v>
      </c>
      <c r="C24" s="447"/>
      <c r="D24" s="447"/>
      <c r="E24" s="448">
        <v>0.08</v>
      </c>
      <c r="F24" s="448"/>
      <c r="G24" s="446">
        <f t="shared" ref="G24:G30" si="0">$G$19*E24</f>
        <v>212.41854545454547</v>
      </c>
      <c r="H24" s="446"/>
    </row>
    <row r="25" spans="2:13" x14ac:dyDescent="0.2">
      <c r="B25" s="447" t="s">
        <v>9</v>
      </c>
      <c r="C25" s="447"/>
      <c r="D25" s="447"/>
      <c r="E25" s="448">
        <v>1.4999999999999999E-2</v>
      </c>
      <c r="F25" s="448"/>
      <c r="G25" s="446">
        <f t="shared" si="0"/>
        <v>39.82847727272727</v>
      </c>
      <c r="H25" s="446"/>
    </row>
    <row r="26" spans="2:13" x14ac:dyDescent="0.2">
      <c r="B26" s="447" t="s">
        <v>10</v>
      </c>
      <c r="C26" s="447"/>
      <c r="D26" s="447"/>
      <c r="E26" s="448">
        <v>0.01</v>
      </c>
      <c r="F26" s="448"/>
      <c r="G26" s="446">
        <f t="shared" si="0"/>
        <v>26.552318181818183</v>
      </c>
      <c r="H26" s="446"/>
    </row>
    <row r="27" spans="2:13" x14ac:dyDescent="0.2">
      <c r="B27" s="447" t="s">
        <v>11</v>
      </c>
      <c r="C27" s="447"/>
      <c r="D27" s="447"/>
      <c r="E27" s="448">
        <v>2E-3</v>
      </c>
      <c r="F27" s="448"/>
      <c r="G27" s="446">
        <f t="shared" si="0"/>
        <v>5.3104636363636368</v>
      </c>
      <c r="H27" s="446"/>
    </row>
    <row r="28" spans="2:13" x14ac:dyDescent="0.2">
      <c r="B28" s="447" t="s">
        <v>12</v>
      </c>
      <c r="C28" s="447"/>
      <c r="D28" s="447"/>
      <c r="E28" s="448">
        <v>6.0000000000000001E-3</v>
      </c>
      <c r="F28" s="448"/>
      <c r="G28" s="446">
        <f t="shared" si="0"/>
        <v>15.93139090909091</v>
      </c>
      <c r="H28" s="446"/>
    </row>
    <row r="29" spans="2:13" x14ac:dyDescent="0.2">
      <c r="B29" s="447" t="s">
        <v>13</v>
      </c>
      <c r="C29" s="447">
        <v>2.5000000000000001E-2</v>
      </c>
      <c r="D29" s="447"/>
      <c r="E29" s="448">
        <v>2.5000000000000001E-2</v>
      </c>
      <c r="F29" s="448"/>
      <c r="G29" s="446">
        <f t="shared" si="0"/>
        <v>66.380795454545463</v>
      </c>
      <c r="H29" s="446"/>
    </row>
    <row r="30" spans="2:13" x14ac:dyDescent="0.2">
      <c r="B30" s="447" t="s">
        <v>14</v>
      </c>
      <c r="C30" s="447"/>
      <c r="D30" s="447"/>
      <c r="E30" s="449">
        <v>0.03</v>
      </c>
      <c r="F30" s="449"/>
      <c r="G30" s="446">
        <f t="shared" si="0"/>
        <v>79.656954545454539</v>
      </c>
      <c r="H30" s="446"/>
    </row>
    <row r="31" spans="2:13" ht="13.5" thickBot="1" x14ac:dyDescent="0.25">
      <c r="B31" s="450" t="s">
        <v>121</v>
      </c>
      <c r="C31" s="450"/>
      <c r="D31" s="450"/>
      <c r="E31" s="451">
        <f>SUM(E23:F30)</f>
        <v>0.3680000000000001</v>
      </c>
      <c r="F31" s="451"/>
      <c r="G31" s="442">
        <f>SUM(G23:H30)</f>
        <v>977.12530909090924</v>
      </c>
      <c r="H31" s="442"/>
    </row>
    <row r="32" spans="2:13" ht="13.5" thickBot="1" x14ac:dyDescent="0.25">
      <c r="B32" s="411"/>
      <c r="C32" s="412"/>
      <c r="D32" s="412"/>
      <c r="E32" s="412"/>
      <c r="F32" s="412"/>
      <c r="G32" s="412"/>
      <c r="H32" s="413"/>
    </row>
    <row r="33" spans="2:8" x14ac:dyDescent="0.2">
      <c r="B33" s="452" t="s">
        <v>122</v>
      </c>
      <c r="C33" s="452"/>
      <c r="D33" s="452"/>
      <c r="E33" s="452"/>
      <c r="F33" s="452"/>
      <c r="G33" s="452"/>
      <c r="H33" s="452"/>
    </row>
    <row r="34" spans="2:8" x14ac:dyDescent="0.2">
      <c r="B34" s="447" t="s">
        <v>20</v>
      </c>
      <c r="C34" s="447"/>
      <c r="D34" s="447"/>
      <c r="E34" s="448">
        <f>(1/12)</f>
        <v>8.3333333333333329E-2</v>
      </c>
      <c r="F34" s="448"/>
      <c r="G34" s="446">
        <f t="shared" ref="G34:G41" si="1">$G$19*E34</f>
        <v>221.26931818181816</v>
      </c>
      <c r="H34" s="446"/>
    </row>
    <row r="35" spans="2:8" x14ac:dyDescent="0.2">
      <c r="B35" s="447" t="s">
        <v>123</v>
      </c>
      <c r="C35" s="447"/>
      <c r="D35" s="447"/>
      <c r="E35" s="448">
        <f>(1+1/3)/12</f>
        <v>0.1111111111111111</v>
      </c>
      <c r="F35" s="448"/>
      <c r="G35" s="446">
        <f t="shared" si="1"/>
        <v>295.02575757575755</v>
      </c>
      <c r="H35" s="446"/>
    </row>
    <row r="36" spans="2:8" x14ac:dyDescent="0.2">
      <c r="B36" s="447" t="s">
        <v>21</v>
      </c>
      <c r="C36" s="447"/>
      <c r="D36" s="447"/>
      <c r="E36" s="448">
        <f>7/30/12</f>
        <v>1.9444444444444445E-2</v>
      </c>
      <c r="F36" s="448"/>
      <c r="G36" s="446">
        <f t="shared" si="1"/>
        <v>51.629507575757579</v>
      </c>
      <c r="H36" s="446"/>
    </row>
    <row r="37" spans="2:8" x14ac:dyDescent="0.2">
      <c r="B37" s="447" t="s">
        <v>22</v>
      </c>
      <c r="C37" s="447"/>
      <c r="D37" s="447"/>
      <c r="E37" s="448">
        <v>1.66E-2</v>
      </c>
      <c r="F37" s="448"/>
      <c r="G37" s="446">
        <f t="shared" si="1"/>
        <v>44.076848181818185</v>
      </c>
      <c r="H37" s="446"/>
    </row>
    <row r="38" spans="2:8" x14ac:dyDescent="0.2">
      <c r="B38" s="447" t="s">
        <v>23</v>
      </c>
      <c r="C38" s="447"/>
      <c r="D38" s="447"/>
      <c r="E38" s="448">
        <f>15/30/12*0.08</f>
        <v>3.3333333333333331E-3</v>
      </c>
      <c r="F38" s="448"/>
      <c r="G38" s="446">
        <f t="shared" si="1"/>
        <v>8.8507727272727266</v>
      </c>
      <c r="H38" s="446"/>
    </row>
    <row r="39" spans="2:8" x14ac:dyDescent="0.2">
      <c r="B39" s="447" t="s">
        <v>24</v>
      </c>
      <c r="C39" s="447"/>
      <c r="D39" s="447"/>
      <c r="E39" s="448">
        <f>1/30/12</f>
        <v>2.7777777777777779E-3</v>
      </c>
      <c r="F39" s="448"/>
      <c r="G39" s="446">
        <f t="shared" si="1"/>
        <v>7.3756439393939397</v>
      </c>
      <c r="H39" s="446"/>
    </row>
    <row r="40" spans="2:8" x14ac:dyDescent="0.2">
      <c r="B40" s="447" t="s">
        <v>25</v>
      </c>
      <c r="C40" s="447">
        <v>2.5000000000000001E-2</v>
      </c>
      <c r="D40" s="447"/>
      <c r="E40" s="448">
        <f>0.11111*0.02*0.333</f>
        <v>7.3999260000000007E-4</v>
      </c>
      <c r="F40" s="448"/>
      <c r="G40" s="446">
        <f t="shared" si="1"/>
        <v>1.9648518967390911</v>
      </c>
      <c r="H40" s="446"/>
    </row>
    <row r="41" spans="2:8" ht="12" customHeight="1" x14ac:dyDescent="0.2">
      <c r="B41" s="447" t="s">
        <v>26</v>
      </c>
      <c r="C41" s="447"/>
      <c r="D41" s="447"/>
      <c r="E41" s="448">
        <f>5/30/12*0.015</f>
        <v>2.0833333333333332E-4</v>
      </c>
      <c r="F41" s="448"/>
      <c r="G41" s="446">
        <f t="shared" si="1"/>
        <v>0.55317329545454541</v>
      </c>
      <c r="H41" s="446"/>
    </row>
    <row r="42" spans="2:8" ht="13.5" thickBot="1" x14ac:dyDescent="0.25">
      <c r="B42" s="450" t="s">
        <v>124</v>
      </c>
      <c r="C42" s="450"/>
      <c r="D42" s="450"/>
      <c r="E42" s="451">
        <f>SUM(E34:F41)</f>
        <v>0.23754832593333328</v>
      </c>
      <c r="F42" s="451"/>
      <c r="G42" s="442">
        <f>SUM(G34:H41)</f>
        <v>630.74587337401169</v>
      </c>
      <c r="H42" s="442"/>
    </row>
    <row r="43" spans="2:8" ht="13.5" thickBot="1" x14ac:dyDescent="0.25">
      <c r="B43" s="411"/>
      <c r="C43" s="412"/>
      <c r="D43" s="412"/>
      <c r="E43" s="412"/>
      <c r="F43" s="412"/>
      <c r="G43" s="412"/>
      <c r="H43" s="413"/>
    </row>
    <row r="44" spans="2:8" x14ac:dyDescent="0.2">
      <c r="B44" s="452" t="s">
        <v>125</v>
      </c>
      <c r="C44" s="452"/>
      <c r="D44" s="452"/>
      <c r="E44" s="452"/>
      <c r="F44" s="452"/>
      <c r="G44" s="452"/>
      <c r="H44" s="452"/>
    </row>
    <row r="45" spans="2:8" x14ac:dyDescent="0.2">
      <c r="B45" s="447" t="s">
        <v>29</v>
      </c>
      <c r="C45" s="447"/>
      <c r="D45" s="447"/>
      <c r="E45" s="449">
        <v>4.1700000000000001E-3</v>
      </c>
      <c r="F45" s="449"/>
      <c r="G45" s="446">
        <f>$G$19*E45</f>
        <v>11.072316681818181</v>
      </c>
      <c r="H45" s="446"/>
    </row>
    <row r="46" spans="2:8" x14ac:dyDescent="0.2">
      <c r="B46" s="447" t="s">
        <v>30</v>
      </c>
      <c r="C46" s="447"/>
      <c r="D46" s="447"/>
      <c r="E46" s="449">
        <v>1.67E-3</v>
      </c>
      <c r="F46" s="449"/>
      <c r="G46" s="446">
        <f>$G$19*E46</f>
        <v>4.4342371363636364</v>
      </c>
      <c r="H46" s="446"/>
    </row>
    <row r="47" spans="2:8" ht="26.25" customHeight="1" x14ac:dyDescent="0.2">
      <c r="B47" s="453" t="s">
        <v>31</v>
      </c>
      <c r="C47" s="454"/>
      <c r="D47" s="455"/>
      <c r="E47" s="449">
        <v>3.2000000000000001E-2</v>
      </c>
      <c r="F47" s="449"/>
      <c r="G47" s="446">
        <f>$G$19*E47</f>
        <v>84.967418181818189</v>
      </c>
      <c r="H47" s="446"/>
    </row>
    <row r="48" spans="2:8" ht="25.5" customHeight="1" x14ac:dyDescent="0.2">
      <c r="B48" s="456" t="s">
        <v>32</v>
      </c>
      <c r="C48" s="456"/>
      <c r="D48" s="456"/>
      <c r="E48" s="449">
        <v>8.0000000000000002E-3</v>
      </c>
      <c r="F48" s="449"/>
      <c r="G48" s="446">
        <f>$G$19*E48</f>
        <v>21.241854545454547</v>
      </c>
      <c r="H48" s="446"/>
    </row>
    <row r="49" spans="2:8" ht="13.5" thickBot="1" x14ac:dyDescent="0.25">
      <c r="B49" s="450" t="s">
        <v>126</v>
      </c>
      <c r="C49" s="450"/>
      <c r="D49" s="450"/>
      <c r="E49" s="451">
        <f>SUM(E45:F48)</f>
        <v>4.5839999999999999E-2</v>
      </c>
      <c r="F49" s="451"/>
      <c r="G49" s="442">
        <f>SUM(G45:H48)</f>
        <v>121.71582654545455</v>
      </c>
      <c r="H49" s="442"/>
    </row>
    <row r="50" spans="2:8" ht="13.5" thickBot="1" x14ac:dyDescent="0.25">
      <c r="B50" s="411"/>
      <c r="C50" s="412"/>
      <c r="D50" s="412"/>
      <c r="E50" s="412"/>
      <c r="F50" s="412"/>
      <c r="G50" s="412"/>
      <c r="H50" s="413"/>
    </row>
    <row r="51" spans="2:8" ht="13.5" thickBot="1" x14ac:dyDescent="0.25">
      <c r="B51" s="457" t="s">
        <v>127</v>
      </c>
      <c r="C51" s="457"/>
      <c r="D51" s="457"/>
      <c r="E51" s="457"/>
      <c r="F51" s="457"/>
      <c r="G51" s="457"/>
      <c r="H51" s="457"/>
    </row>
    <row r="52" spans="2:8" x14ac:dyDescent="0.2">
      <c r="B52" s="458" t="s">
        <v>35</v>
      </c>
      <c r="C52" s="458"/>
      <c r="D52" s="458"/>
      <c r="E52" s="459">
        <f>E31*E42</f>
        <v>8.7417783943466665E-2</v>
      </c>
      <c r="F52" s="460"/>
      <c r="G52" s="461">
        <f>$G$19*E52</f>
        <v>232.11448140163634</v>
      </c>
      <c r="H52" s="461"/>
    </row>
    <row r="53" spans="2:8" ht="13.5" thickBot="1" x14ac:dyDescent="0.25">
      <c r="B53" s="450" t="s">
        <v>128</v>
      </c>
      <c r="C53" s="450"/>
      <c r="D53" s="450"/>
      <c r="E53" s="451">
        <f>SUM(E52:F52)</f>
        <v>8.7417783943466665E-2</v>
      </c>
      <c r="F53" s="451"/>
      <c r="G53" s="442">
        <f>SUM(G52:H52)</f>
        <v>232.11448140163634</v>
      </c>
      <c r="H53" s="442"/>
    </row>
    <row r="54" spans="2:8" ht="13.5" thickBot="1" x14ac:dyDescent="0.25">
      <c r="B54" s="411"/>
      <c r="C54" s="412"/>
      <c r="D54" s="412"/>
      <c r="E54" s="412"/>
      <c r="F54" s="412"/>
      <c r="G54" s="412"/>
      <c r="H54" s="413"/>
    </row>
    <row r="55" spans="2:8" x14ac:dyDescent="0.2">
      <c r="B55" s="452" t="s">
        <v>129</v>
      </c>
      <c r="C55" s="452"/>
      <c r="D55" s="452"/>
      <c r="E55" s="452"/>
      <c r="F55" s="452"/>
      <c r="G55" s="452"/>
      <c r="H55" s="452"/>
    </row>
    <row r="56" spans="2:8" ht="25.5" customHeight="1" x14ac:dyDescent="0.2">
      <c r="B56" s="447" t="s">
        <v>38</v>
      </c>
      <c r="C56" s="447"/>
      <c r="D56" s="447"/>
      <c r="E56" s="449">
        <v>3.3E-4</v>
      </c>
      <c r="F56" s="449"/>
      <c r="G56" s="446">
        <f>$G$19*E56</f>
        <v>0.87622650000000002</v>
      </c>
      <c r="H56" s="446"/>
    </row>
    <row r="57" spans="2:8" ht="39" customHeight="1" thickBot="1" x14ac:dyDescent="0.25">
      <c r="B57" s="462" t="s">
        <v>39</v>
      </c>
      <c r="C57" s="462"/>
      <c r="D57" s="462"/>
      <c r="E57" s="463">
        <v>2.5999999999999998E-4</v>
      </c>
      <c r="F57" s="463"/>
      <c r="G57" s="464">
        <f>$G$19*E57</f>
        <v>0.69036027272727263</v>
      </c>
      <c r="H57" s="464"/>
    </row>
    <row r="58" spans="2:8" ht="13.5" thickBot="1" x14ac:dyDescent="0.25">
      <c r="B58" s="465" t="s">
        <v>130</v>
      </c>
      <c r="C58" s="465"/>
      <c r="D58" s="465"/>
      <c r="E58" s="466">
        <f>SUM(E56:F57)</f>
        <v>5.9000000000000003E-4</v>
      </c>
      <c r="F58" s="466"/>
      <c r="G58" s="467">
        <f>SUM(G56:H57)</f>
        <v>1.5665867727272726</v>
      </c>
      <c r="H58" s="467"/>
    </row>
    <row r="59" spans="2:8" ht="13.5" thickBot="1" x14ac:dyDescent="0.25">
      <c r="B59" s="411"/>
      <c r="C59" s="412"/>
      <c r="D59" s="412"/>
      <c r="E59" s="412"/>
      <c r="F59" s="412"/>
      <c r="G59" s="412"/>
      <c r="H59" s="413"/>
    </row>
    <row r="60" spans="2:8" ht="13.5" thickBot="1" x14ac:dyDescent="0.25">
      <c r="B60" s="457" t="s">
        <v>131</v>
      </c>
      <c r="C60" s="457"/>
      <c r="D60" s="457"/>
      <c r="E60" s="457"/>
      <c r="F60" s="457"/>
      <c r="G60" s="457"/>
      <c r="H60" s="457"/>
    </row>
    <row r="61" spans="2:8" ht="36" customHeight="1" x14ac:dyDescent="0.2">
      <c r="B61" s="458" t="s">
        <v>42</v>
      </c>
      <c r="C61" s="458"/>
      <c r="D61" s="458"/>
      <c r="E61" s="468">
        <v>2.7299999999999998E-3</v>
      </c>
      <c r="F61" s="468"/>
      <c r="G61" s="461">
        <f>$G$19*E61</f>
        <v>7.2487828636363627</v>
      </c>
      <c r="H61" s="461"/>
    </row>
    <row r="62" spans="2:8" ht="13.5" thickBot="1" x14ac:dyDescent="0.25">
      <c r="B62" s="450" t="s">
        <v>132</v>
      </c>
      <c r="C62" s="450"/>
      <c r="D62" s="450"/>
      <c r="E62" s="469">
        <f>SUM(E61:F61)</f>
        <v>2.7299999999999998E-3</v>
      </c>
      <c r="F62" s="469"/>
      <c r="G62" s="442">
        <f>SUM(G61:H61)</f>
        <v>7.2487828636363627</v>
      </c>
      <c r="H62" s="442"/>
    </row>
    <row r="63" spans="2:8" x14ac:dyDescent="0.2">
      <c r="B63" s="411"/>
      <c r="C63" s="412"/>
      <c r="D63" s="412"/>
      <c r="E63" s="412"/>
      <c r="F63" s="412"/>
      <c r="G63" s="412"/>
      <c r="H63" s="413"/>
    </row>
    <row r="64" spans="2:8" x14ac:dyDescent="0.2">
      <c r="B64" s="470" t="s">
        <v>44</v>
      </c>
      <c r="C64" s="470"/>
      <c r="D64" s="470"/>
      <c r="E64" s="471">
        <f>E31+E42+E49+E53+E58+E62</f>
        <v>0.74212610987680006</v>
      </c>
      <c r="F64" s="471"/>
      <c r="G64" s="472">
        <f>G31+G42+G49+G53+G58+G62</f>
        <v>1970.5168600483753</v>
      </c>
      <c r="H64" s="472"/>
    </row>
    <row r="65" spans="2:9" ht="8.4499999999999993" customHeight="1" x14ac:dyDescent="0.2">
      <c r="B65" s="473"/>
      <c r="C65" s="474"/>
      <c r="D65" s="474"/>
      <c r="E65" s="474"/>
      <c r="F65" s="474"/>
      <c r="G65" s="474"/>
      <c r="H65" s="475"/>
      <c r="I65" s="353"/>
    </row>
    <row r="66" spans="2:9" ht="4.3499999999999996" customHeight="1" x14ac:dyDescent="0.2">
      <c r="B66" s="476"/>
      <c r="C66" s="477"/>
      <c r="D66" s="477"/>
      <c r="E66" s="477"/>
      <c r="F66" s="477"/>
      <c r="G66" s="477"/>
      <c r="H66" s="478"/>
    </row>
    <row r="67" spans="2:9" ht="12" customHeight="1" thickBot="1" x14ac:dyDescent="0.25">
      <c r="B67" s="479" t="s">
        <v>133</v>
      </c>
      <c r="C67" s="480"/>
      <c r="D67" s="480"/>
      <c r="E67" s="480"/>
      <c r="F67" s="481"/>
      <c r="G67" s="442">
        <f>G19+G64</f>
        <v>4625.748678230193</v>
      </c>
      <c r="H67" s="442"/>
    </row>
    <row r="68" spans="2:9" ht="13.5" thickBot="1" x14ac:dyDescent="0.25">
      <c r="B68" s="411"/>
      <c r="C68" s="412"/>
      <c r="D68" s="412"/>
      <c r="E68" s="412"/>
      <c r="F68" s="412"/>
      <c r="G68" s="412"/>
      <c r="H68" s="413"/>
    </row>
    <row r="69" spans="2:9" x14ac:dyDescent="0.2">
      <c r="B69" s="482" t="s">
        <v>134</v>
      </c>
      <c r="C69" s="483"/>
      <c r="D69" s="483"/>
      <c r="E69" s="483"/>
      <c r="F69" s="483"/>
      <c r="G69" s="483"/>
      <c r="H69" s="484"/>
    </row>
    <row r="70" spans="2:9" x14ac:dyDescent="0.2">
      <c r="B70" s="433" t="s">
        <v>159</v>
      </c>
      <c r="C70" s="433"/>
      <c r="D70" s="433"/>
      <c r="E70" s="433"/>
      <c r="F70" s="433"/>
      <c r="G70" s="485">
        <v>68.66</v>
      </c>
      <c r="H70" s="486"/>
    </row>
    <row r="71" spans="2:9" x14ac:dyDescent="0.2">
      <c r="B71" s="447" t="s">
        <v>160</v>
      </c>
      <c r="C71" s="447"/>
      <c r="D71" s="447"/>
      <c r="E71" s="447"/>
      <c r="F71" s="447"/>
      <c r="G71" s="485">
        <v>900</v>
      </c>
      <c r="H71" s="486"/>
    </row>
    <row r="72" spans="2:9" x14ac:dyDescent="0.2">
      <c r="B72" s="436" t="s">
        <v>137</v>
      </c>
      <c r="C72" s="437"/>
      <c r="D72" s="437"/>
      <c r="E72" s="437"/>
      <c r="F72" s="438"/>
      <c r="G72" s="485">
        <f>(G71*20%)*-1</f>
        <v>-180</v>
      </c>
      <c r="H72" s="487"/>
    </row>
    <row r="73" spans="2:9" x14ac:dyDescent="0.2">
      <c r="B73" s="433" t="s">
        <v>138</v>
      </c>
      <c r="C73" s="433"/>
      <c r="D73" s="433"/>
      <c r="E73" s="433"/>
      <c r="F73" s="433"/>
      <c r="G73" s="485">
        <f>(15*2*5.95)</f>
        <v>178.5</v>
      </c>
      <c r="H73" s="486"/>
      <c r="I73" s="369"/>
    </row>
    <row r="74" spans="2:9" x14ac:dyDescent="0.2">
      <c r="B74" s="433" t="s">
        <v>139</v>
      </c>
      <c r="C74" s="433"/>
      <c r="D74" s="433"/>
      <c r="E74" s="433"/>
      <c r="F74" s="433"/>
      <c r="G74" s="485">
        <f>(G15*0.06)*-1</f>
        <v>-128.46</v>
      </c>
      <c r="H74" s="486"/>
    </row>
    <row r="75" spans="2:9" x14ac:dyDescent="0.2">
      <c r="B75" s="436" t="s">
        <v>161</v>
      </c>
      <c r="C75" s="437"/>
      <c r="D75" s="437"/>
      <c r="E75" s="437"/>
      <c r="F75" s="438"/>
      <c r="G75" s="485">
        <f>900*0.8/12</f>
        <v>60</v>
      </c>
      <c r="H75" s="487"/>
    </row>
    <row r="76" spans="2:9" x14ac:dyDescent="0.2">
      <c r="B76" s="436" t="s">
        <v>140</v>
      </c>
      <c r="C76" s="437"/>
      <c r="D76" s="437"/>
      <c r="E76" s="437"/>
      <c r="F76" s="438"/>
      <c r="G76" s="485">
        <v>94.5</v>
      </c>
      <c r="H76" s="487"/>
    </row>
    <row r="77" spans="2:9" x14ac:dyDescent="0.2">
      <c r="B77" s="433" t="s">
        <v>141</v>
      </c>
      <c r="C77" s="433"/>
      <c r="D77" s="433"/>
      <c r="E77" s="433"/>
      <c r="F77" s="433"/>
      <c r="G77" s="485">
        <v>31</v>
      </c>
      <c r="H77" s="486"/>
    </row>
    <row r="78" spans="2:9" ht="13.5" thickBot="1" x14ac:dyDescent="0.25">
      <c r="B78" s="488" t="s">
        <v>142</v>
      </c>
      <c r="C78" s="488"/>
      <c r="D78" s="488"/>
      <c r="E78" s="488"/>
      <c r="F78" s="488"/>
      <c r="G78" s="489">
        <f>SUM(G70:H77)</f>
        <v>1024.1999999999998</v>
      </c>
      <c r="H78" s="490"/>
    </row>
    <row r="79" spans="2:9" x14ac:dyDescent="0.2">
      <c r="B79" s="411"/>
      <c r="C79" s="412"/>
      <c r="D79" s="412"/>
      <c r="E79" s="412"/>
      <c r="F79" s="412"/>
      <c r="G79" s="412"/>
      <c r="H79" s="413"/>
    </row>
    <row r="80" spans="2:9" x14ac:dyDescent="0.2">
      <c r="B80" s="491" t="s">
        <v>143</v>
      </c>
      <c r="C80" s="491"/>
      <c r="D80" s="491"/>
      <c r="E80" s="491"/>
      <c r="F80" s="491"/>
      <c r="G80" s="472">
        <f>G67+G78</f>
        <v>5649.9486782301929</v>
      </c>
      <c r="H80" s="492"/>
    </row>
    <row r="81" spans="2:10" ht="13.5" thickBot="1" x14ac:dyDescent="0.25">
      <c r="B81" s="493"/>
      <c r="C81" s="494"/>
      <c r="D81" s="494"/>
      <c r="E81" s="494"/>
      <c r="F81" s="494"/>
      <c r="G81" s="494"/>
      <c r="H81" s="495"/>
    </row>
    <row r="82" spans="2:10" ht="12" customHeight="1" x14ac:dyDescent="0.2">
      <c r="B82" s="452" t="s">
        <v>144</v>
      </c>
      <c r="C82" s="452"/>
      <c r="D82" s="452"/>
      <c r="E82" s="452"/>
      <c r="F82" s="452"/>
      <c r="G82" s="452"/>
      <c r="H82" s="452"/>
    </row>
    <row r="83" spans="2:10" ht="12" customHeight="1" x14ac:dyDescent="0.2">
      <c r="B83" s="447" t="s">
        <v>145</v>
      </c>
      <c r="C83" s="447"/>
      <c r="D83" s="447"/>
      <c r="E83" s="448">
        <v>0.03</v>
      </c>
      <c r="F83" s="448"/>
      <c r="G83" s="485">
        <f>E83*G80</f>
        <v>169.49846034690577</v>
      </c>
      <c r="H83" s="486"/>
    </row>
    <row r="84" spans="2:10" x14ac:dyDescent="0.2">
      <c r="B84" s="447" t="s">
        <v>146</v>
      </c>
      <c r="C84" s="447"/>
      <c r="D84" s="447"/>
      <c r="E84" s="448">
        <v>4.07E-2</v>
      </c>
      <c r="F84" s="448"/>
      <c r="G84" s="485">
        <f>(G83+G80)*E84</f>
        <v>236.8514985400879</v>
      </c>
      <c r="H84" s="486"/>
    </row>
    <row r="85" spans="2:10" ht="12" customHeight="1" x14ac:dyDescent="0.2">
      <c r="B85" s="496" t="s">
        <v>147</v>
      </c>
      <c r="C85" s="497"/>
      <c r="D85" s="498"/>
      <c r="E85" s="499">
        <f>E84+E83</f>
        <v>7.0699999999999999E-2</v>
      </c>
      <c r="F85" s="500"/>
      <c r="G85" s="501">
        <f>SUM(G83:H84)</f>
        <v>406.3499588869937</v>
      </c>
      <c r="H85" s="502"/>
    </row>
    <row r="86" spans="2:10" x14ac:dyDescent="0.2">
      <c r="B86" s="447" t="s">
        <v>148</v>
      </c>
      <c r="C86" s="447"/>
      <c r="D86" s="447"/>
      <c r="E86" s="448">
        <v>0.02</v>
      </c>
      <c r="F86" s="448"/>
      <c r="G86" s="485">
        <f>((($G$80+$G$85)/(1-($E$89)))*E86)</f>
        <v>128.37940937185346</v>
      </c>
      <c r="H86" s="486"/>
      <c r="I86" s="369"/>
    </row>
    <row r="87" spans="2:10" x14ac:dyDescent="0.2">
      <c r="B87" s="447" t="s">
        <v>57</v>
      </c>
      <c r="C87" s="447"/>
      <c r="D87" s="447"/>
      <c r="E87" s="448">
        <v>0.03</v>
      </c>
      <c r="F87" s="448"/>
      <c r="G87" s="485">
        <f>((($G$80+$G$85)/(1-($E$89)))*E87)</f>
        <v>192.56911405778018</v>
      </c>
      <c r="H87" s="486"/>
    </row>
    <row r="88" spans="2:10" x14ac:dyDescent="0.2">
      <c r="B88" s="447" t="s">
        <v>56</v>
      </c>
      <c r="C88" s="447"/>
      <c r="D88" s="447"/>
      <c r="E88" s="448">
        <v>6.4999999999999997E-3</v>
      </c>
      <c r="F88" s="448"/>
      <c r="G88" s="485">
        <f>((($G$80+$G$85)/(1-($E$89)))*E88)</f>
        <v>41.72330804585237</v>
      </c>
      <c r="H88" s="486"/>
      <c r="I88" s="369"/>
      <c r="J88" s="388"/>
    </row>
    <row r="89" spans="2:10" ht="12" customHeight="1" x14ac:dyDescent="0.2">
      <c r="B89" s="503" t="s">
        <v>149</v>
      </c>
      <c r="C89" s="503"/>
      <c r="D89" s="503"/>
      <c r="E89" s="504">
        <f>SUM(E86:F88)</f>
        <v>5.6500000000000002E-2</v>
      </c>
      <c r="F89" s="504"/>
      <c r="G89" s="505">
        <f>SUM(G86:H88)</f>
        <v>362.67183147548599</v>
      </c>
      <c r="H89" s="506"/>
      <c r="I89" s="388"/>
    </row>
    <row r="90" spans="2:10" ht="13.5" thickBot="1" x14ac:dyDescent="0.25">
      <c r="B90" s="507" t="s">
        <v>150</v>
      </c>
      <c r="C90" s="507"/>
      <c r="D90" s="507"/>
      <c r="E90" s="508">
        <f>((1+E83)*(1+E84)/(1-E89)-1)</f>
        <v>0.13611128775834658</v>
      </c>
      <c r="F90" s="508"/>
      <c r="G90" s="442">
        <f>G85+G86+G87+G88</f>
        <v>769.02179036247981</v>
      </c>
      <c r="H90" s="490"/>
    </row>
    <row r="91" spans="2:10" x14ac:dyDescent="0.2">
      <c r="B91" s="509"/>
      <c r="C91" s="510"/>
      <c r="D91" s="510"/>
      <c r="E91" s="511"/>
      <c r="F91" s="511"/>
      <c r="G91" s="512"/>
      <c r="H91" s="513"/>
    </row>
    <row r="92" spans="2:10" ht="13.5" thickBot="1" x14ac:dyDescent="0.25">
      <c r="B92" s="509"/>
      <c r="C92" s="510"/>
      <c r="D92" s="510"/>
      <c r="E92" s="511"/>
      <c r="F92" s="511"/>
      <c r="G92" s="512"/>
      <c r="H92" s="513"/>
    </row>
    <row r="93" spans="2:10" ht="12" customHeight="1" x14ac:dyDescent="0.2">
      <c r="B93" s="452" t="s">
        <v>151</v>
      </c>
      <c r="C93" s="452"/>
      <c r="D93" s="452"/>
      <c r="E93" s="452"/>
      <c r="F93" s="452"/>
      <c r="G93" s="426">
        <f>G80+G90</f>
        <v>6418.9704685926727</v>
      </c>
      <c r="H93" s="426"/>
      <c r="I93" s="388"/>
    </row>
    <row r="94" spans="2:10" x14ac:dyDescent="0.2">
      <c r="B94" s="514"/>
      <c r="C94" s="515"/>
      <c r="D94" s="515"/>
      <c r="E94" s="515"/>
      <c r="F94" s="515" t="s">
        <v>152</v>
      </c>
      <c r="G94" s="515"/>
      <c r="H94" s="516"/>
    </row>
    <row r="95" spans="2:10" ht="12" customHeight="1" x14ac:dyDescent="0.2">
      <c r="B95" s="517" t="s">
        <v>162</v>
      </c>
      <c r="C95" s="518"/>
      <c r="D95" s="518"/>
      <c r="E95" s="518"/>
      <c r="F95" s="519"/>
      <c r="G95" s="472">
        <f>G93*G10</f>
        <v>12837.940937185345</v>
      </c>
      <c r="H95" s="492"/>
    </row>
    <row r="96" spans="2:10" x14ac:dyDescent="0.2">
      <c r="B96" s="520"/>
      <c r="C96" s="521"/>
      <c r="D96" s="521"/>
      <c r="E96" s="521"/>
      <c r="F96" s="521"/>
      <c r="G96" s="521"/>
      <c r="H96" s="522"/>
    </row>
    <row r="97" spans="2:8" ht="12" customHeight="1" x14ac:dyDescent="0.2">
      <c r="B97" s="517" t="s">
        <v>163</v>
      </c>
      <c r="C97" s="518"/>
      <c r="D97" s="518"/>
      <c r="E97" s="518"/>
      <c r="F97" s="519"/>
      <c r="G97" s="472">
        <f>G95*12</f>
        <v>154055.29124622414</v>
      </c>
      <c r="H97" s="492"/>
    </row>
  </sheetData>
  <sheetProtection selectLockedCells="1" selectUnlockedCells="1"/>
  <mergeCells count="192">
    <mergeCell ref="E86:F86"/>
    <mergeCell ref="G86:H86"/>
    <mergeCell ref="B87:D87"/>
    <mergeCell ref="E87:F87"/>
    <mergeCell ref="G87:H87"/>
    <mergeCell ref="B88:D88"/>
    <mergeCell ref="E88:F88"/>
    <mergeCell ref="G88:H88"/>
    <mergeCell ref="B89:D89"/>
    <mergeCell ref="E89:F89"/>
    <mergeCell ref="G89:H89"/>
    <mergeCell ref="G75:H75"/>
    <mergeCell ref="B76:F76"/>
    <mergeCell ref="G76:H76"/>
    <mergeCell ref="B77:F77"/>
    <mergeCell ref="G77:H77"/>
    <mergeCell ref="B78:F78"/>
    <mergeCell ref="G78:H78"/>
    <mergeCell ref="B79:H79"/>
    <mergeCell ref="B80:F80"/>
    <mergeCell ref="G80:H80"/>
    <mergeCell ref="E57:F57"/>
    <mergeCell ref="G57:H57"/>
    <mergeCell ref="E58:F58"/>
    <mergeCell ref="G58:H58"/>
    <mergeCell ref="B59:H59"/>
    <mergeCell ref="B60:H60"/>
    <mergeCell ref="E61:F61"/>
    <mergeCell ref="G61:H61"/>
    <mergeCell ref="E62:F62"/>
    <mergeCell ref="G62:H62"/>
    <mergeCell ref="G39:H39"/>
    <mergeCell ref="B40:D40"/>
    <mergeCell ref="E40:F40"/>
    <mergeCell ref="G40:H40"/>
    <mergeCell ref="B41:D41"/>
    <mergeCell ref="E41:F41"/>
    <mergeCell ref="G41:H41"/>
    <mergeCell ref="B42:D42"/>
    <mergeCell ref="E42:F42"/>
    <mergeCell ref="G42:H42"/>
    <mergeCell ref="B26:D26"/>
    <mergeCell ref="E26:F26"/>
    <mergeCell ref="G26:H26"/>
    <mergeCell ref="B27:D27"/>
    <mergeCell ref="E27:F27"/>
    <mergeCell ref="G27:H27"/>
    <mergeCell ref="B28:D28"/>
    <mergeCell ref="E28:F28"/>
    <mergeCell ref="G28:H28"/>
    <mergeCell ref="B1:H1"/>
    <mergeCell ref="B2:H3"/>
    <mergeCell ref="B4:H5"/>
    <mergeCell ref="B6:H6"/>
    <mergeCell ref="B7:H7"/>
    <mergeCell ref="B8:H8"/>
    <mergeCell ref="B9:D9"/>
    <mergeCell ref="E9:F9"/>
    <mergeCell ref="G9:H9"/>
    <mergeCell ref="B90:D90"/>
    <mergeCell ref="E90:F90"/>
    <mergeCell ref="G90:H90"/>
    <mergeCell ref="B93:F93"/>
    <mergeCell ref="G93:H93"/>
    <mergeCell ref="B95:F95"/>
    <mergeCell ref="G95:H95"/>
    <mergeCell ref="B97:F97"/>
    <mergeCell ref="G97:H97"/>
    <mergeCell ref="B81:H81"/>
    <mergeCell ref="B82:H82"/>
    <mergeCell ref="B83:D83"/>
    <mergeCell ref="E83:F83"/>
    <mergeCell ref="G83:H83"/>
    <mergeCell ref="B84:D84"/>
    <mergeCell ref="E84:F84"/>
    <mergeCell ref="G84:H84"/>
    <mergeCell ref="B85:D85"/>
    <mergeCell ref="E85:F85"/>
    <mergeCell ref="G85:H85"/>
    <mergeCell ref="B86:D86"/>
    <mergeCell ref="B70:F70"/>
    <mergeCell ref="G70:H70"/>
    <mergeCell ref="B71:F71"/>
    <mergeCell ref="G71:H71"/>
    <mergeCell ref="B72:F72"/>
    <mergeCell ref="G72:H72"/>
    <mergeCell ref="B73:F73"/>
    <mergeCell ref="G73:H73"/>
    <mergeCell ref="B74:F74"/>
    <mergeCell ref="G74:H74"/>
    <mergeCell ref="B75:F75"/>
    <mergeCell ref="B65:H66"/>
    <mergeCell ref="B67:F67"/>
    <mergeCell ref="G67:H67"/>
    <mergeCell ref="B68:H68"/>
    <mergeCell ref="B69:H69"/>
    <mergeCell ref="B64:D64"/>
    <mergeCell ref="B62:D62"/>
    <mergeCell ref="B63:H63"/>
    <mergeCell ref="E64:F64"/>
    <mergeCell ref="G64:H64"/>
    <mergeCell ref="B61:D61"/>
    <mergeCell ref="B58:D58"/>
    <mergeCell ref="B56:D56"/>
    <mergeCell ref="B57:D57"/>
    <mergeCell ref="B52:D52"/>
    <mergeCell ref="E52:F52"/>
    <mergeCell ref="G52:H52"/>
    <mergeCell ref="B53:D53"/>
    <mergeCell ref="E53:F53"/>
    <mergeCell ref="G53:H53"/>
    <mergeCell ref="B54:H54"/>
    <mergeCell ref="B55:H55"/>
    <mergeCell ref="E56:F56"/>
    <mergeCell ref="G56:H56"/>
    <mergeCell ref="B47:D47"/>
    <mergeCell ref="E47:F47"/>
    <mergeCell ref="G47:H47"/>
    <mergeCell ref="B48:D48"/>
    <mergeCell ref="E48:F48"/>
    <mergeCell ref="G48:H48"/>
    <mergeCell ref="B49:D49"/>
    <mergeCell ref="E49:F49"/>
    <mergeCell ref="G49:H49"/>
    <mergeCell ref="B50:H50"/>
    <mergeCell ref="B51:H51"/>
    <mergeCell ref="B43:H43"/>
    <mergeCell ref="B44:H44"/>
    <mergeCell ref="B45:D45"/>
    <mergeCell ref="E45:F45"/>
    <mergeCell ref="G45:H45"/>
    <mergeCell ref="B46:D46"/>
    <mergeCell ref="E46:F46"/>
    <mergeCell ref="G46:H46"/>
    <mergeCell ref="B36:D36"/>
    <mergeCell ref="E36:F36"/>
    <mergeCell ref="G36:H36"/>
    <mergeCell ref="B37:D37"/>
    <mergeCell ref="E37:F37"/>
    <mergeCell ref="G37:H37"/>
    <mergeCell ref="B38:D38"/>
    <mergeCell ref="E38:F38"/>
    <mergeCell ref="G38:H38"/>
    <mergeCell ref="B39:D39"/>
    <mergeCell ref="E39:F39"/>
    <mergeCell ref="B32:H32"/>
    <mergeCell ref="B33:H33"/>
    <mergeCell ref="B34:D34"/>
    <mergeCell ref="E34:F34"/>
    <mergeCell ref="G34:H34"/>
    <mergeCell ref="B35:D35"/>
    <mergeCell ref="E35:F35"/>
    <mergeCell ref="G35:H35"/>
    <mergeCell ref="B29:D29"/>
    <mergeCell ref="E29:F29"/>
    <mergeCell ref="G29:H29"/>
    <mergeCell ref="B30:D30"/>
    <mergeCell ref="E30:F30"/>
    <mergeCell ref="G30:H30"/>
    <mergeCell ref="B31:D31"/>
    <mergeCell ref="E31:F31"/>
    <mergeCell ref="G31:H31"/>
    <mergeCell ref="B22:H22"/>
    <mergeCell ref="B23:D23"/>
    <mergeCell ref="E23:F23"/>
    <mergeCell ref="G23:H23"/>
    <mergeCell ref="B24:D24"/>
    <mergeCell ref="E24:F24"/>
    <mergeCell ref="G24:H24"/>
    <mergeCell ref="B25:D25"/>
    <mergeCell ref="E25:F25"/>
    <mergeCell ref="G25:H25"/>
    <mergeCell ref="B18:E18"/>
    <mergeCell ref="G18:H18"/>
    <mergeCell ref="B19:F19"/>
    <mergeCell ref="G19:H19"/>
    <mergeCell ref="B20:H20"/>
    <mergeCell ref="B21:H21"/>
    <mergeCell ref="B17:E17"/>
    <mergeCell ref="B13:H13"/>
    <mergeCell ref="B14:H14"/>
    <mergeCell ref="B15:F15"/>
    <mergeCell ref="G15:H15"/>
    <mergeCell ref="B16:F16"/>
    <mergeCell ref="G16:H16"/>
    <mergeCell ref="G17:H17"/>
    <mergeCell ref="B10:D10"/>
    <mergeCell ref="E10:F10"/>
    <mergeCell ref="G10:H10"/>
    <mergeCell ref="B11:H11"/>
    <mergeCell ref="B12:F12"/>
    <mergeCell ref="G12:H12"/>
  </mergeCells>
  <pageMargins left="0.39374999999999999" right="0.39374999999999999" top="0.19652777777777777" bottom="0.19652777777777777" header="0.51180555555555551" footer="0.51180555555555551"/>
  <pageSetup paperSize="9" scale="41" firstPageNumber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36981-57D8-41BB-B0C6-67369C431123}">
  <dimension ref="B1:M98"/>
  <sheetViews>
    <sheetView topLeftCell="A7" zoomScaleNormal="100" zoomScaleSheetLayoutView="100" workbookViewId="0">
      <selection activeCell="B103" sqref="B103"/>
    </sheetView>
  </sheetViews>
  <sheetFormatPr defaultRowHeight="12" x14ac:dyDescent="0.2"/>
  <cols>
    <col min="1" max="1" width="11.42578125" style="254" customWidth="1"/>
    <col min="2" max="2" width="24.7109375" style="254" customWidth="1"/>
    <col min="3" max="3" width="15" style="254" customWidth="1"/>
    <col min="4" max="4" width="13.140625" style="254" customWidth="1"/>
    <col min="5" max="5" width="22.85546875" style="254" customWidth="1"/>
    <col min="6" max="6" width="2.140625" style="254" bestFit="1" customWidth="1"/>
    <col min="7" max="7" width="15.42578125" style="254" customWidth="1"/>
    <col min="8" max="8" width="11.140625" style="254" customWidth="1"/>
    <col min="9" max="257" width="11.42578125" style="254" customWidth="1"/>
    <col min="258" max="258" width="24.7109375" style="254" customWidth="1"/>
    <col min="259" max="259" width="15" style="254" customWidth="1"/>
    <col min="260" max="260" width="13.140625" style="254" customWidth="1"/>
    <col min="261" max="261" width="22.85546875" style="254" customWidth="1"/>
    <col min="262" max="262" width="2.140625" style="254" bestFit="1" customWidth="1"/>
    <col min="263" max="263" width="15.42578125" style="254" customWidth="1"/>
    <col min="264" max="264" width="11.140625" style="254" customWidth="1"/>
    <col min="265" max="513" width="11.42578125" style="254" customWidth="1"/>
    <col min="514" max="514" width="24.7109375" style="254" customWidth="1"/>
    <col min="515" max="515" width="15" style="254" customWidth="1"/>
    <col min="516" max="516" width="13.140625" style="254" customWidth="1"/>
    <col min="517" max="517" width="22.85546875" style="254" customWidth="1"/>
    <col min="518" max="518" width="2.140625" style="254" bestFit="1" customWidth="1"/>
    <col min="519" max="519" width="15.42578125" style="254" customWidth="1"/>
    <col min="520" max="520" width="11.140625" style="254" customWidth="1"/>
    <col min="521" max="769" width="11.42578125" style="254" customWidth="1"/>
    <col min="770" max="770" width="24.7109375" style="254" customWidth="1"/>
    <col min="771" max="771" width="15" style="254" customWidth="1"/>
    <col min="772" max="772" width="13.140625" style="254" customWidth="1"/>
    <col min="773" max="773" width="22.85546875" style="254" customWidth="1"/>
    <col min="774" max="774" width="2.140625" style="254" bestFit="1" customWidth="1"/>
    <col min="775" max="775" width="15.42578125" style="254" customWidth="1"/>
    <col min="776" max="776" width="11.140625" style="254" customWidth="1"/>
    <col min="777" max="1025" width="11.42578125" style="254" customWidth="1"/>
    <col min="1026" max="1026" width="24.7109375" style="254" customWidth="1"/>
    <col min="1027" max="1027" width="15" style="254" customWidth="1"/>
    <col min="1028" max="1028" width="13.140625" style="254" customWidth="1"/>
    <col min="1029" max="1029" width="22.85546875" style="254" customWidth="1"/>
    <col min="1030" max="1030" width="2.140625" style="254" bestFit="1" customWidth="1"/>
    <col min="1031" max="1031" width="15.42578125" style="254" customWidth="1"/>
    <col min="1032" max="1032" width="11.140625" style="254" customWidth="1"/>
    <col min="1033" max="1281" width="11.42578125" style="254" customWidth="1"/>
    <col min="1282" max="1282" width="24.7109375" style="254" customWidth="1"/>
    <col min="1283" max="1283" width="15" style="254" customWidth="1"/>
    <col min="1284" max="1284" width="13.140625" style="254" customWidth="1"/>
    <col min="1285" max="1285" width="22.85546875" style="254" customWidth="1"/>
    <col min="1286" max="1286" width="2.140625" style="254" bestFit="1" customWidth="1"/>
    <col min="1287" max="1287" width="15.42578125" style="254" customWidth="1"/>
    <col min="1288" max="1288" width="11.140625" style="254" customWidth="1"/>
    <col min="1289" max="1537" width="11.42578125" style="254" customWidth="1"/>
    <col min="1538" max="1538" width="24.7109375" style="254" customWidth="1"/>
    <col min="1539" max="1539" width="15" style="254" customWidth="1"/>
    <col min="1540" max="1540" width="13.140625" style="254" customWidth="1"/>
    <col min="1541" max="1541" width="22.85546875" style="254" customWidth="1"/>
    <col min="1542" max="1542" width="2.140625" style="254" bestFit="1" customWidth="1"/>
    <col min="1543" max="1543" width="15.42578125" style="254" customWidth="1"/>
    <col min="1544" max="1544" width="11.140625" style="254" customWidth="1"/>
    <col min="1545" max="1793" width="11.42578125" style="254" customWidth="1"/>
    <col min="1794" max="1794" width="24.7109375" style="254" customWidth="1"/>
    <col min="1795" max="1795" width="15" style="254" customWidth="1"/>
    <col min="1796" max="1796" width="13.140625" style="254" customWidth="1"/>
    <col min="1797" max="1797" width="22.85546875" style="254" customWidth="1"/>
    <col min="1798" max="1798" width="2.140625" style="254" bestFit="1" customWidth="1"/>
    <col min="1799" max="1799" width="15.42578125" style="254" customWidth="1"/>
    <col min="1800" max="1800" width="11.140625" style="254" customWidth="1"/>
    <col min="1801" max="2049" width="11.42578125" style="254" customWidth="1"/>
    <col min="2050" max="2050" width="24.7109375" style="254" customWidth="1"/>
    <col min="2051" max="2051" width="15" style="254" customWidth="1"/>
    <col min="2052" max="2052" width="13.140625" style="254" customWidth="1"/>
    <col min="2053" max="2053" width="22.85546875" style="254" customWidth="1"/>
    <col min="2054" max="2054" width="2.140625" style="254" bestFit="1" customWidth="1"/>
    <col min="2055" max="2055" width="15.42578125" style="254" customWidth="1"/>
    <col min="2056" max="2056" width="11.140625" style="254" customWidth="1"/>
    <col min="2057" max="2305" width="11.42578125" style="254" customWidth="1"/>
    <col min="2306" max="2306" width="24.7109375" style="254" customWidth="1"/>
    <col min="2307" max="2307" width="15" style="254" customWidth="1"/>
    <col min="2308" max="2308" width="13.140625" style="254" customWidth="1"/>
    <col min="2309" max="2309" width="22.85546875" style="254" customWidth="1"/>
    <col min="2310" max="2310" width="2.140625" style="254" bestFit="1" customWidth="1"/>
    <col min="2311" max="2311" width="15.42578125" style="254" customWidth="1"/>
    <col min="2312" max="2312" width="11.140625" style="254" customWidth="1"/>
    <col min="2313" max="2561" width="11.42578125" style="254" customWidth="1"/>
    <col min="2562" max="2562" width="24.7109375" style="254" customWidth="1"/>
    <col min="2563" max="2563" width="15" style="254" customWidth="1"/>
    <col min="2564" max="2564" width="13.140625" style="254" customWidth="1"/>
    <col min="2565" max="2565" width="22.85546875" style="254" customWidth="1"/>
    <col min="2566" max="2566" width="2.140625" style="254" bestFit="1" customWidth="1"/>
    <col min="2567" max="2567" width="15.42578125" style="254" customWidth="1"/>
    <col min="2568" max="2568" width="11.140625" style="254" customWidth="1"/>
    <col min="2569" max="2817" width="11.42578125" style="254" customWidth="1"/>
    <col min="2818" max="2818" width="24.7109375" style="254" customWidth="1"/>
    <col min="2819" max="2819" width="15" style="254" customWidth="1"/>
    <col min="2820" max="2820" width="13.140625" style="254" customWidth="1"/>
    <col min="2821" max="2821" width="22.85546875" style="254" customWidth="1"/>
    <col min="2822" max="2822" width="2.140625" style="254" bestFit="1" customWidth="1"/>
    <col min="2823" max="2823" width="15.42578125" style="254" customWidth="1"/>
    <col min="2824" max="2824" width="11.140625" style="254" customWidth="1"/>
    <col min="2825" max="3073" width="11.42578125" style="254" customWidth="1"/>
    <col min="3074" max="3074" width="24.7109375" style="254" customWidth="1"/>
    <col min="3075" max="3075" width="15" style="254" customWidth="1"/>
    <col min="3076" max="3076" width="13.140625" style="254" customWidth="1"/>
    <col min="3077" max="3077" width="22.85546875" style="254" customWidth="1"/>
    <col min="3078" max="3078" width="2.140625" style="254" bestFit="1" customWidth="1"/>
    <col min="3079" max="3079" width="15.42578125" style="254" customWidth="1"/>
    <col min="3080" max="3080" width="11.140625" style="254" customWidth="1"/>
    <col min="3081" max="3329" width="11.42578125" style="254" customWidth="1"/>
    <col min="3330" max="3330" width="24.7109375" style="254" customWidth="1"/>
    <col min="3331" max="3331" width="15" style="254" customWidth="1"/>
    <col min="3332" max="3332" width="13.140625" style="254" customWidth="1"/>
    <col min="3333" max="3333" width="22.85546875" style="254" customWidth="1"/>
    <col min="3334" max="3334" width="2.140625" style="254" bestFit="1" customWidth="1"/>
    <col min="3335" max="3335" width="15.42578125" style="254" customWidth="1"/>
    <col min="3336" max="3336" width="11.140625" style="254" customWidth="1"/>
    <col min="3337" max="3585" width="11.42578125" style="254" customWidth="1"/>
    <col min="3586" max="3586" width="24.7109375" style="254" customWidth="1"/>
    <col min="3587" max="3587" width="15" style="254" customWidth="1"/>
    <col min="3588" max="3588" width="13.140625" style="254" customWidth="1"/>
    <col min="3589" max="3589" width="22.85546875" style="254" customWidth="1"/>
    <col min="3590" max="3590" width="2.140625" style="254" bestFit="1" customWidth="1"/>
    <col min="3591" max="3591" width="15.42578125" style="254" customWidth="1"/>
    <col min="3592" max="3592" width="11.140625" style="254" customWidth="1"/>
    <col min="3593" max="3841" width="11.42578125" style="254" customWidth="1"/>
    <col min="3842" max="3842" width="24.7109375" style="254" customWidth="1"/>
    <col min="3843" max="3843" width="15" style="254" customWidth="1"/>
    <col min="3844" max="3844" width="13.140625" style="254" customWidth="1"/>
    <col min="3845" max="3845" width="22.85546875" style="254" customWidth="1"/>
    <col min="3846" max="3846" width="2.140625" style="254" bestFit="1" customWidth="1"/>
    <col min="3847" max="3847" width="15.42578125" style="254" customWidth="1"/>
    <col min="3848" max="3848" width="11.140625" style="254" customWidth="1"/>
    <col min="3849" max="4097" width="11.42578125" style="254" customWidth="1"/>
    <col min="4098" max="4098" width="24.7109375" style="254" customWidth="1"/>
    <col min="4099" max="4099" width="15" style="254" customWidth="1"/>
    <col min="4100" max="4100" width="13.140625" style="254" customWidth="1"/>
    <col min="4101" max="4101" width="22.85546875" style="254" customWidth="1"/>
    <col min="4102" max="4102" width="2.140625" style="254" bestFit="1" customWidth="1"/>
    <col min="4103" max="4103" width="15.42578125" style="254" customWidth="1"/>
    <col min="4104" max="4104" width="11.140625" style="254" customWidth="1"/>
    <col min="4105" max="4353" width="11.42578125" style="254" customWidth="1"/>
    <col min="4354" max="4354" width="24.7109375" style="254" customWidth="1"/>
    <col min="4355" max="4355" width="15" style="254" customWidth="1"/>
    <col min="4356" max="4356" width="13.140625" style="254" customWidth="1"/>
    <col min="4357" max="4357" width="22.85546875" style="254" customWidth="1"/>
    <col min="4358" max="4358" width="2.140625" style="254" bestFit="1" customWidth="1"/>
    <col min="4359" max="4359" width="15.42578125" style="254" customWidth="1"/>
    <col min="4360" max="4360" width="11.140625" style="254" customWidth="1"/>
    <col min="4361" max="4609" width="11.42578125" style="254" customWidth="1"/>
    <col min="4610" max="4610" width="24.7109375" style="254" customWidth="1"/>
    <col min="4611" max="4611" width="15" style="254" customWidth="1"/>
    <col min="4612" max="4612" width="13.140625" style="254" customWidth="1"/>
    <col min="4613" max="4613" width="22.85546875" style="254" customWidth="1"/>
    <col min="4614" max="4614" width="2.140625" style="254" bestFit="1" customWidth="1"/>
    <col min="4615" max="4615" width="15.42578125" style="254" customWidth="1"/>
    <col min="4616" max="4616" width="11.140625" style="254" customWidth="1"/>
    <col min="4617" max="4865" width="11.42578125" style="254" customWidth="1"/>
    <col min="4866" max="4866" width="24.7109375" style="254" customWidth="1"/>
    <col min="4867" max="4867" width="15" style="254" customWidth="1"/>
    <col min="4868" max="4868" width="13.140625" style="254" customWidth="1"/>
    <col min="4869" max="4869" width="22.85546875" style="254" customWidth="1"/>
    <col min="4870" max="4870" width="2.140625" style="254" bestFit="1" customWidth="1"/>
    <col min="4871" max="4871" width="15.42578125" style="254" customWidth="1"/>
    <col min="4872" max="4872" width="11.140625" style="254" customWidth="1"/>
    <col min="4873" max="5121" width="11.42578125" style="254" customWidth="1"/>
    <col min="5122" max="5122" width="24.7109375" style="254" customWidth="1"/>
    <col min="5123" max="5123" width="15" style="254" customWidth="1"/>
    <col min="5124" max="5124" width="13.140625" style="254" customWidth="1"/>
    <col min="5125" max="5125" width="22.85546875" style="254" customWidth="1"/>
    <col min="5126" max="5126" width="2.140625" style="254" bestFit="1" customWidth="1"/>
    <col min="5127" max="5127" width="15.42578125" style="254" customWidth="1"/>
    <col min="5128" max="5128" width="11.140625" style="254" customWidth="1"/>
    <col min="5129" max="5377" width="11.42578125" style="254" customWidth="1"/>
    <col min="5378" max="5378" width="24.7109375" style="254" customWidth="1"/>
    <col min="5379" max="5379" width="15" style="254" customWidth="1"/>
    <col min="5380" max="5380" width="13.140625" style="254" customWidth="1"/>
    <col min="5381" max="5381" width="22.85546875" style="254" customWidth="1"/>
    <col min="5382" max="5382" width="2.140625" style="254" bestFit="1" customWidth="1"/>
    <col min="5383" max="5383" width="15.42578125" style="254" customWidth="1"/>
    <col min="5384" max="5384" width="11.140625" style="254" customWidth="1"/>
    <col min="5385" max="5633" width="11.42578125" style="254" customWidth="1"/>
    <col min="5634" max="5634" width="24.7109375" style="254" customWidth="1"/>
    <col min="5635" max="5635" width="15" style="254" customWidth="1"/>
    <col min="5636" max="5636" width="13.140625" style="254" customWidth="1"/>
    <col min="5637" max="5637" width="22.85546875" style="254" customWidth="1"/>
    <col min="5638" max="5638" width="2.140625" style="254" bestFit="1" customWidth="1"/>
    <col min="5639" max="5639" width="15.42578125" style="254" customWidth="1"/>
    <col min="5640" max="5640" width="11.140625" style="254" customWidth="1"/>
    <col min="5641" max="5889" width="11.42578125" style="254" customWidth="1"/>
    <col min="5890" max="5890" width="24.7109375" style="254" customWidth="1"/>
    <col min="5891" max="5891" width="15" style="254" customWidth="1"/>
    <col min="5892" max="5892" width="13.140625" style="254" customWidth="1"/>
    <col min="5893" max="5893" width="22.85546875" style="254" customWidth="1"/>
    <col min="5894" max="5894" width="2.140625" style="254" bestFit="1" customWidth="1"/>
    <col min="5895" max="5895" width="15.42578125" style="254" customWidth="1"/>
    <col min="5896" max="5896" width="11.140625" style="254" customWidth="1"/>
    <col min="5897" max="6145" width="11.42578125" style="254" customWidth="1"/>
    <col min="6146" max="6146" width="24.7109375" style="254" customWidth="1"/>
    <col min="6147" max="6147" width="15" style="254" customWidth="1"/>
    <col min="6148" max="6148" width="13.140625" style="254" customWidth="1"/>
    <col min="6149" max="6149" width="22.85546875" style="254" customWidth="1"/>
    <col min="6150" max="6150" width="2.140625" style="254" bestFit="1" customWidth="1"/>
    <col min="6151" max="6151" width="15.42578125" style="254" customWidth="1"/>
    <col min="6152" max="6152" width="11.140625" style="254" customWidth="1"/>
    <col min="6153" max="6401" width="11.42578125" style="254" customWidth="1"/>
    <col min="6402" max="6402" width="24.7109375" style="254" customWidth="1"/>
    <col min="6403" max="6403" width="15" style="254" customWidth="1"/>
    <col min="6404" max="6404" width="13.140625" style="254" customWidth="1"/>
    <col min="6405" max="6405" width="22.85546875" style="254" customWidth="1"/>
    <col min="6406" max="6406" width="2.140625" style="254" bestFit="1" customWidth="1"/>
    <col min="6407" max="6407" width="15.42578125" style="254" customWidth="1"/>
    <col min="6408" max="6408" width="11.140625" style="254" customWidth="1"/>
    <col min="6409" max="6657" width="11.42578125" style="254" customWidth="1"/>
    <col min="6658" max="6658" width="24.7109375" style="254" customWidth="1"/>
    <col min="6659" max="6659" width="15" style="254" customWidth="1"/>
    <col min="6660" max="6660" width="13.140625" style="254" customWidth="1"/>
    <col min="6661" max="6661" width="22.85546875" style="254" customWidth="1"/>
    <col min="6662" max="6662" width="2.140625" style="254" bestFit="1" customWidth="1"/>
    <col min="6663" max="6663" width="15.42578125" style="254" customWidth="1"/>
    <col min="6664" max="6664" width="11.140625" style="254" customWidth="1"/>
    <col min="6665" max="6913" width="11.42578125" style="254" customWidth="1"/>
    <col min="6914" max="6914" width="24.7109375" style="254" customWidth="1"/>
    <col min="6915" max="6915" width="15" style="254" customWidth="1"/>
    <col min="6916" max="6916" width="13.140625" style="254" customWidth="1"/>
    <col min="6917" max="6917" width="22.85546875" style="254" customWidth="1"/>
    <col min="6918" max="6918" width="2.140625" style="254" bestFit="1" customWidth="1"/>
    <col min="6919" max="6919" width="15.42578125" style="254" customWidth="1"/>
    <col min="6920" max="6920" width="11.140625" style="254" customWidth="1"/>
    <col min="6921" max="7169" width="11.42578125" style="254" customWidth="1"/>
    <col min="7170" max="7170" width="24.7109375" style="254" customWidth="1"/>
    <col min="7171" max="7171" width="15" style="254" customWidth="1"/>
    <col min="7172" max="7172" width="13.140625" style="254" customWidth="1"/>
    <col min="7173" max="7173" width="22.85546875" style="254" customWidth="1"/>
    <col min="7174" max="7174" width="2.140625" style="254" bestFit="1" customWidth="1"/>
    <col min="7175" max="7175" width="15.42578125" style="254" customWidth="1"/>
    <col min="7176" max="7176" width="11.140625" style="254" customWidth="1"/>
    <col min="7177" max="7425" width="11.42578125" style="254" customWidth="1"/>
    <col min="7426" max="7426" width="24.7109375" style="254" customWidth="1"/>
    <col min="7427" max="7427" width="15" style="254" customWidth="1"/>
    <col min="7428" max="7428" width="13.140625" style="254" customWidth="1"/>
    <col min="7429" max="7429" width="22.85546875" style="254" customWidth="1"/>
    <col min="7430" max="7430" width="2.140625" style="254" bestFit="1" customWidth="1"/>
    <col min="7431" max="7431" width="15.42578125" style="254" customWidth="1"/>
    <col min="7432" max="7432" width="11.140625" style="254" customWidth="1"/>
    <col min="7433" max="7681" width="11.42578125" style="254" customWidth="1"/>
    <col min="7682" max="7682" width="24.7109375" style="254" customWidth="1"/>
    <col min="7683" max="7683" width="15" style="254" customWidth="1"/>
    <col min="7684" max="7684" width="13.140625" style="254" customWidth="1"/>
    <col min="7685" max="7685" width="22.85546875" style="254" customWidth="1"/>
    <col min="7686" max="7686" width="2.140625" style="254" bestFit="1" customWidth="1"/>
    <col min="7687" max="7687" width="15.42578125" style="254" customWidth="1"/>
    <col min="7688" max="7688" width="11.140625" style="254" customWidth="1"/>
    <col min="7689" max="7937" width="11.42578125" style="254" customWidth="1"/>
    <col min="7938" max="7938" width="24.7109375" style="254" customWidth="1"/>
    <col min="7939" max="7939" width="15" style="254" customWidth="1"/>
    <col min="7940" max="7940" width="13.140625" style="254" customWidth="1"/>
    <col min="7941" max="7941" width="22.85546875" style="254" customWidth="1"/>
    <col min="7942" max="7942" width="2.140625" style="254" bestFit="1" customWidth="1"/>
    <col min="7943" max="7943" width="15.42578125" style="254" customWidth="1"/>
    <col min="7944" max="7944" width="11.140625" style="254" customWidth="1"/>
    <col min="7945" max="8193" width="11.42578125" style="254" customWidth="1"/>
    <col min="8194" max="8194" width="24.7109375" style="254" customWidth="1"/>
    <col min="8195" max="8195" width="15" style="254" customWidth="1"/>
    <col min="8196" max="8196" width="13.140625" style="254" customWidth="1"/>
    <col min="8197" max="8197" width="22.85546875" style="254" customWidth="1"/>
    <col min="8198" max="8198" width="2.140625" style="254" bestFit="1" customWidth="1"/>
    <col min="8199" max="8199" width="15.42578125" style="254" customWidth="1"/>
    <col min="8200" max="8200" width="11.140625" style="254" customWidth="1"/>
    <col min="8201" max="8449" width="11.42578125" style="254" customWidth="1"/>
    <col min="8450" max="8450" width="24.7109375" style="254" customWidth="1"/>
    <col min="8451" max="8451" width="15" style="254" customWidth="1"/>
    <col min="8452" max="8452" width="13.140625" style="254" customWidth="1"/>
    <col min="8453" max="8453" width="22.85546875" style="254" customWidth="1"/>
    <col min="8454" max="8454" width="2.140625" style="254" bestFit="1" customWidth="1"/>
    <col min="8455" max="8455" width="15.42578125" style="254" customWidth="1"/>
    <col min="8456" max="8456" width="11.140625" style="254" customWidth="1"/>
    <col min="8457" max="8705" width="11.42578125" style="254" customWidth="1"/>
    <col min="8706" max="8706" width="24.7109375" style="254" customWidth="1"/>
    <col min="8707" max="8707" width="15" style="254" customWidth="1"/>
    <col min="8708" max="8708" width="13.140625" style="254" customWidth="1"/>
    <col min="8709" max="8709" width="22.85546875" style="254" customWidth="1"/>
    <col min="8710" max="8710" width="2.140625" style="254" bestFit="1" customWidth="1"/>
    <col min="8711" max="8711" width="15.42578125" style="254" customWidth="1"/>
    <col min="8712" max="8712" width="11.140625" style="254" customWidth="1"/>
    <col min="8713" max="8961" width="11.42578125" style="254" customWidth="1"/>
    <col min="8962" max="8962" width="24.7109375" style="254" customWidth="1"/>
    <col min="8963" max="8963" width="15" style="254" customWidth="1"/>
    <col min="8964" max="8964" width="13.140625" style="254" customWidth="1"/>
    <col min="8965" max="8965" width="22.85546875" style="254" customWidth="1"/>
    <col min="8966" max="8966" width="2.140625" style="254" bestFit="1" customWidth="1"/>
    <col min="8967" max="8967" width="15.42578125" style="254" customWidth="1"/>
    <col min="8968" max="8968" width="11.140625" style="254" customWidth="1"/>
    <col min="8969" max="9217" width="11.42578125" style="254" customWidth="1"/>
    <col min="9218" max="9218" width="24.7109375" style="254" customWidth="1"/>
    <col min="9219" max="9219" width="15" style="254" customWidth="1"/>
    <col min="9220" max="9220" width="13.140625" style="254" customWidth="1"/>
    <col min="9221" max="9221" width="22.85546875" style="254" customWidth="1"/>
    <col min="9222" max="9222" width="2.140625" style="254" bestFit="1" customWidth="1"/>
    <col min="9223" max="9223" width="15.42578125" style="254" customWidth="1"/>
    <col min="9224" max="9224" width="11.140625" style="254" customWidth="1"/>
    <col min="9225" max="9473" width="11.42578125" style="254" customWidth="1"/>
    <col min="9474" max="9474" width="24.7109375" style="254" customWidth="1"/>
    <col min="9475" max="9475" width="15" style="254" customWidth="1"/>
    <col min="9476" max="9476" width="13.140625" style="254" customWidth="1"/>
    <col min="9477" max="9477" width="22.85546875" style="254" customWidth="1"/>
    <col min="9478" max="9478" width="2.140625" style="254" bestFit="1" customWidth="1"/>
    <col min="9479" max="9479" width="15.42578125" style="254" customWidth="1"/>
    <col min="9480" max="9480" width="11.140625" style="254" customWidth="1"/>
    <col min="9481" max="9729" width="11.42578125" style="254" customWidth="1"/>
    <col min="9730" max="9730" width="24.7109375" style="254" customWidth="1"/>
    <col min="9731" max="9731" width="15" style="254" customWidth="1"/>
    <col min="9732" max="9732" width="13.140625" style="254" customWidth="1"/>
    <col min="9733" max="9733" width="22.85546875" style="254" customWidth="1"/>
    <col min="9734" max="9734" width="2.140625" style="254" bestFit="1" customWidth="1"/>
    <col min="9735" max="9735" width="15.42578125" style="254" customWidth="1"/>
    <col min="9736" max="9736" width="11.140625" style="254" customWidth="1"/>
    <col min="9737" max="9985" width="11.42578125" style="254" customWidth="1"/>
    <col min="9986" max="9986" width="24.7109375" style="254" customWidth="1"/>
    <col min="9987" max="9987" width="15" style="254" customWidth="1"/>
    <col min="9988" max="9988" width="13.140625" style="254" customWidth="1"/>
    <col min="9989" max="9989" width="22.85546875" style="254" customWidth="1"/>
    <col min="9990" max="9990" width="2.140625" style="254" bestFit="1" customWidth="1"/>
    <col min="9991" max="9991" width="15.42578125" style="254" customWidth="1"/>
    <col min="9992" max="9992" width="11.140625" style="254" customWidth="1"/>
    <col min="9993" max="10241" width="11.42578125" style="254" customWidth="1"/>
    <col min="10242" max="10242" width="24.7109375" style="254" customWidth="1"/>
    <col min="10243" max="10243" width="15" style="254" customWidth="1"/>
    <col min="10244" max="10244" width="13.140625" style="254" customWidth="1"/>
    <col min="10245" max="10245" width="22.85546875" style="254" customWidth="1"/>
    <col min="10246" max="10246" width="2.140625" style="254" bestFit="1" customWidth="1"/>
    <col min="10247" max="10247" width="15.42578125" style="254" customWidth="1"/>
    <col min="10248" max="10248" width="11.140625" style="254" customWidth="1"/>
    <col min="10249" max="10497" width="11.42578125" style="254" customWidth="1"/>
    <col min="10498" max="10498" width="24.7109375" style="254" customWidth="1"/>
    <col min="10499" max="10499" width="15" style="254" customWidth="1"/>
    <col min="10500" max="10500" width="13.140625" style="254" customWidth="1"/>
    <col min="10501" max="10501" width="22.85546875" style="254" customWidth="1"/>
    <col min="10502" max="10502" width="2.140625" style="254" bestFit="1" customWidth="1"/>
    <col min="10503" max="10503" width="15.42578125" style="254" customWidth="1"/>
    <col min="10504" max="10504" width="11.140625" style="254" customWidth="1"/>
    <col min="10505" max="10753" width="11.42578125" style="254" customWidth="1"/>
    <col min="10754" max="10754" width="24.7109375" style="254" customWidth="1"/>
    <col min="10755" max="10755" width="15" style="254" customWidth="1"/>
    <col min="10756" max="10756" width="13.140625" style="254" customWidth="1"/>
    <col min="10757" max="10757" width="22.85546875" style="254" customWidth="1"/>
    <col min="10758" max="10758" width="2.140625" style="254" bestFit="1" customWidth="1"/>
    <col min="10759" max="10759" width="15.42578125" style="254" customWidth="1"/>
    <col min="10760" max="10760" width="11.140625" style="254" customWidth="1"/>
    <col min="10761" max="11009" width="11.42578125" style="254" customWidth="1"/>
    <col min="11010" max="11010" width="24.7109375" style="254" customWidth="1"/>
    <col min="11011" max="11011" width="15" style="254" customWidth="1"/>
    <col min="11012" max="11012" width="13.140625" style="254" customWidth="1"/>
    <col min="11013" max="11013" width="22.85546875" style="254" customWidth="1"/>
    <col min="11014" max="11014" width="2.140625" style="254" bestFit="1" customWidth="1"/>
    <col min="11015" max="11015" width="15.42578125" style="254" customWidth="1"/>
    <col min="11016" max="11016" width="11.140625" style="254" customWidth="1"/>
    <col min="11017" max="11265" width="11.42578125" style="254" customWidth="1"/>
    <col min="11266" max="11266" width="24.7109375" style="254" customWidth="1"/>
    <col min="11267" max="11267" width="15" style="254" customWidth="1"/>
    <col min="11268" max="11268" width="13.140625" style="254" customWidth="1"/>
    <col min="11269" max="11269" width="22.85546875" style="254" customWidth="1"/>
    <col min="11270" max="11270" width="2.140625" style="254" bestFit="1" customWidth="1"/>
    <col min="11271" max="11271" width="15.42578125" style="254" customWidth="1"/>
    <col min="11272" max="11272" width="11.140625" style="254" customWidth="1"/>
    <col min="11273" max="11521" width="11.42578125" style="254" customWidth="1"/>
    <col min="11522" max="11522" width="24.7109375" style="254" customWidth="1"/>
    <col min="11523" max="11523" width="15" style="254" customWidth="1"/>
    <col min="11524" max="11524" width="13.140625" style="254" customWidth="1"/>
    <col min="11525" max="11525" width="22.85546875" style="254" customWidth="1"/>
    <col min="11526" max="11526" width="2.140625" style="254" bestFit="1" customWidth="1"/>
    <col min="11527" max="11527" width="15.42578125" style="254" customWidth="1"/>
    <col min="11528" max="11528" width="11.140625" style="254" customWidth="1"/>
    <col min="11529" max="11777" width="11.42578125" style="254" customWidth="1"/>
    <col min="11778" max="11778" width="24.7109375" style="254" customWidth="1"/>
    <col min="11779" max="11779" width="15" style="254" customWidth="1"/>
    <col min="11780" max="11780" width="13.140625" style="254" customWidth="1"/>
    <col min="11781" max="11781" width="22.85546875" style="254" customWidth="1"/>
    <col min="11782" max="11782" width="2.140625" style="254" bestFit="1" customWidth="1"/>
    <col min="11783" max="11783" width="15.42578125" style="254" customWidth="1"/>
    <col min="11784" max="11784" width="11.140625" style="254" customWidth="1"/>
    <col min="11785" max="12033" width="11.42578125" style="254" customWidth="1"/>
    <col min="12034" max="12034" width="24.7109375" style="254" customWidth="1"/>
    <col min="12035" max="12035" width="15" style="254" customWidth="1"/>
    <col min="12036" max="12036" width="13.140625" style="254" customWidth="1"/>
    <col min="12037" max="12037" width="22.85546875" style="254" customWidth="1"/>
    <col min="12038" max="12038" width="2.140625" style="254" bestFit="1" customWidth="1"/>
    <col min="12039" max="12039" width="15.42578125" style="254" customWidth="1"/>
    <col min="12040" max="12040" width="11.140625" style="254" customWidth="1"/>
    <col min="12041" max="12289" width="11.42578125" style="254" customWidth="1"/>
    <col min="12290" max="12290" width="24.7109375" style="254" customWidth="1"/>
    <col min="12291" max="12291" width="15" style="254" customWidth="1"/>
    <col min="12292" max="12292" width="13.140625" style="254" customWidth="1"/>
    <col min="12293" max="12293" width="22.85546875" style="254" customWidth="1"/>
    <col min="12294" max="12294" width="2.140625" style="254" bestFit="1" customWidth="1"/>
    <col min="12295" max="12295" width="15.42578125" style="254" customWidth="1"/>
    <col min="12296" max="12296" width="11.140625" style="254" customWidth="1"/>
    <col min="12297" max="12545" width="11.42578125" style="254" customWidth="1"/>
    <col min="12546" max="12546" width="24.7109375" style="254" customWidth="1"/>
    <col min="12547" max="12547" width="15" style="254" customWidth="1"/>
    <col min="12548" max="12548" width="13.140625" style="254" customWidth="1"/>
    <col min="12549" max="12549" width="22.85546875" style="254" customWidth="1"/>
    <col min="12550" max="12550" width="2.140625" style="254" bestFit="1" customWidth="1"/>
    <col min="12551" max="12551" width="15.42578125" style="254" customWidth="1"/>
    <col min="12552" max="12552" width="11.140625" style="254" customWidth="1"/>
    <col min="12553" max="12801" width="11.42578125" style="254" customWidth="1"/>
    <col min="12802" max="12802" width="24.7109375" style="254" customWidth="1"/>
    <col min="12803" max="12803" width="15" style="254" customWidth="1"/>
    <col min="12804" max="12804" width="13.140625" style="254" customWidth="1"/>
    <col min="12805" max="12805" width="22.85546875" style="254" customWidth="1"/>
    <col min="12806" max="12806" width="2.140625" style="254" bestFit="1" customWidth="1"/>
    <col min="12807" max="12807" width="15.42578125" style="254" customWidth="1"/>
    <col min="12808" max="12808" width="11.140625" style="254" customWidth="1"/>
    <col min="12809" max="13057" width="11.42578125" style="254" customWidth="1"/>
    <col min="13058" max="13058" width="24.7109375" style="254" customWidth="1"/>
    <col min="13059" max="13059" width="15" style="254" customWidth="1"/>
    <col min="13060" max="13060" width="13.140625" style="254" customWidth="1"/>
    <col min="13061" max="13061" width="22.85546875" style="254" customWidth="1"/>
    <col min="13062" max="13062" width="2.140625" style="254" bestFit="1" customWidth="1"/>
    <col min="13063" max="13063" width="15.42578125" style="254" customWidth="1"/>
    <col min="13064" max="13064" width="11.140625" style="254" customWidth="1"/>
    <col min="13065" max="13313" width="11.42578125" style="254" customWidth="1"/>
    <col min="13314" max="13314" width="24.7109375" style="254" customWidth="1"/>
    <col min="13315" max="13315" width="15" style="254" customWidth="1"/>
    <col min="13316" max="13316" width="13.140625" style="254" customWidth="1"/>
    <col min="13317" max="13317" width="22.85546875" style="254" customWidth="1"/>
    <col min="13318" max="13318" width="2.140625" style="254" bestFit="1" customWidth="1"/>
    <col min="13319" max="13319" width="15.42578125" style="254" customWidth="1"/>
    <col min="13320" max="13320" width="11.140625" style="254" customWidth="1"/>
    <col min="13321" max="13569" width="11.42578125" style="254" customWidth="1"/>
    <col min="13570" max="13570" width="24.7109375" style="254" customWidth="1"/>
    <col min="13571" max="13571" width="15" style="254" customWidth="1"/>
    <col min="13572" max="13572" width="13.140625" style="254" customWidth="1"/>
    <col min="13573" max="13573" width="22.85546875" style="254" customWidth="1"/>
    <col min="13574" max="13574" width="2.140625" style="254" bestFit="1" customWidth="1"/>
    <col min="13575" max="13575" width="15.42578125" style="254" customWidth="1"/>
    <col min="13576" max="13576" width="11.140625" style="254" customWidth="1"/>
    <col min="13577" max="13825" width="11.42578125" style="254" customWidth="1"/>
    <col min="13826" max="13826" width="24.7109375" style="254" customWidth="1"/>
    <col min="13827" max="13827" width="15" style="254" customWidth="1"/>
    <col min="13828" max="13828" width="13.140625" style="254" customWidth="1"/>
    <col min="13829" max="13829" width="22.85546875" style="254" customWidth="1"/>
    <col min="13830" max="13830" width="2.140625" style="254" bestFit="1" customWidth="1"/>
    <col min="13831" max="13831" width="15.42578125" style="254" customWidth="1"/>
    <col min="13832" max="13832" width="11.140625" style="254" customWidth="1"/>
    <col min="13833" max="14081" width="11.42578125" style="254" customWidth="1"/>
    <col min="14082" max="14082" width="24.7109375" style="254" customWidth="1"/>
    <col min="14083" max="14083" width="15" style="254" customWidth="1"/>
    <col min="14084" max="14084" width="13.140625" style="254" customWidth="1"/>
    <col min="14085" max="14085" width="22.85546875" style="254" customWidth="1"/>
    <col min="14086" max="14086" width="2.140625" style="254" bestFit="1" customWidth="1"/>
    <col min="14087" max="14087" width="15.42578125" style="254" customWidth="1"/>
    <col min="14088" max="14088" width="11.140625" style="254" customWidth="1"/>
    <col min="14089" max="14337" width="11.42578125" style="254" customWidth="1"/>
    <col min="14338" max="14338" width="24.7109375" style="254" customWidth="1"/>
    <col min="14339" max="14339" width="15" style="254" customWidth="1"/>
    <col min="14340" max="14340" width="13.140625" style="254" customWidth="1"/>
    <col min="14341" max="14341" width="22.85546875" style="254" customWidth="1"/>
    <col min="14342" max="14342" width="2.140625" style="254" bestFit="1" customWidth="1"/>
    <col min="14343" max="14343" width="15.42578125" style="254" customWidth="1"/>
    <col min="14344" max="14344" width="11.140625" style="254" customWidth="1"/>
    <col min="14345" max="14593" width="11.42578125" style="254" customWidth="1"/>
    <col min="14594" max="14594" width="24.7109375" style="254" customWidth="1"/>
    <col min="14595" max="14595" width="15" style="254" customWidth="1"/>
    <col min="14596" max="14596" width="13.140625" style="254" customWidth="1"/>
    <col min="14597" max="14597" width="22.85546875" style="254" customWidth="1"/>
    <col min="14598" max="14598" width="2.140625" style="254" bestFit="1" customWidth="1"/>
    <col min="14599" max="14599" width="15.42578125" style="254" customWidth="1"/>
    <col min="14600" max="14600" width="11.140625" style="254" customWidth="1"/>
    <col min="14601" max="14849" width="11.42578125" style="254" customWidth="1"/>
    <col min="14850" max="14850" width="24.7109375" style="254" customWidth="1"/>
    <col min="14851" max="14851" width="15" style="254" customWidth="1"/>
    <col min="14852" max="14852" width="13.140625" style="254" customWidth="1"/>
    <col min="14853" max="14853" width="22.85546875" style="254" customWidth="1"/>
    <col min="14854" max="14854" width="2.140625" style="254" bestFit="1" customWidth="1"/>
    <col min="14855" max="14855" width="15.42578125" style="254" customWidth="1"/>
    <col min="14856" max="14856" width="11.140625" style="254" customWidth="1"/>
    <col min="14857" max="15105" width="11.42578125" style="254" customWidth="1"/>
    <col min="15106" max="15106" width="24.7109375" style="254" customWidth="1"/>
    <col min="15107" max="15107" width="15" style="254" customWidth="1"/>
    <col min="15108" max="15108" width="13.140625" style="254" customWidth="1"/>
    <col min="15109" max="15109" width="22.85546875" style="254" customWidth="1"/>
    <col min="15110" max="15110" width="2.140625" style="254" bestFit="1" customWidth="1"/>
    <col min="15111" max="15111" width="15.42578125" style="254" customWidth="1"/>
    <col min="15112" max="15112" width="11.140625" style="254" customWidth="1"/>
    <col min="15113" max="15361" width="11.42578125" style="254" customWidth="1"/>
    <col min="15362" max="15362" width="24.7109375" style="254" customWidth="1"/>
    <col min="15363" max="15363" width="15" style="254" customWidth="1"/>
    <col min="15364" max="15364" width="13.140625" style="254" customWidth="1"/>
    <col min="15365" max="15365" width="22.85546875" style="254" customWidth="1"/>
    <col min="15366" max="15366" width="2.140625" style="254" bestFit="1" customWidth="1"/>
    <col min="15367" max="15367" width="15.42578125" style="254" customWidth="1"/>
    <col min="15368" max="15368" width="11.140625" style="254" customWidth="1"/>
    <col min="15369" max="15617" width="11.42578125" style="254" customWidth="1"/>
    <col min="15618" max="15618" width="24.7109375" style="254" customWidth="1"/>
    <col min="15619" max="15619" width="15" style="254" customWidth="1"/>
    <col min="15620" max="15620" width="13.140625" style="254" customWidth="1"/>
    <col min="15621" max="15621" width="22.85546875" style="254" customWidth="1"/>
    <col min="15622" max="15622" width="2.140625" style="254" bestFit="1" customWidth="1"/>
    <col min="15623" max="15623" width="15.42578125" style="254" customWidth="1"/>
    <col min="15624" max="15624" width="11.140625" style="254" customWidth="1"/>
    <col min="15625" max="15873" width="11.42578125" style="254" customWidth="1"/>
    <col min="15874" max="15874" width="24.7109375" style="254" customWidth="1"/>
    <col min="15875" max="15875" width="15" style="254" customWidth="1"/>
    <col min="15876" max="15876" width="13.140625" style="254" customWidth="1"/>
    <col min="15877" max="15877" width="22.85546875" style="254" customWidth="1"/>
    <col min="15878" max="15878" width="2.140625" style="254" bestFit="1" customWidth="1"/>
    <col min="15879" max="15879" width="15.42578125" style="254" customWidth="1"/>
    <col min="15880" max="15880" width="11.140625" style="254" customWidth="1"/>
    <col min="15881" max="16129" width="11.42578125" style="254" customWidth="1"/>
    <col min="16130" max="16130" width="24.7109375" style="254" customWidth="1"/>
    <col min="16131" max="16131" width="15" style="254" customWidth="1"/>
    <col min="16132" max="16132" width="13.140625" style="254" customWidth="1"/>
    <col min="16133" max="16133" width="22.85546875" style="254" customWidth="1"/>
    <col min="16134" max="16134" width="2.140625" style="254" bestFit="1" customWidth="1"/>
    <col min="16135" max="16135" width="15.42578125" style="254" customWidth="1"/>
    <col min="16136" max="16136" width="11.140625" style="254" customWidth="1"/>
    <col min="16137" max="16384" width="11.42578125" style="254" customWidth="1"/>
  </cols>
  <sheetData>
    <row r="1" spans="2:8" ht="12.75" thickBot="1" x14ac:dyDescent="0.25">
      <c r="B1" s="255"/>
      <c r="C1" s="255"/>
      <c r="D1" s="255"/>
      <c r="E1" s="255"/>
      <c r="F1" s="255"/>
      <c r="G1" s="255"/>
      <c r="H1" s="255"/>
    </row>
    <row r="2" spans="2:8" ht="15" customHeight="1" x14ac:dyDescent="0.2">
      <c r="B2" s="530" t="s">
        <v>154</v>
      </c>
      <c r="C2" s="531"/>
      <c r="D2" s="531"/>
      <c r="E2" s="531"/>
      <c r="F2" s="531"/>
      <c r="G2" s="531"/>
      <c r="H2" s="532"/>
    </row>
    <row r="3" spans="2:8" ht="12.75" thickBot="1" x14ac:dyDescent="0.25">
      <c r="B3" s="533"/>
      <c r="C3" s="534"/>
      <c r="D3" s="534"/>
      <c r="E3" s="534"/>
      <c r="F3" s="534"/>
      <c r="G3" s="534"/>
      <c r="H3" s="535"/>
    </row>
    <row r="4" spans="2:8" ht="15.75" customHeight="1" x14ac:dyDescent="0.2">
      <c r="B4" s="530" t="s">
        <v>104</v>
      </c>
      <c r="C4" s="531"/>
      <c r="D4" s="531"/>
      <c r="E4" s="531"/>
      <c r="F4" s="531"/>
      <c r="G4" s="531"/>
      <c r="H4" s="532"/>
    </row>
    <row r="5" spans="2:8" ht="15" customHeight="1" thickBot="1" x14ac:dyDescent="0.25">
      <c r="B5" s="533"/>
      <c r="C5" s="534"/>
      <c r="D5" s="534"/>
      <c r="E5" s="534"/>
      <c r="F5" s="534"/>
      <c r="G5" s="534"/>
      <c r="H5" s="535"/>
    </row>
    <row r="6" spans="2:8" ht="13.5" x14ac:dyDescent="0.25">
      <c r="B6" s="256"/>
      <c r="C6" s="257"/>
      <c r="D6" s="257"/>
      <c r="E6" s="257"/>
      <c r="F6" s="257"/>
      <c r="G6" s="257"/>
      <c r="H6" s="258"/>
    </row>
    <row r="7" spans="2:8" ht="14.25" thickBot="1" x14ac:dyDescent="0.3">
      <c r="B7" s="259"/>
      <c r="C7" s="260"/>
      <c r="D7" s="260"/>
      <c r="E7" s="260"/>
      <c r="F7" s="260"/>
      <c r="G7" s="260"/>
      <c r="H7" s="261"/>
    </row>
    <row r="8" spans="2:8" ht="14.25" thickBot="1" x14ac:dyDescent="0.3">
      <c r="B8" s="262" t="s">
        <v>105</v>
      </c>
      <c r="C8" s="263"/>
      <c r="D8" s="263"/>
      <c r="E8" s="263"/>
      <c r="F8" s="263"/>
      <c r="G8" s="263"/>
      <c r="H8" s="264"/>
    </row>
    <row r="9" spans="2:8" ht="60" customHeight="1" x14ac:dyDescent="0.2">
      <c r="B9" s="265" t="s">
        <v>106</v>
      </c>
      <c r="C9" s="266"/>
      <c r="D9" s="266"/>
      <c r="E9" s="266" t="s">
        <v>107</v>
      </c>
      <c r="F9" s="266"/>
      <c r="G9" s="266" t="s">
        <v>108</v>
      </c>
      <c r="H9" s="267"/>
    </row>
    <row r="10" spans="2:8" ht="23.25" customHeight="1" thickBot="1" x14ac:dyDescent="0.25">
      <c r="B10" s="268" t="s">
        <v>109</v>
      </c>
      <c r="C10" s="269"/>
      <c r="D10" s="269"/>
      <c r="E10" s="269" t="s">
        <v>110</v>
      </c>
      <c r="F10" s="269"/>
      <c r="G10" s="270">
        <v>1</v>
      </c>
      <c r="H10" s="271"/>
    </row>
    <row r="11" spans="2:8" ht="14.25" thickBot="1" x14ac:dyDescent="0.3">
      <c r="B11" s="272"/>
      <c r="C11" s="273"/>
      <c r="D11" s="273"/>
      <c r="E11" s="273"/>
      <c r="F11" s="273"/>
      <c r="G11" s="273"/>
      <c r="H11" s="274"/>
    </row>
    <row r="12" spans="2:8" ht="13.5" x14ac:dyDescent="0.25">
      <c r="B12" s="275" t="s">
        <v>111</v>
      </c>
      <c r="C12" s="276"/>
      <c r="D12" s="276"/>
      <c r="E12" s="276"/>
      <c r="F12" s="276"/>
      <c r="G12" s="277">
        <v>1869</v>
      </c>
      <c r="H12" s="278"/>
    </row>
    <row r="13" spans="2:8" ht="15" customHeight="1" x14ac:dyDescent="0.25">
      <c r="B13" s="279" t="s">
        <v>112</v>
      </c>
      <c r="C13" s="280"/>
      <c r="D13" s="280"/>
      <c r="E13" s="280"/>
      <c r="F13" s="280"/>
      <c r="G13" s="280"/>
      <c r="H13" s="281"/>
    </row>
    <row r="14" spans="2:8" ht="13.5" x14ac:dyDescent="0.2">
      <c r="B14" s="282" t="s">
        <v>113</v>
      </c>
      <c r="C14" s="283"/>
      <c r="D14" s="283"/>
      <c r="E14" s="283"/>
      <c r="F14" s="283"/>
      <c r="G14" s="283"/>
      <c r="H14" s="284"/>
    </row>
    <row r="15" spans="2:8" ht="13.5" x14ac:dyDescent="0.25">
      <c r="B15" s="285" t="s">
        <v>114</v>
      </c>
      <c r="C15" s="286"/>
      <c r="D15" s="286"/>
      <c r="E15" s="286"/>
      <c r="F15" s="286"/>
      <c r="G15" s="287">
        <f>G12</f>
        <v>1869</v>
      </c>
      <c r="H15" s="288"/>
    </row>
    <row r="16" spans="2:8" ht="13.5" x14ac:dyDescent="0.25">
      <c r="B16" s="285" t="s">
        <v>115</v>
      </c>
      <c r="C16" s="286"/>
      <c r="D16" s="286"/>
      <c r="E16" s="286"/>
      <c r="F16" s="286"/>
      <c r="G16" s="287">
        <v>43</v>
      </c>
      <c r="H16" s="288"/>
    </row>
    <row r="17" spans="2:13" ht="13.5" x14ac:dyDescent="0.25">
      <c r="B17" s="289" t="s">
        <v>116</v>
      </c>
      <c r="C17" s="290"/>
      <c r="D17" s="290"/>
      <c r="E17" s="291"/>
      <c r="F17" s="292"/>
      <c r="G17" s="287">
        <v>0</v>
      </c>
      <c r="H17" s="288"/>
    </row>
    <row r="18" spans="2:13" ht="13.5" x14ac:dyDescent="0.25">
      <c r="B18" s="289" t="s">
        <v>117</v>
      </c>
      <c r="C18" s="290"/>
      <c r="D18" s="290"/>
      <c r="E18" s="291"/>
      <c r="F18" s="293"/>
      <c r="G18" s="287">
        <v>0</v>
      </c>
      <c r="H18" s="288"/>
      <c r="I18" s="294">
        <f>G15/220</f>
        <v>8.495454545454546</v>
      </c>
      <c r="J18" s="294">
        <f>I18*120%</f>
        <v>10.194545454545455</v>
      </c>
      <c r="K18" s="294">
        <f>I18+J18</f>
        <v>18.690000000000001</v>
      </c>
      <c r="L18" s="294">
        <f>J18*150%</f>
        <v>15.291818181818183</v>
      </c>
      <c r="M18" s="294"/>
    </row>
    <row r="19" spans="2:13" ht="14.25" thickBot="1" x14ac:dyDescent="0.3">
      <c r="B19" s="295" t="s">
        <v>118</v>
      </c>
      <c r="C19" s="296"/>
      <c r="D19" s="296"/>
      <c r="E19" s="296"/>
      <c r="F19" s="296"/>
      <c r="G19" s="297">
        <f>SUM(G15:H18)</f>
        <v>1912</v>
      </c>
      <c r="H19" s="298"/>
    </row>
    <row r="20" spans="2:13" ht="14.25" thickBot="1" x14ac:dyDescent="0.3">
      <c r="B20" s="256"/>
      <c r="C20" s="257"/>
      <c r="D20" s="257"/>
      <c r="E20" s="257"/>
      <c r="F20" s="257"/>
      <c r="G20" s="257"/>
      <c r="H20" s="258"/>
    </row>
    <row r="21" spans="2:13" ht="14.25" thickBot="1" x14ac:dyDescent="0.3">
      <c r="B21" s="262" t="s">
        <v>119</v>
      </c>
      <c r="C21" s="263"/>
      <c r="D21" s="263"/>
      <c r="E21" s="263"/>
      <c r="F21" s="263"/>
      <c r="G21" s="263"/>
      <c r="H21" s="264"/>
    </row>
    <row r="22" spans="2:13" ht="13.5" x14ac:dyDescent="0.25">
      <c r="B22" s="299" t="s">
        <v>120</v>
      </c>
      <c r="C22" s="300"/>
      <c r="D22" s="300"/>
      <c r="E22" s="300"/>
      <c r="F22" s="300"/>
      <c r="G22" s="300"/>
      <c r="H22" s="301"/>
    </row>
    <row r="23" spans="2:13" ht="13.5" x14ac:dyDescent="0.25">
      <c r="B23" s="302" t="s">
        <v>7</v>
      </c>
      <c r="C23" s="303"/>
      <c r="D23" s="303"/>
      <c r="E23" s="304">
        <v>0.2</v>
      </c>
      <c r="F23" s="304"/>
      <c r="G23" s="305">
        <f>$G$19*E23</f>
        <v>382.40000000000003</v>
      </c>
      <c r="H23" s="306"/>
    </row>
    <row r="24" spans="2:13" ht="13.5" x14ac:dyDescent="0.25">
      <c r="B24" s="307" t="s">
        <v>8</v>
      </c>
      <c r="C24" s="308"/>
      <c r="D24" s="308"/>
      <c r="E24" s="309">
        <v>0.08</v>
      </c>
      <c r="F24" s="309"/>
      <c r="G24" s="305">
        <f t="shared" ref="G24:G30" si="0">$G$19*E24</f>
        <v>152.96</v>
      </c>
      <c r="H24" s="306"/>
    </row>
    <row r="25" spans="2:13" ht="13.5" x14ac:dyDescent="0.25">
      <c r="B25" s="307" t="s">
        <v>9</v>
      </c>
      <c r="C25" s="308"/>
      <c r="D25" s="308"/>
      <c r="E25" s="309">
        <v>1.4999999999999999E-2</v>
      </c>
      <c r="F25" s="309"/>
      <c r="G25" s="305">
        <f t="shared" si="0"/>
        <v>28.68</v>
      </c>
      <c r="H25" s="306"/>
    </row>
    <row r="26" spans="2:13" ht="13.5" x14ac:dyDescent="0.25">
      <c r="B26" s="307" t="s">
        <v>10</v>
      </c>
      <c r="C26" s="308"/>
      <c r="D26" s="308"/>
      <c r="E26" s="309">
        <v>0.01</v>
      </c>
      <c r="F26" s="309"/>
      <c r="G26" s="305">
        <f t="shared" si="0"/>
        <v>19.12</v>
      </c>
      <c r="H26" s="306"/>
    </row>
    <row r="27" spans="2:13" ht="13.5" x14ac:dyDescent="0.25">
      <c r="B27" s="307" t="s">
        <v>11</v>
      </c>
      <c r="C27" s="308"/>
      <c r="D27" s="308"/>
      <c r="E27" s="309">
        <v>2E-3</v>
      </c>
      <c r="F27" s="309"/>
      <c r="G27" s="305">
        <f t="shared" si="0"/>
        <v>3.8240000000000003</v>
      </c>
      <c r="H27" s="306"/>
    </row>
    <row r="28" spans="2:13" ht="13.5" x14ac:dyDescent="0.25">
      <c r="B28" s="307" t="s">
        <v>12</v>
      </c>
      <c r="C28" s="308"/>
      <c r="D28" s="308"/>
      <c r="E28" s="309">
        <v>6.0000000000000001E-3</v>
      </c>
      <c r="F28" s="309"/>
      <c r="G28" s="305">
        <f t="shared" si="0"/>
        <v>11.472</v>
      </c>
      <c r="H28" s="306"/>
    </row>
    <row r="29" spans="2:13" ht="13.5" x14ac:dyDescent="0.25">
      <c r="B29" s="307" t="s">
        <v>13</v>
      </c>
      <c r="C29" s="308">
        <v>2.5000000000000001E-2</v>
      </c>
      <c r="D29" s="308"/>
      <c r="E29" s="309">
        <v>2.5000000000000001E-2</v>
      </c>
      <c r="F29" s="309"/>
      <c r="G29" s="305">
        <f t="shared" si="0"/>
        <v>47.800000000000004</v>
      </c>
      <c r="H29" s="306"/>
    </row>
    <row r="30" spans="2:13" ht="13.5" x14ac:dyDescent="0.25">
      <c r="B30" s="307" t="s">
        <v>14</v>
      </c>
      <c r="C30" s="308"/>
      <c r="D30" s="308"/>
      <c r="E30" s="310">
        <v>0.03</v>
      </c>
      <c r="F30" s="310"/>
      <c r="G30" s="305">
        <f t="shared" si="0"/>
        <v>57.36</v>
      </c>
      <c r="H30" s="306"/>
    </row>
    <row r="31" spans="2:13" ht="14.25" thickBot="1" x14ac:dyDescent="0.3">
      <c r="B31" s="311" t="s">
        <v>121</v>
      </c>
      <c r="C31" s="312"/>
      <c r="D31" s="312"/>
      <c r="E31" s="313">
        <f>SUM(E23:F30)</f>
        <v>0.3680000000000001</v>
      </c>
      <c r="F31" s="313"/>
      <c r="G31" s="314">
        <f>SUM(G23:H30)</f>
        <v>703.61599999999987</v>
      </c>
      <c r="H31" s="315"/>
    </row>
    <row r="32" spans="2:13" ht="14.25" thickBot="1" x14ac:dyDescent="0.3">
      <c r="B32" s="256"/>
      <c r="C32" s="257"/>
      <c r="D32" s="257"/>
      <c r="E32" s="257"/>
      <c r="F32" s="257"/>
      <c r="G32" s="257"/>
      <c r="H32" s="258"/>
    </row>
    <row r="33" spans="2:8" ht="13.5" x14ac:dyDescent="0.25">
      <c r="B33" s="316" t="s">
        <v>122</v>
      </c>
      <c r="C33" s="317"/>
      <c r="D33" s="317"/>
      <c r="E33" s="317"/>
      <c r="F33" s="317"/>
      <c r="G33" s="317"/>
      <c r="H33" s="318"/>
    </row>
    <row r="34" spans="2:8" ht="13.5" x14ac:dyDescent="0.25">
      <c r="B34" s="307" t="s">
        <v>20</v>
      </c>
      <c r="C34" s="308"/>
      <c r="D34" s="308"/>
      <c r="E34" s="309">
        <f>(1/12)</f>
        <v>8.3333333333333329E-2</v>
      </c>
      <c r="F34" s="309"/>
      <c r="G34" s="305">
        <f t="shared" ref="G34:G41" si="1">$G$19*E34</f>
        <v>159.33333333333331</v>
      </c>
      <c r="H34" s="306"/>
    </row>
    <row r="35" spans="2:8" ht="13.5" x14ac:dyDescent="0.25">
      <c r="B35" s="307" t="s">
        <v>123</v>
      </c>
      <c r="C35" s="308"/>
      <c r="D35" s="308"/>
      <c r="E35" s="309">
        <f>(1+1/3)/12</f>
        <v>0.1111111111111111</v>
      </c>
      <c r="F35" s="309"/>
      <c r="G35" s="305">
        <f t="shared" si="1"/>
        <v>212.44444444444443</v>
      </c>
      <c r="H35" s="306"/>
    </row>
    <row r="36" spans="2:8" ht="13.5" x14ac:dyDescent="0.25">
      <c r="B36" s="307" t="s">
        <v>21</v>
      </c>
      <c r="C36" s="308"/>
      <c r="D36" s="308"/>
      <c r="E36" s="309">
        <f>7/30/12</f>
        <v>1.9444444444444445E-2</v>
      </c>
      <c r="F36" s="309"/>
      <c r="G36" s="305">
        <f t="shared" si="1"/>
        <v>37.177777777777777</v>
      </c>
      <c r="H36" s="306"/>
    </row>
    <row r="37" spans="2:8" ht="13.5" x14ac:dyDescent="0.25">
      <c r="B37" s="307" t="s">
        <v>22</v>
      </c>
      <c r="C37" s="308"/>
      <c r="D37" s="308"/>
      <c r="E37" s="309">
        <v>1.66E-2</v>
      </c>
      <c r="F37" s="309"/>
      <c r="G37" s="305">
        <f t="shared" si="1"/>
        <v>31.7392</v>
      </c>
      <c r="H37" s="306"/>
    </row>
    <row r="38" spans="2:8" ht="13.5" x14ac:dyDescent="0.25">
      <c r="B38" s="307" t="s">
        <v>23</v>
      </c>
      <c r="C38" s="308"/>
      <c r="D38" s="308"/>
      <c r="E38" s="309">
        <f>15/30/12*0.08</f>
        <v>3.3333333333333331E-3</v>
      </c>
      <c r="F38" s="309"/>
      <c r="G38" s="305">
        <f t="shared" si="1"/>
        <v>6.3733333333333331</v>
      </c>
      <c r="H38" s="306"/>
    </row>
    <row r="39" spans="2:8" ht="13.5" x14ac:dyDescent="0.25">
      <c r="B39" s="307" t="s">
        <v>24</v>
      </c>
      <c r="C39" s="308"/>
      <c r="D39" s="308"/>
      <c r="E39" s="309">
        <f>1/30/12</f>
        <v>2.7777777777777779E-3</v>
      </c>
      <c r="F39" s="309"/>
      <c r="G39" s="305">
        <f t="shared" si="1"/>
        <v>5.3111111111111109</v>
      </c>
      <c r="H39" s="306"/>
    </row>
    <row r="40" spans="2:8" ht="13.5" x14ac:dyDescent="0.25">
      <c r="B40" s="307" t="s">
        <v>25</v>
      </c>
      <c r="C40" s="308">
        <v>2.5000000000000001E-2</v>
      </c>
      <c r="D40" s="308"/>
      <c r="E40" s="309">
        <f>0.11111*0.02*0.333</f>
        <v>7.3999260000000007E-4</v>
      </c>
      <c r="F40" s="309"/>
      <c r="G40" s="305">
        <f t="shared" si="1"/>
        <v>1.4148658512000001</v>
      </c>
      <c r="H40" s="306"/>
    </row>
    <row r="41" spans="2:8" ht="12" customHeight="1" x14ac:dyDescent="0.25">
      <c r="B41" s="307" t="s">
        <v>26</v>
      </c>
      <c r="C41" s="308"/>
      <c r="D41" s="308"/>
      <c r="E41" s="309">
        <f>5/30/12*0.015</f>
        <v>2.0833333333333332E-4</v>
      </c>
      <c r="F41" s="309"/>
      <c r="G41" s="305">
        <f t="shared" si="1"/>
        <v>0.39833333333333332</v>
      </c>
      <c r="H41" s="306"/>
    </row>
    <row r="42" spans="2:8" ht="14.25" thickBot="1" x14ac:dyDescent="0.3">
      <c r="B42" s="311" t="s">
        <v>124</v>
      </c>
      <c r="C42" s="312"/>
      <c r="D42" s="312"/>
      <c r="E42" s="313">
        <f>SUM(E34:F41)</f>
        <v>0.23754832593333328</v>
      </c>
      <c r="F42" s="313"/>
      <c r="G42" s="314">
        <f>SUM(G34:H41)</f>
        <v>454.19239918453326</v>
      </c>
      <c r="H42" s="315"/>
    </row>
    <row r="43" spans="2:8" ht="14.25" thickBot="1" x14ac:dyDescent="0.3">
      <c r="B43" s="256"/>
      <c r="C43" s="257"/>
      <c r="D43" s="257"/>
      <c r="E43" s="257"/>
      <c r="F43" s="257"/>
      <c r="G43" s="257"/>
      <c r="H43" s="258"/>
    </row>
    <row r="44" spans="2:8" ht="13.5" x14ac:dyDescent="0.25">
      <c r="B44" s="316" t="s">
        <v>125</v>
      </c>
      <c r="C44" s="317"/>
      <c r="D44" s="317"/>
      <c r="E44" s="317"/>
      <c r="F44" s="317"/>
      <c r="G44" s="317"/>
      <c r="H44" s="318"/>
    </row>
    <row r="45" spans="2:8" ht="13.5" x14ac:dyDescent="0.25">
      <c r="B45" s="307" t="s">
        <v>29</v>
      </c>
      <c r="C45" s="308"/>
      <c r="D45" s="308"/>
      <c r="E45" s="310">
        <v>4.1700000000000001E-3</v>
      </c>
      <c r="F45" s="310"/>
      <c r="G45" s="305">
        <f>$G$19*E45</f>
        <v>7.9730400000000001</v>
      </c>
      <c r="H45" s="306"/>
    </row>
    <row r="46" spans="2:8" ht="13.5" x14ac:dyDescent="0.25">
      <c r="B46" s="307" t="s">
        <v>30</v>
      </c>
      <c r="C46" s="308"/>
      <c r="D46" s="308"/>
      <c r="E46" s="310">
        <v>1.67E-3</v>
      </c>
      <c r="F46" s="310"/>
      <c r="G46" s="305">
        <f>$G$19*E46</f>
        <v>3.1930399999999999</v>
      </c>
      <c r="H46" s="306"/>
    </row>
    <row r="47" spans="2:8" ht="26.25" customHeight="1" x14ac:dyDescent="0.25">
      <c r="B47" s="319" t="s">
        <v>31</v>
      </c>
      <c r="C47" s="320"/>
      <c r="D47" s="321"/>
      <c r="E47" s="310">
        <v>3.2000000000000001E-2</v>
      </c>
      <c r="F47" s="310"/>
      <c r="G47" s="305">
        <f>$G$19*E47</f>
        <v>61.184000000000005</v>
      </c>
      <c r="H47" s="306"/>
    </row>
    <row r="48" spans="2:8" ht="25.5" customHeight="1" x14ac:dyDescent="0.25">
      <c r="B48" s="322" t="s">
        <v>32</v>
      </c>
      <c r="C48" s="323"/>
      <c r="D48" s="323"/>
      <c r="E48" s="310">
        <v>8.0000000000000002E-3</v>
      </c>
      <c r="F48" s="310"/>
      <c r="G48" s="305">
        <f>$G$19*E48</f>
        <v>15.296000000000001</v>
      </c>
      <c r="H48" s="306"/>
    </row>
    <row r="49" spans="2:8" ht="14.25" thickBot="1" x14ac:dyDescent="0.3">
      <c r="B49" s="311" t="s">
        <v>126</v>
      </c>
      <c r="C49" s="312"/>
      <c r="D49" s="312"/>
      <c r="E49" s="313">
        <f>SUM(E45:F48)</f>
        <v>4.5839999999999999E-2</v>
      </c>
      <c r="F49" s="313"/>
      <c r="G49" s="314">
        <f>SUM(G45:H48)</f>
        <v>87.646080000000012</v>
      </c>
      <c r="H49" s="315"/>
    </row>
    <row r="50" spans="2:8" ht="14.25" thickBot="1" x14ac:dyDescent="0.3">
      <c r="B50" s="256"/>
      <c r="C50" s="257"/>
      <c r="D50" s="257"/>
      <c r="E50" s="257"/>
      <c r="F50" s="257"/>
      <c r="G50" s="257"/>
      <c r="H50" s="258"/>
    </row>
    <row r="51" spans="2:8" ht="14.25" thickBot="1" x14ac:dyDescent="0.3">
      <c r="B51" s="324" t="s">
        <v>127</v>
      </c>
      <c r="C51" s="325"/>
      <c r="D51" s="325"/>
      <c r="E51" s="325"/>
      <c r="F51" s="325"/>
      <c r="G51" s="325"/>
      <c r="H51" s="326"/>
    </row>
    <row r="52" spans="2:8" ht="13.5" x14ac:dyDescent="0.25">
      <c r="B52" s="327" t="s">
        <v>35</v>
      </c>
      <c r="C52" s="328"/>
      <c r="D52" s="328"/>
      <c r="E52" s="329">
        <f>E31*E42</f>
        <v>8.7417783943466665E-2</v>
      </c>
      <c r="F52" s="330"/>
      <c r="G52" s="331">
        <f>$G$19*E52</f>
        <v>167.14280289990828</v>
      </c>
      <c r="H52" s="332"/>
    </row>
    <row r="53" spans="2:8" ht="14.25" thickBot="1" x14ac:dyDescent="0.3">
      <c r="B53" s="311" t="s">
        <v>128</v>
      </c>
      <c r="C53" s="312"/>
      <c r="D53" s="312"/>
      <c r="E53" s="313">
        <f>SUM(E52:F52)</f>
        <v>8.7417783943466665E-2</v>
      </c>
      <c r="F53" s="313"/>
      <c r="G53" s="314">
        <f>SUM(G52:H52)</f>
        <v>167.14280289990828</v>
      </c>
      <c r="H53" s="315"/>
    </row>
    <row r="54" spans="2:8" ht="14.25" thickBot="1" x14ac:dyDescent="0.3">
      <c r="B54" s="256"/>
      <c r="C54" s="257"/>
      <c r="D54" s="257"/>
      <c r="E54" s="257"/>
      <c r="F54" s="257"/>
      <c r="G54" s="257"/>
      <c r="H54" s="258"/>
    </row>
    <row r="55" spans="2:8" ht="13.5" x14ac:dyDescent="0.25">
      <c r="B55" s="316" t="s">
        <v>129</v>
      </c>
      <c r="C55" s="317"/>
      <c r="D55" s="317"/>
      <c r="E55" s="317"/>
      <c r="F55" s="317"/>
      <c r="G55" s="317"/>
      <c r="H55" s="318"/>
    </row>
    <row r="56" spans="2:8" ht="25.5" customHeight="1" x14ac:dyDescent="0.25">
      <c r="B56" s="307" t="s">
        <v>38</v>
      </c>
      <c r="C56" s="308"/>
      <c r="D56" s="308"/>
      <c r="E56" s="310">
        <v>3.3E-4</v>
      </c>
      <c r="F56" s="310"/>
      <c r="G56" s="305">
        <f>$G$19*E56</f>
        <v>0.63095999999999997</v>
      </c>
      <c r="H56" s="306"/>
    </row>
    <row r="57" spans="2:8" ht="39" customHeight="1" thickBot="1" x14ac:dyDescent="0.3">
      <c r="B57" s="333" t="s">
        <v>39</v>
      </c>
      <c r="C57" s="334"/>
      <c r="D57" s="334"/>
      <c r="E57" s="335">
        <v>2.5999999999999998E-4</v>
      </c>
      <c r="F57" s="335"/>
      <c r="G57" s="336">
        <f>$G$19*E57</f>
        <v>0.49711999999999995</v>
      </c>
      <c r="H57" s="337"/>
    </row>
    <row r="58" spans="2:8" ht="14.25" thickBot="1" x14ac:dyDescent="0.3">
      <c r="B58" s="338" t="s">
        <v>130</v>
      </c>
      <c r="C58" s="339"/>
      <c r="D58" s="339"/>
      <c r="E58" s="340">
        <f>SUM(E56:F57)</f>
        <v>5.9000000000000003E-4</v>
      </c>
      <c r="F58" s="340"/>
      <c r="G58" s="341">
        <f>SUM(G56:H57)</f>
        <v>1.12808</v>
      </c>
      <c r="H58" s="342"/>
    </row>
    <row r="59" spans="2:8" ht="14.25" thickBot="1" x14ac:dyDescent="0.3">
      <c r="B59" s="256"/>
      <c r="C59" s="257"/>
      <c r="D59" s="257"/>
      <c r="E59" s="257"/>
      <c r="F59" s="257"/>
      <c r="G59" s="257"/>
      <c r="H59" s="258"/>
    </row>
    <row r="60" spans="2:8" ht="14.25" thickBot="1" x14ac:dyDescent="0.3">
      <c r="B60" s="324" t="s">
        <v>131</v>
      </c>
      <c r="C60" s="325"/>
      <c r="D60" s="325"/>
      <c r="E60" s="325"/>
      <c r="F60" s="325"/>
      <c r="G60" s="325"/>
      <c r="H60" s="326"/>
    </row>
    <row r="61" spans="2:8" ht="36" customHeight="1" x14ac:dyDescent="0.25">
      <c r="B61" s="327" t="s">
        <v>42</v>
      </c>
      <c r="C61" s="328"/>
      <c r="D61" s="328"/>
      <c r="E61" s="343">
        <v>2.7299999999999998E-3</v>
      </c>
      <c r="F61" s="343"/>
      <c r="G61" s="331">
        <f>$G$19*E61</f>
        <v>5.21976</v>
      </c>
      <c r="H61" s="332"/>
    </row>
    <row r="62" spans="2:8" ht="14.25" thickBot="1" x14ac:dyDescent="0.3">
      <c r="B62" s="311" t="s">
        <v>132</v>
      </c>
      <c r="C62" s="312"/>
      <c r="D62" s="312"/>
      <c r="E62" s="344">
        <f>SUM(E61:F61)</f>
        <v>2.7299999999999998E-3</v>
      </c>
      <c r="F62" s="344"/>
      <c r="G62" s="314">
        <f>SUM(G61:H61)</f>
        <v>5.21976</v>
      </c>
      <c r="H62" s="315"/>
    </row>
    <row r="63" spans="2:8" ht="13.5" x14ac:dyDescent="0.25">
      <c r="B63" s="256"/>
      <c r="C63" s="257"/>
      <c r="D63" s="257"/>
      <c r="E63" s="257"/>
      <c r="F63" s="257"/>
      <c r="G63" s="257"/>
      <c r="H63" s="258"/>
    </row>
    <row r="64" spans="2:8" ht="13.5" x14ac:dyDescent="0.25">
      <c r="B64" s="345" t="s">
        <v>44</v>
      </c>
      <c r="C64" s="346"/>
      <c r="D64" s="346"/>
      <c r="E64" s="347">
        <f>E31+E42+E49+E53+E58+E62</f>
        <v>0.74212610987680006</v>
      </c>
      <c r="F64" s="347"/>
      <c r="G64" s="348">
        <f>G31+G42+G49+G53+G58+G62</f>
        <v>1418.9451220844412</v>
      </c>
      <c r="H64" s="349"/>
    </row>
    <row r="65" spans="2:9" ht="13.5" x14ac:dyDescent="0.25">
      <c r="B65" s="350"/>
      <c r="C65" s="351"/>
      <c r="D65" s="351"/>
      <c r="E65" s="351"/>
      <c r="F65" s="351"/>
      <c r="G65" s="351"/>
      <c r="H65" s="352"/>
      <c r="I65" s="353"/>
    </row>
    <row r="66" spans="2:9" ht="13.5" x14ac:dyDescent="0.25">
      <c r="B66" s="354"/>
      <c r="C66" s="355"/>
      <c r="D66" s="355"/>
      <c r="E66" s="355"/>
      <c r="F66" s="355"/>
      <c r="G66" s="355"/>
      <c r="H66" s="356"/>
    </row>
    <row r="67" spans="2:9" ht="12" customHeight="1" thickBot="1" x14ac:dyDescent="0.3">
      <c r="B67" s="357" t="s">
        <v>133</v>
      </c>
      <c r="C67" s="358"/>
      <c r="D67" s="358"/>
      <c r="E67" s="358"/>
      <c r="F67" s="359"/>
      <c r="G67" s="314">
        <f>G19+G64</f>
        <v>3330.9451220844412</v>
      </c>
      <c r="H67" s="315"/>
    </row>
    <row r="68" spans="2:9" ht="14.25" thickBot="1" x14ac:dyDescent="0.3">
      <c r="B68" s="256"/>
      <c r="C68" s="257"/>
      <c r="D68" s="257"/>
      <c r="E68" s="257"/>
      <c r="F68" s="257"/>
      <c r="G68" s="257"/>
      <c r="H68" s="258"/>
    </row>
    <row r="69" spans="2:9" ht="13.5" x14ac:dyDescent="0.25">
      <c r="B69" s="360" t="s">
        <v>134</v>
      </c>
      <c r="C69" s="361"/>
      <c r="D69" s="361"/>
      <c r="E69" s="361"/>
      <c r="F69" s="361"/>
      <c r="G69" s="361"/>
      <c r="H69" s="362"/>
    </row>
    <row r="70" spans="2:9" ht="13.5" x14ac:dyDescent="0.25">
      <c r="B70" s="285" t="s">
        <v>135</v>
      </c>
      <c r="C70" s="286"/>
      <c r="D70" s="286"/>
      <c r="E70" s="286"/>
      <c r="F70" s="286"/>
      <c r="G70" s="363">
        <v>65.5</v>
      </c>
      <c r="H70" s="364"/>
    </row>
    <row r="71" spans="2:9" ht="13.5" x14ac:dyDescent="0.25">
      <c r="B71" s="307" t="s">
        <v>136</v>
      </c>
      <c r="C71" s="308"/>
      <c r="D71" s="308"/>
      <c r="E71" s="308"/>
      <c r="F71" s="308"/>
      <c r="G71" s="363">
        <f>30*11</f>
        <v>330</v>
      </c>
      <c r="H71" s="364"/>
    </row>
    <row r="72" spans="2:9" ht="13.5" x14ac:dyDescent="0.25">
      <c r="B72" s="365" t="s">
        <v>137</v>
      </c>
      <c r="C72" s="366"/>
      <c r="D72" s="366"/>
      <c r="E72" s="366"/>
      <c r="F72" s="367"/>
      <c r="G72" s="363">
        <v>0</v>
      </c>
      <c r="H72" s="368"/>
    </row>
    <row r="73" spans="2:9" ht="13.5" x14ac:dyDescent="0.25">
      <c r="B73" s="285" t="s">
        <v>138</v>
      </c>
      <c r="C73" s="286"/>
      <c r="D73" s="286"/>
      <c r="E73" s="286"/>
      <c r="F73" s="286"/>
      <c r="G73" s="363">
        <f>(15*2*5.95)</f>
        <v>178.5</v>
      </c>
      <c r="H73" s="364"/>
      <c r="I73" s="369"/>
    </row>
    <row r="74" spans="2:9" ht="13.5" x14ac:dyDescent="0.25">
      <c r="B74" s="285" t="s">
        <v>139</v>
      </c>
      <c r="C74" s="286"/>
      <c r="D74" s="286"/>
      <c r="E74" s="286"/>
      <c r="F74" s="286"/>
      <c r="G74" s="363">
        <f>(G15*0.06)*-1</f>
        <v>-112.14</v>
      </c>
      <c r="H74" s="364"/>
    </row>
    <row r="75" spans="2:9" ht="13.5" x14ac:dyDescent="0.25">
      <c r="B75" s="365" t="s">
        <v>140</v>
      </c>
      <c r="C75" s="366"/>
      <c r="D75" s="366"/>
      <c r="E75" s="366"/>
      <c r="F75" s="367"/>
      <c r="G75" s="363">
        <v>94.5</v>
      </c>
      <c r="H75" s="368"/>
    </row>
    <row r="76" spans="2:9" ht="13.5" x14ac:dyDescent="0.25">
      <c r="B76" s="285" t="s">
        <v>141</v>
      </c>
      <c r="C76" s="286"/>
      <c r="D76" s="286"/>
      <c r="E76" s="286"/>
      <c r="F76" s="286"/>
      <c r="G76" s="363">
        <v>31</v>
      </c>
      <c r="H76" s="364"/>
    </row>
    <row r="77" spans="2:9" ht="14.25" thickBot="1" x14ac:dyDescent="0.3">
      <c r="B77" s="370" t="s">
        <v>142</v>
      </c>
      <c r="C77" s="371"/>
      <c r="D77" s="371"/>
      <c r="E77" s="371"/>
      <c r="F77" s="371"/>
      <c r="G77" s="372">
        <f>SUM(G70:H76)</f>
        <v>587.36</v>
      </c>
      <c r="H77" s="373"/>
    </row>
    <row r="78" spans="2:9" ht="13.5" x14ac:dyDescent="0.25">
      <c r="B78" s="256"/>
      <c r="C78" s="257"/>
      <c r="D78" s="257"/>
      <c r="E78" s="257"/>
      <c r="F78" s="257"/>
      <c r="G78" s="257"/>
      <c r="H78" s="258"/>
    </row>
    <row r="79" spans="2:9" ht="13.5" x14ac:dyDescent="0.25">
      <c r="B79" s="374" t="s">
        <v>143</v>
      </c>
      <c r="C79" s="375"/>
      <c r="D79" s="375"/>
      <c r="E79" s="375"/>
      <c r="F79" s="375"/>
      <c r="G79" s="348">
        <f>G67+G77</f>
        <v>3918.3051220844413</v>
      </c>
      <c r="H79" s="376"/>
    </row>
    <row r="80" spans="2:9" ht="14.25" thickBot="1" x14ac:dyDescent="0.3">
      <c r="B80" s="377"/>
      <c r="C80" s="378"/>
      <c r="D80" s="378"/>
      <c r="E80" s="378"/>
      <c r="F80" s="378"/>
      <c r="G80" s="378"/>
      <c r="H80" s="379"/>
    </row>
    <row r="81" spans="2:10" ht="12" customHeight="1" x14ac:dyDescent="0.25">
      <c r="B81" s="316" t="s">
        <v>144</v>
      </c>
      <c r="C81" s="317"/>
      <c r="D81" s="317"/>
      <c r="E81" s="317"/>
      <c r="F81" s="317"/>
      <c r="G81" s="317"/>
      <c r="H81" s="318"/>
    </row>
    <row r="82" spans="2:10" ht="12" customHeight="1" x14ac:dyDescent="0.25">
      <c r="B82" s="307" t="s">
        <v>145</v>
      </c>
      <c r="C82" s="308"/>
      <c r="D82" s="308"/>
      <c r="E82" s="380">
        <v>0.03</v>
      </c>
      <c r="F82" s="380"/>
      <c r="G82" s="363">
        <f>E82*G79</f>
        <v>117.54915366253323</v>
      </c>
      <c r="H82" s="364"/>
    </row>
    <row r="83" spans="2:10" ht="13.5" x14ac:dyDescent="0.25">
      <c r="B83" s="307" t="s">
        <v>146</v>
      </c>
      <c r="C83" s="308"/>
      <c r="D83" s="308"/>
      <c r="E83" s="380">
        <v>4.07E-2</v>
      </c>
      <c r="F83" s="380"/>
      <c r="G83" s="363">
        <f>(G82+G79)*E83</f>
        <v>164.25926902290186</v>
      </c>
      <c r="H83" s="364"/>
    </row>
    <row r="84" spans="2:10" ht="12" customHeight="1" x14ac:dyDescent="0.25">
      <c r="B84" s="381" t="s">
        <v>147</v>
      </c>
      <c r="C84" s="382"/>
      <c r="D84" s="383"/>
      <c r="E84" s="384">
        <f>E83+E82</f>
        <v>7.0699999999999999E-2</v>
      </c>
      <c r="F84" s="385"/>
      <c r="G84" s="386">
        <f>SUM(G82:H83)</f>
        <v>281.80842268543506</v>
      </c>
      <c r="H84" s="387"/>
    </row>
    <row r="85" spans="2:10" ht="13.5" x14ac:dyDescent="0.25">
      <c r="B85" s="307" t="s">
        <v>148</v>
      </c>
      <c r="C85" s="308"/>
      <c r="D85" s="308"/>
      <c r="E85" s="380">
        <v>0.02</v>
      </c>
      <c r="F85" s="380"/>
      <c r="G85" s="363">
        <f>((($G$79+$G$84)/(1-($E$88)))*E85)</f>
        <v>89.032613561629589</v>
      </c>
      <c r="H85" s="364"/>
      <c r="I85" s="369"/>
    </row>
    <row r="86" spans="2:10" ht="13.5" x14ac:dyDescent="0.25">
      <c r="B86" s="307" t="s">
        <v>57</v>
      </c>
      <c r="C86" s="308"/>
      <c r="D86" s="308"/>
      <c r="E86" s="380">
        <v>0.03</v>
      </c>
      <c r="F86" s="380"/>
      <c r="G86" s="363">
        <f>((($G$79+$G$84)/(1-($E$88)))*E86)</f>
        <v>133.54892034244438</v>
      </c>
      <c r="H86" s="364"/>
    </row>
    <row r="87" spans="2:10" ht="13.5" x14ac:dyDescent="0.25">
      <c r="B87" s="307" t="s">
        <v>56</v>
      </c>
      <c r="C87" s="308"/>
      <c r="D87" s="308"/>
      <c r="E87" s="380">
        <v>6.4999999999999997E-3</v>
      </c>
      <c r="F87" s="380"/>
      <c r="G87" s="363">
        <f>((($G$79+$G$84)/(1-($E$88)))*E87)</f>
        <v>28.935599407529615</v>
      </c>
      <c r="H87" s="364"/>
      <c r="I87" s="369"/>
      <c r="J87" s="388"/>
    </row>
    <row r="88" spans="2:10" ht="12" customHeight="1" x14ac:dyDescent="0.25">
      <c r="B88" s="389" t="s">
        <v>149</v>
      </c>
      <c r="C88" s="390"/>
      <c r="D88" s="390"/>
      <c r="E88" s="391">
        <f>SUM(E85:F87)</f>
        <v>5.6500000000000002E-2</v>
      </c>
      <c r="F88" s="391"/>
      <c r="G88" s="392">
        <f>SUM(G85:H87)</f>
        <v>251.5171333116036</v>
      </c>
      <c r="H88" s="393"/>
      <c r="I88" s="388"/>
    </row>
    <row r="89" spans="2:10" ht="14.25" thickBot="1" x14ac:dyDescent="0.3">
      <c r="B89" s="394" t="s">
        <v>150</v>
      </c>
      <c r="C89" s="395"/>
      <c r="D89" s="395"/>
      <c r="E89" s="396">
        <f>((1+E82)*(1+E83)/(1-E88)-1)</f>
        <v>0.13611128775834658</v>
      </c>
      <c r="F89" s="396"/>
      <c r="G89" s="314">
        <f>G84+G85+G86+G87</f>
        <v>533.32555599703869</v>
      </c>
      <c r="H89" s="373"/>
    </row>
    <row r="90" spans="2:10" ht="13.5" x14ac:dyDescent="0.25">
      <c r="B90" s="397"/>
      <c r="C90" s="398"/>
      <c r="D90" s="398"/>
      <c r="E90" s="399"/>
      <c r="F90" s="399"/>
      <c r="G90" s="400"/>
      <c r="H90" s="401"/>
    </row>
    <row r="91" spans="2:10" ht="14.25" thickBot="1" x14ac:dyDescent="0.3">
      <c r="B91" s="397"/>
      <c r="C91" s="398"/>
      <c r="D91" s="398"/>
      <c r="E91" s="399"/>
      <c r="F91" s="399"/>
      <c r="G91" s="400"/>
      <c r="H91" s="401"/>
    </row>
    <row r="92" spans="2:10" ht="12" customHeight="1" x14ac:dyDescent="0.25">
      <c r="B92" s="316" t="s">
        <v>151</v>
      </c>
      <c r="C92" s="317"/>
      <c r="D92" s="317"/>
      <c r="E92" s="317"/>
      <c r="F92" s="317"/>
      <c r="G92" s="402">
        <f>G79+G89</f>
        <v>4451.6306780814803</v>
      </c>
      <c r="H92" s="403"/>
      <c r="I92" s="388"/>
    </row>
    <row r="93" spans="2:10" ht="13.5" x14ac:dyDescent="0.25">
      <c r="B93" s="404"/>
      <c r="C93" s="405"/>
      <c r="D93" s="405"/>
      <c r="E93" s="405"/>
      <c r="F93" s="405" t="s">
        <v>152</v>
      </c>
      <c r="G93" s="405"/>
      <c r="H93" s="406"/>
    </row>
    <row r="94" spans="2:10" ht="12" customHeight="1" thickBot="1" x14ac:dyDescent="0.3">
      <c r="B94" s="407" t="s">
        <v>153</v>
      </c>
      <c r="C94" s="408"/>
      <c r="D94" s="408"/>
      <c r="E94" s="408"/>
      <c r="F94" s="409"/>
      <c r="G94" s="314">
        <f>(G92*12)</f>
        <v>53419.568136977759</v>
      </c>
      <c r="H94" s="373"/>
    </row>
    <row r="97" spans="2:4" x14ac:dyDescent="0.2">
      <c r="B97" s="388"/>
      <c r="C97" s="388"/>
      <c r="D97" s="388"/>
    </row>
    <row r="98" spans="2:4" x14ac:dyDescent="0.2">
      <c r="B98" s="388"/>
    </row>
  </sheetData>
  <sheetProtection selectLockedCells="1" selectUnlockedCells="1"/>
  <mergeCells count="187">
    <mergeCell ref="E85:F85"/>
    <mergeCell ref="G85:H85"/>
    <mergeCell ref="B86:D86"/>
    <mergeCell ref="E86:F86"/>
    <mergeCell ref="G86:H86"/>
    <mergeCell ref="B87:D87"/>
    <mergeCell ref="E87:F87"/>
    <mergeCell ref="G87:H87"/>
    <mergeCell ref="B88:D88"/>
    <mergeCell ref="E88:F88"/>
    <mergeCell ref="G88:H88"/>
    <mergeCell ref="B75:F75"/>
    <mergeCell ref="G75:H75"/>
    <mergeCell ref="B76:F76"/>
    <mergeCell ref="G76:H76"/>
    <mergeCell ref="B77:F77"/>
    <mergeCell ref="G77:H77"/>
    <mergeCell ref="B78:H78"/>
    <mergeCell ref="B79:F79"/>
    <mergeCell ref="G79:H79"/>
    <mergeCell ref="E57:F57"/>
    <mergeCell ref="G57:H57"/>
    <mergeCell ref="E58:F58"/>
    <mergeCell ref="G58:H58"/>
    <mergeCell ref="B59:H59"/>
    <mergeCell ref="B60:H60"/>
    <mergeCell ref="E61:F61"/>
    <mergeCell ref="G61:H61"/>
    <mergeCell ref="E62:F62"/>
    <mergeCell ref="G62:H62"/>
    <mergeCell ref="G39:H39"/>
    <mergeCell ref="B40:D40"/>
    <mergeCell ref="E40:F40"/>
    <mergeCell ref="G40:H40"/>
    <mergeCell ref="B41:D41"/>
    <mergeCell ref="E41:F41"/>
    <mergeCell ref="G41:H41"/>
    <mergeCell ref="B42:D42"/>
    <mergeCell ref="E42:F42"/>
    <mergeCell ref="G42:H42"/>
    <mergeCell ref="B26:D26"/>
    <mergeCell ref="E26:F26"/>
    <mergeCell ref="G26:H26"/>
    <mergeCell ref="B27:D27"/>
    <mergeCell ref="E27:F27"/>
    <mergeCell ref="G27:H27"/>
    <mergeCell ref="B28:D28"/>
    <mergeCell ref="E28:F28"/>
    <mergeCell ref="G28:H28"/>
    <mergeCell ref="B1:H1"/>
    <mergeCell ref="B2:H3"/>
    <mergeCell ref="B4:H5"/>
    <mergeCell ref="B6:H6"/>
    <mergeCell ref="B7:H7"/>
    <mergeCell ref="B8:H8"/>
    <mergeCell ref="B9:D9"/>
    <mergeCell ref="E9:F9"/>
    <mergeCell ref="G9:H9"/>
    <mergeCell ref="B89:D89"/>
    <mergeCell ref="E89:F89"/>
    <mergeCell ref="G89:H89"/>
    <mergeCell ref="B92:F92"/>
    <mergeCell ref="G92:H92"/>
    <mergeCell ref="B94:F94"/>
    <mergeCell ref="G94:H94"/>
    <mergeCell ref="B80:H80"/>
    <mergeCell ref="B81:H81"/>
    <mergeCell ref="B82:D82"/>
    <mergeCell ref="E82:F82"/>
    <mergeCell ref="G82:H82"/>
    <mergeCell ref="B83:D83"/>
    <mergeCell ref="E83:F83"/>
    <mergeCell ref="G83:H83"/>
    <mergeCell ref="B84:D84"/>
    <mergeCell ref="E84:F84"/>
    <mergeCell ref="G84:H84"/>
    <mergeCell ref="B85:D85"/>
    <mergeCell ref="B69:H69"/>
    <mergeCell ref="B70:F70"/>
    <mergeCell ref="G70:H70"/>
    <mergeCell ref="B71:F71"/>
    <mergeCell ref="G71:H71"/>
    <mergeCell ref="B72:F72"/>
    <mergeCell ref="G72:H72"/>
    <mergeCell ref="B73:F73"/>
    <mergeCell ref="G73:H73"/>
    <mergeCell ref="B74:F74"/>
    <mergeCell ref="G74:H74"/>
    <mergeCell ref="B67:F67"/>
    <mergeCell ref="G67:H67"/>
    <mergeCell ref="B68:H68"/>
    <mergeCell ref="B64:D64"/>
    <mergeCell ref="B62:D62"/>
    <mergeCell ref="B63:H63"/>
    <mergeCell ref="E64:F64"/>
    <mergeCell ref="G64:H64"/>
    <mergeCell ref="B61:D61"/>
    <mergeCell ref="B58:D58"/>
    <mergeCell ref="B56:D56"/>
    <mergeCell ref="B57:D57"/>
    <mergeCell ref="B52:D52"/>
    <mergeCell ref="E52:F52"/>
    <mergeCell ref="G52:H52"/>
    <mergeCell ref="B53:D53"/>
    <mergeCell ref="E53:F53"/>
    <mergeCell ref="G53:H53"/>
    <mergeCell ref="B54:H54"/>
    <mergeCell ref="B55:H55"/>
    <mergeCell ref="E56:F56"/>
    <mergeCell ref="G56:H56"/>
    <mergeCell ref="B47:D47"/>
    <mergeCell ref="E47:F47"/>
    <mergeCell ref="G47:H47"/>
    <mergeCell ref="B48:D48"/>
    <mergeCell ref="E48:F48"/>
    <mergeCell ref="G48:H48"/>
    <mergeCell ref="B49:D49"/>
    <mergeCell ref="E49:F49"/>
    <mergeCell ref="G49:H49"/>
    <mergeCell ref="B50:H50"/>
    <mergeCell ref="B51:H51"/>
    <mergeCell ref="B43:H43"/>
    <mergeCell ref="B44:H44"/>
    <mergeCell ref="B45:D45"/>
    <mergeCell ref="E45:F45"/>
    <mergeCell ref="G45:H45"/>
    <mergeCell ref="B46:D46"/>
    <mergeCell ref="E46:F46"/>
    <mergeCell ref="G46:H46"/>
    <mergeCell ref="B36:D36"/>
    <mergeCell ref="E36:F36"/>
    <mergeCell ref="G36:H36"/>
    <mergeCell ref="B37:D37"/>
    <mergeCell ref="E37:F37"/>
    <mergeCell ref="G37:H37"/>
    <mergeCell ref="B38:D38"/>
    <mergeCell ref="E38:F38"/>
    <mergeCell ref="G38:H38"/>
    <mergeCell ref="B39:D39"/>
    <mergeCell ref="E39:F39"/>
    <mergeCell ref="B32:H32"/>
    <mergeCell ref="B33:H33"/>
    <mergeCell ref="B34:D34"/>
    <mergeCell ref="E34:F34"/>
    <mergeCell ref="G34:H34"/>
    <mergeCell ref="B35:D35"/>
    <mergeCell ref="E35:F35"/>
    <mergeCell ref="G35:H35"/>
    <mergeCell ref="B29:D29"/>
    <mergeCell ref="E29:F29"/>
    <mergeCell ref="G29:H29"/>
    <mergeCell ref="B30:D30"/>
    <mergeCell ref="E30:F30"/>
    <mergeCell ref="G30:H30"/>
    <mergeCell ref="B31:D31"/>
    <mergeCell ref="E31:F31"/>
    <mergeCell ref="G31:H31"/>
    <mergeCell ref="B22:H22"/>
    <mergeCell ref="B23:D23"/>
    <mergeCell ref="E23:F23"/>
    <mergeCell ref="G23:H23"/>
    <mergeCell ref="B24:D24"/>
    <mergeCell ref="E24:F24"/>
    <mergeCell ref="G24:H24"/>
    <mergeCell ref="B25:D25"/>
    <mergeCell ref="E25:F25"/>
    <mergeCell ref="G25:H25"/>
    <mergeCell ref="B18:E18"/>
    <mergeCell ref="G18:H18"/>
    <mergeCell ref="B19:F19"/>
    <mergeCell ref="G19:H19"/>
    <mergeCell ref="B20:H20"/>
    <mergeCell ref="B21:H21"/>
    <mergeCell ref="B17:E17"/>
    <mergeCell ref="B13:H13"/>
    <mergeCell ref="B14:H14"/>
    <mergeCell ref="B15:F15"/>
    <mergeCell ref="G15:H15"/>
    <mergeCell ref="B16:F16"/>
    <mergeCell ref="G16:H16"/>
    <mergeCell ref="G17:H17"/>
    <mergeCell ref="B10:D10"/>
    <mergeCell ref="E10:F10"/>
    <mergeCell ref="G10:H10"/>
    <mergeCell ref="B11:H11"/>
    <mergeCell ref="B12:F12"/>
    <mergeCell ref="G12:H12"/>
  </mergeCells>
  <pageMargins left="0.39374999999999999" right="0.39374999999999999" top="0.19652777777777777" bottom="0.19652777777777777" header="0.51180555555555551" footer="0.51180555555555551"/>
  <pageSetup paperSize="9" scale="75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ASG-COPEIRAGEM-D-40H I 40%</vt:lpstr>
      <vt:lpstr>PORTEIRO-VIGIA-N-44H 12X36</vt:lpstr>
      <vt:lpstr>PORTEIRO-VIGIA-D-SDF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Gislaine Silvestre Mengarda</dc:creator>
  <cp:lastModifiedBy>Mauro Henrique Castro Ignacio</cp:lastModifiedBy>
  <cp:lastPrinted>2024-07-05T20:42:36Z</cp:lastPrinted>
  <dcterms:created xsi:type="dcterms:W3CDTF">2024-03-11T16:57:48Z</dcterms:created>
  <dcterms:modified xsi:type="dcterms:W3CDTF">2026-04-30T13:39:26Z</dcterms:modified>
</cp:coreProperties>
</file>