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EstaPasta_de_trabalho"/>
  <mc:AlternateContent xmlns:mc="http://schemas.openxmlformats.org/markup-compatibility/2006">
    <mc:Choice Requires="x15">
      <x15ac:absPath xmlns:x15ac="http://schemas.microsoft.com/office/spreadsheetml/2010/11/ac" url="X:\EngTop\2026\9. LINDÓIA DO SUL\1. RUA COBERTA\2. ORCAMENTO\"/>
    </mc:Choice>
  </mc:AlternateContent>
  <xr:revisionPtr revIDLastSave="0" documentId="13_ncr:1_{C0755705-BA97-44A8-AF74-4E108A7E8243}" xr6:coauthVersionLast="47" xr6:coauthVersionMax="47" xr10:uidLastSave="{00000000-0000-0000-0000-000000000000}"/>
  <workbookProtection workbookAlgorithmName="SHA-512" workbookHashValue="io7HML6vjI75PvdpYhL+zC83xd6DVSkehqvG0UJh07511x1OMeJhFkJgAW5GcTOz9+Bpd3ffNhE7yQwAkOC+CQ==" workbookSaltValue="cnsnTCnSiZXBYS/K927imA==" workbookSpinCount="100000" lockStructure="1"/>
  <bookViews>
    <workbookView xWindow="-120" yWindow="-120" windowWidth="29040" windowHeight="15720" tabRatio="801" activeTab="8"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BM!$C$15:$C$131</definedName>
    <definedName name="_xlnm._FilterDatabase" localSheetId="6" hidden="1">CÁLCULO!$C$15:$C$131</definedName>
    <definedName name="_xlnm._FilterDatabase" localSheetId="8" hidden="1">CRONO!$G$13:$G$124</definedName>
    <definedName name="_xlnm._FilterDatabase" localSheetId="7" hidden="1">CRONOPLE!$A$13:$A$87</definedName>
    <definedName name="_xlnm._FilterDatabase" localSheetId="5" hidden="1">EVENTOS!$A$13:$A$72</definedName>
    <definedName name="_xlnm._FilterDatabase" localSheetId="4" hidden="1">ORÇAMENTO!$L$15:$L$131</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_xleta.TODAY" hidden="1" xlm="1">#NAME?</definedName>
    <definedName name="ACOMPANHAMENTO" hidden="1">IF(VALUE(MENU!$O$4)=2,"BM","PLE")</definedName>
    <definedName name="AdmLocal" hidden="1">IF(AND(Import.TipoArredondamento="Tradicional",AUTOEVENTO="Manual"),"Automática",IF(CRONOPLE!$B$8="","Sem Adm","Manual"))</definedName>
    <definedName name="_xlnm.Print_Area" localSheetId="3">BDI!$J$1:$S$92</definedName>
    <definedName name="_xlnm.Print_Area" localSheetId="11">BM!$D$1:$O$146</definedName>
    <definedName name="_xlnm.Print_Area" localSheetId="6">CÁLCULO!$E$6:$AI$139</definedName>
    <definedName name="_xlnm.Print_Area" localSheetId="8">CRONO!$I$1:$AS$124</definedName>
    <definedName name="_xlnm.Print_Area" localSheetId="5">EVENTOS!$C$2:$Z$72</definedName>
    <definedName name="_xlnm.Print_Area" localSheetId="1">MENU!$A$1:$I$25</definedName>
    <definedName name="_xlnm.Print_Area" localSheetId="13">OFÍCIO!$A$1:$G$56</definedName>
    <definedName name="_xlnm.Print_Area" localSheetId="4">ORÇAMENTO!$O$1:$Y$148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BM!$C$15:$C$131</definedName>
    <definedName name="BM.firstrow" hidden="1">BM!$15:$15</definedName>
    <definedName name="BM.FormulaMed" hidden="1">BM!$AO$7</definedName>
    <definedName name="BM.lastrow" hidden="1">BM!$131:$131</definedName>
    <definedName name="BM.LinhaPadrão" hidden="1">BM!$14:$14</definedName>
    <definedName name="BM.MaxMed" hidden="1">IF(RegimeExecucao="Global",1,BM!$G1)</definedName>
    <definedName name="BM.MCAIXA.Filter" hidden="1">BM!$C$15:$Z$131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CÁLCULO!$C$15:$C$131</definedName>
    <definedName name="CÁLCULO.firstcol" hidden="1">CÁLCULO!$P:$P</definedName>
    <definedName name="CÁLCULO.firstrow" hidden="1">CÁLCULO!$15:$15</definedName>
    <definedName name="CÁLCULO.Frenterow" hidden="1">CÁLCULO!$12:$12</definedName>
    <definedName name="CÁLCULO.FrentesPreenchidas" hidden="1">SUM(OFFSET(CÁLCULO!$P$1,0,1):OFFSET(CÁLCULO!$AI$1,0,-1))</definedName>
    <definedName name="CÁLCULO.lastcol" hidden="1">CÁLCULO!$AI:$AI</definedName>
    <definedName name="CÁLCULO.lastrow" hidden="1">CÁLCULO!$131:$131</definedName>
    <definedName name="CÁLCULO.LinhaPadrão" hidden="1">CÁLCULO!$14:$14</definedName>
    <definedName name="CÁLCULO.margemrow" hidden="1">CÁLCULO!$139:$139</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CÁLCULO!$131:$131</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CÁLCULO!$131:$131</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CÁLCULO!$131:$131</definedName>
    <definedName name="CÁLCULO.nEvento" hidden="1">CÁLCULO!$M$12</definedName>
    <definedName name="CÁLCULO.NúmeroDeEventos" hidden="1">IF(AUTOEVENTO&lt;&gt;"manual",MAX(CÁLCULO!$M$15:$M$131),MAX(OFFSET(EVENTOS!$C$1:$C$65,1,0)))</definedName>
    <definedName name="CÁLCULO.NúmeroDeFrentes" hidden="1">COLUMN(CÁLCULO!$AI$15)-COLUMN(CÁLCULO!$Q$15)</definedName>
    <definedName name="CÁLCULO.Título" hidden="1">CÁLCULO!$F$6</definedName>
    <definedName name="CÁLCULO.TotalAdmLocal" hidden="1">IF(AUTOEVENTO="manual",SUMIF(CÁLCULO!$M$15:$M$131,1,ORÇAMENTO!$X$15:$X$131),0)</definedName>
    <definedName name="CRONO.ColAux" hidden="1">CRONO!$M:$R</definedName>
    <definedName name="CRONO.ColunaPadrão" hidden="1">CRONO!$E:$E</definedName>
    <definedName name="CRONO.Erro" hidden="1">CRONO!$K$10</definedName>
    <definedName name="CRONO.Filtro" hidden="1">CRONO!$G$13:$G$124</definedName>
    <definedName name="CRONO.FirstCol" hidden="1">CRONO!$T:$T</definedName>
    <definedName name="CRONO.firstrow" hidden="1">CRONO!$13:$13</definedName>
    <definedName name="CRONO.Frenterow" hidden="1">CRONO!$12:$12</definedName>
    <definedName name="CRONO.LastCol" hidden="1">CRONO!$AS:$AS</definedName>
    <definedName name="CRONO.lastrow" hidden="1">CRONO!$107:$107</definedName>
    <definedName name="CRONO.lastrow2" hidden="1">CRONO!$119:$119</definedName>
    <definedName name="CRONO.LinhaPadrão" hidden="1">CRONO!$1:$3</definedName>
    <definedName name="CRONO.LinhasNecessarias" hidden="1">COUNTIF(QCI!$B$13:$B$24,"Manual")+COUNTIF(QCI!$B$13:$B$24,"SemiAuto")+COUNT(ORÇAMENTO.ListaCrono)</definedName>
    <definedName name="CRONO.margemrow" hidden="1">CRONO!$124:$124</definedName>
    <definedName name="CRONO.MaxParc" hidden="1">CRONO!$H1048576+CRONO!A1</definedName>
    <definedName name="CRONO.NivelExibicao" hidden="1">CRONO!$H$10</definedName>
    <definedName name="CRONO.Parcela1" hidden="1">CRONO!$U$12:$U$13</definedName>
    <definedName name="CRONO.ParcelaFinal" hidden="1">MATCH(100%,CRONO!$U$113:$AS$113,0)</definedName>
    <definedName name="CRONO.Título" hidden="1">CRONO!$S$4</definedName>
    <definedName name="CRONOPLE.ColunaPadrão" hidden="1">CRONOPLE!$E:$E</definedName>
    <definedName name="CRONOPLE.Erro" hidden="1">CRONOPLE!$B$6</definedName>
    <definedName name="CRONOPLE.Filtro" hidden="1">CRONOPLE!$A$13:$A$87</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CRONOPLE!$82:$82</definedName>
    <definedName name="CRONOPLE.LinhaPadrão" hidden="1">CRONOPLE!$1:$1</definedName>
    <definedName name="CRONOPLE.margemrow" hidden="1">CRONOPLE!$89:$89</definedName>
    <definedName name="CRONOPLE.Título" hidden="1">CRONOPLE!$G$2</definedName>
    <definedName name="CRONOPLE.ValorDoEvento" hidden="1">SUMIF(CÁLCULO!$M$15:$M$131,CRONOPLE!$B1,OFFSET(CÁLCULO!$AI$15:$AI$131,0,CRONOPLE!A$12))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BM!$D$134</definedName>
    <definedName name="Import.BMAFAcumulado" hidden="1">OFFSET(BM!$R$15,1,0):OFFSET(BM!$R$131,-1,0)</definedName>
    <definedName name="Import.BMArred" hidden="1">BM!$A$9</definedName>
    <definedName name="Import.CNPJ" hidden="1">DADOS!$C$39</definedName>
    <definedName name="Import.Código" hidden="1">OFFSET(ORÇAMENTO!$Q$15,1,0):OFFSET(ORÇAMENTO!$Q$131,-1,0)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OFFSET(ORÇAMENTO!$U$15,1,0):OFFSET(ORÇAMENTO!$U$131,-1,0)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OFFSET(ORÇAMENTO!$R$15,1,0):OFFSET(ORÇAMENTO!$R$131,-1,0)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OFFSET(ORÇAMENTO!$P$15,1,0):OFFSET(ORÇAMENTO!$P$131,-1,0)</definedName>
    <definedName name="Import.FrenteDeObra" hidden="1">CÁLCULO!$Q$12:OFFSET(CÁLCULO!$AI$12,0,-1)</definedName>
    <definedName name="Import.MacrosserviçoAdmLocal" hidden="1">CRONO!$H$118</definedName>
    <definedName name="Import.Município" hidden="1">DADOS!$C$6</definedName>
    <definedName name="Import.Nível" hidden="1">OFFSET(ORÇAMENTO!$M$15,1,0):OFFSET(ORÇAMENTO!$M$131,-1,0)</definedName>
    <definedName name="Import.Ofício.Dest" hidden="1">OFÍCIO!$B$11</definedName>
    <definedName name="Import.Ofício.GIGOV" hidden="1">OFÍCIO!$C$11</definedName>
    <definedName name="Import.Ofício.Num" hidden="1">OFÍCIO!$C$6</definedName>
    <definedName name="Import.OpcaoBDI" hidden="1">OFFSET(ORÇAMENTO!$V$15,1,0):OFFSET(ORÇAMENTO!$V$131,-1,0)</definedName>
    <definedName name="Import.ORÇAMENTO.DivRecurso" hidden="1">OFFSET(ORÇAMENTO!$Y$15,1,0):OFFSET(ORÇAMENTO!$Y$131,-1,0)</definedName>
    <definedName name="Import.ORÇAMENTO.Obs" hidden="1">ORÇAMENTO!$O$137</definedName>
    <definedName name="Import.PLE" hidden="1">OFFSET(PLE!$G$15,1,1):OFFSET(PLE!$AG$65,-1,-1)</definedName>
    <definedName name="Import.PLE.Datas" hidden="1">PLE!$I$68:$AF$68</definedName>
    <definedName name="Import.PLQ" hidden="1">OFFSET(CÁLCULO!$P$15,1,1):OFFSET(CÁLCULO!$AI$131,-1,-1)</definedName>
    <definedName name="Import.PLQ.MemCalc" hidden="1">OFFSET(CÁLCULO!$I$15,1,0):OFFSET(CÁLCULO!$I$131,-1,0)</definedName>
    <definedName name="Import.PLQ.nAgrupEvent" hidden="1">OFFSET(CÁLCULO!$K$15,1,0):OFFSET(CÁLCULO!$K$131,-1,0)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OFFSET(ORÇAMENTO!$AJ$15,1,0):OFFSET(ORÇAMENTO!$AJ$131,-1,0)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OFFSET(ORÇAMENTO!$S$15,1,0):OFFSET(ORÇAMENTO!$S$131,-1,0)</definedName>
    <definedName name="Import.UnitarioLicitado" hidden="1">OFFSET(ORÇAMENTO!$AL$15,1,0):OFFSET(ORÇAMENTO!$AL$131,-1,0)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ORÇAMENTO!$L$15:$L$131</definedName>
    <definedName name="ORÇAMENTO.firstrow" hidden="1">ORÇAMENTO!$15:$15</definedName>
    <definedName name="ORÇAMENTO.Fonte" hidden="1">ORÇAMENTO!$P1</definedName>
    <definedName name="ORÇAMENTO.lastrow" hidden="1">ORÇAMENTO!$131:$131</definedName>
    <definedName name="ORÇAMENTO.LinhaPadrão" hidden="1">ORÇAMENTO!$14:$14</definedName>
    <definedName name="ORÇAMENTO.ListaCrono" hidden="1">OFFSET(ORÇAMENTO!$AD$15,1,0):OFFSET(ORÇAMENTO!$AD$131,-1,0)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OFFSET(ORÇAMENTO!$P$15,1,0):OFFSET(ORÇAMENTO!$S$131,-1,0)</definedName>
    <definedName name="ORÇAMENTO.PasteFormat2" hidden="1">OFFSET(ORÇAMENTO!$U$15,1,0):OFFSET(ORÇAMENTO!$V$131,-1,0)</definedName>
    <definedName name="ORÇAMENTO.PrecoUnitarioLicitado" hidden="1">ORÇAMENTO!$AL1</definedName>
    <definedName name="ORÇAMENTO.QuantBM" hidden="1">ORÇAMENTO!$AJ1</definedName>
    <definedName name="ORÇAMENTO.RangeQuant" hidden="1">OFFSET(ORÇAMENTO!$T$15,1,0):OFFSET(ORÇAMENTO!$T$131,-1,0)</definedName>
    <definedName name="ORÇAMENTO.SumCPMANUAL" hidden="1">SUMIF(ORÇAMENTO!$Z$15:$Z$131,"CP",ORÇAMENTO!$AA$15:$AA$131)</definedName>
    <definedName name="ORÇAMENTO.SumINVMANUAL" hidden="1">SUMIF(ORÇAMENTO!$Z$15:$Z$131,"RP",ORÇAMENTO!$X$15:$X$131)+SUMIF(ORÇAMENTO!$Z$15:$Z$131,"CP",ORÇAMENTO!$X$15:$X$131)+SUMIF(ORÇAMENTO!$Z$15:$Z$131,"OU",ORÇAMENTO!$X$15:$X$131)</definedName>
    <definedName name="ORÇAMENTO.SumOUTROSMANUAL" hidden="1">SUMIF(ORÇAMENTO!$Z$15:$Z$131,"OU",ORÇAMENTO!$AB$15:$AB$131)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SUMIF(CÁLCULO!$M$15:$M$131,PLE!$B1,OFFSET(CÁLCULO!$AI$15:$AI$131,0,PLE!A$12))</definedName>
    <definedName name="PO.ValoresBDI" hidden="1">OFFSET(ORÇAMENTO!$AH$15,1,0):OFFSET(ORÇAMENTO!$AH$131,-1,0)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0" i="5" l="1"/>
  <c r="A39" i="5"/>
  <c r="U79" i="6"/>
  <c r="U78" i="6"/>
  <c r="A69" i="5"/>
  <c r="T62" i="6" l="1"/>
  <c r="T61" i="6"/>
  <c r="S30" i="6" l="1"/>
  <c r="Q20" i="6"/>
  <c r="A20" i="5"/>
  <c r="A19" i="5"/>
  <c r="Q27" i="6"/>
  <c r="Q28" i="6"/>
  <c r="A54" i="5" l="1"/>
  <c r="A52" i="5"/>
  <c r="A53" i="5"/>
  <c r="A51" i="5"/>
  <c r="A50" i="5"/>
  <c r="A49" i="5"/>
  <c r="A48" i="5"/>
  <c r="A47" i="5"/>
  <c r="A46" i="5"/>
  <c r="A45" i="5"/>
  <c r="A44" i="5"/>
  <c r="A43" i="5"/>
  <c r="A107" i="5" l="1"/>
  <c r="A126" i="5"/>
  <c r="A125" i="5"/>
  <c r="A124" i="5"/>
  <c r="A123" i="5"/>
  <c r="A122" i="5"/>
  <c r="A121" i="5"/>
  <c r="A120" i="5"/>
  <c r="A119" i="5"/>
  <c r="A118" i="5"/>
  <c r="A117" i="5"/>
  <c r="A101" i="5"/>
  <c r="A100" i="5"/>
  <c r="A127" i="5"/>
  <c r="A116" i="5"/>
  <c r="A115" i="5"/>
  <c r="A114" i="5"/>
  <c r="A113" i="5"/>
  <c r="A112" i="5"/>
  <c r="A111" i="5"/>
  <c r="A110" i="5"/>
  <c r="A109" i="5"/>
  <c r="A108" i="5"/>
  <c r="A106" i="5"/>
  <c r="A105" i="5"/>
  <c r="A104" i="5"/>
  <c r="A103" i="5"/>
  <c r="A102" i="5"/>
  <c r="A99" i="5"/>
  <c r="A98" i="5"/>
  <c r="A97" i="5"/>
  <c r="A96" i="5"/>
  <c r="A95" i="5"/>
  <c r="A93" i="5"/>
  <c r="A92" i="5"/>
  <c r="A91" i="5"/>
  <c r="A90" i="5"/>
  <c r="A89" i="5"/>
  <c r="A88" i="5"/>
  <c r="A94" i="5"/>
  <c r="A87" i="5"/>
  <c r="A86" i="5"/>
  <c r="A67" i="5"/>
  <c r="A76" i="5"/>
  <c r="A75" i="5"/>
  <c r="A62" i="5"/>
  <c r="A61" i="5"/>
  <c r="A60" i="5"/>
  <c r="A56" i="5"/>
  <c r="A59" i="5"/>
  <c r="A73" i="5"/>
  <c r="A33" i="5"/>
  <c r="A32" i="5"/>
  <c r="A81" i="5"/>
  <c r="A80" i="5"/>
  <c r="A24" i="5"/>
  <c r="C25" i="2" l="1"/>
  <c r="A64" i="5"/>
  <c r="A63" i="5"/>
  <c r="A31" i="5" l="1"/>
  <c r="A82" i="5" l="1"/>
  <c r="A68" i="5" l="1"/>
  <c r="A41" i="5"/>
  <c r="A37" i="5"/>
  <c r="A38" i="5"/>
  <c r="A36" i="5"/>
  <c r="A30" i="5"/>
  <c r="A27" i="5"/>
  <c r="A42" i="5" l="1"/>
  <c r="A29" i="5"/>
  <c r="A79" i="5"/>
  <c r="A78" i="5"/>
  <c r="A77" i="5"/>
  <c r="A85" i="5"/>
  <c r="A74" i="5" l="1"/>
  <c r="A35" i="5"/>
  <c r="A28" i="5" l="1"/>
  <c r="A26" i="5"/>
  <c r="A25" i="5"/>
  <c r="A23" i="5"/>
  <c r="A22" i="5"/>
  <c r="A21" i="5"/>
  <c r="H75" i="9" l="1"/>
  <c r="AM122" i="8" a="1"/>
  <c r="AM124" i="8" s="1"/>
  <c r="AR8" i="8"/>
  <c r="AL8" i="8"/>
  <c r="AG8" i="8"/>
  <c r="AR7" i="8"/>
  <c r="AL7" i="8"/>
  <c r="G105" i="8"/>
  <c r="G102" i="8"/>
  <c r="G99" i="8"/>
  <c r="G96" i="8"/>
  <c r="G93" i="8"/>
  <c r="G90" i="8"/>
  <c r="G87" i="8"/>
  <c r="G84" i="8"/>
  <c r="G81" i="8"/>
  <c r="CM15" i="6"/>
  <c r="CL15" i="6"/>
  <c r="CK15" i="6"/>
  <c r="CJ15" i="6"/>
  <c r="CI15" i="6"/>
  <c r="CH15" i="6"/>
  <c r="CG15" i="6"/>
  <c r="CF15" i="6"/>
  <c r="BT15" i="6"/>
  <c r="BS15" i="6"/>
  <c r="BR15" i="6"/>
  <c r="BQ15" i="6"/>
  <c r="BP15" i="6"/>
  <c r="BO15" i="6"/>
  <c r="BN15" i="6"/>
  <c r="BM15" i="6"/>
  <c r="AB137" i="6" a="1"/>
  <c r="AB139" i="6" s="1"/>
  <c r="AC10" i="6"/>
  <c r="AA10" i="6"/>
  <c r="AM122" i="8" l="1"/>
  <c r="AM123" i="8"/>
  <c r="J75" i="9"/>
  <c r="AB137" i="6"/>
  <c r="AB138" i="6"/>
  <c r="L75" i="9" l="1"/>
  <c r="A57" i="5"/>
  <c r="N75" i="9" l="1"/>
  <c r="P75" i="9" l="1"/>
  <c r="A84" i="5"/>
  <c r="A83" i="5"/>
  <c r="A71" i="5"/>
  <c r="A72" i="5"/>
  <c r="A70" i="5"/>
  <c r="R75" i="9" l="1"/>
  <c r="T75" i="9" l="1"/>
  <c r="V75" i="9" l="1"/>
  <c r="X75" i="9" l="1"/>
  <c r="Z75" i="9" l="1"/>
  <c r="AB75" i="9" l="1"/>
  <c r="AD75" i="9" l="1"/>
  <c r="A130" i="5" l="1"/>
  <c r="A129" i="5"/>
  <c r="A128" i="5"/>
  <c r="C122" i="3" l="1"/>
  <c r="C120" i="3"/>
  <c r="H23" i="13"/>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S22" i="11"/>
  <c r="J22" i="11"/>
  <c r="I22" i="13" s="1"/>
  <c r="D22" i="11"/>
  <c r="E22" i="13" s="1"/>
  <c r="A22" i="11"/>
  <c r="S21" i="11"/>
  <c r="J21" i="11"/>
  <c r="I21" i="13" s="1"/>
  <c r="D21" i="11"/>
  <c r="S20" i="11"/>
  <c r="J20" i="11"/>
  <c r="I20" i="13" s="1"/>
  <c r="D20" i="11"/>
  <c r="A20" i="11"/>
  <c r="S19" i="11"/>
  <c r="J19" i="11"/>
  <c r="I19" i="13" s="1"/>
  <c r="D19" i="11"/>
  <c r="S18" i="11"/>
  <c r="J18" i="11"/>
  <c r="I18" i="13" s="1"/>
  <c r="D18" i="11"/>
  <c r="E18" i="13" s="1"/>
  <c r="A18" i="11"/>
  <c r="S17" i="11"/>
  <c r="J17" i="11"/>
  <c r="I17" i="13" s="1"/>
  <c r="D17" i="11"/>
  <c r="S16" i="11"/>
  <c r="J16" i="11"/>
  <c r="I16" i="13" s="1"/>
  <c r="D16" i="11"/>
  <c r="A16" i="11"/>
  <c r="S15" i="11"/>
  <c r="J15" i="11"/>
  <c r="I15" i="13" s="1"/>
  <c r="D15" i="1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66" i="5"/>
  <c r="A65" i="5"/>
  <c r="A58" i="5"/>
  <c r="A55" i="5"/>
  <c r="A34" i="5"/>
  <c r="A18" i="5"/>
  <c r="A17" i="5"/>
  <c r="C16" i="5"/>
  <c r="W16" i="5" s="1"/>
  <c r="H16" i="12" s="1"/>
  <c r="A16" i="5"/>
  <c r="P7" i="13"/>
  <c r="AC131" i="5"/>
  <c r="F16" i="5" l="1"/>
  <c r="B16" i="5"/>
  <c r="A16" i="12"/>
  <c r="B16" i="6"/>
  <c r="J16" i="6" s="1" a="1"/>
  <c r="J16" i="6" s="1"/>
  <c r="H16" i="5"/>
  <c r="I16" i="5"/>
  <c r="G16" i="5"/>
  <c r="C17" i="5"/>
  <c r="N16" i="5"/>
  <c r="AE16" i="5"/>
  <c r="B20" i="8"/>
  <c r="E19" i="13"/>
  <c r="A19" i="11"/>
  <c r="E23" i="13"/>
  <c r="A23" i="11"/>
  <c r="E17" i="13"/>
  <c r="A17" i="11"/>
  <c r="E15" i="13"/>
  <c r="A15" i="11"/>
  <c r="E21" i="13"/>
  <c r="A21" i="11"/>
  <c r="S67" i="4"/>
  <c r="S107" i="4"/>
  <c r="S27" i="4"/>
  <c r="C124" i="3"/>
  <c r="E16" i="5" l="1"/>
  <c r="E17" i="5" s="1"/>
  <c r="D16" i="6"/>
  <c r="AD16" i="5"/>
  <c r="AD17" i="5" s="1"/>
  <c r="B23" i="8"/>
  <c r="A17" i="12"/>
  <c r="B17" i="6"/>
  <c r="J17" i="6" s="1" a="1"/>
  <c r="J17" i="6" s="1"/>
  <c r="G17" i="5"/>
  <c r="F17" i="5"/>
  <c r="W17" i="5"/>
  <c r="H17" i="12" s="1"/>
  <c r="N17" i="5"/>
  <c r="AE17" i="5"/>
  <c r="B17" i="5"/>
  <c r="C18" i="5"/>
  <c r="I17" i="5"/>
  <c r="H17" i="5"/>
  <c r="E16" i="12"/>
  <c r="F16" i="6"/>
  <c r="H67" i="9"/>
  <c r="B26" i="8" l="1"/>
  <c r="D17" i="6"/>
  <c r="N16" i="6"/>
  <c r="M16" i="6"/>
  <c r="H16" i="6" a="1"/>
  <c r="H16" i="6" s="1"/>
  <c r="T16" i="5" s="1"/>
  <c r="G16" i="6"/>
  <c r="E17" i="12"/>
  <c r="F17" i="6"/>
  <c r="A14" i="13"/>
  <c r="B14" i="11"/>
  <c r="A18" i="12"/>
  <c r="B18" i="6"/>
  <c r="AE18" i="5"/>
  <c r="N18" i="5"/>
  <c r="AD18" i="5"/>
  <c r="J18" i="5"/>
  <c r="K18" i="5"/>
  <c r="H18" i="5"/>
  <c r="G18" i="5"/>
  <c r="B18" i="5"/>
  <c r="F18" i="5"/>
  <c r="D18" i="5"/>
  <c r="B18" i="12" s="1"/>
  <c r="E18" i="5"/>
  <c r="C94" i="3"/>
  <c r="C92" i="3"/>
  <c r="C19" i="5" l="1"/>
  <c r="E19" i="5" s="1"/>
  <c r="G16" i="12"/>
  <c r="N17" i="6"/>
  <c r="M17" i="6"/>
  <c r="H17" i="6" a="1"/>
  <c r="H17" i="6" s="1"/>
  <c r="T17" i="5" s="1"/>
  <c r="G17" i="6"/>
  <c r="G14" i="11"/>
  <c r="F14" i="13" s="1"/>
  <c r="C14" i="13"/>
  <c r="K14" i="11"/>
  <c r="J14" i="13" s="1"/>
  <c r="B29" i="8"/>
  <c r="D18" i="6"/>
  <c r="Q1" i="6"/>
  <c r="O1" i="6"/>
  <c r="G19" i="5" l="1"/>
  <c r="C20" i="5"/>
  <c r="AD19" i="5"/>
  <c r="A19" i="12"/>
  <c r="B19" i="6"/>
  <c r="N19" i="5"/>
  <c r="D19" i="6" s="1"/>
  <c r="AE19" i="5"/>
  <c r="F19" i="5"/>
  <c r="B19" i="5"/>
  <c r="H19" i="5"/>
  <c r="G17" i="12"/>
  <c r="K14" i="13"/>
  <c r="B32" i="8"/>
  <c r="R1" i="6"/>
  <c r="S1" i="6" s="1"/>
  <c r="T1" i="6" s="1"/>
  <c r="U1" i="6" s="1"/>
  <c r="V1" i="6" s="1"/>
  <c r="W1" i="6" s="1"/>
  <c r="X1" i="6" s="1"/>
  <c r="Y1" i="6" s="1"/>
  <c r="Z1" i="6" s="1"/>
  <c r="C98" i="3"/>
  <c r="B20" i="5" l="1"/>
  <c r="D20" i="5"/>
  <c r="B20" i="12" s="1"/>
  <c r="AE20" i="5"/>
  <c r="A20" i="12"/>
  <c r="K20" i="5"/>
  <c r="AD20" i="5"/>
  <c r="F20" i="5"/>
  <c r="H20" i="5"/>
  <c r="E20" i="5"/>
  <c r="N20" i="5"/>
  <c r="D20" i="6" s="1"/>
  <c r="B20" i="6"/>
  <c r="J20" i="5"/>
  <c r="G20" i="5"/>
  <c r="AA1" i="6"/>
  <c r="B35" i="8"/>
  <c r="C5" i="14"/>
  <c r="E2" i="12"/>
  <c r="AB1" i="6" l="1"/>
  <c r="B38" i="8"/>
  <c r="S12" i="11"/>
  <c r="AC1" i="6" l="1"/>
  <c r="B41" i="8"/>
  <c r="C1" i="7" a="1"/>
  <c r="C1" i="7" s="1"/>
  <c r="B1" i="7" s="1"/>
  <c r="D40" i="2"/>
  <c r="D39" i="2"/>
  <c r="D41" i="2"/>
  <c r="D37" i="2"/>
  <c r="D38" i="2"/>
  <c r="D36" i="2"/>
  <c r="AD1" i="6" l="1"/>
  <c r="B44" i="8"/>
  <c r="U94" i="4"/>
  <c r="U11" i="4"/>
  <c r="U10" i="4"/>
  <c r="D31" i="2"/>
  <c r="D29" i="2"/>
  <c r="D28" i="2"/>
  <c r="D24" i="2"/>
  <c r="D23" i="2"/>
  <c r="D22" i="2"/>
  <c r="D19" i="2"/>
  <c r="D18" i="2"/>
  <c r="D17" i="2"/>
  <c r="D16" i="2"/>
  <c r="D11" i="2"/>
  <c r="D10" i="2"/>
  <c r="D9" i="2"/>
  <c r="D8" i="2"/>
  <c r="D7" i="2"/>
  <c r="D6" i="2"/>
  <c r="D5" i="2"/>
  <c r="D4" i="2"/>
  <c r="C116" i="3"/>
  <c r="C114" i="3"/>
  <c r="C110" i="3"/>
  <c r="C109" i="3"/>
  <c r="C106" i="3"/>
  <c r="C105" i="3"/>
  <c r="C101" i="3"/>
  <c r="C90" i="3"/>
  <c r="F8" i="7"/>
  <c r="C11" i="7"/>
  <c r="U106" i="4"/>
  <c r="U26" i="4"/>
  <c r="U66" i="4"/>
  <c r="AE1" i="6" l="1"/>
  <c r="B47" i="8"/>
  <c r="D27" i="2"/>
  <c r="D15" i="2"/>
  <c r="D35" i="2"/>
  <c r="D3" i="2"/>
  <c r="H13" i="7"/>
  <c r="AF1" i="6" l="1"/>
  <c r="B50" i="8"/>
  <c r="H10" i="7"/>
  <c r="AG1" i="6" l="1"/>
  <c r="B53" i="8"/>
  <c r="AS119" i="8"/>
  <c r="H117" i="8"/>
  <c r="H119" i="8"/>
  <c r="E13" i="7"/>
  <c r="AH1" i="6" l="1"/>
  <c r="B56" i="8"/>
  <c r="C103" i="3"/>
  <c r="C100" i="3"/>
  <c r="C96" i="3"/>
  <c r="H18" i="6" l="1" a="1"/>
  <c r="H18" i="6" s="1"/>
  <c r="T18" i="5" s="1"/>
  <c r="G18" i="12" s="1"/>
  <c r="H19" i="6" a="1"/>
  <c r="H19" i="6" s="1"/>
  <c r="T19" i="5" s="1"/>
  <c r="H20" i="6" a="1"/>
  <c r="H20" i="6" s="1"/>
  <c r="T20" i="5" s="1"/>
  <c r="B59" i="8"/>
  <c r="C93" i="3"/>
  <c r="G19" i="12" l="1"/>
  <c r="G20" i="12"/>
  <c r="B62" i="8"/>
  <c r="C112" i="3"/>
  <c r="C108" i="3"/>
  <c r="C70" i="3"/>
  <c r="L35" i="13"/>
  <c r="L34" i="13" s="1"/>
  <c r="C84" i="3"/>
  <c r="B65" i="8" l="1"/>
  <c r="C56" i="3"/>
  <c r="B68" i="8" l="1"/>
  <c r="Q13" i="6"/>
  <c r="A1" i="7"/>
  <c r="V70" i="7" a="1"/>
  <c r="V70" i="7" s="1"/>
  <c r="Y5" i="7"/>
  <c r="X5" i="7"/>
  <c r="P5" i="7"/>
  <c r="C60" i="3"/>
  <c r="S4" i="8"/>
  <c r="F5" i="7"/>
  <c r="B71" i="8" l="1"/>
  <c r="R13" i="6"/>
  <c r="S13" i="6" s="1"/>
  <c r="V71" i="7"/>
  <c r="V72" i="7"/>
  <c r="N5" i="7"/>
  <c r="O5" i="7"/>
  <c r="B74" i="8" l="1"/>
  <c r="T13" i="6"/>
  <c r="E10" i="7"/>
  <c r="C57" i="3"/>
  <c r="C82" i="3"/>
  <c r="C77" i="3"/>
  <c r="B86" i="9"/>
  <c r="D71" i="7"/>
  <c r="V85" i="9" a="1"/>
  <c r="V87" i="9" s="1"/>
  <c r="B83" i="9"/>
  <c r="J67" i="9"/>
  <c r="L67" i="9" s="1"/>
  <c r="N67" i="9" s="1"/>
  <c r="P67" i="9" s="1"/>
  <c r="R67" i="9" s="1"/>
  <c r="T67" i="9" s="1"/>
  <c r="V67" i="9" s="1"/>
  <c r="X67" i="9" s="1"/>
  <c r="Z67" i="9" s="1"/>
  <c r="AB67" i="9" s="1"/>
  <c r="AD67" i="9" s="1"/>
  <c r="M5" i="9"/>
  <c r="J5" i="9"/>
  <c r="G5" i="9"/>
  <c r="B5" i="9"/>
  <c r="B77" i="8" l="1"/>
  <c r="B80" i="8" s="1"/>
  <c r="U13" i="6"/>
  <c r="V85" i="9"/>
  <c r="V86" i="9"/>
  <c r="L70" i="7" a="1"/>
  <c r="L72" i="7" s="1"/>
  <c r="D68" i="7"/>
  <c r="C5" i="7"/>
  <c r="B83" i="8" l="1"/>
  <c r="I13" i="7"/>
  <c r="J13" i="7" s="1"/>
  <c r="K13" i="7" s="1"/>
  <c r="L13" i="7" s="1"/>
  <c r="M13" i="7" s="1"/>
  <c r="N13" i="7" s="1"/>
  <c r="O13" i="7" s="1"/>
  <c r="M1" i="6" a="1"/>
  <c r="M1" i="6" s="1"/>
  <c r="V13" i="6"/>
  <c r="L70" i="7"/>
  <c r="L71"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B86" i="8" l="1"/>
  <c r="J10" i="7"/>
  <c r="I10" i="7"/>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BV13" i="6"/>
  <c r="BV12" i="6" s="1"/>
  <c r="AJ13" i="6"/>
  <c r="AJ12" i="6" s="1"/>
  <c r="BC13" i="6"/>
  <c r="BC12" i="6" s="1"/>
  <c r="H12" i="10"/>
  <c r="H11" i="10" s="1"/>
  <c r="U27" i="4"/>
  <c r="CE15" i="6"/>
  <c r="CD15" i="6"/>
  <c r="CC15" i="6"/>
  <c r="CB15" i="6"/>
  <c r="CA15" i="6"/>
  <c r="BZ15" i="6"/>
  <c r="BY15" i="6"/>
  <c r="BX15" i="6"/>
  <c r="BW15" i="6"/>
  <c r="BV15" i="6"/>
  <c r="I69" i="10"/>
  <c r="G12" i="9"/>
  <c r="G11" i="9" s="1"/>
  <c r="C20" i="3"/>
  <c r="C22" i="3"/>
  <c r="C24" i="3"/>
  <c r="C26" i="3"/>
  <c r="C28" i="3"/>
  <c r="C19" i="3"/>
  <c r="C15" i="3"/>
  <c r="C14" i="3"/>
  <c r="C12" i="3"/>
  <c r="I36" i="11"/>
  <c r="I35" i="11"/>
  <c r="AA122" i="8" a="1"/>
  <c r="T137" i="6" a="1"/>
  <c r="T139" i="6" s="1"/>
  <c r="I137" i="6" a="1"/>
  <c r="I138" i="6" s="1"/>
  <c r="AB13" i="12"/>
  <c r="C2" i="4"/>
  <c r="Z7" i="11"/>
  <c r="V12" i="8"/>
  <c r="E12" i="8"/>
  <c r="A14" i="5"/>
  <c r="C14" i="5" s="1"/>
  <c r="BL15" i="6"/>
  <c r="BK15" i="6"/>
  <c r="BJ15" i="6"/>
  <c r="BI15" i="6"/>
  <c r="BH15" i="6"/>
  <c r="BG15" i="6"/>
  <c r="BF15" i="6"/>
  <c r="BE15" i="6"/>
  <c r="BD15" i="6"/>
  <c r="BC15" i="6"/>
  <c r="D12" i="11"/>
  <c r="A12" i="11" s="1"/>
  <c r="L39" i="13"/>
  <c r="U107" i="4"/>
  <c r="U67" i="4"/>
  <c r="C8" i="4"/>
  <c r="C9" i="4"/>
  <c r="C10" i="4"/>
  <c r="C11" i="4"/>
  <c r="C12" i="4"/>
  <c r="C13" i="4"/>
  <c r="L46" i="13"/>
  <c r="B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140" i="12"/>
  <c r="E141" i="12"/>
  <c r="K143" i="12" a="1"/>
  <c r="K145" i="12" s="1"/>
  <c r="F6" i="6"/>
  <c r="F7" i="6"/>
  <c r="E10" i="6"/>
  <c r="I10" i="6"/>
  <c r="K10" i="6"/>
  <c r="S10" i="6"/>
  <c r="U10" i="6"/>
  <c r="O13" i="6"/>
  <c r="O15" i="6" s="1"/>
  <c r="O11" i="6" s="1"/>
  <c r="B15" i="6"/>
  <c r="C15" i="6"/>
  <c r="D15" i="6"/>
  <c r="E15" i="6"/>
  <c r="B131" i="6"/>
  <c r="C131" i="6"/>
  <c r="F135" i="6"/>
  <c r="S5" i="8"/>
  <c r="Z7" i="8"/>
  <c r="AF7" i="8"/>
  <c r="I8" i="8"/>
  <c r="L8" i="8"/>
  <c r="U8" i="8"/>
  <c r="Z8" i="8"/>
  <c r="AF8" i="8"/>
  <c r="E13" i="8"/>
  <c r="V13" i="8"/>
  <c r="W13" i="8" s="1"/>
  <c r="X13" i="8" s="1"/>
  <c r="Y13" i="8" s="1"/>
  <c r="Z13" i="8" s="1"/>
  <c r="AA13" i="8" s="1"/>
  <c r="AB13" i="8" s="1"/>
  <c r="AC13" i="8" s="1"/>
  <c r="AD13" i="8" s="1"/>
  <c r="AE13" i="8" s="1"/>
  <c r="AF13" i="8" s="1"/>
  <c r="AG13" i="8" s="1"/>
  <c r="AH13" i="8" s="1"/>
  <c r="AI13" i="8" s="1"/>
  <c r="AJ13" i="8" s="1"/>
  <c r="AK13" i="8" s="1"/>
  <c r="AL13" i="8" s="1"/>
  <c r="AM13" i="8" s="1"/>
  <c r="AN13" i="8" s="1"/>
  <c r="AO13" i="8" s="1"/>
  <c r="AP13" i="8" s="1"/>
  <c r="AQ13" i="8" s="1"/>
  <c r="AR13" i="8" s="1"/>
  <c r="T109" i="8"/>
  <c r="T114" i="8"/>
  <c r="I120" i="8"/>
  <c r="B1" i="9"/>
  <c r="E12" i="9"/>
  <c r="E11" i="9" s="1"/>
  <c r="I2" i="2"/>
  <c r="K2" i="2"/>
  <c r="M2" i="2"/>
  <c r="O2" i="2"/>
  <c r="Q2" i="2"/>
  <c r="S2" i="2"/>
  <c r="U2" i="2"/>
  <c r="W2" i="2"/>
  <c r="Y2" i="2"/>
  <c r="AA2" i="2"/>
  <c r="AC2" i="2"/>
  <c r="AE2" i="2"/>
  <c r="AG2" i="2"/>
  <c r="AI2" i="2"/>
  <c r="AK2" i="2"/>
  <c r="AM2" i="2"/>
  <c r="AO2" i="2"/>
  <c r="B9" i="2"/>
  <c r="C8" i="3"/>
  <c r="C9" i="3"/>
  <c r="C18" i="14"/>
  <c r="C19" i="14"/>
  <c r="B22" i="14"/>
  <c r="B24" i="14"/>
  <c r="B30" i="14"/>
  <c r="B54" i="14"/>
  <c r="B55" i="14"/>
  <c r="R2" i="5"/>
  <c r="O5" i="5"/>
  <c r="R5" i="5"/>
  <c r="S5" i="5"/>
  <c r="O141" i="5"/>
  <c r="R7" i="5"/>
  <c r="S7" i="5"/>
  <c r="V7" i="5"/>
  <c r="W7" i="5"/>
  <c r="X7" i="5"/>
  <c r="R8" i="5"/>
  <c r="S8" i="5"/>
  <c r="U13" i="5"/>
  <c r="V13" i="5"/>
  <c r="AH13" i="5"/>
  <c r="M15" i="5"/>
  <c r="N15" i="5"/>
  <c r="O15" i="5"/>
  <c r="O144" i="5"/>
  <c r="T146" i="5" a="1"/>
  <c r="T146"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138" i="12"/>
  <c r="K130" i="4"/>
  <c r="O8" i="5"/>
  <c r="B89" i="8" l="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S59" i="7" a="1"/>
  <c r="S59" i="7" s="1"/>
  <c r="M59" i="7" a="1"/>
  <c r="M59" i="7" s="1"/>
  <c r="F59" i="7"/>
  <c r="W58" i="7" a="1"/>
  <c r="W58" i="7" s="1"/>
  <c r="Q58" i="7" a="1"/>
  <c r="Q58" i="7" s="1"/>
  <c r="K58" i="7" a="1"/>
  <c r="K58" i="7" s="1"/>
  <c r="U57" i="7" a="1"/>
  <c r="U57" i="7" s="1"/>
  <c r="O57" i="7" a="1"/>
  <c r="O57" i="7" s="1"/>
  <c r="I57" i="7" a="1"/>
  <c r="I57" i="7" s="1"/>
  <c r="Y56" i="7" a="1"/>
  <c r="Y56" i="7" s="1"/>
  <c r="S56" i="7" a="1"/>
  <c r="S56" i="7" s="1"/>
  <c r="M56" i="7" a="1"/>
  <c r="M56" i="7" s="1"/>
  <c r="F56" i="7"/>
  <c r="W55" i="7" a="1"/>
  <c r="W55" i="7" s="1"/>
  <c r="Q55" i="7" a="1"/>
  <c r="Q55" i="7" s="1"/>
  <c r="K55" i="7" a="1"/>
  <c r="K55" i="7" s="1"/>
  <c r="U54" i="7" a="1"/>
  <c r="U54" i="7" s="1"/>
  <c r="O54" i="7" a="1"/>
  <c r="O54" i="7" s="1"/>
  <c r="I54" i="7" a="1"/>
  <c r="I54" i="7" s="1"/>
  <c r="Y53" i="7" a="1"/>
  <c r="Y53" i="7" s="1"/>
  <c r="S53" i="7" a="1"/>
  <c r="S53" i="7" s="1"/>
  <c r="M53" i="7" a="1"/>
  <c r="M53" i="7" s="1"/>
  <c r="F53" i="7"/>
  <c r="W52" i="7" a="1"/>
  <c r="W52" i="7" s="1"/>
  <c r="Q52" i="7" a="1"/>
  <c r="Q52" i="7" s="1"/>
  <c r="K52" i="7" a="1"/>
  <c r="K52" i="7" s="1"/>
  <c r="U51" i="7" a="1"/>
  <c r="U51" i="7" s="1"/>
  <c r="V64" i="7" a="1"/>
  <c r="V64" i="7" s="1"/>
  <c r="P64" i="7" a="1"/>
  <c r="P64" i="7" s="1"/>
  <c r="J64" i="7" a="1"/>
  <c r="J64" i="7" s="1"/>
  <c r="X62" i="7" a="1"/>
  <c r="X62" i="7" s="1"/>
  <c r="R64" i="7" a="1"/>
  <c r="R64" i="7" s="1"/>
  <c r="H64" i="7" a="1"/>
  <c r="H64" i="7" s="1"/>
  <c r="W63" i="7" a="1"/>
  <c r="W63" i="7" s="1"/>
  <c r="P63" i="7" a="1"/>
  <c r="P63" i="7" s="1"/>
  <c r="W62" i="7" a="1"/>
  <c r="W62" i="7" s="1"/>
  <c r="P62" i="7" a="1"/>
  <c r="P62" i="7" s="1"/>
  <c r="I62" i="7" a="1"/>
  <c r="I62" i="7" s="1"/>
  <c r="X61" i="7" a="1"/>
  <c r="X61" i="7" s="1"/>
  <c r="J61" i="7" a="1"/>
  <c r="J61" i="7" s="1"/>
  <c r="S60" i="7" a="1"/>
  <c r="S60" i="7" s="1"/>
  <c r="E60" i="7" a="1"/>
  <c r="E60" i="7" s="1"/>
  <c r="O59" i="7" a="1"/>
  <c r="O59" i="7" s="1"/>
  <c r="X58" i="7" a="1"/>
  <c r="X58" i="7" s="1"/>
  <c r="H63" i="7" a="1"/>
  <c r="H63" i="7" s="1"/>
  <c r="P61" i="7" a="1"/>
  <c r="P61" i="7" s="1"/>
  <c r="Y60" i="7" a="1"/>
  <c r="Y60" i="7" s="1"/>
  <c r="Y64" i="7" a="1"/>
  <c r="Y64" i="7" s="1"/>
  <c r="O64" i="7" a="1"/>
  <c r="O64" i="7" s="1"/>
  <c r="F64" i="7"/>
  <c r="V63" i="7" a="1"/>
  <c r="V63" i="7" s="1"/>
  <c r="N63" i="7" a="1"/>
  <c r="N63" i="7" s="1"/>
  <c r="V61" i="7" a="1"/>
  <c r="V61" i="7" s="1"/>
  <c r="O61" i="7" a="1"/>
  <c r="O61" i="7" s="1"/>
  <c r="X60" i="7" a="1"/>
  <c r="X60" i="7" s="1"/>
  <c r="K60" i="7" a="1"/>
  <c r="K60" i="7" s="1"/>
  <c r="T59" i="7" a="1"/>
  <c r="T59" i="7" s="1"/>
  <c r="V58" i="7" a="1"/>
  <c r="V58" i="7" s="1"/>
  <c r="I58" i="7" a="1"/>
  <c r="I58" i="7" s="1"/>
  <c r="R57" i="7" a="1"/>
  <c r="R57" i="7" s="1"/>
  <c r="N56" i="7" a="1"/>
  <c r="N56" i="7" s="1"/>
  <c r="P55" i="7" a="1"/>
  <c r="P55" i="7" s="1"/>
  <c r="Y54" i="7" a="1"/>
  <c r="Y54" i="7" s="1"/>
  <c r="L54" i="7" a="1"/>
  <c r="L54" i="7" s="1"/>
  <c r="U53" i="7" a="1"/>
  <c r="U53" i="7" s="1"/>
  <c r="H53" i="7" a="1"/>
  <c r="H53" i="7" s="1"/>
  <c r="J52" i="7" a="1"/>
  <c r="J52" i="7" s="1"/>
  <c r="S51" i="7" a="1"/>
  <c r="S51" i="7" s="1"/>
  <c r="M51" i="7" a="1"/>
  <c r="M51" i="7" s="1"/>
  <c r="F51" i="7"/>
  <c r="W50" i="7" a="1"/>
  <c r="W50" i="7" s="1"/>
  <c r="T64" i="7" a="1"/>
  <c r="T64" i="7" s="1"/>
  <c r="L64" i="7" a="1"/>
  <c r="L64" i="7" s="1"/>
  <c r="Y63" i="7" a="1"/>
  <c r="Y63" i="7" s="1"/>
  <c r="R63" i="7" a="1"/>
  <c r="R63" i="7" s="1"/>
  <c r="K63" i="7" a="1"/>
  <c r="K63" i="7" s="1"/>
  <c r="R62" i="7" a="1"/>
  <c r="R62" i="7" s="1"/>
  <c r="E62" i="7" a="1"/>
  <c r="E62" i="7" s="1"/>
  <c r="S57" i="7" a="1"/>
  <c r="S57" i="7" s="1"/>
  <c r="L57" i="7" a="1"/>
  <c r="L57" i="7" s="1"/>
  <c r="L56" i="7" a="1"/>
  <c r="L56" i="7" s="1"/>
  <c r="T55" i="7" a="1"/>
  <c r="T55" i="7" s="1"/>
  <c r="M55" i="7" a="1"/>
  <c r="M55" i="7" s="1"/>
  <c r="E55" i="7" a="1"/>
  <c r="E55" i="7" s="1"/>
  <c r="N53" i="7" a="1"/>
  <c r="N53" i="7" s="1"/>
  <c r="I51" i="7" a="1"/>
  <c r="I51"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T42" i="7" a="1"/>
  <c r="T42" i="7" s="1"/>
  <c r="N42" i="7" a="1"/>
  <c r="N42" i="7" s="1"/>
  <c r="H42" i="7" a="1"/>
  <c r="H42" i="7" s="1"/>
  <c r="X41" i="7" a="1"/>
  <c r="X41" i="7" s="1"/>
  <c r="R41" i="7" a="1"/>
  <c r="R41" i="7" s="1"/>
  <c r="L41" i="7" a="1"/>
  <c r="L41" i="7" s="1"/>
  <c r="E41" i="7" a="1"/>
  <c r="E41" i="7" s="1"/>
  <c r="V40" i="7" a="1"/>
  <c r="V40" i="7" s="1"/>
  <c r="P40" i="7" a="1"/>
  <c r="P40" i="7" s="1"/>
  <c r="J40" i="7" a="1"/>
  <c r="J40" i="7" s="1"/>
  <c r="Q62" i="7" a="1"/>
  <c r="Q62" i="7" s="1"/>
  <c r="R61" i="7" a="1"/>
  <c r="R61" i="7" s="1"/>
  <c r="F61" i="7"/>
  <c r="M60" i="7" a="1"/>
  <c r="M60" i="7" s="1"/>
  <c r="K59" i="7" a="1"/>
  <c r="K59" i="7" s="1"/>
  <c r="R58" i="7" a="1"/>
  <c r="R58" i="7" s="1"/>
  <c r="K57" i="7" a="1"/>
  <c r="K57" i="7" s="1"/>
  <c r="T54" i="7" a="1"/>
  <c r="T54" i="7" s="1"/>
  <c r="M54" i="7" a="1"/>
  <c r="M54" i="7" s="1"/>
  <c r="E54" i="7" a="1"/>
  <c r="E54" i="7" s="1"/>
  <c r="E53" i="7" a="1"/>
  <c r="E53" i="7" s="1"/>
  <c r="U52" i="7" a="1"/>
  <c r="U52" i="7" s="1"/>
  <c r="N52" i="7" a="1"/>
  <c r="N52" i="7" s="1"/>
  <c r="F52" i="7"/>
  <c r="V51" i="7" a="1"/>
  <c r="V51" i="7" s="1"/>
  <c r="O51" i="7" a="1"/>
  <c r="O51" i="7" s="1"/>
  <c r="X50" i="7" a="1"/>
  <c r="X50" i="7" s="1"/>
  <c r="X64" i="7" a="1"/>
  <c r="X64" i="7" s="1"/>
  <c r="E64" i="7" a="1"/>
  <c r="E64" i="7" s="1"/>
  <c r="N62" i="7" a="1"/>
  <c r="N62" i="7" s="1"/>
  <c r="E61" i="7" a="1"/>
  <c r="E61" i="7" s="1"/>
  <c r="J59" i="7" a="1"/>
  <c r="J59" i="7" s="1"/>
  <c r="X57" i="7" a="1"/>
  <c r="X57" i="7" s="1"/>
  <c r="Q57" i="7" a="1"/>
  <c r="Q57" i="7" s="1"/>
  <c r="J57" i="7" a="1"/>
  <c r="J57" i="7" s="1"/>
  <c r="M63" i="7" a="1"/>
  <c r="M63" i="7" s="1"/>
  <c r="N61" i="7" a="1"/>
  <c r="N61" i="7" s="1"/>
  <c r="Q59" i="7" a="1"/>
  <c r="Q59" i="7" s="1"/>
  <c r="P58" i="7" a="1"/>
  <c r="P58" i="7" s="1"/>
  <c r="X56" i="7" a="1"/>
  <c r="X56" i="7" s="1"/>
  <c r="Q56" i="7" a="1"/>
  <c r="Q56" i="7" s="1"/>
  <c r="J56" i="7" a="1"/>
  <c r="J56" i="7" s="1"/>
  <c r="Y55" i="7" a="1"/>
  <c r="Y55" i="7" s="1"/>
  <c r="R55" i="7" a="1"/>
  <c r="R55" i="7" s="1"/>
  <c r="R54" i="7" a="1"/>
  <c r="R54" i="7" s="1"/>
  <c r="K54" i="7" a="1"/>
  <c r="K54" i="7" s="1"/>
  <c r="T51" i="7" a="1"/>
  <c r="T51" i="7" s="1"/>
  <c r="V50" i="7" a="1"/>
  <c r="V50" i="7" s="1"/>
  <c r="P50" i="7" a="1"/>
  <c r="P50" i="7" s="1"/>
  <c r="J50" i="7" a="1"/>
  <c r="J50" i="7" s="1"/>
  <c r="T49" i="7" a="1"/>
  <c r="T49" i="7" s="1"/>
  <c r="N49" i="7" a="1"/>
  <c r="N49" i="7" s="1"/>
  <c r="H49" i="7" a="1"/>
  <c r="H49" i="7" s="1"/>
  <c r="X48" i="7" a="1"/>
  <c r="X48" i="7" s="1"/>
  <c r="R48" i="7" a="1"/>
  <c r="R48" i="7" s="1"/>
  <c r="L48" i="7" a="1"/>
  <c r="L48" i="7" s="1"/>
  <c r="E48" i="7" a="1"/>
  <c r="E48" i="7" s="1"/>
  <c r="V47" i="7" a="1"/>
  <c r="V47" i="7" s="1"/>
  <c r="U64" i="7" a="1"/>
  <c r="U64" i="7" s="1"/>
  <c r="Y61" i="7" a="1"/>
  <c r="Y61" i="7" s="1"/>
  <c r="R60" i="7" a="1"/>
  <c r="R60" i="7" s="1"/>
  <c r="J60" i="7" a="1"/>
  <c r="J60" i="7" s="1"/>
  <c r="X59" i="7" a="1"/>
  <c r="X59" i="7" s="1"/>
  <c r="I59" i="7" a="1"/>
  <c r="I59" i="7" s="1"/>
  <c r="O58" i="7" a="1"/>
  <c r="O58" i="7" s="1"/>
  <c r="H58" i="7" a="1"/>
  <c r="H58" i="7" s="1"/>
  <c r="W57" i="7" a="1"/>
  <c r="W57" i="7" s="1"/>
  <c r="P57" i="7" a="1"/>
  <c r="P57" i="7" s="1"/>
  <c r="J55" i="7" a="1"/>
  <c r="J55" i="7" s="1"/>
  <c r="R53" i="7" a="1"/>
  <c r="R53" i="7" s="1"/>
  <c r="K53" i="7" a="1"/>
  <c r="K53" i="7" s="1"/>
  <c r="S52" i="7" a="1"/>
  <c r="S52" i="7" s="1"/>
  <c r="L52" i="7" a="1"/>
  <c r="L52" i="7" s="1"/>
  <c r="E51" i="7" a="1"/>
  <c r="E51" i="7" s="1"/>
  <c r="L63" i="7" a="1"/>
  <c r="L63" i="7" s="1"/>
  <c r="V62" i="7" a="1"/>
  <c r="V62" i="7" s="1"/>
  <c r="L62" i="7" a="1"/>
  <c r="L62" i="7" s="1"/>
  <c r="M61" i="7" a="1"/>
  <c r="M61" i="7" s="1"/>
  <c r="Q60" i="7" a="1"/>
  <c r="Q60" i="7" s="1"/>
  <c r="P59" i="7" a="1"/>
  <c r="P59" i="7" s="1"/>
  <c r="H59" i="7" a="1"/>
  <c r="H59" i="7" s="1"/>
  <c r="H57" i="7" a="1"/>
  <c r="H57" i="7" s="1"/>
  <c r="W56" i="7" a="1"/>
  <c r="W56" i="7" s="1"/>
  <c r="P56" i="7" a="1"/>
  <c r="P56" i="7" s="1"/>
  <c r="I56" i="7" a="1"/>
  <c r="I56" i="7" s="1"/>
  <c r="X55" i="7" a="1"/>
  <c r="X55" i="7" s="1"/>
  <c r="I55" i="7" a="1"/>
  <c r="I55" i="7" s="1"/>
  <c r="X54" i="7" a="1"/>
  <c r="X54" i="7" s="1"/>
  <c r="Q54" i="7" a="1"/>
  <c r="Q54" i="7" s="1"/>
  <c r="J54" i="7" a="1"/>
  <c r="J54" i="7" s="1"/>
  <c r="L51" i="7" a="1"/>
  <c r="L51" i="7" s="1"/>
  <c r="U50" i="7" a="1"/>
  <c r="U50" i="7" s="1"/>
  <c r="O50" i="7" a="1"/>
  <c r="O50" i="7" s="1"/>
  <c r="I50" i="7" a="1"/>
  <c r="I50" i="7" s="1"/>
  <c r="Y49" i="7" a="1"/>
  <c r="Y49" i="7" s="1"/>
  <c r="S49" i="7" a="1"/>
  <c r="S49" i="7" s="1"/>
  <c r="M49" i="7" a="1"/>
  <c r="M49" i="7" s="1"/>
  <c r="F49" i="7"/>
  <c r="W48" i="7" a="1"/>
  <c r="W48" i="7" s="1"/>
  <c r="Q48" i="7" a="1"/>
  <c r="Q48" i="7" s="1"/>
  <c r="K48" i="7" a="1"/>
  <c r="K48" i="7" s="1"/>
  <c r="U62" i="7" a="1"/>
  <c r="U62" i="7" s="1"/>
  <c r="K62" i="7" a="1"/>
  <c r="K62" i="7" s="1"/>
  <c r="U61" i="7" a="1"/>
  <c r="U61" i="7" s="1"/>
  <c r="W59" i="7" a="1"/>
  <c r="W59" i="7" s="1"/>
  <c r="U58" i="7" a="1"/>
  <c r="U58" i="7" s="1"/>
  <c r="N58" i="7" a="1"/>
  <c r="N58" i="7" s="1"/>
  <c r="F58" i="7"/>
  <c r="V57" i="7" a="1"/>
  <c r="V57" i="7" s="1"/>
  <c r="T63" i="7" a="1"/>
  <c r="T63" i="7" s="1"/>
  <c r="F63" i="7"/>
  <c r="H62" i="7" a="1"/>
  <c r="H62" i="7" s="1"/>
  <c r="I61" i="7" a="1"/>
  <c r="I61" i="7" s="1"/>
  <c r="F60" i="7"/>
  <c r="U59" i="7" a="1"/>
  <c r="U59" i="7" s="1"/>
  <c r="T57" i="7" a="1"/>
  <c r="T57" i="7" s="1"/>
  <c r="M57" i="7" a="1"/>
  <c r="M57" i="7" s="1"/>
  <c r="E57" i="7" a="1"/>
  <c r="E57" i="7" s="1"/>
  <c r="U56" i="7" a="1"/>
  <c r="U56" i="7" s="1"/>
  <c r="E56" i="7" a="1"/>
  <c r="E56" i="7" s="1"/>
  <c r="U55" i="7" a="1"/>
  <c r="U55" i="7" s="1"/>
  <c r="N55" i="7" a="1"/>
  <c r="N55" i="7" s="1"/>
  <c r="F55" i="7"/>
  <c r="V54" i="7" a="1"/>
  <c r="V54" i="7" s="1"/>
  <c r="J51" i="7" a="1"/>
  <c r="J51" i="7" s="1"/>
  <c r="S50" i="7" a="1"/>
  <c r="S50" i="7" s="1"/>
  <c r="M50" i="7" a="1"/>
  <c r="M50" i="7" s="1"/>
  <c r="F50" i="7"/>
  <c r="W49" i="7" a="1"/>
  <c r="W49" i="7" s="1"/>
  <c r="Q49" i="7" a="1"/>
  <c r="Q49" i="7" s="1"/>
  <c r="K49" i="7" a="1"/>
  <c r="K49" i="7" s="1"/>
  <c r="U48" i="7" a="1"/>
  <c r="U48" i="7" s="1"/>
  <c r="O48" i="7" a="1"/>
  <c r="O48" i="7" s="1"/>
  <c r="I48" i="7" a="1"/>
  <c r="I48" i="7" s="1"/>
  <c r="Y47" i="7" a="1"/>
  <c r="Y47" i="7" s="1"/>
  <c r="S47" i="7" a="1"/>
  <c r="S47" i="7" s="1"/>
  <c r="M47" i="7" a="1"/>
  <c r="M47" i="7" s="1"/>
  <c r="F47" i="7"/>
  <c r="W46" i="7" a="1"/>
  <c r="W46" i="7" s="1"/>
  <c r="Q46" i="7" a="1"/>
  <c r="Q46" i="7" s="1"/>
  <c r="K46" i="7" a="1"/>
  <c r="K46" i="7" s="1"/>
  <c r="U45" i="7" a="1"/>
  <c r="U45" i="7" s="1"/>
  <c r="O45" i="7" a="1"/>
  <c r="O45" i="7" s="1"/>
  <c r="I45" i="7" a="1"/>
  <c r="I45" i="7" s="1"/>
  <c r="Y44" i="7" a="1"/>
  <c r="Y44" i="7" s="1"/>
  <c r="S44" i="7" a="1"/>
  <c r="S44" i="7" s="1"/>
  <c r="M44" i="7" a="1"/>
  <c r="M44" i="7" s="1"/>
  <c r="F44" i="7"/>
  <c r="W43" i="7" a="1"/>
  <c r="W43" i="7" s="1"/>
  <c r="Q43" i="7" a="1"/>
  <c r="Q43" i="7" s="1"/>
  <c r="K43" i="7" a="1"/>
  <c r="K43" i="7" s="1"/>
  <c r="U42" i="7" a="1"/>
  <c r="U42" i="7" s="1"/>
  <c r="O42" i="7" a="1"/>
  <c r="O42" i="7" s="1"/>
  <c r="I42" i="7" a="1"/>
  <c r="I42" i="7" s="1"/>
  <c r="Y41" i="7" a="1"/>
  <c r="Y41" i="7" s="1"/>
  <c r="M64" i="7" a="1"/>
  <c r="M64" i="7" s="1"/>
  <c r="S63" i="7" a="1"/>
  <c r="S63" i="7" s="1"/>
  <c r="E63" i="7" a="1"/>
  <c r="E63" i="7" s="1"/>
  <c r="S61" i="7" a="1"/>
  <c r="S61" i="7" s="1"/>
  <c r="H61" i="7" a="1"/>
  <c r="H61" i="7" s="1"/>
  <c r="V60" i="7" a="1"/>
  <c r="V60" i="7" s="1"/>
  <c r="N60" i="7" a="1"/>
  <c r="N60" i="7" s="1"/>
  <c r="L59" i="7" a="1"/>
  <c r="L59" i="7" s="1"/>
  <c r="S58" i="7" a="1"/>
  <c r="S58" i="7" s="1"/>
  <c r="L58" i="7" a="1"/>
  <c r="L58" i="7" s="1"/>
  <c r="T56" i="7" a="1"/>
  <c r="T56" i="7" s="1"/>
  <c r="N54" i="7" a="1"/>
  <c r="N54" i="7" s="1"/>
  <c r="F54" i="7"/>
  <c r="V53" i="7" a="1"/>
  <c r="V53" i="7" s="1"/>
  <c r="O53" i="7" a="1"/>
  <c r="O53" i="7" s="1"/>
  <c r="V52" i="7" a="1"/>
  <c r="V52" i="7" s="1"/>
  <c r="O52" i="7" a="1"/>
  <c r="O52" i="7" s="1"/>
  <c r="H52" i="7" a="1"/>
  <c r="H52" i="7" s="1"/>
  <c r="W51" i="7" a="1"/>
  <c r="W51" i="7" s="1"/>
  <c r="P51" i="7" a="1"/>
  <c r="P51" i="7" s="1"/>
  <c r="Y50" i="7" a="1"/>
  <c r="Y50" i="7" s="1"/>
  <c r="J63" i="7" a="1"/>
  <c r="J63" i="7" s="1"/>
  <c r="H55" i="7" a="1"/>
  <c r="H55" i="7" s="1"/>
  <c r="Y52" i="7" a="1"/>
  <c r="Y52" i="7" s="1"/>
  <c r="I52" i="7" a="1"/>
  <c r="I52" i="7" s="1"/>
  <c r="L61" i="7" a="1"/>
  <c r="L61" i="7" s="1"/>
  <c r="T58" i="7" a="1"/>
  <c r="T58" i="7" s="1"/>
  <c r="N57" i="7" a="1"/>
  <c r="N57" i="7" s="1"/>
  <c r="K56" i="7" a="1"/>
  <c r="K56" i="7" s="1"/>
  <c r="Q53" i="7" a="1"/>
  <c r="Q53" i="7" s="1"/>
  <c r="N51" i="7" a="1"/>
  <c r="N51" i="7" s="1"/>
  <c r="T50" i="7" a="1"/>
  <c r="T50" i="7" s="1"/>
  <c r="Q47" i="7" a="1"/>
  <c r="Q47" i="7" s="1"/>
  <c r="H47" i="7" a="1"/>
  <c r="H47" i="7" s="1"/>
  <c r="S46" i="7" a="1"/>
  <c r="S46" i="7" s="1"/>
  <c r="V45" i="7" a="1"/>
  <c r="V45" i="7" s="1"/>
  <c r="K45" i="7" a="1"/>
  <c r="K45" i="7" s="1"/>
  <c r="N43" i="7" a="1"/>
  <c r="N43" i="7" s="1"/>
  <c r="E42" i="7" a="1"/>
  <c r="E42" i="7" s="1"/>
  <c r="S41" i="7" a="1"/>
  <c r="S41" i="7" s="1"/>
  <c r="I41" i="7" a="1"/>
  <c r="I41" i="7" s="1"/>
  <c r="W40" i="7" a="1"/>
  <c r="W40" i="7" s="1"/>
  <c r="M40" i="7" a="1"/>
  <c r="M40" i="7" s="1"/>
  <c r="Y38" i="7" a="1"/>
  <c r="Y38" i="7" s="1"/>
  <c r="W37" i="7" a="1"/>
  <c r="W37" i="7" s="1"/>
  <c r="U36" i="7" a="1"/>
  <c r="U36" i="7" s="1"/>
  <c r="S35" i="7" a="1"/>
  <c r="S35" i="7" s="1"/>
  <c r="Q34" i="7" a="1"/>
  <c r="Q34" i="7" s="1"/>
  <c r="V59" i="7" a="1"/>
  <c r="V59" i="7" s="1"/>
  <c r="P53" i="7" a="1"/>
  <c r="P53" i="7" s="1"/>
  <c r="K51" i="7" a="1"/>
  <c r="K51" i="7" s="1"/>
  <c r="Q50" i="7" a="1"/>
  <c r="Q50" i="7" s="1"/>
  <c r="L49" i="7" a="1"/>
  <c r="L49" i="7" s="1"/>
  <c r="P47" i="7" a="1"/>
  <c r="P47" i="7" s="1"/>
  <c r="R46" i="7" a="1"/>
  <c r="R46" i="7" s="1"/>
  <c r="F46" i="7"/>
  <c r="S45" i="7" a="1"/>
  <c r="S45" i="7" s="1"/>
  <c r="J45" i="7" a="1"/>
  <c r="J45" i="7" s="1"/>
  <c r="U44" i="7" a="1"/>
  <c r="U44" i="7" s="1"/>
  <c r="H41" i="7" a="1"/>
  <c r="H41" i="7" s="1"/>
  <c r="L40" i="7" a="1"/>
  <c r="L40" i="7" s="1"/>
  <c r="Y39" i="7" a="1"/>
  <c r="Y39" i="7" s="1"/>
  <c r="Q39" i="7" a="1"/>
  <c r="Q39" i="7" s="1"/>
  <c r="W38" i="7" a="1"/>
  <c r="W38" i="7" s="1"/>
  <c r="O38" i="7" a="1"/>
  <c r="O38" i="7" s="1"/>
  <c r="S64" i="7" a="1"/>
  <c r="S64" i="7" s="1"/>
  <c r="T62" i="7" a="1"/>
  <c r="T62" i="7" s="1"/>
  <c r="R59" i="7" a="1"/>
  <c r="R59" i="7" s="1"/>
  <c r="M58" i="7" a="1"/>
  <c r="M58" i="7" s="1"/>
  <c r="F57" i="7"/>
  <c r="H54" i="7" a="1"/>
  <c r="H54" i="7" s="1"/>
  <c r="T52" i="7" a="1"/>
  <c r="T52" i="7" s="1"/>
  <c r="Y51" i="7" a="1"/>
  <c r="Y51" i="7" s="1"/>
  <c r="S48" i="7" a="1"/>
  <c r="S48" i="7" s="1"/>
  <c r="O47" i="7" a="1"/>
  <c r="O47" i="7" s="1"/>
  <c r="J44" i="7" a="1"/>
  <c r="J44" i="7" s="1"/>
  <c r="U43" i="7" a="1"/>
  <c r="U43" i="7" s="1"/>
  <c r="L43" i="7" a="1"/>
  <c r="L43" i="7" s="1"/>
  <c r="X42" i="7" a="1"/>
  <c r="X42" i="7" s="1"/>
  <c r="M42" i="7" a="1"/>
  <c r="M42" i="7" s="1"/>
  <c r="P41" i="7" a="1"/>
  <c r="P41" i="7" s="1"/>
  <c r="T40" i="7" a="1"/>
  <c r="T40" i="7" s="1"/>
  <c r="I39" i="7" a="1"/>
  <c r="I39" i="7" s="1"/>
  <c r="F38" i="7"/>
  <c r="Y35" i="7" a="1"/>
  <c r="Y35" i="7" s="1"/>
  <c r="W34" i="7" a="1"/>
  <c r="W34" i="7" s="1"/>
  <c r="N64" i="7" a="1"/>
  <c r="N64" i="7" s="1"/>
  <c r="O62" i="7" a="1"/>
  <c r="O62" i="7" s="1"/>
  <c r="J58" i="7" a="1"/>
  <c r="J58" i="7" s="1"/>
  <c r="V55" i="7" a="1"/>
  <c r="V55" i="7" s="1"/>
  <c r="W54" i="7" a="1"/>
  <c r="W54" i="7" s="1"/>
  <c r="L53" i="7" a="1"/>
  <c r="L53" i="7" s="1"/>
  <c r="R52" i="7" a="1"/>
  <c r="R52" i="7" s="1"/>
  <c r="H51" i="7" a="1"/>
  <c r="H51" i="7" s="1"/>
  <c r="X49" i="7" a="1"/>
  <c r="X49" i="7" s="1"/>
  <c r="I49" i="7" a="1"/>
  <c r="I49" i="7" s="1"/>
  <c r="I64" i="7" a="1"/>
  <c r="I64" i="7" s="1"/>
  <c r="W60" i="7" a="1"/>
  <c r="W60" i="7" s="1"/>
  <c r="N59" i="7" a="1"/>
  <c r="N59" i="7" s="1"/>
  <c r="J53" i="7" a="1"/>
  <c r="J53" i="7" s="1"/>
  <c r="X51" i="7" a="1"/>
  <c r="X51" i="7" s="1"/>
  <c r="N50" i="7" a="1"/>
  <c r="N50" i="7" s="1"/>
  <c r="N47" i="7" a="1"/>
  <c r="N47" i="7" s="1"/>
  <c r="Y46" i="7" a="1"/>
  <c r="Y46" i="7" s="1"/>
  <c r="Q45" i="7" a="1"/>
  <c r="Q45" i="7" s="1"/>
  <c r="T43" i="7" a="1"/>
  <c r="T43" i="7" s="1"/>
  <c r="I43" i="7" a="1"/>
  <c r="I43" i="7" s="1"/>
  <c r="L42" i="7" a="1"/>
  <c r="L42" i="7" s="1"/>
  <c r="W41" i="7" a="1"/>
  <c r="W41" i="7" s="1"/>
  <c r="I40" i="7" a="1"/>
  <c r="I40" i="7" s="1"/>
  <c r="W39" i="7" a="1"/>
  <c r="W39" i="7" s="1"/>
  <c r="F39" i="7"/>
  <c r="U38" i="7" a="1"/>
  <c r="U38" i="7" s="1"/>
  <c r="S37" i="7" a="1"/>
  <c r="S37" i="7" s="1"/>
  <c r="Y36" i="7" a="1"/>
  <c r="Y36" i="7" s="1"/>
  <c r="Q36" i="7" a="1"/>
  <c r="Q36" i="7" s="1"/>
  <c r="W35" i="7" a="1"/>
  <c r="W35" i="7" s="1"/>
  <c r="O35" i="7" a="1"/>
  <c r="O35" i="7" s="1"/>
  <c r="U34" i="7" a="1"/>
  <c r="U34" i="7" s="1"/>
  <c r="M34" i="7" a="1"/>
  <c r="M34" i="7" s="1"/>
  <c r="S33" i="7" a="1"/>
  <c r="S33" i="7" s="1"/>
  <c r="K33" i="7" a="1"/>
  <c r="K33" i="7" s="1"/>
  <c r="Q32" i="7" a="1"/>
  <c r="Q32" i="7" s="1"/>
  <c r="I32" i="7" a="1"/>
  <c r="I32" i="7" s="1"/>
  <c r="P31" i="7" a="1"/>
  <c r="P31" i="7" s="1"/>
  <c r="Y30" i="7" a="1"/>
  <c r="Y30" i="7" s="1"/>
  <c r="L30" i="7" a="1"/>
  <c r="L30" i="7" s="1"/>
  <c r="N29" i="7" a="1"/>
  <c r="N29" i="7" s="1"/>
  <c r="W28" i="7" a="1"/>
  <c r="W28" i="7" s="1"/>
  <c r="J28" i="7" a="1"/>
  <c r="J28" i="7" s="1"/>
  <c r="J62" i="7" a="1"/>
  <c r="J62" i="7" s="1"/>
  <c r="X63" i="7" a="1"/>
  <c r="X63" i="7" s="1"/>
  <c r="P60" i="7" a="1"/>
  <c r="P60" i="7" s="1"/>
  <c r="E59" i="7" a="1"/>
  <c r="E59" i="7" s="1"/>
  <c r="V56" i="7" a="1"/>
  <c r="V56" i="7" s="1"/>
  <c r="O55" i="7" a="1"/>
  <c r="O55" i="7" s="1"/>
  <c r="S54" i="7" a="1"/>
  <c r="S54" i="7" s="1"/>
  <c r="X53" i="7" a="1"/>
  <c r="X53" i="7" s="1"/>
  <c r="I53" i="7" a="1"/>
  <c r="I53" i="7" s="1"/>
  <c r="K50" i="7" a="1"/>
  <c r="K50" i="7" s="1"/>
  <c r="E49" i="7" a="1"/>
  <c r="E49" i="7" s="1"/>
  <c r="K47" i="7" a="1"/>
  <c r="K47" i="7" s="1"/>
  <c r="X46" i="7" a="1"/>
  <c r="X46" i="7" s="1"/>
  <c r="M46" i="7" a="1"/>
  <c r="M46" i="7" s="1"/>
  <c r="Y45" i="7" a="1"/>
  <c r="Y45" i="7" s="1"/>
  <c r="P45" i="7" a="1"/>
  <c r="P45" i="7" s="1"/>
  <c r="Q63" i="7" a="1"/>
  <c r="Q63" i="7" s="1"/>
  <c r="L60" i="7" a="1"/>
  <c r="L60" i="7" s="1"/>
  <c r="R56" i="7" a="1"/>
  <c r="R56" i="7" s="1"/>
  <c r="L55" i="7" a="1"/>
  <c r="L55" i="7" s="1"/>
  <c r="P54" i="7" a="1"/>
  <c r="P54" i="7" s="1"/>
  <c r="W53" i="7" a="1"/>
  <c r="W53" i="7" s="1"/>
  <c r="R49" i="7" a="1"/>
  <c r="R49" i="7" s="1"/>
  <c r="Y48" i="7" a="1"/>
  <c r="Y48" i="7" s="1"/>
  <c r="T47" i="7" a="1"/>
  <c r="T47" i="7" s="1"/>
  <c r="E46" i="7" a="1"/>
  <c r="E46" i="7" s="1"/>
  <c r="L45" i="7" a="1"/>
  <c r="L45" i="7" s="1"/>
  <c r="O44" i="7" a="1"/>
  <c r="O44" i="7" s="1"/>
  <c r="S43" i="7" a="1"/>
  <c r="S43" i="7" s="1"/>
  <c r="K42" i="7" a="1"/>
  <c r="K42" i="7" s="1"/>
  <c r="F41" i="7"/>
  <c r="O40" i="7" a="1"/>
  <c r="O40" i="7" s="1"/>
  <c r="X39" i="7" a="1"/>
  <c r="X39" i="7" s="1"/>
  <c r="V38" i="7" a="1"/>
  <c r="V38" i="7" s="1"/>
  <c r="U37" i="7" a="1"/>
  <c r="U37" i="7" s="1"/>
  <c r="J37" i="7" a="1"/>
  <c r="J37" i="7" s="1"/>
  <c r="V36" i="7" a="1"/>
  <c r="V36" i="7" s="1"/>
  <c r="K36" i="7" a="1"/>
  <c r="K36" i="7" s="1"/>
  <c r="V35" i="7" a="1"/>
  <c r="V35" i="7" s="1"/>
  <c r="L35" i="7" a="1"/>
  <c r="L35" i="7" s="1"/>
  <c r="Q33" i="7" a="1"/>
  <c r="Q33" i="7" s="1"/>
  <c r="I33" i="7" a="1"/>
  <c r="I33" i="7" s="1"/>
  <c r="V32" i="7" a="1"/>
  <c r="V32" i="7" s="1"/>
  <c r="R31" i="7" a="1"/>
  <c r="R31" i="7" s="1"/>
  <c r="K31" i="7" a="1"/>
  <c r="K31" i="7" s="1"/>
  <c r="S30" i="7" a="1"/>
  <c r="S30" i="7" s="1"/>
  <c r="K30" i="7" a="1"/>
  <c r="K30" i="7" s="1"/>
  <c r="S29" i="7" a="1"/>
  <c r="S29" i="7" s="1"/>
  <c r="L29" i="7" a="1"/>
  <c r="L29" i="7" s="1"/>
  <c r="T28" i="7" a="1"/>
  <c r="T28" i="7" s="1"/>
  <c r="U27" i="7" a="1"/>
  <c r="U27" i="7" s="1"/>
  <c r="H27" i="7" a="1"/>
  <c r="H27" i="7" s="1"/>
  <c r="W26" i="7" a="1"/>
  <c r="W26" i="7" s="1"/>
  <c r="J26" i="7" a="1"/>
  <c r="J26" i="7" s="1"/>
  <c r="S25" i="7" a="1"/>
  <c r="S25" i="7" s="1"/>
  <c r="E25" i="7" a="1"/>
  <c r="E25" i="7" s="1"/>
  <c r="O24" i="7" a="1"/>
  <c r="O24" i="7" s="1"/>
  <c r="I24" i="7" a="1"/>
  <c r="I24" i="7" s="1"/>
  <c r="Y23" i="7" a="1"/>
  <c r="Y23" i="7" s="1"/>
  <c r="S23" i="7" a="1"/>
  <c r="S23" i="7" s="1"/>
  <c r="M23" i="7" a="1"/>
  <c r="M23" i="7" s="1"/>
  <c r="F23" i="7"/>
  <c r="W22" i="7" a="1"/>
  <c r="W22" i="7" s="1"/>
  <c r="Q22" i="7" a="1"/>
  <c r="Q22" i="7" s="1"/>
  <c r="K22" i="7" a="1"/>
  <c r="K22" i="7" s="1"/>
  <c r="U21" i="7" a="1"/>
  <c r="U21" i="7" s="1"/>
  <c r="O21" i="7" a="1"/>
  <c r="O21" i="7" s="1"/>
  <c r="I21" i="7" a="1"/>
  <c r="I21" i="7" s="1"/>
  <c r="Y20" i="7" a="1"/>
  <c r="Y20" i="7" s="1"/>
  <c r="S20" i="7" a="1"/>
  <c r="S20" i="7" s="1"/>
  <c r="M20" i="7" a="1"/>
  <c r="M20" i="7" s="1"/>
  <c r="F20" i="7"/>
  <c r="W19" i="7" a="1"/>
  <c r="W19" i="7" s="1"/>
  <c r="Q19" i="7" a="1"/>
  <c r="Q19" i="7" s="1"/>
  <c r="K19" i="7" a="1"/>
  <c r="K19" i="7" s="1"/>
  <c r="U18" i="7" a="1"/>
  <c r="U18" i="7" s="1"/>
  <c r="O18" i="7" a="1"/>
  <c r="O18" i="7" s="1"/>
  <c r="I18" i="7" a="1"/>
  <c r="I18" i="7" s="1"/>
  <c r="Y17" i="7" a="1"/>
  <c r="Y17" i="7" s="1"/>
  <c r="S17" i="7" a="1"/>
  <c r="S17" i="7" s="1"/>
  <c r="M17" i="7" a="1"/>
  <c r="M17" i="7" s="1"/>
  <c r="F17" i="7"/>
  <c r="W16" i="7" a="1"/>
  <c r="W16" i="7" s="1"/>
  <c r="Q16" i="7" a="1"/>
  <c r="Q16" i="7" s="1"/>
  <c r="K16" i="7" a="1"/>
  <c r="K16" i="7" s="1"/>
  <c r="E52" i="7" a="1"/>
  <c r="E52" i="7" s="1"/>
  <c r="H50" i="7" a="1"/>
  <c r="H50" i="7" s="1"/>
  <c r="U46" i="7" a="1"/>
  <c r="U46" i="7" s="1"/>
  <c r="R43" i="7" a="1"/>
  <c r="R43" i="7" s="1"/>
  <c r="T41" i="7" a="1"/>
  <c r="T41" i="7" s="1"/>
  <c r="L39" i="7" a="1"/>
  <c r="L39" i="7" s="1"/>
  <c r="J38" i="7" a="1"/>
  <c r="J38" i="7" s="1"/>
  <c r="T37" i="7" a="1"/>
  <c r="T37" i="7" s="1"/>
  <c r="I37" i="7" a="1"/>
  <c r="I37" i="7" s="1"/>
  <c r="J36" i="7" a="1"/>
  <c r="J36" i="7" s="1"/>
  <c r="U35" i="7" a="1"/>
  <c r="U35" i="7" s="1"/>
  <c r="K35" i="7" a="1"/>
  <c r="K35" i="7" s="1"/>
  <c r="V34" i="7" a="1"/>
  <c r="V34" i="7" s="1"/>
  <c r="L34" i="7" a="1"/>
  <c r="L34" i="7" s="1"/>
  <c r="Y33" i="7" a="1"/>
  <c r="Y33" i="7" s="1"/>
  <c r="H33" i="7" a="1"/>
  <c r="H33" i="7" s="1"/>
  <c r="U32" i="7" a="1"/>
  <c r="U32" i="7" s="1"/>
  <c r="M32" i="7" a="1"/>
  <c r="M32" i="7" s="1"/>
  <c r="R30" i="7" a="1"/>
  <c r="R30" i="7" s="1"/>
  <c r="S28" i="7" a="1"/>
  <c r="S28" i="7" s="1"/>
  <c r="L28" i="7" a="1"/>
  <c r="L28" i="7" s="1"/>
  <c r="N27" i="7" a="1"/>
  <c r="N27" i="7" s="1"/>
  <c r="F27" i="7"/>
  <c r="P26" i="7" a="1"/>
  <c r="P26" i="7" s="1"/>
  <c r="Y25" i="7" a="1"/>
  <c r="Y25" i="7" s="1"/>
  <c r="L25" i="7" a="1"/>
  <c r="L25" i="7" s="1"/>
  <c r="U24" i="7" a="1"/>
  <c r="U24" i="7" s="1"/>
  <c r="O56" i="7" a="1"/>
  <c r="O56" i="7" s="1"/>
  <c r="V48" i="7" a="1"/>
  <c r="V48" i="7" s="1"/>
  <c r="F45" i="7"/>
  <c r="N44" i="7" a="1"/>
  <c r="N44" i="7" s="1"/>
  <c r="Y42" i="7" a="1"/>
  <c r="Y42" i="7" s="1"/>
  <c r="J42" i="7" a="1"/>
  <c r="J42" i="7" s="1"/>
  <c r="N40" i="7" a="1"/>
  <c r="N40" i="7" s="1"/>
  <c r="V39" i="7" a="1"/>
  <c r="V39" i="7" s="1"/>
  <c r="H56" i="7" a="1"/>
  <c r="H56" i="7" s="1"/>
  <c r="T46" i="7" a="1"/>
  <c r="T46" i="7" s="1"/>
  <c r="X45" i="7" a="1"/>
  <c r="X45" i="7" s="1"/>
  <c r="E45" i="7" a="1"/>
  <c r="E45" i="7" s="1"/>
  <c r="K44" i="7" a="1"/>
  <c r="K44" i="7" s="1"/>
  <c r="O43" i="7" a="1"/>
  <c r="O43" i="7" s="1"/>
  <c r="W42" i="7" a="1"/>
  <c r="W42" i="7" s="1"/>
  <c r="Q41" i="7" a="1"/>
  <c r="Q41" i="7" s="1"/>
  <c r="Y40" i="7" a="1"/>
  <c r="Y40" i="7" s="1"/>
  <c r="J39" i="7" a="1"/>
  <c r="J39" i="7" s="1"/>
  <c r="H38" i="7" a="1"/>
  <c r="H38" i="7" s="1"/>
  <c r="R37" i="7" a="1"/>
  <c r="R37" i="7" s="1"/>
  <c r="H37" i="7" a="1"/>
  <c r="H37" i="7" s="1"/>
  <c r="S36" i="7" a="1"/>
  <c r="S36" i="7" s="1"/>
  <c r="H36" i="7" a="1"/>
  <c r="H36" i="7" s="1"/>
  <c r="T35" i="7" a="1"/>
  <c r="T35" i="7" s="1"/>
  <c r="I35" i="7" a="1"/>
  <c r="I35" i="7" s="1"/>
  <c r="T34" i="7" a="1"/>
  <c r="T34" i="7" s="1"/>
  <c r="K34" i="7" a="1"/>
  <c r="K34" i="7" s="1"/>
  <c r="X33" i="7" a="1"/>
  <c r="X33" i="7" s="1"/>
  <c r="T32" i="7" a="1"/>
  <c r="T32" i="7" s="1"/>
  <c r="K32" i="7" a="1"/>
  <c r="K32" i="7" s="1"/>
  <c r="I31" i="7" a="1"/>
  <c r="I31" i="7" s="1"/>
  <c r="X30" i="7" a="1"/>
  <c r="X30" i="7" s="1"/>
  <c r="Y58" i="7" a="1"/>
  <c r="Y58" i="7" s="1"/>
  <c r="T53" i="7" a="1"/>
  <c r="T53" i="7" s="1"/>
  <c r="R51" i="7" a="1"/>
  <c r="R51" i="7" s="1"/>
  <c r="U49" i="7" a="1"/>
  <c r="U49" i="7" s="1"/>
  <c r="P48" i="7" a="1"/>
  <c r="P48" i="7" s="1"/>
  <c r="W45" i="7" a="1"/>
  <c r="W45" i="7" s="1"/>
  <c r="I44" i="7" a="1"/>
  <c r="I44" i="7" s="1"/>
  <c r="V42" i="7" a="1"/>
  <c r="V42" i="7" s="1"/>
  <c r="F42" i="7"/>
  <c r="O41" i="7" a="1"/>
  <c r="O41" i="7" s="1"/>
  <c r="K40" i="7" a="1"/>
  <c r="K40" i="7" s="1"/>
  <c r="U39" i="7" a="1"/>
  <c r="U39" i="7" s="1"/>
  <c r="H39" i="7" a="1"/>
  <c r="H39" i="7" s="1"/>
  <c r="S38" i="7" a="1"/>
  <c r="S38" i="7" s="1"/>
  <c r="E38" i="7" a="1"/>
  <c r="E38" i="7" s="1"/>
  <c r="F37" i="7"/>
  <c r="R36" i="7" a="1"/>
  <c r="R36" i="7" s="1"/>
  <c r="F36" i="7"/>
  <c r="H35" i="7" a="1"/>
  <c r="H35" i="7" s="1"/>
  <c r="S34" i="7" a="1"/>
  <c r="S34" i="7" s="1"/>
  <c r="J34" i="7" a="1"/>
  <c r="J34" i="7" s="1"/>
  <c r="W33" i="7" a="1"/>
  <c r="W33" i="7" s="1"/>
  <c r="O33" i="7" a="1"/>
  <c r="O33" i="7" s="1"/>
  <c r="E33" i="7" a="1"/>
  <c r="E33" i="7" s="1"/>
  <c r="X31" i="7" a="1"/>
  <c r="X31" i="7" s="1"/>
  <c r="W30" i="7" a="1"/>
  <c r="W30" i="7" s="1"/>
  <c r="P30" i="7" a="1"/>
  <c r="P30" i="7" s="1"/>
  <c r="I30" i="7" a="1"/>
  <c r="I30" i="7" s="1"/>
  <c r="X29" i="7" a="1"/>
  <c r="X29" i="7" s="1"/>
  <c r="Q29" i="7" a="1"/>
  <c r="Q29" i="7" s="1"/>
  <c r="J29" i="7" a="1"/>
  <c r="J29" i="7" s="1"/>
  <c r="Y27" i="7" a="1"/>
  <c r="Y27" i="7" s="1"/>
  <c r="L27" i="7" a="1"/>
  <c r="L27" i="7" s="1"/>
  <c r="U26" i="7" a="1"/>
  <c r="U26" i="7" s="1"/>
  <c r="H26" i="7" a="1"/>
  <c r="H26" i="7" s="1"/>
  <c r="Q25" i="7" a="1"/>
  <c r="Q25" i="7" s="1"/>
  <c r="S24" i="7" a="1"/>
  <c r="S24" i="7" s="1"/>
  <c r="M24" i="7" a="1"/>
  <c r="M24" i="7" s="1"/>
  <c r="F24" i="7"/>
  <c r="W23" i="7" a="1"/>
  <c r="W23" i="7" s="1"/>
  <c r="Q23" i="7" a="1"/>
  <c r="Q23" i="7" s="1"/>
  <c r="K23" i="7" a="1"/>
  <c r="K23" i="7" s="1"/>
  <c r="U22" i="7" a="1"/>
  <c r="U22" i="7" s="1"/>
  <c r="O22" i="7" a="1"/>
  <c r="O22" i="7" s="1"/>
  <c r="I22" i="7" a="1"/>
  <c r="I22" i="7" s="1"/>
  <c r="Y21" i="7" a="1"/>
  <c r="Y21" i="7" s="1"/>
  <c r="S21" i="7" a="1"/>
  <c r="S21" i="7" s="1"/>
  <c r="M21" i="7" a="1"/>
  <c r="M21" i="7" s="1"/>
  <c r="F21" i="7"/>
  <c r="W20" i="7" a="1"/>
  <c r="W20" i="7" s="1"/>
  <c r="Q20" i="7" a="1"/>
  <c r="Q20" i="7" s="1"/>
  <c r="K20" i="7" a="1"/>
  <c r="K20" i="7" s="1"/>
  <c r="U19" i="7" a="1"/>
  <c r="U19" i="7" s="1"/>
  <c r="O19" i="7" a="1"/>
  <c r="O19" i="7" s="1"/>
  <c r="I19" i="7" a="1"/>
  <c r="I19" i="7" s="1"/>
  <c r="Y18" i="7" a="1"/>
  <c r="Y18" i="7" s="1"/>
  <c r="S18" i="7" a="1"/>
  <c r="S18" i="7" s="1"/>
  <c r="M18" i="7" a="1"/>
  <c r="M18" i="7" s="1"/>
  <c r="F18" i="7"/>
  <c r="W17" i="7" a="1"/>
  <c r="W17" i="7" s="1"/>
  <c r="Q17" i="7" a="1"/>
  <c r="Q17" i="7" s="1"/>
  <c r="K17" i="7" a="1"/>
  <c r="K17" i="7" s="1"/>
  <c r="U16" i="7" a="1"/>
  <c r="U16" i="7" s="1"/>
  <c r="O16" i="7" a="1"/>
  <c r="O16" i="7" s="1"/>
  <c r="I16" i="7" a="1"/>
  <c r="I16" i="7" s="1"/>
  <c r="T61" i="7" a="1"/>
  <c r="T61" i="7" s="1"/>
  <c r="S55" i="7" a="1"/>
  <c r="S55" i="7" s="1"/>
  <c r="Q51" i="7" a="1"/>
  <c r="Q51" i="7" s="1"/>
  <c r="M48" i="7" a="1"/>
  <c r="M48" i="7" s="1"/>
  <c r="O46" i="7" a="1"/>
  <c r="O46" i="7" s="1"/>
  <c r="H44" i="7" a="1"/>
  <c r="H44" i="7" s="1"/>
  <c r="M43" i="7" a="1"/>
  <c r="M43" i="7" s="1"/>
  <c r="N41" i="7" a="1"/>
  <c r="N41" i="7" s="1"/>
  <c r="X40" i="7" a="1"/>
  <c r="X40" i="7" s="1"/>
  <c r="T39" i="7" a="1"/>
  <c r="T39" i="7" s="1"/>
  <c r="R38" i="7" a="1"/>
  <c r="R38" i="7" s="1"/>
  <c r="Q37" i="7" a="1"/>
  <c r="Q37" i="7" s="1"/>
  <c r="E37" i="7" a="1"/>
  <c r="E37" i="7" s="1"/>
  <c r="R35" i="7" a="1"/>
  <c r="R35" i="7" s="1"/>
  <c r="F35" i="7"/>
  <c r="I34" i="7" a="1"/>
  <c r="I34" i="7" s="1"/>
  <c r="N33" i="7" a="1"/>
  <c r="N33" i="7" s="1"/>
  <c r="S32" i="7" a="1"/>
  <c r="S32" i="7" s="1"/>
  <c r="J32" i="7" a="1"/>
  <c r="J32" i="7" s="1"/>
  <c r="W31" i="7" a="1"/>
  <c r="W31" i="7" s="1"/>
  <c r="O31" i="7" a="1"/>
  <c r="O31" i="7" s="1"/>
  <c r="H31" i="7" a="1"/>
  <c r="H31" i="7" s="1"/>
  <c r="I29" i="7" a="1"/>
  <c r="I29" i="7" s="1"/>
  <c r="X28" i="7" a="1"/>
  <c r="X28" i="7" s="1"/>
  <c r="Q28" i="7" a="1"/>
  <c r="Q28" i="7" s="1"/>
  <c r="R27" i="7" a="1"/>
  <c r="R27" i="7" s="1"/>
  <c r="N26" i="7" a="1"/>
  <c r="N26" i="7" s="1"/>
  <c r="W25" i="7" a="1"/>
  <c r="W25" i="7" s="1"/>
  <c r="J25" i="7" a="1"/>
  <c r="J25" i="7" s="1"/>
  <c r="Y24" i="7" a="1"/>
  <c r="Y24" i="7" s="1"/>
  <c r="H60" i="7" a="1"/>
  <c r="H60" i="7" s="1"/>
  <c r="P52" i="7" a="1"/>
  <c r="P52" i="7" s="1"/>
  <c r="W47" i="7" a="1"/>
  <c r="W47" i="7" s="1"/>
  <c r="I46" i="7" a="1"/>
  <c r="I46" i="7" s="1"/>
  <c r="M45" i="7" a="1"/>
  <c r="M45" i="7" s="1"/>
  <c r="Q44" i="7" a="1"/>
  <c r="Q44" i="7" s="1"/>
  <c r="X43" i="7" a="1"/>
  <c r="X43" i="7" s="1"/>
  <c r="P42" i="7" a="1"/>
  <c r="P42" i="7" s="1"/>
  <c r="V41" i="7" a="1"/>
  <c r="V41" i="7" s="1"/>
  <c r="J41" i="7" a="1"/>
  <c r="J41" i="7" s="1"/>
  <c r="N39" i="7" a="1"/>
  <c r="N39" i="7" s="1"/>
  <c r="L38" i="7" a="1"/>
  <c r="L38" i="7" s="1"/>
  <c r="L37" i="7" a="1"/>
  <c r="L37" i="7" s="1"/>
  <c r="W36" i="7" a="1"/>
  <c r="W36" i="7" s="1"/>
  <c r="M36" i="7" a="1"/>
  <c r="M36" i="7" s="1"/>
  <c r="X35" i="7" a="1"/>
  <c r="X35" i="7" s="1"/>
  <c r="Y34" i="7" a="1"/>
  <c r="Y34" i="7" s="1"/>
  <c r="E34" i="7" a="1"/>
  <c r="E34" i="7" s="1"/>
  <c r="J33" i="7" a="1"/>
  <c r="J33" i="7" s="1"/>
  <c r="W32" i="7" a="1"/>
  <c r="W32" i="7" s="1"/>
  <c r="E32" i="7" a="1"/>
  <c r="E32" i="7" s="1"/>
  <c r="S31" i="7" a="1"/>
  <c r="S31" i="7" s="1"/>
  <c r="L31" i="7" a="1"/>
  <c r="L31" i="7" s="1"/>
  <c r="T30" i="7" a="1"/>
  <c r="T30" i="7" s="1"/>
  <c r="M30" i="7" a="1"/>
  <c r="M30" i="7" s="1"/>
  <c r="E30" i="7" a="1"/>
  <c r="E30" i="7" s="1"/>
  <c r="T29" i="7" a="1"/>
  <c r="T29" i="7" s="1"/>
  <c r="M29" i="7" a="1"/>
  <c r="M29" i="7" s="1"/>
  <c r="E29" i="7" a="1"/>
  <c r="E29" i="7" s="1"/>
  <c r="U28" i="7" a="1"/>
  <c r="U28" i="7" s="1"/>
  <c r="N28" i="7" a="1"/>
  <c r="N28" i="7" s="1"/>
  <c r="V27" i="7" a="1"/>
  <c r="V27" i="7" s="1"/>
  <c r="I27" i="7" a="1"/>
  <c r="I27" i="7" s="1"/>
  <c r="R26" i="7" a="1"/>
  <c r="R26" i="7" s="1"/>
  <c r="K26" i="7" a="1"/>
  <c r="K26" i="7" s="1"/>
  <c r="T25" i="7" a="1"/>
  <c r="T25" i="7" s="1"/>
  <c r="F25" i="7"/>
  <c r="P24" i="7" a="1"/>
  <c r="P24" i="7" s="1"/>
  <c r="J24" i="7" a="1"/>
  <c r="J24" i="7" s="1"/>
  <c r="T23" i="7" a="1"/>
  <c r="T23" i="7" s="1"/>
  <c r="N23" i="7" a="1"/>
  <c r="N23" i="7" s="1"/>
  <c r="H23" i="7" a="1"/>
  <c r="H23" i="7" s="1"/>
  <c r="X22" i="7" a="1"/>
  <c r="X22" i="7" s="1"/>
  <c r="R22" i="7" a="1"/>
  <c r="R22" i="7" s="1"/>
  <c r="L22" i="7" a="1"/>
  <c r="L22" i="7" s="1"/>
  <c r="E22" i="7" a="1"/>
  <c r="E22" i="7" s="1"/>
  <c r="V21" i="7" a="1"/>
  <c r="V21" i="7" s="1"/>
  <c r="P21" i="7" a="1"/>
  <c r="P21" i="7" s="1"/>
  <c r="J21" i="7" a="1"/>
  <c r="J21" i="7" s="1"/>
  <c r="T20" i="7" a="1"/>
  <c r="T20" i="7" s="1"/>
  <c r="N20" i="7" a="1"/>
  <c r="N20" i="7" s="1"/>
  <c r="H20" i="7" a="1"/>
  <c r="H20" i="7" s="1"/>
  <c r="X19" i="7" a="1"/>
  <c r="X19" i="7" s="1"/>
  <c r="R19" i="7" a="1"/>
  <c r="R19" i="7" s="1"/>
  <c r="L19" i="7" a="1"/>
  <c r="L19" i="7" s="1"/>
  <c r="E19" i="7" a="1"/>
  <c r="E19" i="7" s="1"/>
  <c r="V18" i="7" a="1"/>
  <c r="V18" i="7" s="1"/>
  <c r="P18" i="7" a="1"/>
  <c r="P18" i="7" s="1"/>
  <c r="J18" i="7" a="1"/>
  <c r="J18" i="7" s="1"/>
  <c r="T17" i="7" a="1"/>
  <c r="T17" i="7" s="1"/>
  <c r="N17" i="7" a="1"/>
  <c r="N17" i="7" s="1"/>
  <c r="H17" i="7" a="1"/>
  <c r="H17" i="7" s="1"/>
  <c r="X16" i="7" a="1"/>
  <c r="X16" i="7" s="1"/>
  <c r="R16" i="7" a="1"/>
  <c r="R16" i="7" s="1"/>
  <c r="L16" i="7" a="1"/>
  <c r="L16" i="7" s="1"/>
  <c r="E16" i="7" a="1"/>
  <c r="E16" i="7" s="1"/>
  <c r="M52" i="7" a="1"/>
  <c r="M52" i="7" s="1"/>
  <c r="U47" i="7" a="1"/>
  <c r="U47" i="7" s="1"/>
  <c r="H46" i="7" a="1"/>
  <c r="H46" i="7" s="1"/>
  <c r="P44" i="7" a="1"/>
  <c r="P44" i="7" s="1"/>
  <c r="E43" i="7" a="1"/>
  <c r="E43" i="7" s="1"/>
  <c r="U41" i="7" a="1"/>
  <c r="U41" i="7" s="1"/>
  <c r="Q40" i="7" a="1"/>
  <c r="Q40" i="7" s="1"/>
  <c r="M39" i="7" a="1"/>
  <c r="M39" i="7" s="1"/>
  <c r="X38" i="7" a="1"/>
  <c r="X38" i="7" s="1"/>
  <c r="K38" i="7" a="1"/>
  <c r="K38" i="7" s="1"/>
  <c r="V37" i="7" a="1"/>
  <c r="V37" i="7" s="1"/>
  <c r="K37" i="7" a="1"/>
  <c r="K37" i="7" s="1"/>
  <c r="L36" i="7" a="1"/>
  <c r="L36" i="7" s="1"/>
  <c r="M35" i="7" a="1"/>
  <c r="M35" i="7" s="1"/>
  <c r="X34" i="7" a="1"/>
  <c r="X34" i="7" s="1"/>
  <c r="N34" i="7" a="1"/>
  <c r="N34" i="7" s="1"/>
  <c r="R33" i="7" a="1"/>
  <c r="R33" i="7" s="1"/>
  <c r="N32" i="7" a="1"/>
  <c r="N32" i="7" s="1"/>
  <c r="M28" i="7" a="1"/>
  <c r="M28" i="7" s="1"/>
  <c r="E28" i="7" a="1"/>
  <c r="E28" i="7" s="1"/>
  <c r="O27" i="7" a="1"/>
  <c r="O27" i="7" s="1"/>
  <c r="X26" i="7" a="1"/>
  <c r="X26" i="7" s="1"/>
  <c r="Q26" i="7" a="1"/>
  <c r="Q26" i="7" s="1"/>
  <c r="M25" i="7" a="1"/>
  <c r="M25" i="7" s="1"/>
  <c r="V24" i="7" a="1"/>
  <c r="V24" i="7" s="1"/>
  <c r="J47" i="7" a="1"/>
  <c r="J47" i="7" s="1"/>
  <c r="E40" i="7" a="1"/>
  <c r="E40" i="7" s="1"/>
  <c r="Q38" i="7" a="1"/>
  <c r="Q38" i="7" s="1"/>
  <c r="N37" i="7" a="1"/>
  <c r="N37" i="7" s="1"/>
  <c r="I36" i="7" a="1"/>
  <c r="I36" i="7" s="1"/>
  <c r="F33" i="7"/>
  <c r="H32" i="7" a="1"/>
  <c r="H32" i="7" s="1"/>
  <c r="M31" i="7" a="1"/>
  <c r="M31" i="7" s="1"/>
  <c r="V28" i="7" a="1"/>
  <c r="V28" i="7" s="1"/>
  <c r="H28" i="7" a="1"/>
  <c r="H28" i="7" s="1"/>
  <c r="V25" i="7" a="1"/>
  <c r="V25" i="7" s="1"/>
  <c r="R24" i="7" a="1"/>
  <c r="R24" i="7" s="1"/>
  <c r="E24" i="7" a="1"/>
  <c r="E24" i="7" s="1"/>
  <c r="X20" i="7" a="1"/>
  <c r="X20" i="7" s="1"/>
  <c r="L20" i="7" a="1"/>
  <c r="L20" i="7" s="1"/>
  <c r="V19" i="7" a="1"/>
  <c r="V19" i="7" s="1"/>
  <c r="J19" i="7" a="1"/>
  <c r="J19" i="7" s="1"/>
  <c r="T18" i="7" a="1"/>
  <c r="T18" i="7" s="1"/>
  <c r="H18" i="7" a="1"/>
  <c r="H18" i="7" s="1"/>
  <c r="I47" i="7" a="1"/>
  <c r="I47" i="7" s="1"/>
  <c r="H43" i="7" a="1"/>
  <c r="H43" i="7" s="1"/>
  <c r="M41" i="7" a="1"/>
  <c r="M41" i="7" s="1"/>
  <c r="P38" i="7" a="1"/>
  <c r="P38" i="7" s="1"/>
  <c r="M37" i="7" a="1"/>
  <c r="M37" i="7" s="1"/>
  <c r="E36" i="7" a="1"/>
  <c r="E36" i="7" s="1"/>
  <c r="Q30" i="7" a="1"/>
  <c r="Q30" i="7" s="1"/>
  <c r="F28" i="7"/>
  <c r="P27" i="7" a="1"/>
  <c r="P27" i="7" s="1"/>
  <c r="Y26" i="7" a="1"/>
  <c r="Y26" i="7" s="1"/>
  <c r="L26" i="7" a="1"/>
  <c r="L26" i="7" s="1"/>
  <c r="U25" i="7" a="1"/>
  <c r="U25" i="7" s="1"/>
  <c r="H25" i="7" a="1"/>
  <c r="H25" i="7" s="1"/>
  <c r="P23" i="7" a="1"/>
  <c r="P23" i="7" s="1"/>
  <c r="N22" i="7" a="1"/>
  <c r="N22" i="7" s="1"/>
  <c r="X21" i="7" a="1"/>
  <c r="X21" i="7" s="1"/>
  <c r="L21" i="7" a="1"/>
  <c r="L21" i="7" s="1"/>
  <c r="R17" i="7" a="1"/>
  <c r="R17" i="7" s="1"/>
  <c r="E17" i="7" a="1"/>
  <c r="E17" i="7" s="1"/>
  <c r="P16" i="7" a="1"/>
  <c r="P16" i="7" s="1"/>
  <c r="T60" i="7" a="1"/>
  <c r="T60" i="7" s="1"/>
  <c r="F43" i="7"/>
  <c r="K41" i="7" a="1"/>
  <c r="K41" i="7" s="1"/>
  <c r="S39" i="7" a="1"/>
  <c r="S39" i="7" s="1"/>
  <c r="N38" i="7" a="1"/>
  <c r="N38" i="7" s="1"/>
  <c r="F32" i="7"/>
  <c r="J31" i="7" a="1"/>
  <c r="J31" i="7" s="1"/>
  <c r="Y29" i="7" a="1"/>
  <c r="Y29" i="7" s="1"/>
  <c r="K29" i="7" a="1"/>
  <c r="K29" i="7" s="1"/>
  <c r="M27" i="7" a="1"/>
  <c r="M27" i="7" s="1"/>
  <c r="V26" i="7" a="1"/>
  <c r="V26" i="7" s="1"/>
  <c r="I26" i="7" a="1"/>
  <c r="I26" i="7" s="1"/>
  <c r="Q24" i="7" a="1"/>
  <c r="Q24" i="7" s="1"/>
  <c r="V20" i="7" a="1"/>
  <c r="V20" i="7" s="1"/>
  <c r="J20" i="7" a="1"/>
  <c r="J20" i="7" s="1"/>
  <c r="T19" i="7" a="1"/>
  <c r="T19" i="7" s="1"/>
  <c r="H19" i="7" a="1"/>
  <c r="H19" i="7" s="1"/>
  <c r="R18" i="7" a="1"/>
  <c r="R18" i="7" s="1"/>
  <c r="E18" i="7" a="1"/>
  <c r="E18" i="7" s="1"/>
  <c r="R39" i="7" a="1"/>
  <c r="R39" i="7" s="1"/>
  <c r="M38" i="7" a="1"/>
  <c r="M38" i="7" s="1"/>
  <c r="V33" i="7" a="1"/>
  <c r="V33" i="7" s="1"/>
  <c r="Y32" i="7" a="1"/>
  <c r="Y32" i="7" s="1"/>
  <c r="F31" i="7"/>
  <c r="O30" i="7" a="1"/>
  <c r="O30" i="7" s="1"/>
  <c r="R28" i="7" a="1"/>
  <c r="R28" i="7" s="1"/>
  <c r="R25" i="7" a="1"/>
  <c r="R25" i="7" s="1"/>
  <c r="O23" i="7" a="1"/>
  <c r="O23" i="7" s="1"/>
  <c r="Y22" i="7" a="1"/>
  <c r="Y22" i="7" s="1"/>
  <c r="M22" i="7" a="1"/>
  <c r="M22" i="7" s="1"/>
  <c r="W21" i="7" a="1"/>
  <c r="W21" i="7" s="1"/>
  <c r="K21" i="7" a="1"/>
  <c r="K21" i="7" s="1"/>
  <c r="P17" i="7" a="1"/>
  <c r="P17" i="7" s="1"/>
  <c r="N16" i="7" a="1"/>
  <c r="N16" i="7" s="1"/>
  <c r="O49" i="7" a="1"/>
  <c r="O49" i="7" s="1"/>
  <c r="W44" i="7" a="1"/>
  <c r="W44" i="7" s="1"/>
  <c r="S42" i="7" a="1"/>
  <c r="S42" i="7" s="1"/>
  <c r="P39" i="7" a="1"/>
  <c r="P39" i="7" s="1"/>
  <c r="I38" i="7" a="1"/>
  <c r="I38" i="7" s="1"/>
  <c r="R34" i="7" a="1"/>
  <c r="R34" i="7" s="1"/>
  <c r="X32" i="7" a="1"/>
  <c r="X32" i="7" s="1"/>
  <c r="Y31" i="7" a="1"/>
  <c r="Y31" i="7" s="1"/>
  <c r="W29" i="7" a="1"/>
  <c r="W29" i="7" s="1"/>
  <c r="P28" i="7" a="1"/>
  <c r="P28" i="7" s="1"/>
  <c r="X27" i="7" a="1"/>
  <c r="X27" i="7" s="1"/>
  <c r="K27" i="7" a="1"/>
  <c r="K27" i="7" s="1"/>
  <c r="T26" i="7" a="1"/>
  <c r="T26" i="7" s="1"/>
  <c r="F26" i="7"/>
  <c r="N24" i="7" a="1"/>
  <c r="N24" i="7" s="1"/>
  <c r="U20" i="7" a="1"/>
  <c r="U20" i="7" s="1"/>
  <c r="I20" i="7" a="1"/>
  <c r="I20" i="7" s="1"/>
  <c r="S19" i="7" a="1"/>
  <c r="S19" i="7" s="1"/>
  <c r="F19" i="7"/>
  <c r="Q18" i="7" a="1"/>
  <c r="Q18" i="7" s="1"/>
  <c r="N46" i="7" a="1"/>
  <c r="N46" i="7" s="1"/>
  <c r="V44" i="7" a="1"/>
  <c r="V44" i="7" s="1"/>
  <c r="O39" i="7" a="1"/>
  <c r="O39" i="7" s="1"/>
  <c r="U33" i="7" a="1"/>
  <c r="U33" i="7" s="1"/>
  <c r="V31" i="7" a="1"/>
  <c r="V31" i="7" s="1"/>
  <c r="E31" i="7" a="1"/>
  <c r="E31" i="7" s="1"/>
  <c r="N30" i="7" a="1"/>
  <c r="N30" i="7" s="1"/>
  <c r="H29" i="7" a="1"/>
  <c r="H29" i="7" s="1"/>
  <c r="P25" i="7" a="1"/>
  <c r="P25" i="7" s="1"/>
  <c r="X23" i="7" a="1"/>
  <c r="X23" i="7" s="1"/>
  <c r="L23" i="7" a="1"/>
  <c r="L23" i="7" s="1"/>
  <c r="V22" i="7" a="1"/>
  <c r="V22" i="7" s="1"/>
  <c r="J22" i="7" a="1"/>
  <c r="J22" i="7" s="1"/>
  <c r="T21" i="7" a="1"/>
  <c r="T21" i="7" s="1"/>
  <c r="H21" i="7" a="1"/>
  <c r="H21" i="7" s="1"/>
  <c r="O17" i="7" a="1"/>
  <c r="O17" i="7" s="1"/>
  <c r="Y16" i="7" a="1"/>
  <c r="Y16" i="7" s="1"/>
  <c r="M16" i="7" a="1"/>
  <c r="M16" i="7" s="1"/>
  <c r="E58" i="7" a="1"/>
  <c r="E58" i="7" s="1"/>
  <c r="T44" i="7" a="1"/>
  <c r="T44" i="7" s="1"/>
  <c r="R42" i="7" a="1"/>
  <c r="R42" i="7" s="1"/>
  <c r="U40" i="7" a="1"/>
  <c r="U40" i="7" s="1"/>
  <c r="K39" i="7" a="1"/>
  <c r="K39" i="7" s="1"/>
  <c r="Y37" i="7" a="1"/>
  <c r="Y37" i="7" s="1"/>
  <c r="X36" i="7" a="1"/>
  <c r="X36" i="7" s="1"/>
  <c r="Q35" i="7" a="1"/>
  <c r="Q35" i="7" s="1"/>
  <c r="P34" i="7" a="1"/>
  <c r="P34" i="7" s="1"/>
  <c r="T33" i="7" a="1"/>
  <c r="T33" i="7" s="1"/>
  <c r="R32" i="7" a="1"/>
  <c r="R32" i="7" s="1"/>
  <c r="U31" i="7" a="1"/>
  <c r="U31" i="7" s="1"/>
  <c r="V29" i="7" a="1"/>
  <c r="V29" i="7" s="1"/>
  <c r="F29" i="7"/>
  <c r="O28" i="7" a="1"/>
  <c r="O28" i="7" s="1"/>
  <c r="W27" i="7" a="1"/>
  <c r="W27" i="7" s="1"/>
  <c r="J27" i="7" a="1"/>
  <c r="J27" i="7" s="1"/>
  <c r="S26" i="7" a="1"/>
  <c r="S26" i="7" s="1"/>
  <c r="E26" i="7" a="1"/>
  <c r="E26" i="7" s="1"/>
  <c r="O25" i="7" a="1"/>
  <c r="O25" i="7" s="1"/>
  <c r="L24" i="7" a="1"/>
  <c r="L24" i="7" s="1"/>
  <c r="R20" i="7" a="1"/>
  <c r="R20" i="7" s="1"/>
  <c r="E20" i="7" a="1"/>
  <c r="E20" i="7" s="1"/>
  <c r="P19" i="7" a="1"/>
  <c r="P19" i="7" s="1"/>
  <c r="N18" i="7" a="1"/>
  <c r="N18" i="7" s="1"/>
  <c r="L46" i="7" a="1"/>
  <c r="L46" i="7" s="1"/>
  <c r="Q42" i="7" a="1"/>
  <c r="Q42" i="7" s="1"/>
  <c r="S40" i="7" a="1"/>
  <c r="S40" i="7" s="1"/>
  <c r="E39" i="7" a="1"/>
  <c r="E39" i="7" s="1"/>
  <c r="T36" i="7" a="1"/>
  <c r="T36" i="7" s="1"/>
  <c r="P35" i="7" a="1"/>
  <c r="P35" i="7" s="1"/>
  <c r="O34" i="7" a="1"/>
  <c r="O34" i="7" s="1"/>
  <c r="P33" i="7" a="1"/>
  <c r="P33" i="7" s="1"/>
  <c r="J30" i="7" a="1"/>
  <c r="J30" i="7" s="1"/>
  <c r="U29" i="7" a="1"/>
  <c r="U29" i="7" s="1"/>
  <c r="X24" i="7" a="1"/>
  <c r="X24" i="7" s="1"/>
  <c r="V23" i="7" a="1"/>
  <c r="V23" i="7" s="1"/>
  <c r="J23" i="7" a="1"/>
  <c r="J23" i="7" s="1"/>
  <c r="T22" i="7" a="1"/>
  <c r="T22" i="7" s="1"/>
  <c r="H22" i="7" a="1"/>
  <c r="H22" i="7" s="1"/>
  <c r="R21" i="7" a="1"/>
  <c r="R21" i="7" s="1"/>
  <c r="E21" i="7" a="1"/>
  <c r="E21" i="7" s="1"/>
  <c r="X17" i="7" a="1"/>
  <c r="X17" i="7" s="1"/>
  <c r="L17" i="7" a="1"/>
  <c r="L17" i="7" s="1"/>
  <c r="V16" i="7" a="1"/>
  <c r="V16" i="7" s="1"/>
  <c r="J16" i="7" a="1"/>
  <c r="J16" i="7" s="1"/>
  <c r="Y57" i="7" a="1"/>
  <c r="Y57" i="7" s="1"/>
  <c r="X52" i="7" a="1"/>
  <c r="X52" i="7" s="1"/>
  <c r="R40" i="7" a="1"/>
  <c r="R40" i="7" s="1"/>
  <c r="X37" i="7" a="1"/>
  <c r="X37" i="7" s="1"/>
  <c r="P36" i="7" a="1"/>
  <c r="P36" i="7" s="1"/>
  <c r="M33" i="7" a="1"/>
  <c r="M33" i="7" s="1"/>
  <c r="P32" i="7" a="1"/>
  <c r="P32" i="7" s="1"/>
  <c r="T31" i="7" a="1"/>
  <c r="T31" i="7" s="1"/>
  <c r="R29" i="7" a="1"/>
  <c r="R29" i="7" s="1"/>
  <c r="T27" i="7" a="1"/>
  <c r="T27" i="7" s="1"/>
  <c r="N25" i="7" a="1"/>
  <c r="N25" i="7" s="1"/>
  <c r="K24" i="7" a="1"/>
  <c r="K24" i="7" s="1"/>
  <c r="P20" i="7" a="1"/>
  <c r="P20" i="7" s="1"/>
  <c r="N19" i="7" a="1"/>
  <c r="N19" i="7" s="1"/>
  <c r="X18" i="7" a="1"/>
  <c r="X18" i="7" s="1"/>
  <c r="L18" i="7" a="1"/>
  <c r="L18" i="7" s="1"/>
  <c r="F48" i="7"/>
  <c r="Y43" i="7" a="1"/>
  <c r="Y43" i="7" s="1"/>
  <c r="F40" i="7"/>
  <c r="P37" i="7" a="1"/>
  <c r="P37" i="7" s="1"/>
  <c r="O36" i="7" a="1"/>
  <c r="O36" i="7" s="1"/>
  <c r="J35" i="7" a="1"/>
  <c r="J35" i="7" s="1"/>
  <c r="H34" i="7" a="1"/>
  <c r="H34" i="7" s="1"/>
  <c r="L33" i="7" a="1"/>
  <c r="L33" i="7" s="1"/>
  <c r="L32" i="7" a="1"/>
  <c r="L32" i="7" s="1"/>
  <c r="P29" i="7" a="1"/>
  <c r="P29" i="7" s="1"/>
  <c r="I28" i="7" a="1"/>
  <c r="I28" i="7" s="1"/>
  <c r="X25" i="7" a="1"/>
  <c r="X25" i="7" s="1"/>
  <c r="K25" i="7" a="1"/>
  <c r="K25" i="7" s="1"/>
  <c r="H24" i="7" a="1"/>
  <c r="H24" i="7" s="1"/>
  <c r="O20" i="7" a="1"/>
  <c r="O20" i="7" s="1"/>
  <c r="Y19" i="7" a="1"/>
  <c r="Y19" i="7" s="1"/>
  <c r="M19" i="7" a="1"/>
  <c r="M19" i="7" s="1"/>
  <c r="W18" i="7" a="1"/>
  <c r="W18" i="7" s="1"/>
  <c r="K18" i="7" a="1"/>
  <c r="K18" i="7" s="1"/>
  <c r="E35" i="7" a="1"/>
  <c r="E35" i="7" s="1"/>
  <c r="N31" i="7" a="1"/>
  <c r="N31" i="7" s="1"/>
  <c r="K28" i="7" a="1"/>
  <c r="K28" i="7" s="1"/>
  <c r="J17" i="7" a="1"/>
  <c r="J17" i="7" s="1"/>
  <c r="I25" i="7" a="1"/>
  <c r="I25" i="7" s="1"/>
  <c r="S22" i="7" a="1"/>
  <c r="S22" i="7" s="1"/>
  <c r="I17" i="7" a="1"/>
  <c r="I17" i="7" s="1"/>
  <c r="R45" i="7" a="1"/>
  <c r="R45" i="7" s="1"/>
  <c r="V30" i="7" a="1"/>
  <c r="V30" i="7" s="1"/>
  <c r="P22" i="7" a="1"/>
  <c r="P22" i="7" s="1"/>
  <c r="H30" i="7" a="1"/>
  <c r="H30" i="7" s="1"/>
  <c r="Q27" i="7" a="1"/>
  <c r="Q27" i="7" s="1"/>
  <c r="T24" i="7" a="1"/>
  <c r="T24" i="7" s="1"/>
  <c r="S16" i="7" a="1"/>
  <c r="S16" i="7" s="1"/>
  <c r="F30" i="7"/>
  <c r="E27" i="7" a="1"/>
  <c r="E27" i="7" s="1"/>
  <c r="Q21" i="7" a="1"/>
  <c r="Q21" i="7" s="1"/>
  <c r="H16" i="7" a="1"/>
  <c r="H16" i="7" s="1"/>
  <c r="O37" i="7" a="1"/>
  <c r="O37" i="7" s="1"/>
  <c r="N21" i="7" a="1"/>
  <c r="N21" i="7" s="1"/>
  <c r="F16" i="7"/>
  <c r="E23" i="7" a="1"/>
  <c r="E23" i="7" s="1"/>
  <c r="Q31" i="7" a="1"/>
  <c r="Q31" i="7" s="1"/>
  <c r="O26" i="7" a="1"/>
  <c r="O26" i="7" s="1"/>
  <c r="M26" i="7" a="1"/>
  <c r="M26" i="7" s="1"/>
  <c r="F22" i="7"/>
  <c r="V17" i="7" a="1"/>
  <c r="V17" i="7" s="1"/>
  <c r="N36" i="7" a="1"/>
  <c r="N36" i="7" s="1"/>
  <c r="U30" i="7" a="1"/>
  <c r="U30" i="7" s="1"/>
  <c r="U17" i="7" a="1"/>
  <c r="U17" i="7" s="1"/>
  <c r="N35" i="7" a="1"/>
  <c r="N35" i="7" s="1"/>
  <c r="T16" i="7" a="1"/>
  <c r="T16" i="7" s="1"/>
  <c r="O29" i="7" a="1"/>
  <c r="O29" i="7" s="1"/>
  <c r="H40" i="7" a="1"/>
  <c r="H40" i="7" s="1"/>
  <c r="F34" i="7"/>
  <c r="W24" i="7" a="1"/>
  <c r="W24" i="7" s="1"/>
  <c r="O32" i="7" a="1"/>
  <c r="O32" i="7" s="1"/>
  <c r="R23" i="7" a="1"/>
  <c r="R23" i="7" s="1"/>
  <c r="T38" i="7" a="1"/>
  <c r="T38" i="7" s="1"/>
  <c r="S27" i="7" a="1"/>
  <c r="S27" i="7" s="1"/>
  <c r="I23" i="7" a="1"/>
  <c r="I23" i="7" s="1"/>
  <c r="U23" i="7" a="1"/>
  <c r="U23" i="7" s="1"/>
  <c r="Y28" i="7" a="1"/>
  <c r="Y28" i="7" s="1"/>
  <c r="J48" i="7" a="1"/>
  <c r="J48" i="7" s="1"/>
  <c r="A17" i="6"/>
  <c r="A18" i="6" s="1"/>
  <c r="A19" i="6" s="1"/>
  <c r="A16" i="6"/>
  <c r="B14" i="6"/>
  <c r="S109" i="4"/>
  <c r="U97" i="4" s="1"/>
  <c r="S69" i="4"/>
  <c r="U57" i="4" s="1"/>
  <c r="U54" i="4" s="1"/>
  <c r="S29" i="4"/>
  <c r="C34" i="4"/>
  <c r="C45" i="4"/>
  <c r="BW13" i="6"/>
  <c r="BW12" i="6" s="1"/>
  <c r="K50" i="4"/>
  <c r="N9" i="10"/>
  <c r="C33" i="4"/>
  <c r="C48" i="4"/>
  <c r="C27" i="4"/>
  <c r="A16" i="4"/>
  <c r="W12" i="8"/>
  <c r="X13" i="6"/>
  <c r="O7" i="11"/>
  <c r="AC13" i="12"/>
  <c r="K69" i="10"/>
  <c r="W82" i="10"/>
  <c r="E12" i="13"/>
  <c r="C47" i="4"/>
  <c r="C23" i="4"/>
  <c r="A30" i="4"/>
  <c r="A31" i="4" s="1"/>
  <c r="C31" i="4" s="1"/>
  <c r="C46" i="4"/>
  <c r="C28" i="4"/>
  <c r="K146" i="12"/>
  <c r="C21" i="4"/>
  <c r="C22" i="4"/>
  <c r="K132" i="4"/>
  <c r="B39" i="14"/>
  <c r="W81" i="10"/>
  <c r="K143" i="12"/>
  <c r="T148" i="5"/>
  <c r="B37" i="14"/>
  <c r="C14" i="14"/>
  <c r="O7" i="13"/>
  <c r="T138" i="6"/>
  <c r="P125" i="4"/>
  <c r="I123" i="8"/>
  <c r="I139" i="6"/>
  <c r="I137" i="6"/>
  <c r="AK13" i="6"/>
  <c r="AK12" i="6" s="1"/>
  <c r="BD13" i="6"/>
  <c r="BD12" i="6" s="1"/>
  <c r="B14" i="5"/>
  <c r="F14" i="5"/>
  <c r="G15" i="9"/>
  <c r="H15" i="10"/>
  <c r="S110" i="4"/>
  <c r="I12" i="10"/>
  <c r="H12" i="9"/>
  <c r="S30" i="4"/>
  <c r="A36" i="4"/>
  <c r="C35" i="4"/>
  <c r="C24" i="4"/>
  <c r="AA123" i="8"/>
  <c r="AA124" i="8"/>
  <c r="AA122" i="8"/>
  <c r="P45" i="4"/>
  <c r="K14" i="5"/>
  <c r="J14" i="5"/>
  <c r="H14" i="5"/>
  <c r="A14" i="12"/>
  <c r="D14" i="5"/>
  <c r="B14" i="12" s="1"/>
  <c r="AD14" i="5"/>
  <c r="E14" i="5"/>
  <c r="G14" i="5"/>
  <c r="AE14" i="5"/>
  <c r="N14" i="5"/>
  <c r="E144" i="12"/>
  <c r="B80" i="10"/>
  <c r="F138" i="6"/>
  <c r="O147" i="5"/>
  <c r="D36" i="11"/>
  <c r="M8" i="12"/>
  <c r="W79" i="10"/>
  <c r="A4" i="4"/>
  <c r="K51" i="4"/>
  <c r="K144" i="12"/>
  <c r="S70" i="4"/>
  <c r="K91" i="4"/>
  <c r="T137" i="6"/>
  <c r="K90" i="4"/>
  <c r="T147" i="5"/>
  <c r="A20" i="6" l="1"/>
  <c r="N19" i="6"/>
  <c r="B92" i="8"/>
  <c r="N18" i="6"/>
  <c r="AB10" i="12"/>
  <c r="M69" i="10"/>
  <c r="I12" i="9"/>
  <c r="I11" i="9" s="1"/>
  <c r="H11" i="9"/>
  <c r="U17" i="4"/>
  <c r="T17" i="4" s="1"/>
  <c r="H5" i="5"/>
  <c r="X8" i="5" s="1"/>
  <c r="F5" i="5"/>
  <c r="G5" i="5"/>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BX12" i="6" s="1"/>
  <c r="C30" i="4"/>
  <c r="C16" i="4"/>
  <c r="A17" i="4"/>
  <c r="X12" i="8"/>
  <c r="AD13" i="12"/>
  <c r="Y13" i="6"/>
  <c r="B42" i="14"/>
  <c r="AL13" i="6"/>
  <c r="AL12" i="6" s="1"/>
  <c r="BE13" i="6"/>
  <c r="BE12" i="6" s="1"/>
  <c r="B8" i="14"/>
  <c r="I10" i="13"/>
  <c r="I11" i="10"/>
  <c r="J12" i="10"/>
  <c r="D14" i="6"/>
  <c r="C4" i="4"/>
  <c r="A5" i="4"/>
  <c r="C36" i="4"/>
  <c r="A37" i="4"/>
  <c r="C37" i="4" s="1"/>
  <c r="AH69" i="5" l="1"/>
  <c r="AH40" i="5"/>
  <c r="AH39" i="5"/>
  <c r="AH19" i="5"/>
  <c r="AH20" i="5"/>
  <c r="AH52" i="5"/>
  <c r="AH54" i="5"/>
  <c r="AH49" i="5"/>
  <c r="AH50" i="5"/>
  <c r="AH51" i="5"/>
  <c r="AH53" i="5"/>
  <c r="AH48" i="5"/>
  <c r="AH107" i="5"/>
  <c r="AH45" i="5"/>
  <c r="AH47" i="5"/>
  <c r="AH44" i="5"/>
  <c r="AH46" i="5"/>
  <c r="AH43" i="5"/>
  <c r="AH120" i="5"/>
  <c r="AH118" i="5"/>
  <c r="AH126" i="5"/>
  <c r="AH121" i="5"/>
  <c r="AH125" i="5"/>
  <c r="AH123" i="5"/>
  <c r="AH119" i="5"/>
  <c r="AH124" i="5"/>
  <c r="AH122" i="5"/>
  <c r="AH117" i="5"/>
  <c r="AH101" i="5"/>
  <c r="AH100" i="5"/>
  <c r="AH109" i="5"/>
  <c r="AH105" i="5"/>
  <c r="AH104" i="5"/>
  <c r="AH96" i="5"/>
  <c r="AH95" i="5"/>
  <c r="AH112" i="5"/>
  <c r="AH111" i="5"/>
  <c r="AH110" i="5"/>
  <c r="AH99" i="5"/>
  <c r="AH116" i="5"/>
  <c r="AH115" i="5"/>
  <c r="AH114" i="5"/>
  <c r="AH103" i="5"/>
  <c r="AH127" i="5"/>
  <c r="AH113" i="5"/>
  <c r="AH108" i="5"/>
  <c r="AH106" i="5"/>
  <c r="AH102" i="5"/>
  <c r="AH98" i="5"/>
  <c r="AH97" i="5"/>
  <c r="AH92" i="5"/>
  <c r="AH93" i="5"/>
  <c r="AH89" i="5"/>
  <c r="AH91" i="5"/>
  <c r="AH90" i="5"/>
  <c r="AH88" i="5"/>
  <c r="AH67" i="5"/>
  <c r="AH86" i="5"/>
  <c r="AH87" i="5"/>
  <c r="AH94" i="5"/>
  <c r="AH76" i="5"/>
  <c r="AH75" i="5"/>
  <c r="AH56" i="5"/>
  <c r="AN56" i="5" s="1"/>
  <c r="AH61" i="5"/>
  <c r="AH62" i="5"/>
  <c r="AH60" i="5"/>
  <c r="AH59" i="5"/>
  <c r="AH73" i="5"/>
  <c r="AH32" i="5"/>
  <c r="AH33" i="5"/>
  <c r="AH81" i="5"/>
  <c r="AH24" i="5"/>
  <c r="AH80" i="5"/>
  <c r="AH31" i="5"/>
  <c r="AH64" i="5"/>
  <c r="AH63" i="5"/>
  <c r="AH82" i="5"/>
  <c r="AH68" i="5"/>
  <c r="AH41" i="5"/>
  <c r="AH38" i="5"/>
  <c r="AH37" i="5"/>
  <c r="AH30" i="5"/>
  <c r="AH36" i="5"/>
  <c r="AH27" i="5"/>
  <c r="AH42" i="5"/>
  <c r="AH29" i="5"/>
  <c r="AH79" i="5"/>
  <c r="AH85" i="5"/>
  <c r="AH78" i="5"/>
  <c r="AH77" i="5"/>
  <c r="AH74" i="5"/>
  <c r="AH35" i="5"/>
  <c r="AH28" i="5"/>
  <c r="AH26" i="5"/>
  <c r="AH25" i="5"/>
  <c r="AH22" i="5"/>
  <c r="AH23" i="5"/>
  <c r="AH21" i="5"/>
  <c r="B95" i="8"/>
  <c r="AH57" i="5"/>
  <c r="AH84" i="5"/>
  <c r="AH71" i="5"/>
  <c r="AH83" i="5"/>
  <c r="AH72" i="5"/>
  <c r="AH70" i="5"/>
  <c r="AH130" i="5"/>
  <c r="AH128" i="5"/>
  <c r="AH129" i="5"/>
  <c r="AH66" i="5"/>
  <c r="AH65" i="5"/>
  <c r="AH58" i="5"/>
  <c r="AH17" i="5"/>
  <c r="AN17" i="5" s="1"/>
  <c r="AH55" i="5"/>
  <c r="AH34" i="5"/>
  <c r="AH18" i="5"/>
  <c r="AH16" i="5"/>
  <c r="AN16" i="5" s="1"/>
  <c r="O69" i="10"/>
  <c r="H68" i="10" s="1"/>
  <c r="J12" i="9"/>
  <c r="J11" i="9" s="1"/>
  <c r="U14" i="4"/>
  <c r="U7" i="4" s="1"/>
  <c r="V8" i="5"/>
  <c r="AH14" i="5"/>
  <c r="W14" i="5" s="1"/>
  <c r="H14" i="12" s="1"/>
  <c r="H14" i="6" a="1"/>
  <c r="H14" i="6" s="1"/>
  <c r="BY13" i="6"/>
  <c r="BY12" i="6" s="1"/>
  <c r="A18" i="4"/>
  <c r="C17" i="4"/>
  <c r="Y12" i="8"/>
  <c r="AE13" i="12"/>
  <c r="Z13" i="6"/>
  <c r="AA13" i="6" s="1"/>
  <c r="AM13" i="6"/>
  <c r="BF13" i="6"/>
  <c r="BF12" i="6" s="1"/>
  <c r="K12" i="10"/>
  <c r="J11" i="10"/>
  <c r="A14" i="6"/>
  <c r="N14" i="6" s="1"/>
  <c r="C5" i="4"/>
  <c r="A6" i="4"/>
  <c r="W19" i="5" l="1"/>
  <c r="B98" i="8"/>
  <c r="AB13" i="6"/>
  <c r="Q69" i="10"/>
  <c r="K12" i="9"/>
  <c r="K11" i="9" s="1"/>
  <c r="AN14" i="5"/>
  <c r="T106" i="4"/>
  <c r="T105" i="4"/>
  <c r="T104" i="4"/>
  <c r="T103" i="4"/>
  <c r="T102" i="4"/>
  <c r="T101" i="4"/>
  <c r="T66" i="4"/>
  <c r="T65" i="4"/>
  <c r="T64" i="4"/>
  <c r="T63" i="4"/>
  <c r="T62" i="4"/>
  <c r="T61" i="4"/>
  <c r="T26" i="4"/>
  <c r="T25" i="4"/>
  <c r="T24" i="4"/>
  <c r="T23" i="4"/>
  <c r="T22" i="4"/>
  <c r="T21" i="4"/>
  <c r="M14" i="6"/>
  <c r="BZ13" i="6"/>
  <c r="AN13" i="6"/>
  <c r="AN12" i="6" s="1"/>
  <c r="AM12" i="6"/>
  <c r="A19" i="4"/>
  <c r="C19" i="4" s="1"/>
  <c r="C18" i="4"/>
  <c r="Z12" i="8"/>
  <c r="AF13" i="12"/>
  <c r="BG13" i="6"/>
  <c r="L12" i="10"/>
  <c r="A7" i="4"/>
  <c r="C7" i="4" s="1"/>
  <c r="C6" i="4"/>
  <c r="H19" i="12" l="1"/>
  <c r="B101" i="8"/>
  <c r="AC13" i="6"/>
  <c r="S69" i="10"/>
  <c r="Q74" i="10"/>
  <c r="L12" i="9"/>
  <c r="L11" i="9" s="1"/>
  <c r="BZ12" i="6"/>
  <c r="BG12" i="6"/>
  <c r="AO13" i="6"/>
  <c r="AO12" i="6" s="1"/>
  <c r="CA13" i="6"/>
  <c r="AA12" i="8"/>
  <c r="AG13" i="12"/>
  <c r="BH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104" i="8" l="1"/>
  <c r="AD13" i="6"/>
  <c r="U69" i="10"/>
  <c r="S74" i="10"/>
  <c r="M12" i="9"/>
  <c r="M11" i="9" s="1"/>
  <c r="U29" i="4"/>
  <c r="U64" i="4"/>
  <c r="U104" i="4"/>
  <c r="U105" i="4"/>
  <c r="U61" i="4"/>
  <c r="U25" i="4"/>
  <c r="U102" i="4"/>
  <c r="U62" i="4"/>
  <c r="U69" i="4"/>
  <c r="U63" i="4"/>
  <c r="U21" i="4"/>
  <c r="U22" i="4"/>
  <c r="U23" i="4"/>
  <c r="U103" i="4"/>
  <c r="U24" i="4"/>
  <c r="U101" i="4"/>
  <c r="U65" i="4"/>
  <c r="U109" i="4"/>
  <c r="K112" i="4" s="1"/>
  <c r="CA12" i="6"/>
  <c r="BH12" i="6"/>
  <c r="AP13" i="6"/>
  <c r="AP12" i="6" s="1"/>
  <c r="CB13" i="6"/>
  <c r="AB12" i="8"/>
  <c r="AH13" i="12"/>
  <c r="BI13" i="6"/>
  <c r="M11" i="10"/>
  <c r="N12" i="10"/>
  <c r="AE13" i="6" l="1"/>
  <c r="W69" i="10"/>
  <c r="U74" i="10"/>
  <c r="N12" i="9"/>
  <c r="N11" i="9" s="1"/>
  <c r="J72" i="4"/>
  <c r="U8" i="4"/>
  <c r="CB12" i="6"/>
  <c r="BI12" i="6"/>
  <c r="AQ13" i="6"/>
  <c r="AQ12" i="6" s="1"/>
  <c r="CC13" i="6"/>
  <c r="AC12" i="8"/>
  <c r="AI13" i="12"/>
  <c r="K72" i="4"/>
  <c r="J112" i="4"/>
  <c r="BJ13" i="6"/>
  <c r="O12" i="10"/>
  <c r="N11" i="10"/>
  <c r="K32" i="4"/>
  <c r="J32" i="4"/>
  <c r="AF13" i="6" l="1"/>
  <c r="O12" i="9"/>
  <c r="O11" i="9" s="1"/>
  <c r="Y69" i="10"/>
  <c r="W74" i="10"/>
  <c r="T11" i="11"/>
  <c r="CC12" i="6"/>
  <c r="BJ12" i="6"/>
  <c r="AR13" i="6"/>
  <c r="AR12" i="6" s="1"/>
  <c r="CD13" i="6"/>
  <c r="AD12" i="8"/>
  <c r="AJ13" i="12"/>
  <c r="BK13" i="6"/>
  <c r="P12" i="10"/>
  <c r="O11" i="10"/>
  <c r="AG13" i="6" l="1"/>
  <c r="P12" i="9"/>
  <c r="P11" i="9" s="1"/>
  <c r="AA69" i="10"/>
  <c r="Y74" i="10"/>
  <c r="CD12" i="6"/>
  <c r="BK12" i="6"/>
  <c r="AS13" i="6"/>
  <c r="AT13" i="6" s="1"/>
  <c r="CE13" i="6"/>
  <c r="CF13" i="6" s="1"/>
  <c r="AE12" i="8"/>
  <c r="AK13" i="12"/>
  <c r="BL13" i="6"/>
  <c r="BM13" i="6" s="1"/>
  <c r="Q12" i="10"/>
  <c r="P11" i="10"/>
  <c r="BN13" i="6" l="1"/>
  <c r="BM12" i="6"/>
  <c r="CF12" i="6"/>
  <c r="CG13" i="6"/>
  <c r="AT12" i="6"/>
  <c r="AU13" i="6"/>
  <c r="AH13" i="6"/>
  <c r="AS12" i="6"/>
  <c r="Q12" i="9"/>
  <c r="Q11" i="9" s="1"/>
  <c r="AC69" i="10"/>
  <c r="AA74" i="10"/>
  <c r="CE12" i="6"/>
  <c r="BL12" i="6"/>
  <c r="AF12" i="8"/>
  <c r="AG12" i="8" s="1"/>
  <c r="AL13" i="12"/>
  <c r="Q11" i="10"/>
  <c r="R12" i="10"/>
  <c r="AH12" i="8" l="1"/>
  <c r="AU12" i="6"/>
  <c r="AV13" i="6"/>
  <c r="CG12" i="6"/>
  <c r="CH13" i="6"/>
  <c r="BN12" i="6"/>
  <c r="BO13" i="6"/>
  <c r="R12" i="9"/>
  <c r="R11" i="9" s="1"/>
  <c r="AE69" i="10"/>
  <c r="AE74" i="10" s="1"/>
  <c r="AC74" i="10"/>
  <c r="AM13" i="12"/>
  <c r="R11" i="10"/>
  <c r="S12" i="10"/>
  <c r="J20" i="12" l="1"/>
  <c r="L20" i="12"/>
  <c r="AI12" i="8"/>
  <c r="BO12" i="6"/>
  <c r="BP13" i="6"/>
  <c r="AW13" i="6"/>
  <c r="AV12" i="6"/>
  <c r="CI13" i="6"/>
  <c r="CH12" i="6"/>
  <c r="L18" i="12"/>
  <c r="J18" i="12"/>
  <c r="S12" i="9"/>
  <c r="S11" i="9" s="1"/>
  <c r="L14" i="12"/>
  <c r="AO7" i="12"/>
  <c r="J14" i="12"/>
  <c r="T12" i="10"/>
  <c r="S11" i="10"/>
  <c r="K20" i="12" l="1"/>
  <c r="AJ12" i="8"/>
  <c r="CJ13" i="6"/>
  <c r="CI12" i="6"/>
  <c r="AX13" i="6"/>
  <c r="AW12" i="6"/>
  <c r="BP12" i="6"/>
  <c r="BQ13" i="6"/>
  <c r="K18" i="12"/>
  <c r="T12" i="9"/>
  <c r="T11" i="9" s="1"/>
  <c r="K14" i="12"/>
  <c r="U12" i="10"/>
  <c r="T11" i="10"/>
  <c r="AK12" i="8" l="1"/>
  <c r="AY13" i="6"/>
  <c r="AX12" i="6"/>
  <c r="BR13" i="6"/>
  <c r="BQ12" i="6"/>
  <c r="CK13" i="6"/>
  <c r="CJ12" i="6"/>
  <c r="U12" i="9"/>
  <c r="U11" i="9" s="1"/>
  <c r="V12" i="10"/>
  <c r="U11" i="10"/>
  <c r="AL12" i="8" l="1"/>
  <c r="BS13" i="6"/>
  <c r="BR12" i="6"/>
  <c r="CK12" i="6"/>
  <c r="CL13" i="6"/>
  <c r="AY12" i="6"/>
  <c r="AZ13" i="6"/>
  <c r="V12" i="9"/>
  <c r="V11" i="9" s="1"/>
  <c r="W12" i="10"/>
  <c r="V11" i="10"/>
  <c r="AM12" i="8" l="1"/>
  <c r="CL12" i="6"/>
  <c r="CM13" i="6"/>
  <c r="CM12" i="6" s="1"/>
  <c r="AZ12" i="6"/>
  <c r="BA13" i="6"/>
  <c r="BA12" i="6" s="1"/>
  <c r="BT13" i="6"/>
  <c r="BT12" i="6" s="1"/>
  <c r="BS12" i="6"/>
  <c r="W12" i="9"/>
  <c r="W11" i="9" s="1"/>
  <c r="W11" i="10"/>
  <c r="X12" i="10"/>
  <c r="AN12" i="8" l="1"/>
  <c r="X12" i="9"/>
  <c r="X11" i="9" s="1"/>
  <c r="Y12" i="10"/>
  <c r="X11" i="10"/>
  <c r="AO12" i="8" l="1"/>
  <c r="Y12" i="9"/>
  <c r="Y11" i="9" s="1"/>
  <c r="Y11" i="10"/>
  <c r="Z12" i="10"/>
  <c r="AP12" i="8" l="1"/>
  <c r="Z12" i="9"/>
  <c r="Z11" i="9" s="1"/>
  <c r="Z11" i="10"/>
  <c r="AA12" i="10"/>
  <c r="AQ12" i="8" l="1"/>
  <c r="AA12" i="9"/>
  <c r="AA11" i="9" s="1"/>
  <c r="AB12" i="10"/>
  <c r="AA11" i="10"/>
  <c r="AR12" i="8" l="1"/>
  <c r="AB12" i="9"/>
  <c r="AB11" i="9" s="1"/>
  <c r="AB11" i="10"/>
  <c r="AC12" i="10"/>
  <c r="AC12" i="9" l="1"/>
  <c r="AC11" i="9" s="1"/>
  <c r="AC11" i="10"/>
  <c r="AD12" i="10"/>
  <c r="AD12" i="9" l="1"/>
  <c r="AD11" i="9" s="1"/>
  <c r="AE12" i="10"/>
  <c r="AD11" i="10"/>
  <c r="AE12" i="9" l="1"/>
  <c r="AE11" i="10"/>
  <c r="AF12" i="10"/>
  <c r="AE11" i="9" l="1"/>
  <c r="AF11" i="10"/>
  <c r="A15" i="10" l="1"/>
  <c r="L10" i="7" l="1"/>
  <c r="M10" i="7" l="1"/>
  <c r="N10" i="7" l="1"/>
  <c r="P13" i="7" l="1"/>
  <c r="O10" i="7"/>
  <c r="Q13" i="7" l="1"/>
  <c r="P10" i="7"/>
  <c r="Q10" i="7" l="1"/>
  <c r="R13" i="7"/>
  <c r="S13" i="7" l="1"/>
  <c r="R10" i="7"/>
  <c r="S10" i="7" l="1"/>
  <c r="T13" i="7"/>
  <c r="T10" i="7" l="1"/>
  <c r="U13" i="7"/>
  <c r="U10" i="7" l="1"/>
  <c r="V13" i="7"/>
  <c r="W13" i="7" l="1"/>
  <c r="V10" i="7"/>
  <c r="W10" i="7" l="1"/>
  <c r="X13" i="7"/>
  <c r="X10" i="7" l="1"/>
  <c r="Y13" i="7"/>
  <c r="Y10" i="7" l="1"/>
  <c r="K11" i="10" l="1"/>
  <c r="K10" i="7"/>
  <c r="T14" i="5" l="1"/>
  <c r="G14" i="12" l="1"/>
  <c r="A8" i="9" l="1"/>
  <c r="B10" i="9" a="1"/>
  <c r="B10" i="9" s="1"/>
  <c r="B7" i="9" a="1"/>
  <c r="B7" i="9" s="1"/>
  <c r="A15" i="6" a="1"/>
  <c r="A15" i="6" s="1"/>
  <c r="C15" i="7"/>
  <c r="CK16" i="6" l="1"/>
  <c r="BQ16" i="6"/>
  <c r="BN16" i="6"/>
  <c r="BT17" i="6"/>
  <c r="BS17" i="6"/>
  <c r="CL17" i="6"/>
  <c r="CL16" i="6"/>
  <c r="CI16" i="6"/>
  <c r="BO16" i="6"/>
  <c r="CH17" i="6"/>
  <c r="CG17" i="6"/>
  <c r="BP17" i="6"/>
  <c r="BR16" i="6"/>
  <c r="BT16" i="6"/>
  <c r="CM16" i="6"/>
  <c r="CJ17" i="6"/>
  <c r="BQ17" i="6"/>
  <c r="CG16" i="6"/>
  <c r="BP16" i="6"/>
  <c r="BS16" i="6"/>
  <c r="BN17" i="6"/>
  <c r="BM17" i="6"/>
  <c r="CF16" i="6"/>
  <c r="CK17" i="6"/>
  <c r="BR17" i="6"/>
  <c r="BO17" i="6"/>
  <c r="CJ16" i="6"/>
  <c r="BM16" i="6"/>
  <c r="CI17" i="6"/>
  <c r="CM17" i="6"/>
  <c r="CF17" i="6"/>
  <c r="CH16" i="6"/>
  <c r="CI14" i="6"/>
  <c r="BN14" i="6"/>
  <c r="BM14" i="6"/>
  <c r="BQ14" i="6"/>
  <c r="CK14" i="6"/>
  <c r="CM14" i="6"/>
  <c r="BO14" i="6"/>
  <c r="CJ14" i="6"/>
  <c r="BT14" i="6"/>
  <c r="BR14" i="6"/>
  <c r="CL14" i="6"/>
  <c r="CF14" i="6"/>
  <c r="BS14" i="6"/>
  <c r="BP14" i="6"/>
  <c r="CH14" i="6"/>
  <c r="CG14" i="6"/>
  <c r="AT16" i="6"/>
  <c r="AT17" i="6"/>
  <c r="AT14" i="6"/>
  <c r="AU16" i="6"/>
  <c r="AU17" i="6"/>
  <c r="AU14" i="6"/>
  <c r="AV16" i="6"/>
  <c r="AV17" i="6"/>
  <c r="AV14" i="6"/>
  <c r="AW14" i="6"/>
  <c r="AW17" i="6"/>
  <c r="AW16" i="6"/>
  <c r="AX14" i="6"/>
  <c r="AX17" i="6"/>
  <c r="AX16" i="6"/>
  <c r="AY14" i="6"/>
  <c r="AY17" i="6"/>
  <c r="AY16" i="6"/>
  <c r="BA16" i="6"/>
  <c r="BA17" i="6"/>
  <c r="BA14" i="6"/>
  <c r="AZ16" i="6"/>
  <c r="AZ17" i="6"/>
  <c r="AZ14" i="6"/>
  <c r="BY16" i="6"/>
  <c r="CB16" i="6"/>
  <c r="BL17" i="6"/>
  <c r="BX16" i="6"/>
  <c r="BE16" i="6"/>
  <c r="BE17" i="6"/>
  <c r="BW16" i="6"/>
  <c r="BI16" i="6"/>
  <c r="CD17" i="6"/>
  <c r="BC17" i="6"/>
  <c r="BD17" i="6"/>
  <c r="BL16" i="6"/>
  <c r="BI17" i="6"/>
  <c r="BK17" i="6"/>
  <c r="BZ16" i="6"/>
  <c r="BY17" i="6"/>
  <c r="CA16" i="6"/>
  <c r="BG17" i="6"/>
  <c r="BX17" i="6"/>
  <c r="AJ17" i="6"/>
  <c r="CD16" i="6"/>
  <c r="BV16" i="6"/>
  <c r="BH17" i="6"/>
  <c r="CE16" i="6"/>
  <c r="BF17" i="6"/>
  <c r="CB17" i="6"/>
  <c r="BJ16" i="6"/>
  <c r="BD16" i="6"/>
  <c r="BG16" i="6"/>
  <c r="BC16" i="6"/>
  <c r="BV17" i="6"/>
  <c r="CA17" i="6"/>
  <c r="AJ16" i="6"/>
  <c r="BZ17" i="6"/>
  <c r="CE17" i="6"/>
  <c r="BK16" i="6"/>
  <c r="BF16" i="6"/>
  <c r="CC17" i="6"/>
  <c r="BJ17" i="6"/>
  <c r="BH16" i="6"/>
  <c r="CC16" i="6"/>
  <c r="BW17" i="6"/>
  <c r="AK16" i="6"/>
  <c r="AK17" i="6"/>
  <c r="M18" i="6"/>
  <c r="M19" i="6" s="1"/>
  <c r="AL16" i="6"/>
  <c r="AL17" i="6"/>
  <c r="AN16" i="6"/>
  <c r="AM16" i="6"/>
  <c r="AN17" i="6"/>
  <c r="AM17" i="6"/>
  <c r="AO16" i="6"/>
  <c r="AO17" i="6"/>
  <c r="AP16" i="6"/>
  <c r="AP17" i="6"/>
  <c r="AQ16" i="6"/>
  <c r="AQ17" i="6"/>
  <c r="AR16" i="6"/>
  <c r="AR17" i="6"/>
  <c r="AS16" i="6"/>
  <c r="AS17" i="6"/>
  <c r="AQ14" i="6"/>
  <c r="CC14" i="6"/>
  <c r="AS14" i="6"/>
  <c r="BH14" i="6"/>
  <c r="BE14" i="6"/>
  <c r="BC14" i="6"/>
  <c r="CA14" i="6"/>
  <c r="D15" i="7"/>
  <c r="C16" i="7" s="1" a="1"/>
  <c r="C16" i="7" s="1"/>
  <c r="B15" i="9"/>
  <c r="B16" i="9" s="1"/>
  <c r="B15" i="10"/>
  <c r="B16" i="10" s="1"/>
  <c r="BG14" i="6"/>
  <c r="AJ14" i="6"/>
  <c r="BW14" i="6"/>
  <c r="AR14" i="6"/>
  <c r="BD14" i="6"/>
  <c r="BZ14" i="6"/>
  <c r="AO14" i="6"/>
  <c r="BI14" i="6"/>
  <c r="CB14" i="6"/>
  <c r="AM14" i="6"/>
  <c r="CD14" i="6"/>
  <c r="BV14" i="6"/>
  <c r="BX14" i="6"/>
  <c r="BL14" i="6"/>
  <c r="BJ14" i="6"/>
  <c r="BF14" i="6"/>
  <c r="CE14" i="6"/>
  <c r="BK14" i="6"/>
  <c r="AK14" i="6"/>
  <c r="AP14" i="6"/>
  <c r="AN14" i="6"/>
  <c r="BY14" i="6"/>
  <c r="AL14" i="6"/>
  <c r="CK19" i="6" l="1"/>
  <c r="BT19" i="6"/>
  <c r="BY19" i="6"/>
  <c r="BX19" i="6"/>
  <c r="BS19" i="6"/>
  <c r="BI19" i="6"/>
  <c r="BG19" i="6"/>
  <c r="BW19" i="6"/>
  <c r="AJ19" i="6"/>
  <c r="BO19" i="6"/>
  <c r="BF19" i="6"/>
  <c r="BL19" i="6"/>
  <c r="BM19" i="6"/>
  <c r="BN19" i="6"/>
  <c r="CB19" i="6"/>
  <c r="CM19" i="6"/>
  <c r="BR19" i="6"/>
  <c r="CF19" i="6"/>
  <c r="BE19" i="6"/>
  <c r="BQ19" i="6"/>
  <c r="CD19" i="6"/>
  <c r="BD19" i="6"/>
  <c r="CE19" i="6"/>
  <c r="CC19" i="6"/>
  <c r="BP19" i="6"/>
  <c r="BH19" i="6"/>
  <c r="CJ19" i="6"/>
  <c r="BV19" i="6"/>
  <c r="BJ19" i="6"/>
  <c r="CI19" i="6"/>
  <c r="CH19" i="6"/>
  <c r="BZ19" i="6"/>
  <c r="CG19" i="6"/>
  <c r="BK19" i="6"/>
  <c r="CA19" i="6"/>
  <c r="BC19" i="6"/>
  <c r="CL19" i="6"/>
  <c r="AK19" i="6"/>
  <c r="AL19" i="6"/>
  <c r="AM19" i="6"/>
  <c r="AN19" i="6"/>
  <c r="AO19" i="6"/>
  <c r="AP19" i="6"/>
  <c r="AQ19" i="6"/>
  <c r="AR19" i="6"/>
  <c r="AS19" i="6"/>
  <c r="AT19" i="6"/>
  <c r="AU19" i="6"/>
  <c r="AV19" i="6"/>
  <c r="AW19" i="6"/>
  <c r="AX19" i="6"/>
  <c r="AY19" i="6"/>
  <c r="BA19" i="6"/>
  <c r="AZ19" i="6"/>
  <c r="M20" i="6"/>
  <c r="CF18" i="6"/>
  <c r="CK18" i="6"/>
  <c r="BT18" i="6"/>
  <c r="BN18" i="6"/>
  <c r="BP18" i="6"/>
  <c r="CM18" i="6"/>
  <c r="CG18" i="6"/>
  <c r="BQ18" i="6"/>
  <c r="CI18" i="6"/>
  <c r="CL18" i="6"/>
  <c r="BM18" i="6"/>
  <c r="BO18" i="6"/>
  <c r="CH18" i="6"/>
  <c r="CJ18" i="6"/>
  <c r="BR18" i="6"/>
  <c r="BS18" i="6"/>
  <c r="AY18" i="6"/>
  <c r="BA18" i="6"/>
  <c r="AZ18" i="6"/>
  <c r="B16" i="7"/>
  <c r="C17" i="7" a="1"/>
  <c r="C17" i="7" s="1"/>
  <c r="B17" i="10"/>
  <c r="B17" i="9"/>
  <c r="BY18" i="6"/>
  <c r="BV18" i="6"/>
  <c r="CA18" i="6"/>
  <c r="BD18" i="6"/>
  <c r="BL18" i="6"/>
  <c r="CC18" i="6"/>
  <c r="BJ18" i="6"/>
  <c r="BI18" i="6"/>
  <c r="CE18" i="6"/>
  <c r="BX18" i="6"/>
  <c r="CB18" i="6"/>
  <c r="BF18" i="6"/>
  <c r="BC18" i="6"/>
  <c r="BK18" i="6"/>
  <c r="BW18" i="6"/>
  <c r="BZ18" i="6"/>
  <c r="CD18" i="6"/>
  <c r="BG18" i="6"/>
  <c r="BH18" i="6"/>
  <c r="BE18" i="6"/>
  <c r="X14" i="5"/>
  <c r="B15" i="7"/>
  <c r="C15" i="9"/>
  <c r="F15" i="9" s="1"/>
  <c r="C15" i="10"/>
  <c r="A15" i="7"/>
  <c r="CM20" i="6" l="1"/>
  <c r="BJ20" i="6"/>
  <c r="BW20" i="6"/>
  <c r="CF20" i="6"/>
  <c r="BX20" i="6"/>
  <c r="BY20" i="6"/>
  <c r="CE20" i="6"/>
  <c r="BV20" i="6"/>
  <c r="CK20" i="6"/>
  <c r="BZ20" i="6"/>
  <c r="BI20" i="6"/>
  <c r="BD20" i="6"/>
  <c r="CB20" i="6"/>
  <c r="CA20" i="6"/>
  <c r="BH20" i="6"/>
  <c r="CH20" i="6"/>
  <c r="BP20" i="6"/>
  <c r="CL20" i="6"/>
  <c r="BO20" i="6"/>
  <c r="CG20" i="6"/>
  <c r="BF20" i="6"/>
  <c r="CD20" i="6"/>
  <c r="BG20" i="6"/>
  <c r="CC20" i="6"/>
  <c r="BE20" i="6"/>
  <c r="BL20" i="6"/>
  <c r="BN20" i="6"/>
  <c r="BS20" i="6"/>
  <c r="BT20" i="6"/>
  <c r="BC20" i="6"/>
  <c r="CJ20" i="6"/>
  <c r="BQ20" i="6"/>
  <c r="BR20" i="6"/>
  <c r="BK20" i="6"/>
  <c r="BM20" i="6"/>
  <c r="CI20" i="6"/>
  <c r="AO20" i="6"/>
  <c r="AP20" i="6"/>
  <c r="AQ20" i="6"/>
  <c r="AR20" i="6"/>
  <c r="AS20" i="6"/>
  <c r="AT20" i="6"/>
  <c r="AU20" i="6"/>
  <c r="AV20" i="6"/>
  <c r="AW20" i="6"/>
  <c r="AX20" i="6"/>
  <c r="AY20" i="6"/>
  <c r="AZ20" i="6"/>
  <c r="BA20" i="6"/>
  <c r="B17" i="7"/>
  <c r="C18" i="7" a="1"/>
  <c r="C18" i="7" s="1"/>
  <c r="B18" i="9"/>
  <c r="B18" i="10"/>
  <c r="I14" i="12"/>
  <c r="I14" i="5"/>
  <c r="Z14" i="5"/>
  <c r="L14" i="5"/>
  <c r="AM14" i="5"/>
  <c r="B19" i="9" l="1"/>
  <c r="C19" i="7" a="1"/>
  <c r="C19" i="7" s="1"/>
  <c r="B18" i="7"/>
  <c r="B19" i="10"/>
  <c r="O14" i="5"/>
  <c r="C14" i="6"/>
  <c r="AB14" i="5"/>
  <c r="AA14" i="5"/>
  <c r="C14" i="12"/>
  <c r="O14" i="12"/>
  <c r="AO14" i="12"/>
  <c r="M14" i="12"/>
  <c r="B20" i="10" l="1"/>
  <c r="B19" i="7"/>
  <c r="C20" i="7" a="1"/>
  <c r="C20" i="7" s="1"/>
  <c r="B20" i="9"/>
  <c r="N14" i="12"/>
  <c r="Y14" i="12"/>
  <c r="E14" i="6"/>
  <c r="D14" i="12"/>
  <c r="B21" i="9" l="1"/>
  <c r="B21" i="10"/>
  <c r="B20" i="7"/>
  <c r="C21" i="7" a="1"/>
  <c r="C21" i="7" s="1"/>
  <c r="X14" i="12"/>
  <c r="W14" i="12"/>
  <c r="B22" i="10" l="1"/>
  <c r="B22" i="9"/>
  <c r="C22" i="7" a="1"/>
  <c r="C22" i="7" s="1"/>
  <c r="B21" i="7"/>
  <c r="T14" i="12"/>
  <c r="U14" i="12"/>
  <c r="V14" i="12"/>
  <c r="B22" i="7" l="1"/>
  <c r="C23" i="7" a="1"/>
  <c r="C23" i="7" s="1"/>
  <c r="B23" i="10"/>
  <c r="B23" i="9"/>
  <c r="D21" i="2"/>
  <c r="B23" i="7" l="1"/>
  <c r="C24" i="7" a="1"/>
  <c r="C24" i="7" s="1"/>
  <c r="B24" i="10"/>
  <c r="B24" i="9"/>
  <c r="I15" i="12"/>
  <c r="M15" i="12"/>
  <c r="J15" i="12" s="1"/>
  <c r="O15" i="12"/>
  <c r="B25" i="9" l="1"/>
  <c r="B25" i="10"/>
  <c r="C25" i="7" a="1"/>
  <c r="C25" i="7" s="1"/>
  <c r="B24" i="7"/>
  <c r="L15" i="12"/>
  <c r="K15" i="12" s="1"/>
  <c r="N15" i="12"/>
  <c r="F10" i="12" s="1"/>
  <c r="P10" i="12"/>
  <c r="O10" i="12" s="1"/>
  <c r="B26" i="9" l="1"/>
  <c r="B25" i="7"/>
  <c r="C26" i="7" a="1"/>
  <c r="C26" i="7" s="1"/>
  <c r="B26" i="10"/>
  <c r="C27" i="7" l="1" a="1"/>
  <c r="C27" i="7" s="1"/>
  <c r="B26" i="7"/>
  <c r="B27" i="9"/>
  <c r="B27" i="10"/>
  <c r="F15" i="7" a="1"/>
  <c r="F15" i="7" s="1"/>
  <c r="B28" i="9" l="1"/>
  <c r="C28" i="7" a="1"/>
  <c r="C28" i="7" s="1"/>
  <c r="B27" i="7"/>
  <c r="B28" i="10"/>
  <c r="J15" i="7"/>
  <c r="S15" i="7"/>
  <c r="L15" i="7"/>
  <c r="X15" i="7"/>
  <c r="R15" i="7"/>
  <c r="O15" i="7"/>
  <c r="Y15" i="7"/>
  <c r="M15" i="7"/>
  <c r="Q15" i="7"/>
  <c r="P15" i="7"/>
  <c r="V15" i="7"/>
  <c r="K15" i="7"/>
  <c r="U15" i="7"/>
  <c r="W15" i="7"/>
  <c r="T15" i="7"/>
  <c r="I15" i="7"/>
  <c r="N15" i="7"/>
  <c r="B29" i="10" l="1"/>
  <c r="C29" i="7" a="1"/>
  <c r="C29" i="7" s="1"/>
  <c r="B28" i="7"/>
  <c r="B29" i="9"/>
  <c r="H15" i="7"/>
  <c r="E15" i="7"/>
  <c r="B30" i="9" l="1"/>
  <c r="C30" i="7" a="1"/>
  <c r="C30" i="7" s="1"/>
  <c r="B29" i="7"/>
  <c r="B30" i="10"/>
  <c r="S1" i="7" a="1"/>
  <c r="S1" i="7" s="1"/>
  <c r="B31" i="10" l="1"/>
  <c r="C31" i="7" a="1"/>
  <c r="C31" i="7" s="1"/>
  <c r="B30" i="7"/>
  <c r="B31" i="9"/>
  <c r="O1" i="7" a="1"/>
  <c r="O1" i="7" s="1"/>
  <c r="R1" i="7" a="1"/>
  <c r="R1" i="7" s="1"/>
  <c r="V1" i="7" a="1"/>
  <c r="V1" i="7" s="1"/>
  <c r="U1" i="7" a="1"/>
  <c r="U1" i="7" s="1"/>
  <c r="N1" i="7" a="1"/>
  <c r="N1" i="7" s="1"/>
  <c r="Q1" i="7" a="1"/>
  <c r="Q1" i="7" s="1"/>
  <c r="T1" i="7" a="1"/>
  <c r="T1" i="7" s="1"/>
  <c r="M1" i="7" a="1"/>
  <c r="M1" i="7" s="1"/>
  <c r="W1" i="7" a="1"/>
  <c r="W1" i="7" s="1"/>
  <c r="P1" i="7" a="1"/>
  <c r="P1" i="7" s="1"/>
  <c r="X1" i="7" a="1"/>
  <c r="X1" i="7" s="1"/>
  <c r="Y1" i="7" a="1"/>
  <c r="Y1" i="7" s="1"/>
  <c r="B32" i="9" l="1"/>
  <c r="B32" i="10"/>
  <c r="C32" i="7" a="1"/>
  <c r="C32" i="7" s="1"/>
  <c r="B31" i="7"/>
  <c r="B33" i="9" l="1"/>
  <c r="B33" i="10"/>
  <c r="B32" i="7"/>
  <c r="C33" i="7" a="1"/>
  <c r="C33" i="7" s="1"/>
  <c r="B34" i="10" l="1"/>
  <c r="B34" i="9"/>
  <c r="C34" i="7" a="1"/>
  <c r="C34" i="7" s="1"/>
  <c r="B33" i="7"/>
  <c r="A10" i="9"/>
  <c r="B35" i="9" l="1"/>
  <c r="B35" i="10"/>
  <c r="B34" i="7"/>
  <c r="C35" i="7" a="1"/>
  <c r="C35" i="7" s="1"/>
  <c r="K1" i="7" a="1"/>
  <c r="K1" i="7" s="1"/>
  <c r="O14" i="7"/>
  <c r="Q14" i="7"/>
  <c r="U14" i="7"/>
  <c r="S14" i="7"/>
  <c r="R14" i="7"/>
  <c r="P14" i="7"/>
  <c r="J1" i="7" a="1"/>
  <c r="J1" i="7" s="1"/>
  <c r="T14" i="7"/>
  <c r="X14" i="7"/>
  <c r="V14" i="7"/>
  <c r="N14" i="7"/>
  <c r="W14" i="7"/>
  <c r="M14" i="7"/>
  <c r="Y14" i="7"/>
  <c r="L1" i="7" a="1"/>
  <c r="L1" i="7" s="1"/>
  <c r="B36" i="10" l="1"/>
  <c r="B36" i="9"/>
  <c r="B35" i="7"/>
  <c r="C36" i="7" a="1"/>
  <c r="C36" i="7" s="1"/>
  <c r="K14" i="7"/>
  <c r="J14" i="7"/>
  <c r="L14" i="7"/>
  <c r="B37" i="9" l="1"/>
  <c r="B37" i="10"/>
  <c r="B36" i="7"/>
  <c r="C37" i="7" a="1"/>
  <c r="C37" i="7" s="1"/>
  <c r="M74" i="10"/>
  <c r="O74" i="10"/>
  <c r="B38" i="9" l="1"/>
  <c r="B38" i="10"/>
  <c r="B37" i="7"/>
  <c r="C38" i="7" a="1"/>
  <c r="C38" i="7" s="1"/>
  <c r="B39" i="10" l="1"/>
  <c r="B39" i="9"/>
  <c r="B38" i="7"/>
  <c r="C39" i="7" a="1"/>
  <c r="C39" i="7" s="1"/>
  <c r="I1" i="7" a="1"/>
  <c r="I1" i="7" s="1"/>
  <c r="C40" i="7" l="1" a="1"/>
  <c r="C40" i="7" s="1"/>
  <c r="B39" i="7"/>
  <c r="B40" i="9"/>
  <c r="B40" i="10"/>
  <c r="I14" i="7"/>
  <c r="B41" i="10" l="1"/>
  <c r="B41" i="9"/>
  <c r="B40" i="7"/>
  <c r="C41" i="7" a="1"/>
  <c r="C41" i="7" s="1"/>
  <c r="K74" i="10"/>
  <c r="B41" i="7" l="1"/>
  <c r="C42" i="7" a="1"/>
  <c r="C42" i="7" s="1"/>
  <c r="B42" i="9"/>
  <c r="B42" i="10"/>
  <c r="C43" i="7" l="1" a="1"/>
  <c r="C43" i="7" s="1"/>
  <c r="B42" i="7"/>
  <c r="B43" i="10"/>
  <c r="B43" i="9"/>
  <c r="B44" i="10" l="1"/>
  <c r="B43" i="7"/>
  <c r="C44" i="7" a="1"/>
  <c r="C44" i="7" s="1"/>
  <c r="B44" i="9"/>
  <c r="B45" i="9" l="1"/>
  <c r="C45" i="7" a="1"/>
  <c r="C45" i="7" s="1"/>
  <c r="B44" i="7"/>
  <c r="B45" i="10"/>
  <c r="B46" i="10" l="1"/>
  <c r="C46" i="7" a="1"/>
  <c r="C46" i="7" s="1"/>
  <c r="B45" i="7"/>
  <c r="B46" i="9"/>
  <c r="B46" i="7" l="1"/>
  <c r="C47" i="7" a="1"/>
  <c r="C47" i="7" s="1"/>
  <c r="B47" i="9"/>
  <c r="B47" i="10"/>
  <c r="B48" i="10" l="1"/>
  <c r="B48" i="9"/>
  <c r="C48" i="7" a="1"/>
  <c r="C48" i="7" s="1"/>
  <c r="B47" i="7"/>
  <c r="C21" i="5" l="1"/>
  <c r="C49" i="7" a="1"/>
  <c r="C49" i="7" s="1"/>
  <c r="B48" i="7"/>
  <c r="B49" i="9"/>
  <c r="B49" i="10"/>
  <c r="H21" i="5" l="1"/>
  <c r="G21" i="5"/>
  <c r="B21" i="5"/>
  <c r="AE21" i="5"/>
  <c r="B21" i="6"/>
  <c r="N21" i="5"/>
  <c r="D21" i="6" s="1"/>
  <c r="H21" i="6" s="1" a="1"/>
  <c r="H21" i="6" s="1"/>
  <c r="W21" i="5"/>
  <c r="H21" i="12" s="1"/>
  <c r="A21" i="12"/>
  <c r="AD21" i="5"/>
  <c r="F21" i="5"/>
  <c r="E21" i="5"/>
  <c r="B50" i="9"/>
  <c r="B49" i="7"/>
  <c r="C50" i="7" a="1"/>
  <c r="C50" i="7" s="1"/>
  <c r="B50" i="10"/>
  <c r="K19" i="5" l="1"/>
  <c r="T21" i="5"/>
  <c r="B50" i="7"/>
  <c r="C51" i="7" a="1"/>
  <c r="C51" i="7" s="1"/>
  <c r="B51" i="10"/>
  <c r="B51" i="9"/>
  <c r="G21" i="12" l="1"/>
  <c r="B52" i="10"/>
  <c r="C52" i="7" a="1"/>
  <c r="C52" i="7" s="1"/>
  <c r="B51" i="7"/>
  <c r="B52" i="9"/>
  <c r="B52" i="7" l="1"/>
  <c r="C53" i="7" a="1"/>
  <c r="C53" i="7" s="1"/>
  <c r="B53" i="9"/>
  <c r="B53" i="10"/>
  <c r="B54" i="9" l="1"/>
  <c r="B53" i="7"/>
  <c r="C54" i="7" a="1"/>
  <c r="C54" i="7" s="1"/>
  <c r="B54" i="10"/>
  <c r="C55" i="7" l="1" a="1"/>
  <c r="C55" i="7" s="1"/>
  <c r="B54" i="7"/>
  <c r="B55" i="9"/>
  <c r="B55" i="10"/>
  <c r="C56" i="7" l="1" a="1"/>
  <c r="C56" i="7" s="1"/>
  <c r="B55" i="7"/>
  <c r="B56" i="10"/>
  <c r="B56" i="9"/>
  <c r="C57" i="7" l="1" a="1"/>
  <c r="C57" i="7" s="1"/>
  <c r="B56" i="7"/>
  <c r="B57" i="10"/>
  <c r="B57" i="9"/>
  <c r="C58" i="7" l="1" a="1"/>
  <c r="C58" i="7" s="1"/>
  <c r="B57" i="7"/>
  <c r="B58" i="10"/>
  <c r="B58" i="9"/>
  <c r="B59" i="9" l="1"/>
  <c r="B59" i="10"/>
  <c r="C59" i="7" a="1"/>
  <c r="C59" i="7" s="1"/>
  <c r="B58" i="7"/>
  <c r="C60" i="7" l="1" a="1"/>
  <c r="C60" i="7" s="1"/>
  <c r="B59" i="7"/>
  <c r="B60" i="10"/>
  <c r="B60" i="9"/>
  <c r="E1" i="7" a="1"/>
  <c r="E1" i="7" s="1"/>
  <c r="H1" i="7" a="1"/>
  <c r="H1" i="7" s="1"/>
  <c r="F1" i="7"/>
  <c r="C61" i="7" l="1" a="1"/>
  <c r="C61" i="7" s="1"/>
  <c r="B60" i="7"/>
  <c r="B61" i="10"/>
  <c r="B61" i="9"/>
  <c r="F14" i="7"/>
  <c r="H14" i="7"/>
  <c r="E14" i="7"/>
  <c r="B62" i="9" l="1"/>
  <c r="B62" i="10"/>
  <c r="G39" i="7"/>
  <c r="G62" i="7"/>
  <c r="G45" i="7"/>
  <c r="G51" i="7"/>
  <c r="G59" i="7"/>
  <c r="G16" i="7"/>
  <c r="G47" i="7"/>
  <c r="G44" i="7"/>
  <c r="G41" i="7"/>
  <c r="G60" i="7"/>
  <c r="G56" i="7"/>
  <c r="G52" i="7"/>
  <c r="G19" i="7"/>
  <c r="G23" i="7"/>
  <c r="G40" i="7"/>
  <c r="G37" i="7"/>
  <c r="G26" i="7"/>
  <c r="G35" i="7"/>
  <c r="G57" i="7"/>
  <c r="G55" i="7"/>
  <c r="G43" i="7"/>
  <c r="G46" i="7"/>
  <c r="G31" i="7"/>
  <c r="G48" i="7"/>
  <c r="G32" i="7"/>
  <c r="G58" i="7"/>
  <c r="G22" i="7"/>
  <c r="G25" i="7"/>
  <c r="G53" i="7"/>
  <c r="G54" i="7"/>
  <c r="G34" i="7"/>
  <c r="G36" i="7"/>
  <c r="G49" i="7"/>
  <c r="G33" i="7"/>
  <c r="G21" i="7"/>
  <c r="G38" i="7"/>
  <c r="G30" i="7"/>
  <c r="G50" i="7"/>
  <c r="G27" i="7"/>
  <c r="G28" i="7"/>
  <c r="G29" i="7"/>
  <c r="G17" i="7"/>
  <c r="G61" i="7"/>
  <c r="G42" i="7"/>
  <c r="G20" i="7"/>
  <c r="G18" i="7"/>
  <c r="G24" i="7"/>
  <c r="G63" i="7"/>
  <c r="G64" i="7"/>
  <c r="G1" i="7"/>
  <c r="C62" i="7" a="1"/>
  <c r="C62" i="7" s="1"/>
  <c r="B61" i="7"/>
  <c r="B63" i="10" l="1"/>
  <c r="C63" i="7" a="1"/>
  <c r="C63" i="7" s="1"/>
  <c r="B62" i="7"/>
  <c r="B63" i="9"/>
  <c r="F6" i="7"/>
  <c r="B64" i="9" l="1"/>
  <c r="B64" i="10"/>
  <c r="C64" i="7" a="1"/>
  <c r="C64" i="7" s="1"/>
  <c r="B63" i="7"/>
  <c r="B64" i="7" l="1"/>
  <c r="C10" i="7"/>
  <c r="A21" i="6" l="1"/>
  <c r="M21" i="6" l="1"/>
  <c r="BY21" i="6" l="1"/>
  <c r="BE21" i="6"/>
  <c r="CC21" i="6"/>
  <c r="BN21" i="6"/>
  <c r="BG21" i="6"/>
  <c r="AV21" i="6"/>
  <c r="BR21" i="6"/>
  <c r="CJ21" i="6"/>
  <c r="BW21" i="6"/>
  <c r="BH21" i="6"/>
  <c r="CL21" i="6"/>
  <c r="AZ21" i="6"/>
  <c r="AJ21" i="6"/>
  <c r="BL21" i="6"/>
  <c r="CD21" i="6"/>
  <c r="BP21" i="6"/>
  <c r="BI21" i="6"/>
  <c r="CM21" i="6"/>
  <c r="CF21" i="6"/>
  <c r="BF21" i="6"/>
  <c r="BX21" i="6"/>
  <c r="BJ21" i="6"/>
  <c r="CH21" i="6"/>
  <c r="CG21" i="6"/>
  <c r="BZ21" i="6"/>
  <c r="CK21" i="6"/>
  <c r="BQ21" i="6"/>
  <c r="BC21" i="6"/>
  <c r="BD21" i="6"/>
  <c r="BV21" i="6"/>
  <c r="CA21" i="6"/>
  <c r="BS21" i="6"/>
  <c r="CE21" i="6"/>
  <c r="BK21" i="6"/>
  <c r="CI21" i="6"/>
  <c r="BO21" i="6"/>
  <c r="BT21" i="6"/>
  <c r="BM21" i="6"/>
  <c r="CB21" i="6"/>
  <c r="AR21" i="6"/>
  <c r="AU21" i="6"/>
  <c r="AK21" i="6"/>
  <c r="AW21" i="6"/>
  <c r="AL21" i="6"/>
  <c r="AX21" i="6"/>
  <c r="AS21" i="6"/>
  <c r="AT21" i="6"/>
  <c r="AP21" i="6"/>
  <c r="AO21" i="6"/>
  <c r="BA21" i="6"/>
  <c r="AQ21" i="6"/>
  <c r="AY21" i="6"/>
  <c r="AM21" i="6"/>
  <c r="AN21" i="6"/>
  <c r="J10" i="13" l="1"/>
  <c r="C22" i="5" l="1"/>
  <c r="A22" i="12" l="1"/>
  <c r="B22" i="6"/>
  <c r="AD22" i="5"/>
  <c r="F22" i="5"/>
  <c r="H22" i="5"/>
  <c r="G22" i="5"/>
  <c r="N22" i="5"/>
  <c r="E22" i="5"/>
  <c r="C23" i="5"/>
  <c r="C24" i="5" s="1"/>
  <c r="AE22" i="5"/>
  <c r="B22" i="5"/>
  <c r="K24" i="5" l="1"/>
  <c r="A24" i="12"/>
  <c r="J24" i="5"/>
  <c r="AE24" i="5"/>
  <c r="B24" i="6"/>
  <c r="AD24" i="5"/>
  <c r="N24" i="5"/>
  <c r="D24" i="5"/>
  <c r="B24" i="12" s="1"/>
  <c r="A23" i="12"/>
  <c r="B23" i="6"/>
  <c r="F23" i="5"/>
  <c r="F24" i="5" s="1"/>
  <c r="G23" i="5"/>
  <c r="G24" i="5" s="1"/>
  <c r="N23" i="5"/>
  <c r="E23" i="5"/>
  <c r="E24" i="5" s="1"/>
  <c r="K23" i="5"/>
  <c r="D23" i="5"/>
  <c r="B23" i="12" s="1"/>
  <c r="J23" i="5"/>
  <c r="AE23" i="5"/>
  <c r="B23" i="5"/>
  <c r="B24" i="5" s="1"/>
  <c r="AD23" i="5"/>
  <c r="H23" i="5"/>
  <c r="H24" i="5" s="1"/>
  <c r="D22" i="6"/>
  <c r="J24" i="12" l="1"/>
  <c r="L24" i="12"/>
  <c r="D24" i="6"/>
  <c r="L23" i="12"/>
  <c r="J23" i="12"/>
  <c r="D23" i="6"/>
  <c r="H22" i="6" a="1"/>
  <c r="H22" i="6" s="1"/>
  <c r="K24" i="12" l="1"/>
  <c r="H24" i="6" a="1"/>
  <c r="H24" i="6" s="1"/>
  <c r="K23" i="12"/>
  <c r="T22" i="5"/>
  <c r="H23" i="6" a="1"/>
  <c r="H23" i="6" s="1"/>
  <c r="T24" i="5" l="1"/>
  <c r="T23" i="5"/>
  <c r="G22" i="12"/>
  <c r="G24" i="12" l="1"/>
  <c r="G23" i="12"/>
  <c r="A22" i="6" l="1"/>
  <c r="A23" i="6" l="1"/>
  <c r="A24" i="6" s="1"/>
  <c r="M22" i="6"/>
  <c r="BY22" i="6" l="1"/>
  <c r="BI22" i="6"/>
  <c r="BP22" i="6"/>
  <c r="BX22" i="6"/>
  <c r="BW22" i="6"/>
  <c r="BD22" i="6"/>
  <c r="BV22" i="6"/>
  <c r="BR22" i="6"/>
  <c r="CG22" i="6"/>
  <c r="BH22" i="6"/>
  <c r="BO22" i="6"/>
  <c r="BN22" i="6"/>
  <c r="AT22" i="6"/>
  <c r="BM22" i="6"/>
  <c r="BL22" i="6"/>
  <c r="BZ22" i="6"/>
  <c r="CL22" i="6"/>
  <c r="BG22" i="6"/>
  <c r="BE22" i="6"/>
  <c r="CM22" i="6"/>
  <c r="BF22" i="6"/>
  <c r="BQ22" i="6"/>
  <c r="CC22" i="6"/>
  <c r="CJ22" i="6"/>
  <c r="AP22" i="6"/>
  <c r="AW22" i="6"/>
  <c r="AV22" i="6"/>
  <c r="AK22" i="6"/>
  <c r="CK22" i="6"/>
  <c r="AY22" i="6"/>
  <c r="BJ22" i="6"/>
  <c r="BT22" i="6"/>
  <c r="CB22" i="6"/>
  <c r="CI22" i="6"/>
  <c r="AO22" i="6"/>
  <c r="AL22" i="6"/>
  <c r="CD22" i="6"/>
  <c r="CE22" i="6"/>
  <c r="BC22" i="6"/>
  <c r="BK22" i="6"/>
  <c r="BS22" i="6"/>
  <c r="CA22" i="6"/>
  <c r="CH22" i="6"/>
  <c r="CF22" i="6"/>
  <c r="AJ22" i="6"/>
  <c r="AS22" i="6"/>
  <c r="AZ22" i="6"/>
  <c r="BA22" i="6"/>
  <c r="AX22" i="6"/>
  <c r="AR22" i="6"/>
  <c r="AU22" i="6"/>
  <c r="AQ22" i="6"/>
  <c r="AN22" i="6"/>
  <c r="AM22" i="6"/>
  <c r="M23" i="6"/>
  <c r="M24" i="6" s="1"/>
  <c r="CJ24" i="6" l="1"/>
  <c r="BP24" i="6"/>
  <c r="BO24" i="6"/>
  <c r="BN24" i="6"/>
  <c r="BM24" i="6"/>
  <c r="BD24" i="6"/>
  <c r="BG24" i="6"/>
  <c r="BE24" i="6"/>
  <c r="CI24" i="6"/>
  <c r="BQ24" i="6"/>
  <c r="BW24" i="6"/>
  <c r="CB24" i="6"/>
  <c r="CG24" i="6"/>
  <c r="BF24" i="6"/>
  <c r="BS24" i="6"/>
  <c r="BY24" i="6"/>
  <c r="BX24" i="6"/>
  <c r="BK24" i="6"/>
  <c r="BH24" i="6"/>
  <c r="CH24" i="6"/>
  <c r="CK24" i="6"/>
  <c r="CA24" i="6"/>
  <c r="BZ24" i="6"/>
  <c r="BC24" i="6"/>
  <c r="BT24" i="6"/>
  <c r="CM24" i="6"/>
  <c r="CL24" i="6"/>
  <c r="CC24" i="6"/>
  <c r="BR24" i="6"/>
  <c r="BI24" i="6"/>
  <c r="BV24" i="6"/>
  <c r="CF24" i="6"/>
  <c r="CE24" i="6"/>
  <c r="CD24" i="6"/>
  <c r="BJ24" i="6"/>
  <c r="BL24" i="6"/>
  <c r="AP24" i="6"/>
  <c r="AV24" i="6"/>
  <c r="AT24" i="6"/>
  <c r="AZ24" i="6"/>
  <c r="AR24" i="6"/>
  <c r="AW24" i="6"/>
  <c r="AX24" i="6"/>
  <c r="AU24" i="6"/>
  <c r="AO24" i="6"/>
  <c r="AS24" i="6"/>
  <c r="BA24" i="6"/>
  <c r="AQ24" i="6"/>
  <c r="AY24" i="6"/>
  <c r="CJ23" i="6"/>
  <c r="BO23" i="6"/>
  <c r="CF23" i="6"/>
  <c r="BI23" i="6"/>
  <c r="BP23" i="6"/>
  <c r="BY23" i="6"/>
  <c r="CD23" i="6"/>
  <c r="BH23" i="6"/>
  <c r="BV23" i="6"/>
  <c r="CM23" i="6"/>
  <c r="BG23" i="6"/>
  <c r="BN23" i="6"/>
  <c r="BX23" i="6"/>
  <c r="BM23" i="6"/>
  <c r="CC23" i="6"/>
  <c r="CK23" i="6"/>
  <c r="BF23" i="6"/>
  <c r="BQ23" i="6"/>
  <c r="CL23" i="6"/>
  <c r="BD23" i="6"/>
  <c r="BT23" i="6"/>
  <c r="CB23" i="6"/>
  <c r="CI23" i="6"/>
  <c r="BK23" i="6"/>
  <c r="CE23" i="6"/>
  <c r="BL23" i="6"/>
  <c r="BS23" i="6"/>
  <c r="CA23" i="6"/>
  <c r="CH23" i="6"/>
  <c r="BE23" i="6"/>
  <c r="BW23" i="6"/>
  <c r="BC23" i="6"/>
  <c r="BJ23" i="6"/>
  <c r="BR23" i="6"/>
  <c r="BZ23" i="6"/>
  <c r="CG23" i="6"/>
  <c r="AV23" i="6"/>
  <c r="AT23" i="6"/>
  <c r="AY23" i="6"/>
  <c r="AX23" i="6"/>
  <c r="AS23" i="6"/>
  <c r="AW23" i="6"/>
  <c r="AU23" i="6"/>
  <c r="AR23" i="6"/>
  <c r="AZ23" i="6"/>
  <c r="BA23" i="6"/>
  <c r="C25" i="5" l="1"/>
  <c r="A25" i="12" l="1"/>
  <c r="B25" i="6"/>
  <c r="AD25" i="5"/>
  <c r="F25" i="5"/>
  <c r="E25" i="5"/>
  <c r="C26" i="5"/>
  <c r="H25" i="5"/>
  <c r="B25" i="5"/>
  <c r="AE25" i="5"/>
  <c r="N25" i="5"/>
  <c r="G25" i="5"/>
  <c r="C27" i="5" l="1"/>
  <c r="N27" i="5" s="1"/>
  <c r="D25" i="6"/>
  <c r="A26" i="12"/>
  <c r="B26" i="6"/>
  <c r="AD26" i="5"/>
  <c r="F26" i="5"/>
  <c r="K26" i="5"/>
  <c r="E26" i="5"/>
  <c r="J26" i="5"/>
  <c r="D26" i="5"/>
  <c r="B26" i="12" s="1"/>
  <c r="H26" i="5"/>
  <c r="B26" i="5"/>
  <c r="AE26" i="5"/>
  <c r="N26" i="5"/>
  <c r="G26" i="5"/>
  <c r="E27" i="5" l="1"/>
  <c r="F27" i="5"/>
  <c r="G27" i="5"/>
  <c r="B27" i="5"/>
  <c r="H27" i="5"/>
  <c r="AD27" i="5"/>
  <c r="AE27" i="5"/>
  <c r="C28" i="5"/>
  <c r="B28" i="6" s="1"/>
  <c r="J27" i="5"/>
  <c r="K27" i="5"/>
  <c r="A27" i="12"/>
  <c r="L27" i="12" s="1"/>
  <c r="D27" i="5"/>
  <c r="B27" i="12" s="1"/>
  <c r="B27" i="6"/>
  <c r="D27" i="6"/>
  <c r="D26" i="6"/>
  <c r="J26" i="12"/>
  <c r="L26" i="12"/>
  <c r="H25" i="6" a="1"/>
  <c r="H25" i="6" s="1"/>
  <c r="E28" i="5" l="1"/>
  <c r="AE28" i="5"/>
  <c r="F28" i="5"/>
  <c r="N28" i="5"/>
  <c r="D28" i="6" s="1"/>
  <c r="G28" i="5"/>
  <c r="H28" i="5"/>
  <c r="D28" i="5"/>
  <c r="B28" i="12" s="1"/>
  <c r="J28" i="5"/>
  <c r="K28" i="5"/>
  <c r="AD28" i="5"/>
  <c r="B28" i="5"/>
  <c r="A28" i="12"/>
  <c r="L28" i="12" s="1"/>
  <c r="J27" i="12"/>
  <c r="K27" i="12" s="1"/>
  <c r="H27" i="6" a="1"/>
  <c r="H27" i="6" s="1"/>
  <c r="K26" i="12"/>
  <c r="H26" i="6" a="1"/>
  <c r="H26" i="6" s="1"/>
  <c r="T25" i="5"/>
  <c r="J28" i="12" l="1"/>
  <c r="K28" i="12" s="1"/>
  <c r="T27" i="5"/>
  <c r="G25" i="12"/>
  <c r="T26" i="5"/>
  <c r="H28" i="6" a="1"/>
  <c r="H28" i="6" s="1"/>
  <c r="G27" i="12" l="1"/>
  <c r="T28" i="5"/>
  <c r="G26" i="12"/>
  <c r="G28" i="12" l="1"/>
  <c r="A25" i="6" l="1"/>
  <c r="A26" i="6" l="1"/>
  <c r="A27" i="6" s="1"/>
  <c r="M25" i="6"/>
  <c r="M27" i="6" l="1"/>
  <c r="BO25" i="6"/>
  <c r="BE25" i="6"/>
  <c r="BW25" i="6"/>
  <c r="AK25" i="6"/>
  <c r="CL25" i="6"/>
  <c r="BY25" i="6"/>
  <c r="BH25" i="6"/>
  <c r="BA25" i="6"/>
  <c r="BF25" i="6"/>
  <c r="BI25" i="6"/>
  <c r="CJ25" i="6"/>
  <c r="AX25" i="6"/>
  <c r="BP25" i="6"/>
  <c r="CF25" i="6"/>
  <c r="BZ25" i="6"/>
  <c r="BL25" i="6"/>
  <c r="AU25" i="6"/>
  <c r="CA25" i="6"/>
  <c r="BC25" i="6"/>
  <c r="CD25" i="6"/>
  <c r="AR25" i="6"/>
  <c r="BJ25" i="6"/>
  <c r="BS25" i="6"/>
  <c r="BM25" i="6"/>
  <c r="AY25" i="6"/>
  <c r="AO25" i="6"/>
  <c r="CH25" i="6"/>
  <c r="BX25" i="6"/>
  <c r="AL25" i="6"/>
  <c r="BD25" i="6"/>
  <c r="BG25" i="6"/>
  <c r="AZ25" i="6"/>
  <c r="AM25" i="6"/>
  <c r="BN25" i="6"/>
  <c r="BR25" i="6"/>
  <c r="CB25" i="6"/>
  <c r="AP25" i="6"/>
  <c r="BQ25" i="6"/>
  <c r="CI25" i="6"/>
  <c r="AW25" i="6"/>
  <c r="AT25" i="6"/>
  <c r="AN25" i="6"/>
  <c r="CG25" i="6"/>
  <c r="AS25" i="6"/>
  <c r="BV25" i="6"/>
  <c r="BK25" i="6"/>
  <c r="CC25" i="6"/>
  <c r="CK25" i="6"/>
  <c r="BT25" i="6"/>
  <c r="CM25" i="6"/>
  <c r="CE25" i="6"/>
  <c r="AV25" i="6"/>
  <c r="AQ25" i="6"/>
  <c r="AJ25" i="6"/>
  <c r="A28" i="6"/>
  <c r="M26" i="6"/>
  <c r="CJ27" i="6" l="1"/>
  <c r="CI27" i="6"/>
  <c r="CH27" i="6"/>
  <c r="BY27" i="6"/>
  <c r="BO27" i="6"/>
  <c r="BN27" i="6"/>
  <c r="BX27" i="6"/>
  <c r="CK27" i="6"/>
  <c r="CB27" i="6"/>
  <c r="CA27" i="6"/>
  <c r="BZ27" i="6"/>
  <c r="BP27" i="6"/>
  <c r="BG27" i="6"/>
  <c r="BF27" i="6"/>
  <c r="CM27" i="6"/>
  <c r="CL27" i="6"/>
  <c r="CC27" i="6"/>
  <c r="BS27" i="6"/>
  <c r="BR27" i="6"/>
  <c r="BQ27" i="6"/>
  <c r="BH27" i="6"/>
  <c r="BL27" i="6"/>
  <c r="CD27" i="6"/>
  <c r="BT27" i="6"/>
  <c r="BK27" i="6"/>
  <c r="BJ27" i="6"/>
  <c r="BI27" i="6"/>
  <c r="BC27" i="6"/>
  <c r="BV27" i="6"/>
  <c r="BM27" i="6"/>
  <c r="BD27" i="6"/>
  <c r="CG27" i="6"/>
  <c r="BW27" i="6"/>
  <c r="BE27" i="6"/>
  <c r="CF27" i="6"/>
  <c r="CE27" i="6"/>
  <c r="AZ27" i="6"/>
  <c r="AY27" i="6"/>
  <c r="AU27" i="6"/>
  <c r="BA27" i="6"/>
  <c r="AR27" i="6"/>
  <c r="AV27" i="6"/>
  <c r="AS27" i="6"/>
  <c r="AW27" i="6"/>
  <c r="AT27" i="6"/>
  <c r="AX27" i="6"/>
  <c r="M28" i="6"/>
  <c r="CA26" i="6"/>
  <c r="BP26" i="6"/>
  <c r="CH26" i="6"/>
  <c r="AV26" i="6"/>
  <c r="BL26" i="6"/>
  <c r="AS26" i="6"/>
  <c r="BZ26" i="6"/>
  <c r="BG26" i="6"/>
  <c r="AX26" i="6"/>
  <c r="BT26" i="6"/>
  <c r="BJ26" i="6"/>
  <c r="CB26" i="6"/>
  <c r="CD26" i="6"/>
  <c r="BM26" i="6"/>
  <c r="CF26" i="6"/>
  <c r="BK26" i="6"/>
  <c r="BN26" i="6"/>
  <c r="BD26" i="6"/>
  <c r="BV26" i="6"/>
  <c r="BQ26" i="6"/>
  <c r="BH26" i="6"/>
  <c r="CI26" i="6"/>
  <c r="BO26" i="6"/>
  <c r="CE26" i="6"/>
  <c r="BE26" i="6"/>
  <c r="BX26" i="6"/>
  <c r="CM26" i="6"/>
  <c r="BA26" i="6"/>
  <c r="CC26" i="6"/>
  <c r="BI26" i="6"/>
  <c r="CK26" i="6"/>
  <c r="BR26" i="6"/>
  <c r="AR26" i="6"/>
  <c r="BS26" i="6"/>
  <c r="CG26" i="6"/>
  <c r="BW26" i="6"/>
  <c r="BC26" i="6"/>
  <c r="BY26" i="6"/>
  <c r="BF26" i="6"/>
  <c r="CL26" i="6"/>
  <c r="CJ26" i="6"/>
  <c r="AU26" i="6"/>
  <c r="AZ26" i="6"/>
  <c r="AY26" i="6"/>
  <c r="AW26" i="6"/>
  <c r="AT26" i="6"/>
  <c r="BG28" i="6" l="1"/>
  <c r="CB28" i="6"/>
  <c r="BT28" i="6"/>
  <c r="CK28" i="6"/>
  <c r="CI28" i="6"/>
  <c r="BR28" i="6"/>
  <c r="CL28" i="6"/>
  <c r="BV28" i="6"/>
  <c r="BN28" i="6"/>
  <c r="CJ28" i="6"/>
  <c r="BW28" i="6"/>
  <c r="BF28" i="6"/>
  <c r="CC28" i="6"/>
  <c r="BH28" i="6"/>
  <c r="CD28" i="6"/>
  <c r="BX28" i="6"/>
  <c r="BJ28" i="6"/>
  <c r="CF28" i="6"/>
  <c r="BO28" i="6"/>
  <c r="BZ28" i="6"/>
  <c r="BI28" i="6"/>
  <c r="CM28" i="6"/>
  <c r="BQ28" i="6"/>
  <c r="BK28" i="6"/>
  <c r="AW28" i="6"/>
  <c r="BY28" i="6"/>
  <c r="BP28" i="6"/>
  <c r="BS28" i="6"/>
  <c r="BC28" i="6"/>
  <c r="CG28" i="6"/>
  <c r="BE28" i="6"/>
  <c r="BD28" i="6"/>
  <c r="BM28" i="6"/>
  <c r="CH28" i="6"/>
  <c r="CA28" i="6"/>
  <c r="CE28" i="6"/>
  <c r="BL28" i="6"/>
  <c r="BA28" i="6"/>
  <c r="AY28" i="6"/>
  <c r="AR28" i="6"/>
  <c r="AZ28" i="6"/>
  <c r="AV28" i="6"/>
  <c r="AX28" i="6"/>
  <c r="AT28" i="6"/>
  <c r="AU28" i="6"/>
  <c r="AS28" i="6"/>
  <c r="C29" i="5" l="1"/>
  <c r="C30" i="5" l="1"/>
  <c r="AE29" i="5"/>
  <c r="A29" i="12"/>
  <c r="AD29" i="5"/>
  <c r="B29" i="6"/>
  <c r="N29" i="5"/>
  <c r="D29" i="6" s="1"/>
  <c r="G29" i="6" s="1"/>
  <c r="W29" i="5"/>
  <c r="H29" i="12" s="1"/>
  <c r="F29" i="5"/>
  <c r="B29" i="5"/>
  <c r="G29" i="5"/>
  <c r="E29" i="5"/>
  <c r="H29" i="5"/>
  <c r="C31" i="5" l="1"/>
  <c r="D31" i="5" s="1"/>
  <c r="B31" i="12" s="1"/>
  <c r="N30" i="5"/>
  <c r="D30" i="5"/>
  <c r="B30" i="12" s="1"/>
  <c r="K30" i="5"/>
  <c r="A30" i="12"/>
  <c r="J30" i="5"/>
  <c r="AE30" i="5"/>
  <c r="B30" i="6"/>
  <c r="AD30" i="5"/>
  <c r="H29" i="6" a="1"/>
  <c r="H29" i="6" s="1"/>
  <c r="T29" i="5" s="1"/>
  <c r="G30" i="5"/>
  <c r="F30" i="5"/>
  <c r="E30" i="5"/>
  <c r="B30" i="5"/>
  <c r="H30" i="5"/>
  <c r="E29" i="12"/>
  <c r="F29" i="6"/>
  <c r="G31" i="5" l="1"/>
  <c r="E31" i="5"/>
  <c r="H31" i="5"/>
  <c r="B31" i="5"/>
  <c r="F31" i="5"/>
  <c r="B31" i="6"/>
  <c r="AD31" i="5"/>
  <c r="J31" i="5"/>
  <c r="AE31" i="5"/>
  <c r="A31" i="12"/>
  <c r="J31" i="12" s="1"/>
  <c r="K31" i="5"/>
  <c r="N31" i="5"/>
  <c r="D31" i="6" s="1"/>
  <c r="C32" i="5"/>
  <c r="D30" i="6"/>
  <c r="L30" i="12"/>
  <c r="J30" i="12"/>
  <c r="G29" i="12"/>
  <c r="L31" i="12" l="1"/>
  <c r="K31" i="12" s="1"/>
  <c r="A32" i="12"/>
  <c r="K32" i="5"/>
  <c r="C33" i="5"/>
  <c r="B32" i="6"/>
  <c r="AE32" i="5"/>
  <c r="N32" i="5"/>
  <c r="D32" i="6" s="1"/>
  <c r="D32" i="5"/>
  <c r="B32" i="12" s="1"/>
  <c r="AD32" i="5"/>
  <c r="J32" i="5"/>
  <c r="G32" i="5"/>
  <c r="F32" i="5"/>
  <c r="E32" i="5"/>
  <c r="B32" i="5"/>
  <c r="H32" i="5"/>
  <c r="H31" i="6" a="1"/>
  <c r="H31" i="6" s="1"/>
  <c r="K30" i="12"/>
  <c r="H30" i="6" a="1"/>
  <c r="H30" i="6" s="1"/>
  <c r="H32" i="6" l="1" a="1"/>
  <c r="H32" i="6" s="1"/>
  <c r="T32" i="5" s="1"/>
  <c r="A33" i="12"/>
  <c r="G33" i="5"/>
  <c r="B33" i="6"/>
  <c r="F33" i="5"/>
  <c r="K33" i="5"/>
  <c r="D33" i="5"/>
  <c r="B33" i="12" s="1"/>
  <c r="N33" i="5"/>
  <c r="D33" i="6" s="1"/>
  <c r="AE33" i="5"/>
  <c r="E33" i="5"/>
  <c r="AD33" i="5"/>
  <c r="J33" i="5"/>
  <c r="H33" i="5"/>
  <c r="B33" i="5"/>
  <c r="L32" i="12"/>
  <c r="J32" i="12"/>
  <c r="T31" i="5"/>
  <c r="T30" i="5"/>
  <c r="K32" i="12" l="1"/>
  <c r="H33" i="6" a="1"/>
  <c r="H33" i="6" s="1"/>
  <c r="T33" i="5" s="1"/>
  <c r="J33" i="12"/>
  <c r="L33" i="12"/>
  <c r="G32" i="12"/>
  <c r="G31" i="12"/>
  <c r="G30" i="12"/>
  <c r="A29" i="6"/>
  <c r="K33" i="12" l="1"/>
  <c r="G33" i="12"/>
  <c r="M29" i="6"/>
  <c r="A30" i="6"/>
  <c r="A31" i="6" s="1"/>
  <c r="A32" i="6" s="1"/>
  <c r="A33" i="6" l="1"/>
  <c r="N32" i="6"/>
  <c r="N31" i="6"/>
  <c r="N30" i="6"/>
  <c r="M30" i="6"/>
  <c r="M31" i="6" s="1"/>
  <c r="BF29" i="6"/>
  <c r="BI29" i="6"/>
  <c r="BX29" i="6"/>
  <c r="AZ29" i="6"/>
  <c r="BO29" i="6"/>
  <c r="BH29" i="6"/>
  <c r="CJ29" i="6"/>
  <c r="CI29" i="6"/>
  <c r="BY29" i="6"/>
  <c r="BG29" i="6"/>
  <c r="BS29" i="6"/>
  <c r="CL29" i="6"/>
  <c r="CK29" i="6"/>
  <c r="CB29" i="6"/>
  <c r="CA29" i="6"/>
  <c r="CD29" i="6"/>
  <c r="CG29" i="6"/>
  <c r="AP29" i="6"/>
  <c r="CM29" i="6"/>
  <c r="CC29" i="6"/>
  <c r="BR29" i="6"/>
  <c r="CE29" i="6"/>
  <c r="BV29" i="6"/>
  <c r="BT29" i="6"/>
  <c r="BK29" i="6"/>
  <c r="BJ29" i="6"/>
  <c r="CH29" i="6"/>
  <c r="BP29" i="6"/>
  <c r="BW29" i="6"/>
  <c r="BM29" i="6"/>
  <c r="BL29" i="6"/>
  <c r="BC29" i="6"/>
  <c r="BZ29" i="6"/>
  <c r="BN29" i="6"/>
  <c r="BE29" i="6"/>
  <c r="BD29" i="6"/>
  <c r="AT29" i="6"/>
  <c r="AS29" i="6"/>
  <c r="BQ29" i="6"/>
  <c r="CF29" i="6"/>
  <c r="AO29" i="6"/>
  <c r="AN29" i="6"/>
  <c r="AQ29" i="6"/>
  <c r="AX29" i="6"/>
  <c r="AW29" i="6"/>
  <c r="AK29" i="6"/>
  <c r="BA29" i="6"/>
  <c r="AJ29" i="6"/>
  <c r="AL29" i="6"/>
  <c r="AY29" i="6"/>
  <c r="AU29" i="6"/>
  <c r="AR29" i="6"/>
  <c r="AV29" i="6"/>
  <c r="AM29" i="6"/>
  <c r="M32" i="6" l="1"/>
  <c r="BQ32" i="6" s="1"/>
  <c r="N33" i="6"/>
  <c r="M33" i="6"/>
  <c r="BF31" i="6"/>
  <c r="CE31" i="6"/>
  <c r="BE31" i="6"/>
  <c r="BK31" i="6"/>
  <c r="BG31" i="6"/>
  <c r="CI31" i="6"/>
  <c r="CH31" i="6"/>
  <c r="BW31" i="6"/>
  <c r="CA31" i="6"/>
  <c r="BZ31" i="6"/>
  <c r="CM31" i="6"/>
  <c r="CJ31" i="6"/>
  <c r="BO31" i="6"/>
  <c r="BL31" i="6"/>
  <c r="BR31" i="6"/>
  <c r="BQ31" i="6"/>
  <c r="CF31" i="6"/>
  <c r="BN31" i="6"/>
  <c r="CK31" i="6"/>
  <c r="CB31" i="6"/>
  <c r="BJ31" i="6"/>
  <c r="BI31" i="6"/>
  <c r="CG31" i="6"/>
  <c r="BX31" i="6"/>
  <c r="CL31" i="6"/>
  <c r="CC31" i="6"/>
  <c r="BS31" i="6"/>
  <c r="CD31" i="6"/>
  <c r="BV31" i="6"/>
  <c r="BY31" i="6"/>
  <c r="BT31" i="6"/>
  <c r="BP31" i="6"/>
  <c r="BC31" i="6"/>
  <c r="BH31" i="6"/>
  <c r="BM31" i="6"/>
  <c r="BD31" i="6"/>
  <c r="AW31" i="6"/>
  <c r="BA31" i="6"/>
  <c r="AO31" i="6"/>
  <c r="AU31" i="6"/>
  <c r="AT31" i="6"/>
  <c r="AP31" i="6"/>
  <c r="AX31" i="6"/>
  <c r="AY31" i="6"/>
  <c r="AV31" i="6"/>
  <c r="AR31" i="6"/>
  <c r="AS31" i="6"/>
  <c r="AZ31" i="6"/>
  <c r="AQ31" i="6"/>
  <c r="BD30" i="6"/>
  <c r="BI30" i="6"/>
  <c r="BH30" i="6"/>
  <c r="BG30" i="6"/>
  <c r="BF30" i="6"/>
  <c r="AV30" i="6"/>
  <c r="CJ30" i="6"/>
  <c r="BL30" i="6"/>
  <c r="AX30" i="6"/>
  <c r="AW30" i="6"/>
  <c r="BZ30" i="6"/>
  <c r="BM30" i="6"/>
  <c r="CB30" i="6"/>
  <c r="CI30" i="6"/>
  <c r="BT30" i="6"/>
  <c r="BX30" i="6"/>
  <c r="BS30" i="6"/>
  <c r="CA30" i="6"/>
  <c r="CL30" i="6"/>
  <c r="BK30" i="6"/>
  <c r="BR30" i="6"/>
  <c r="CC30" i="6"/>
  <c r="CK30" i="6"/>
  <c r="CM30" i="6"/>
  <c r="CD30" i="6"/>
  <c r="BJ30" i="6"/>
  <c r="CH30" i="6"/>
  <c r="CG30" i="6"/>
  <c r="CF30" i="6"/>
  <c r="BV30" i="6"/>
  <c r="BW30" i="6"/>
  <c r="BE30" i="6"/>
  <c r="BC30" i="6"/>
  <c r="CE30" i="6"/>
  <c r="AT30" i="6"/>
  <c r="BA30" i="6"/>
  <c r="BY30" i="6"/>
  <c r="AS30" i="6"/>
  <c r="BQ30" i="6"/>
  <c r="BP30" i="6"/>
  <c r="BO30" i="6"/>
  <c r="BN30" i="6"/>
  <c r="AZ30" i="6"/>
  <c r="AR30" i="6"/>
  <c r="AY30" i="6"/>
  <c r="AQ30" i="6"/>
  <c r="AU30" i="6"/>
  <c r="AO30" i="6"/>
  <c r="AP30" i="6"/>
  <c r="K17" i="5"/>
  <c r="AQ32" i="6" l="1"/>
  <c r="AO32" i="6"/>
  <c r="AV32" i="6"/>
  <c r="AR32" i="6"/>
  <c r="CH32" i="6"/>
  <c r="AT32" i="6"/>
  <c r="BJ32" i="6"/>
  <c r="BA32" i="6"/>
  <c r="AX32" i="6"/>
  <c r="BK32" i="6"/>
  <c r="AY32" i="6"/>
  <c r="AS32" i="6"/>
  <c r="BT32" i="6"/>
  <c r="AW32" i="6"/>
  <c r="BN32" i="6"/>
  <c r="AP32" i="6"/>
  <c r="CA32" i="6"/>
  <c r="CK32" i="6"/>
  <c r="AU32" i="6"/>
  <c r="CB32" i="6"/>
  <c r="BW32" i="6"/>
  <c r="CD32" i="6"/>
  <c r="BY32" i="6"/>
  <c r="BI32" i="6"/>
  <c r="CF32" i="6"/>
  <c r="BD32" i="6"/>
  <c r="AZ32" i="6"/>
  <c r="BO32" i="6"/>
  <c r="BR32" i="6"/>
  <c r="BM32" i="6"/>
  <c r="CM32" i="6"/>
  <c r="BF32" i="6"/>
  <c r="BZ32" i="6"/>
  <c r="BP32" i="6"/>
  <c r="BS32" i="6"/>
  <c r="BH32" i="6"/>
  <c r="BE32" i="6"/>
  <c r="BC32" i="6"/>
  <c r="CC32" i="6"/>
  <c r="BX32" i="6"/>
  <c r="CE32" i="6"/>
  <c r="BL32" i="6"/>
  <c r="CL32" i="6"/>
  <c r="CI32" i="6"/>
  <c r="CG32" i="6"/>
  <c r="BV32" i="6"/>
  <c r="BG32" i="6"/>
  <c r="CJ32" i="6"/>
  <c r="CK33" i="6"/>
  <c r="BW33" i="6"/>
  <c r="BV33" i="6"/>
  <c r="BK33" i="6"/>
  <c r="BF33" i="6"/>
  <c r="CJ33" i="6"/>
  <c r="BS33" i="6"/>
  <c r="CF33" i="6"/>
  <c r="CC33" i="6"/>
  <c r="BN33" i="6"/>
  <c r="BM33" i="6"/>
  <c r="BC33" i="6"/>
  <c r="BE33" i="6"/>
  <c r="CE33" i="6"/>
  <c r="CG33" i="6"/>
  <c r="BX33" i="6"/>
  <c r="BL33" i="6"/>
  <c r="CL33" i="6"/>
  <c r="CI33" i="6"/>
  <c r="CH33" i="6"/>
  <c r="BY33" i="6"/>
  <c r="BO33" i="6"/>
  <c r="BD33" i="6"/>
  <c r="BR33" i="6"/>
  <c r="BQ33" i="6"/>
  <c r="BH33" i="6"/>
  <c r="BT33" i="6"/>
  <c r="CB33" i="6"/>
  <c r="CA33" i="6"/>
  <c r="BZ33" i="6"/>
  <c r="BP33" i="6"/>
  <c r="BG33" i="6"/>
  <c r="BJ33" i="6"/>
  <c r="BI33" i="6"/>
  <c r="CM33" i="6"/>
  <c r="CD33" i="6"/>
  <c r="AX33" i="6"/>
  <c r="AQ33" i="6"/>
  <c r="AT33" i="6"/>
  <c r="AZ33" i="6"/>
  <c r="BA33" i="6"/>
  <c r="AO33" i="6"/>
  <c r="AR33" i="6"/>
  <c r="AV33" i="6"/>
  <c r="AP33" i="6"/>
  <c r="AS33" i="6"/>
  <c r="AW33" i="6"/>
  <c r="AY33" i="6"/>
  <c r="AU33" i="6"/>
  <c r="C34" i="5" l="1"/>
  <c r="E34" i="5" l="1"/>
  <c r="G34" i="5"/>
  <c r="F34" i="5"/>
  <c r="K29" i="5" s="1"/>
  <c r="B34" i="6"/>
  <c r="A34" i="6" s="1"/>
  <c r="AE34" i="5"/>
  <c r="B34" i="5"/>
  <c r="AD34" i="5"/>
  <c r="A34" i="12"/>
  <c r="N34" i="5"/>
  <c r="D34" i="6" s="1"/>
  <c r="H34" i="6" s="1" a="1"/>
  <c r="H34" i="6" s="1"/>
  <c r="H34" i="5"/>
  <c r="M34" i="6" l="1"/>
  <c r="BR34" i="6" s="1"/>
  <c r="T34" i="5"/>
  <c r="G34" i="12" s="1"/>
  <c r="BK34" i="6" l="1"/>
  <c r="CF34" i="6"/>
  <c r="BI34" i="6"/>
  <c r="CC34" i="6"/>
  <c r="CL34" i="6"/>
  <c r="BP34" i="6"/>
  <c r="AL34" i="6"/>
  <c r="AO34" i="6"/>
  <c r="AJ34" i="6"/>
  <c r="BY34" i="6"/>
  <c r="CE34" i="6"/>
  <c r="CH34" i="6"/>
  <c r="BJ34" i="6"/>
  <c r="CK34" i="6"/>
  <c r="CI34" i="6"/>
  <c r="AV34" i="6"/>
  <c r="AY34" i="6"/>
  <c r="BC34" i="6"/>
  <c r="BT34" i="6"/>
  <c r="BM34" i="6"/>
  <c r="CA34" i="6"/>
  <c r="BG34" i="6"/>
  <c r="AK34" i="6"/>
  <c r="AP34" i="6"/>
  <c r="CJ34" i="6"/>
  <c r="BO34" i="6"/>
  <c r="AQ34" i="6"/>
  <c r="AX34" i="6"/>
  <c r="AU34" i="6"/>
  <c r="BE34" i="6"/>
  <c r="BF34" i="6"/>
  <c r="CD34" i="6"/>
  <c r="BD34" i="6"/>
  <c r="AM34" i="6"/>
  <c r="CG34" i="6"/>
  <c r="AW34" i="6"/>
  <c r="BQ34" i="6"/>
  <c r="BH34" i="6"/>
  <c r="AR34" i="6"/>
  <c r="BW34" i="6"/>
  <c r="CM34" i="6"/>
  <c r="BN34" i="6"/>
  <c r="BA34" i="6"/>
  <c r="AZ34" i="6"/>
  <c r="BV34" i="6"/>
  <c r="AT34" i="6"/>
  <c r="BS34" i="6"/>
  <c r="BZ34" i="6"/>
  <c r="BX34" i="6"/>
  <c r="AS34" i="6"/>
  <c r="AN34" i="6"/>
  <c r="CB34" i="6"/>
  <c r="BL34" i="6"/>
  <c r="C35" i="5" l="1"/>
  <c r="C36" i="5" l="1"/>
  <c r="N36" i="5" s="1"/>
  <c r="N35" i="5"/>
  <c r="AE35" i="5"/>
  <c r="B35" i="6"/>
  <c r="AD35" i="5"/>
  <c r="A35" i="12"/>
  <c r="F35" i="5"/>
  <c r="B35" i="5"/>
  <c r="E35" i="5"/>
  <c r="H35" i="5"/>
  <c r="E36" i="5" l="1"/>
  <c r="B36" i="5"/>
  <c r="F36" i="5"/>
  <c r="H36" i="5"/>
  <c r="AE36" i="5"/>
  <c r="AD36" i="5"/>
  <c r="B36" i="6"/>
  <c r="A36" i="12"/>
  <c r="J36" i="12" s="1"/>
  <c r="J36" i="5"/>
  <c r="K36" i="5"/>
  <c r="D36" i="5"/>
  <c r="B36" i="12" s="1"/>
  <c r="D36" i="6"/>
  <c r="G35" i="5"/>
  <c r="D35" i="6"/>
  <c r="L36" i="12" l="1"/>
  <c r="K36" i="12" s="1"/>
  <c r="G36" i="5"/>
  <c r="H36" i="6" a="1"/>
  <c r="H36" i="6" s="1"/>
  <c r="A35" i="6"/>
  <c r="A36" i="6" s="1"/>
  <c r="H35" i="6" a="1"/>
  <c r="H35" i="6" s="1"/>
  <c r="C37" i="5" l="1"/>
  <c r="T36" i="5"/>
  <c r="M35" i="6"/>
  <c r="CK35" i="6" s="1"/>
  <c r="T35" i="5"/>
  <c r="G37" i="5" l="1"/>
  <c r="F37" i="5"/>
  <c r="AE37" i="5"/>
  <c r="N37" i="5"/>
  <c r="E37" i="5"/>
  <c r="D37" i="5"/>
  <c r="B37" i="12" s="1"/>
  <c r="K37" i="5"/>
  <c r="A37" i="12"/>
  <c r="J37" i="5"/>
  <c r="B37" i="5"/>
  <c r="C38" i="5" s="1"/>
  <c r="B37" i="6"/>
  <c r="AD37" i="5"/>
  <c r="H37" i="5"/>
  <c r="M36" i="6"/>
  <c r="G36" i="12"/>
  <c r="BF35" i="6"/>
  <c r="AW35" i="6"/>
  <c r="BV35" i="6"/>
  <c r="AZ35" i="6"/>
  <c r="CL35" i="6"/>
  <c r="AV35" i="6"/>
  <c r="CG35" i="6"/>
  <c r="BY35" i="6"/>
  <c r="BP35" i="6"/>
  <c r="CD35" i="6"/>
  <c r="CI35" i="6"/>
  <c r="BH35" i="6"/>
  <c r="CM35" i="6"/>
  <c r="BO35" i="6"/>
  <c r="BG35" i="6"/>
  <c r="BL35" i="6"/>
  <c r="BQ35" i="6"/>
  <c r="BN35" i="6"/>
  <c r="BI35" i="6"/>
  <c r="CJ35" i="6"/>
  <c r="CH35" i="6"/>
  <c r="CC35" i="6"/>
  <c r="BC35" i="6"/>
  <c r="AY35" i="6"/>
  <c r="BE35" i="6"/>
  <c r="CB35" i="6"/>
  <c r="BS35" i="6"/>
  <c r="BK35" i="6"/>
  <c r="BA35" i="6"/>
  <c r="AU35" i="6"/>
  <c r="BZ35" i="6"/>
  <c r="AR35" i="6"/>
  <c r="AS35" i="6"/>
  <c r="CA35" i="6"/>
  <c r="BR35" i="6"/>
  <c r="BJ35" i="6"/>
  <c r="BD35" i="6"/>
  <c r="BW35" i="6"/>
  <c r="BX35" i="6"/>
  <c r="BT35" i="6"/>
  <c r="AX35" i="6"/>
  <c r="CF35" i="6"/>
  <c r="AT35" i="6"/>
  <c r="CE35" i="6"/>
  <c r="BM35" i="6"/>
  <c r="G35" i="12"/>
  <c r="B38" i="5" l="1"/>
  <c r="C39" i="5" s="1"/>
  <c r="B38" i="6"/>
  <c r="AE38" i="5"/>
  <c r="AD38" i="5"/>
  <c r="N38" i="5"/>
  <c r="D38" i="6" s="1"/>
  <c r="H38" i="6" s="1" a="1"/>
  <c r="H38" i="6" s="1"/>
  <c r="A38" i="12"/>
  <c r="D37" i="6"/>
  <c r="E38" i="5"/>
  <c r="F38" i="5"/>
  <c r="L37" i="12"/>
  <c r="J37" i="12"/>
  <c r="G38" i="5"/>
  <c r="H38" i="5"/>
  <c r="CK36" i="6"/>
  <c r="CJ36" i="6"/>
  <c r="BW36" i="6"/>
  <c r="CC36" i="6"/>
  <c r="CB36" i="6"/>
  <c r="BN36" i="6"/>
  <c r="BT36" i="6"/>
  <c r="BS36" i="6"/>
  <c r="CI36" i="6"/>
  <c r="CE36" i="6"/>
  <c r="CM36" i="6"/>
  <c r="CL36" i="6"/>
  <c r="BL36" i="6"/>
  <c r="BK36" i="6"/>
  <c r="CA36" i="6"/>
  <c r="CH36" i="6"/>
  <c r="CG36" i="6"/>
  <c r="CF36" i="6"/>
  <c r="CD36" i="6"/>
  <c r="BD36" i="6"/>
  <c r="BC36" i="6"/>
  <c r="BR36" i="6"/>
  <c r="BZ36" i="6"/>
  <c r="BY36" i="6"/>
  <c r="BX36" i="6"/>
  <c r="BV36" i="6"/>
  <c r="BJ36" i="6"/>
  <c r="BQ36" i="6"/>
  <c r="BP36" i="6"/>
  <c r="BO36" i="6"/>
  <c r="BM36" i="6"/>
  <c r="BI36" i="6"/>
  <c r="BH36" i="6"/>
  <c r="BG36" i="6"/>
  <c r="BE36" i="6"/>
  <c r="BF36" i="6"/>
  <c r="AS36" i="6"/>
  <c r="AZ36" i="6"/>
  <c r="AY36" i="6"/>
  <c r="AX36" i="6"/>
  <c r="AV36" i="6"/>
  <c r="AW36" i="6"/>
  <c r="BA36" i="6"/>
  <c r="AO36" i="6"/>
  <c r="AP36" i="6"/>
  <c r="AT36" i="6"/>
  <c r="AQ36" i="6"/>
  <c r="AU36" i="6"/>
  <c r="AR36" i="6"/>
  <c r="B39" i="6" l="1"/>
  <c r="G39" i="5"/>
  <c r="A39" i="12"/>
  <c r="C40" i="5"/>
  <c r="N40" i="5" s="1"/>
  <c r="AD39" i="5"/>
  <c r="AE39" i="5"/>
  <c r="N39" i="5"/>
  <c r="D39" i="6" s="1"/>
  <c r="W39" i="5"/>
  <c r="H39" i="12" s="1"/>
  <c r="F39" i="5"/>
  <c r="E39" i="5"/>
  <c r="H39" i="5"/>
  <c r="B39" i="5"/>
  <c r="H37" i="6" a="1"/>
  <c r="H37" i="6" s="1"/>
  <c r="K37" i="12"/>
  <c r="A37" i="6"/>
  <c r="A38" i="6" s="1"/>
  <c r="T38" i="5"/>
  <c r="G40" i="5" l="1"/>
  <c r="AE40" i="5"/>
  <c r="E40" i="5"/>
  <c r="AD40" i="5"/>
  <c r="B40" i="5"/>
  <c r="C41" i="5" s="1"/>
  <c r="G41" i="5" s="1"/>
  <c r="K40" i="5"/>
  <c r="B40" i="6"/>
  <c r="A40" i="12"/>
  <c r="L40" i="12" s="1"/>
  <c r="J40" i="5"/>
  <c r="H40" i="5"/>
  <c r="D40" i="5"/>
  <c r="B40" i="12" s="1"/>
  <c r="F40" i="5"/>
  <c r="A39" i="6"/>
  <c r="H39" i="6" a="1"/>
  <c r="H39" i="6" s="1"/>
  <c r="M39" i="6"/>
  <c r="CI39" i="6" s="1"/>
  <c r="D40" i="6"/>
  <c r="M37" i="6"/>
  <c r="T37" i="5"/>
  <c r="G38" i="12"/>
  <c r="J40" i="12" l="1"/>
  <c r="B41" i="6"/>
  <c r="H41" i="5"/>
  <c r="K39" i="5" s="1"/>
  <c r="CB39" i="6"/>
  <c r="AD41" i="5"/>
  <c r="B41" i="5"/>
  <c r="AE41" i="5"/>
  <c r="E41" i="5"/>
  <c r="C42" i="5"/>
  <c r="C43" i="5" s="1"/>
  <c r="A43" i="12" s="1"/>
  <c r="A41" i="12"/>
  <c r="N41" i="5"/>
  <c r="D41" i="6" s="1"/>
  <c r="H41" i="6" s="1" a="1"/>
  <c r="H41" i="6" s="1"/>
  <c r="T41" i="5" s="1"/>
  <c r="F41" i="5"/>
  <c r="BA39" i="6"/>
  <c r="K40" i="12"/>
  <c r="BF39" i="6"/>
  <c r="CM39" i="6"/>
  <c r="BH39" i="6"/>
  <c r="AL39" i="6"/>
  <c r="AU39" i="6"/>
  <c r="AJ39" i="6"/>
  <c r="AK39" i="6"/>
  <c r="AV39" i="6"/>
  <c r="BP39" i="6"/>
  <c r="AT39" i="6"/>
  <c r="BD39" i="6"/>
  <c r="AR39" i="6"/>
  <c r="AS39" i="6"/>
  <c r="BE39" i="6"/>
  <c r="AX39" i="6"/>
  <c r="BY39" i="6"/>
  <c r="BL39" i="6"/>
  <c r="BM39" i="6"/>
  <c r="T39" i="5"/>
  <c r="BC39" i="6"/>
  <c r="AZ39" i="6"/>
  <c r="H40" i="6" a="1"/>
  <c r="H40" i="6" s="1"/>
  <c r="BO39" i="6"/>
  <c r="CG39" i="6"/>
  <c r="BK39" i="6"/>
  <c r="BT39" i="6"/>
  <c r="BI39" i="6"/>
  <c r="BJ39" i="6"/>
  <c r="BV39" i="6"/>
  <c r="CK39" i="6"/>
  <c r="BZ39" i="6"/>
  <c r="CA39" i="6"/>
  <c r="CE39" i="6"/>
  <c r="AY39" i="6"/>
  <c r="AM39" i="6"/>
  <c r="AP39" i="6"/>
  <c r="AN39" i="6"/>
  <c r="BG39" i="6"/>
  <c r="AO39" i="6"/>
  <c r="CF39" i="6"/>
  <c r="AW39" i="6"/>
  <c r="BS39" i="6"/>
  <c r="CC39" i="6"/>
  <c r="BQ39" i="6"/>
  <c r="BR39" i="6"/>
  <c r="CD39" i="6"/>
  <c r="CL39" i="6"/>
  <c r="BN39" i="6"/>
  <c r="AQ39" i="6"/>
  <c r="BX39" i="6"/>
  <c r="CJ39" i="6"/>
  <c r="BW39" i="6"/>
  <c r="CH39" i="6"/>
  <c r="A40" i="6"/>
  <c r="M38" i="6"/>
  <c r="BV38" i="6" s="1"/>
  <c r="G42" i="5"/>
  <c r="G43" i="5" s="1"/>
  <c r="BT37" i="6"/>
  <c r="CJ37" i="6"/>
  <c r="BM37" i="6"/>
  <c r="BJ37" i="6"/>
  <c r="CD37" i="6"/>
  <c r="CB37" i="6"/>
  <c r="BX37" i="6"/>
  <c r="BA37" i="6"/>
  <c r="BW37" i="6"/>
  <c r="BV37" i="6"/>
  <c r="CK37" i="6"/>
  <c r="CM37" i="6"/>
  <c r="BK37" i="6"/>
  <c r="AS37" i="6"/>
  <c r="AQ37" i="6"/>
  <c r="CF37" i="6"/>
  <c r="BY37" i="6"/>
  <c r="BN37" i="6"/>
  <c r="CA37" i="6"/>
  <c r="BE37" i="6"/>
  <c r="CG37" i="6"/>
  <c r="CE37" i="6"/>
  <c r="AO37" i="6"/>
  <c r="CL37" i="6"/>
  <c r="BS37" i="6"/>
  <c r="BO37" i="6"/>
  <c r="AV37" i="6"/>
  <c r="AR37" i="6"/>
  <c r="CI37" i="6"/>
  <c r="CH37" i="6"/>
  <c r="AW37" i="6"/>
  <c r="BZ37" i="6"/>
  <c r="BP37" i="6"/>
  <c r="BH37" i="6"/>
  <c r="AY37" i="6"/>
  <c r="BG37" i="6"/>
  <c r="AX37" i="6"/>
  <c r="AP37" i="6"/>
  <c r="BC37" i="6"/>
  <c r="AT37" i="6"/>
  <c r="CC37" i="6"/>
  <c r="BF37" i="6"/>
  <c r="BL37" i="6"/>
  <c r="BD37" i="6"/>
  <c r="BR37" i="6"/>
  <c r="BQ37" i="6"/>
  <c r="BI37" i="6"/>
  <c r="AZ37" i="6"/>
  <c r="AU37" i="6"/>
  <c r="G37" i="12"/>
  <c r="M41" i="6" l="1"/>
  <c r="CE41" i="6" s="1"/>
  <c r="A41" i="6"/>
  <c r="AD43" i="5"/>
  <c r="K42" i="5"/>
  <c r="D43" i="5"/>
  <c r="B43" i="12" s="1"/>
  <c r="AD42" i="5"/>
  <c r="N43" i="5"/>
  <c r="D43" i="6" s="1"/>
  <c r="H42" i="5"/>
  <c r="H43" i="5" s="1"/>
  <c r="J42" i="5"/>
  <c r="B42" i="5"/>
  <c r="B43" i="5" s="1"/>
  <c r="B43" i="6"/>
  <c r="A42" i="12"/>
  <c r="AE43" i="5"/>
  <c r="E42" i="5"/>
  <c r="E43" i="5" s="1"/>
  <c r="J43" i="5"/>
  <c r="C44" i="5"/>
  <c r="K44" i="5" s="1"/>
  <c r="N42" i="5"/>
  <c r="D42" i="6" s="1"/>
  <c r="H42" i="6" s="1" a="1"/>
  <c r="H42" i="6" s="1"/>
  <c r="T42" i="5" s="1"/>
  <c r="G42" i="12" s="1"/>
  <c r="B42" i="6"/>
  <c r="K43" i="5"/>
  <c r="F42" i="5"/>
  <c r="F43" i="5" s="1"/>
  <c r="AE42" i="5"/>
  <c r="D42" i="5"/>
  <c r="B42" i="12" s="1"/>
  <c r="T40" i="5"/>
  <c r="G39" i="12"/>
  <c r="M40" i="6"/>
  <c r="AT40" i="6" s="1"/>
  <c r="L43" i="12"/>
  <c r="J43" i="12"/>
  <c r="BA38" i="6"/>
  <c r="AQ38" i="6"/>
  <c r="BE38" i="6"/>
  <c r="AW38" i="6"/>
  <c r="CG38" i="6"/>
  <c r="AY38" i="6"/>
  <c r="CJ38" i="6"/>
  <c r="BP38" i="6"/>
  <c r="CI38" i="6"/>
  <c r="CM38" i="6"/>
  <c r="CA38" i="6"/>
  <c r="BC38" i="6"/>
  <c r="BF38" i="6"/>
  <c r="BY38" i="6"/>
  <c r="AU38" i="6"/>
  <c r="BH38" i="6"/>
  <c r="BD38" i="6"/>
  <c r="CB38" i="6"/>
  <c r="BS38" i="6"/>
  <c r="AL38" i="6"/>
  <c r="BG38" i="6"/>
  <c r="CK38" i="6"/>
  <c r="BQ38" i="6"/>
  <c r="BI38" i="6"/>
  <c r="CC38" i="6"/>
  <c r="AO38" i="6"/>
  <c r="BN38" i="6"/>
  <c r="BW38" i="6"/>
  <c r="AN38" i="6"/>
  <c r="CD38" i="6"/>
  <c r="AP38" i="6"/>
  <c r="AT38" i="6"/>
  <c r="BO38" i="6"/>
  <c r="CL38" i="6"/>
  <c r="AS38" i="6"/>
  <c r="AV38" i="6"/>
  <c r="CH38" i="6"/>
  <c r="BX38" i="6"/>
  <c r="CE38" i="6"/>
  <c r="BJ38" i="6"/>
  <c r="AM38" i="6"/>
  <c r="AR38" i="6"/>
  <c r="AX38" i="6"/>
  <c r="BT38" i="6"/>
  <c r="BR38" i="6"/>
  <c r="CF38" i="6"/>
  <c r="BK38" i="6"/>
  <c r="BM38" i="6"/>
  <c r="BL38" i="6"/>
  <c r="BZ38" i="6"/>
  <c r="AZ38" i="6"/>
  <c r="AS41" i="6"/>
  <c r="AV41" i="6"/>
  <c r="AP41" i="6"/>
  <c r="BR41" i="6"/>
  <c r="BZ41" i="6"/>
  <c r="BM41" i="6"/>
  <c r="BF41" i="6"/>
  <c r="BC41" i="6"/>
  <c r="BH41" i="6"/>
  <c r="BN41" i="6"/>
  <c r="CB41" i="6"/>
  <c r="AN41" i="6"/>
  <c r="AY41" i="6"/>
  <c r="BP41" i="6"/>
  <c r="AM41" i="6"/>
  <c r="BL41" i="6"/>
  <c r="CI41" i="6"/>
  <c r="CF41" i="6"/>
  <c r="AT41" i="6"/>
  <c r="BG41" i="6"/>
  <c r="BS41" i="6"/>
  <c r="BJ41" i="6"/>
  <c r="CM41" i="6"/>
  <c r="BI41" i="6"/>
  <c r="BE41" i="6"/>
  <c r="AO41" i="6"/>
  <c r="BQ41" i="6"/>
  <c r="BW41" i="6"/>
  <c r="AX41" i="6"/>
  <c r="BO41" i="6"/>
  <c r="AR41" i="6"/>
  <c r="BK41" i="6"/>
  <c r="BV41" i="6"/>
  <c r="BA41" i="6"/>
  <c r="AZ41" i="6"/>
  <c r="CK41" i="6"/>
  <c r="CH41" i="6"/>
  <c r="CD41" i="6"/>
  <c r="CA41" i="6"/>
  <c r="CJ41" i="6"/>
  <c r="BT41" i="6"/>
  <c r="BD41" i="6"/>
  <c r="CC41" i="6"/>
  <c r="CL41" i="6"/>
  <c r="AU41" i="6"/>
  <c r="AL41" i="6"/>
  <c r="AQ41" i="6"/>
  <c r="CG41" i="6"/>
  <c r="BY41" i="6"/>
  <c r="BX41" i="6"/>
  <c r="AW41" i="6"/>
  <c r="G41" i="12"/>
  <c r="L42" i="12"/>
  <c r="J42" i="12"/>
  <c r="D44" i="5" l="1"/>
  <c r="B44" i="12" s="1"/>
  <c r="A42" i="6"/>
  <c r="M42" i="6" s="1"/>
  <c r="BO42" i="6" s="1"/>
  <c r="J44" i="5"/>
  <c r="E44" i="5"/>
  <c r="F44" i="5"/>
  <c r="N44" i="5"/>
  <c r="D44" i="6" s="1"/>
  <c r="H44" i="5"/>
  <c r="C45" i="5"/>
  <c r="N45" i="5" s="1"/>
  <c r="B44" i="6"/>
  <c r="AD44" i="5"/>
  <c r="A44" i="12"/>
  <c r="J44" i="12" s="1"/>
  <c r="AE44" i="5"/>
  <c r="G44" i="5"/>
  <c r="B44" i="5"/>
  <c r="AP40" i="6"/>
  <c r="AV40" i="6"/>
  <c r="BA40" i="6"/>
  <c r="AR40" i="6"/>
  <c r="AX40" i="6"/>
  <c r="AO40" i="6"/>
  <c r="AW40" i="6"/>
  <c r="G40" i="12"/>
  <c r="AU40" i="6"/>
  <c r="BR40" i="6"/>
  <c r="BO40" i="6"/>
  <c r="BF40" i="6"/>
  <c r="BV40" i="6"/>
  <c r="BL40" i="6"/>
  <c r="BX40" i="6"/>
  <c r="BJ40" i="6"/>
  <c r="BG40" i="6"/>
  <c r="BM40" i="6"/>
  <c r="BD40" i="6"/>
  <c r="CA40" i="6"/>
  <c r="CG40" i="6"/>
  <c r="BE40" i="6"/>
  <c r="AQ40" i="6"/>
  <c r="CH40" i="6"/>
  <c r="BY40" i="6"/>
  <c r="CB40" i="6"/>
  <c r="CJ40" i="6"/>
  <c r="BN40" i="6"/>
  <c r="CM40" i="6"/>
  <c r="BZ40" i="6"/>
  <c r="BP40" i="6"/>
  <c r="BC40" i="6"/>
  <c r="BS40" i="6"/>
  <c r="CE40" i="6"/>
  <c r="BQ40" i="6"/>
  <c r="BH40" i="6"/>
  <c r="CK40" i="6"/>
  <c r="BK40" i="6"/>
  <c r="CD40" i="6"/>
  <c r="CI40" i="6"/>
  <c r="CF40" i="6"/>
  <c r="BW40" i="6"/>
  <c r="BI40" i="6"/>
  <c r="CL40" i="6"/>
  <c r="CC40" i="6"/>
  <c r="AZ40" i="6"/>
  <c r="BT40" i="6"/>
  <c r="AS40" i="6"/>
  <c r="AY40" i="6"/>
  <c r="H43" i="6" a="1"/>
  <c r="H43" i="6" s="1"/>
  <c r="K43" i="12"/>
  <c r="K42" i="12"/>
  <c r="AZ42" i="6" l="1"/>
  <c r="AQ42" i="6"/>
  <c r="BX42" i="6"/>
  <c r="BL42" i="6"/>
  <c r="BK42" i="6"/>
  <c r="CE42" i="6"/>
  <c r="AW42" i="6"/>
  <c r="AX42" i="6"/>
  <c r="CL42" i="6"/>
  <c r="AT42" i="6"/>
  <c r="AR42" i="6"/>
  <c r="L44" i="12"/>
  <c r="BG42" i="6"/>
  <c r="BC42" i="6"/>
  <c r="BS42" i="6"/>
  <c r="AV42" i="6"/>
  <c r="CB42" i="6"/>
  <c r="BJ42" i="6"/>
  <c r="BP42" i="6"/>
  <c r="BV42" i="6"/>
  <c r="BR42" i="6"/>
  <c r="AU42" i="6"/>
  <c r="CC42" i="6"/>
  <c r="BA42" i="6"/>
  <c r="AS42" i="6"/>
  <c r="BM42" i="6"/>
  <c r="BE42" i="6"/>
  <c r="AY42" i="6"/>
  <c r="CF42" i="6"/>
  <c r="BY42" i="6"/>
  <c r="BW42" i="6"/>
  <c r="BH42" i="6"/>
  <c r="BD42" i="6"/>
  <c r="CK42" i="6"/>
  <c r="BN42" i="6"/>
  <c r="BI42" i="6"/>
  <c r="AP42" i="6"/>
  <c r="CD42" i="6"/>
  <c r="CJ42" i="6"/>
  <c r="CA42" i="6"/>
  <c r="CI42" i="6"/>
  <c r="BQ42" i="6"/>
  <c r="AO42" i="6"/>
  <c r="CG42" i="6"/>
  <c r="CM42" i="6"/>
  <c r="BT42" i="6"/>
  <c r="BF42" i="6"/>
  <c r="CH42" i="6"/>
  <c r="BZ42" i="6"/>
  <c r="A43" i="6"/>
  <c r="M43" i="6" s="1"/>
  <c r="BL43" i="6" s="1"/>
  <c r="AD45" i="5"/>
  <c r="A45" i="12"/>
  <c r="J45" i="12" s="1"/>
  <c r="K45" i="5"/>
  <c r="B45" i="6"/>
  <c r="G45" i="5"/>
  <c r="B45" i="5"/>
  <c r="F45" i="5"/>
  <c r="D45" i="5"/>
  <c r="B45" i="12" s="1"/>
  <c r="AE45" i="5"/>
  <c r="H45" i="5"/>
  <c r="C46" i="5"/>
  <c r="J46" i="5" s="1"/>
  <c r="J45" i="5"/>
  <c r="E45" i="5"/>
  <c r="K44" i="12"/>
  <c r="D45" i="6"/>
  <c r="T43" i="5"/>
  <c r="H44" i="6" a="1"/>
  <c r="H44" i="6" s="1"/>
  <c r="CJ43" i="6" l="1"/>
  <c r="CL43" i="6"/>
  <c r="CK43" i="6"/>
  <c r="BR43" i="6"/>
  <c r="C47" i="5"/>
  <c r="BJ43" i="6"/>
  <c r="AQ43" i="6"/>
  <c r="AU43" i="6"/>
  <c r="CM43" i="6"/>
  <c r="BD43" i="6"/>
  <c r="AV43" i="6"/>
  <c r="BH43" i="6"/>
  <c r="BY43" i="6"/>
  <c r="CG43" i="6"/>
  <c r="L45" i="12"/>
  <c r="BT43" i="6"/>
  <c r="BQ43" i="6"/>
  <c r="AZ43" i="6"/>
  <c r="AT43" i="6"/>
  <c r="BS43" i="6"/>
  <c r="BK43" i="6"/>
  <c r="BN43" i="6"/>
  <c r="CB43" i="6"/>
  <c r="A44" i="6"/>
  <c r="M44" i="6" s="1"/>
  <c r="BM44" i="6" s="1"/>
  <c r="AO43" i="6"/>
  <c r="CI43" i="6"/>
  <c r="BF43" i="6"/>
  <c r="CE43" i="6"/>
  <c r="CA43" i="6"/>
  <c r="AX43" i="6"/>
  <c r="AS43" i="6"/>
  <c r="BC43" i="6"/>
  <c r="CC43" i="6"/>
  <c r="BP43" i="6"/>
  <c r="BE43" i="6"/>
  <c r="BA43" i="6"/>
  <c r="BZ43" i="6"/>
  <c r="BW43" i="6"/>
  <c r="BO43" i="6"/>
  <c r="AR43" i="6"/>
  <c r="AY43" i="6"/>
  <c r="BG43" i="6"/>
  <c r="CH43" i="6"/>
  <c r="BM43" i="6"/>
  <c r="BV43" i="6"/>
  <c r="AP43" i="6"/>
  <c r="AW43" i="6"/>
  <c r="CD43" i="6"/>
  <c r="CF43" i="6"/>
  <c r="BX43" i="6"/>
  <c r="BI43" i="6"/>
  <c r="AD46" i="5"/>
  <c r="E46" i="5"/>
  <c r="K46" i="5"/>
  <c r="A46" i="12"/>
  <c r="L46" i="12" s="1"/>
  <c r="G46" i="5"/>
  <c r="G47" i="5" s="1"/>
  <c r="N46" i="5"/>
  <c r="D46" i="6" s="1"/>
  <c r="B46" i="6"/>
  <c r="F46" i="5"/>
  <c r="F47" i="5" s="1"/>
  <c r="B46" i="5"/>
  <c r="B47" i="5" s="1"/>
  <c r="D46" i="5"/>
  <c r="B46" i="12" s="1"/>
  <c r="AE46" i="5"/>
  <c r="H46" i="5"/>
  <c r="H47" i="5" s="1"/>
  <c r="A45" i="6"/>
  <c r="M45" i="6" s="1"/>
  <c r="BR45" i="6" s="1"/>
  <c r="K45" i="12"/>
  <c r="K47" i="5"/>
  <c r="AE47" i="5"/>
  <c r="A47" i="12"/>
  <c r="N47" i="5"/>
  <c r="E47" i="5"/>
  <c r="B47" i="6"/>
  <c r="AD47" i="5"/>
  <c r="D47" i="5"/>
  <c r="B47" i="12" s="1"/>
  <c r="J47" i="5"/>
  <c r="H45" i="6" a="1"/>
  <c r="H45" i="6" s="1"/>
  <c r="G43" i="12"/>
  <c r="J46" i="12"/>
  <c r="T44" i="5"/>
  <c r="BG44" i="6" l="1"/>
  <c r="BH44" i="6"/>
  <c r="AT44" i="6"/>
  <c r="CI44" i="6"/>
  <c r="CB44" i="6"/>
  <c r="AU44" i="6"/>
  <c r="BR44" i="6"/>
  <c r="BZ44" i="6"/>
  <c r="AZ44" i="6"/>
  <c r="BC44" i="6"/>
  <c r="BL44" i="6"/>
  <c r="BY44" i="6"/>
  <c r="CL44" i="6"/>
  <c r="BX44" i="6"/>
  <c r="AS44" i="6"/>
  <c r="BT44" i="6"/>
  <c r="AR44" i="6"/>
  <c r="BE44" i="6"/>
  <c r="CJ44" i="6"/>
  <c r="CC44" i="6"/>
  <c r="AY44" i="6"/>
  <c r="AX44" i="6"/>
  <c r="BW44" i="6"/>
  <c r="BN44" i="6"/>
  <c r="AQ44" i="6"/>
  <c r="CH44" i="6"/>
  <c r="BA44" i="6"/>
  <c r="BD44" i="6"/>
  <c r="AO44" i="6"/>
  <c r="BJ44" i="6"/>
  <c r="BO44" i="6"/>
  <c r="AP44" i="6"/>
  <c r="CG44" i="6"/>
  <c r="BF44" i="6"/>
  <c r="CK44" i="6"/>
  <c r="CM44" i="6"/>
  <c r="CD44" i="6"/>
  <c r="BV44" i="6"/>
  <c r="BI44" i="6"/>
  <c r="CE44" i="6"/>
  <c r="CF44" i="6"/>
  <c r="BP44" i="6"/>
  <c r="AV44" i="6"/>
  <c r="AW44" i="6"/>
  <c r="BS44" i="6"/>
  <c r="BK44" i="6"/>
  <c r="CA44" i="6"/>
  <c r="BQ44" i="6"/>
  <c r="A46" i="6"/>
  <c r="M46" i="6" s="1"/>
  <c r="CL46" i="6" s="1"/>
  <c r="C48" i="5"/>
  <c r="G48" i="5" s="1"/>
  <c r="T45" i="5"/>
  <c r="BW45" i="6"/>
  <c r="BZ45" i="6"/>
  <c r="BO45" i="6"/>
  <c r="AR45" i="6"/>
  <c r="BT45" i="6"/>
  <c r="BY45" i="6"/>
  <c r="CA45" i="6"/>
  <c r="AT45" i="6"/>
  <c r="CJ45" i="6"/>
  <c r="CM45" i="6"/>
  <c r="CD45" i="6"/>
  <c r="BF45" i="6"/>
  <c r="CC45" i="6"/>
  <c r="CG45" i="6"/>
  <c r="CI45" i="6"/>
  <c r="L47" i="12"/>
  <c r="J47" i="12"/>
  <c r="BG45" i="6"/>
  <c r="CL45" i="6"/>
  <c r="BS45" i="6"/>
  <c r="CK45" i="6"/>
  <c r="BV45" i="6"/>
  <c r="AW45" i="6"/>
  <c r="AZ45" i="6"/>
  <c r="BK45" i="6"/>
  <c r="CF45" i="6"/>
  <c r="CH45" i="6"/>
  <c r="BX45" i="6"/>
  <c r="BN45" i="6"/>
  <c r="AP45" i="6"/>
  <c r="AQ45" i="6"/>
  <c r="AS45" i="6"/>
  <c r="CB45" i="6"/>
  <c r="BE45" i="6"/>
  <c r="AU45" i="6"/>
  <c r="AY45" i="6"/>
  <c r="BA45" i="6"/>
  <c r="K46" i="12"/>
  <c r="AV45" i="6"/>
  <c r="AX45" i="6"/>
  <c r="AO45" i="6"/>
  <c r="BQ45" i="6"/>
  <c r="BD45" i="6"/>
  <c r="BH45" i="6"/>
  <c r="BJ45" i="6"/>
  <c r="G44" i="12"/>
  <c r="BI45" i="6"/>
  <c r="BM45" i="6"/>
  <c r="BC45" i="6"/>
  <c r="CE45" i="6"/>
  <c r="BL45" i="6"/>
  <c r="BP45" i="6"/>
  <c r="D47" i="6"/>
  <c r="H46" i="6" a="1"/>
  <c r="H46" i="6" s="1"/>
  <c r="A47" i="6" l="1"/>
  <c r="M47" i="6" s="1"/>
  <c r="CE47" i="6" s="1"/>
  <c r="W48" i="5"/>
  <c r="H48" i="12" s="1"/>
  <c r="AD48" i="5"/>
  <c r="B48" i="6"/>
  <c r="N48" i="5"/>
  <c r="D48" i="6" s="1"/>
  <c r="H48" i="6" s="1" a="1"/>
  <c r="H48" i="6" s="1"/>
  <c r="AE48" i="5"/>
  <c r="A48" i="12"/>
  <c r="F48" i="5"/>
  <c r="H48" i="5"/>
  <c r="E48" i="5"/>
  <c r="B48" i="5"/>
  <c r="C49" i="5" s="1"/>
  <c r="CH46" i="6"/>
  <c r="K47" i="12"/>
  <c r="AP46" i="6"/>
  <c r="BL46" i="6"/>
  <c r="BE46" i="6"/>
  <c r="BR46" i="6"/>
  <c r="BM46" i="6"/>
  <c r="BS46" i="6"/>
  <c r="BK46" i="6"/>
  <c r="BF46" i="6"/>
  <c r="BY46" i="6"/>
  <c r="CG46" i="6"/>
  <c r="CA46" i="6"/>
  <c r="BN46" i="6"/>
  <c r="BH46" i="6"/>
  <c r="CM46" i="6"/>
  <c r="BG46" i="6"/>
  <c r="CB46" i="6"/>
  <c r="CI46" i="6"/>
  <c r="BT46" i="6"/>
  <c r="BO46" i="6"/>
  <c r="BW46" i="6"/>
  <c r="BP46" i="6"/>
  <c r="BD46" i="6"/>
  <c r="CJ46" i="6"/>
  <c r="CC46" i="6"/>
  <c r="T46" i="5"/>
  <c r="AV46" i="6"/>
  <c r="AX46" i="6"/>
  <c r="AR46" i="6"/>
  <c r="AW46" i="6"/>
  <c r="AZ46" i="6"/>
  <c r="BI46" i="6"/>
  <c r="BV46" i="6"/>
  <c r="BX46" i="6"/>
  <c r="AT46" i="6"/>
  <c r="CE46" i="6"/>
  <c r="AU46" i="6"/>
  <c r="CK46" i="6"/>
  <c r="AO46" i="6"/>
  <c r="BQ46" i="6"/>
  <c r="CD46" i="6"/>
  <c r="CF46" i="6"/>
  <c r="AQ46" i="6"/>
  <c r="BA46" i="6"/>
  <c r="AS46" i="6"/>
  <c r="BJ46" i="6"/>
  <c r="BC46" i="6"/>
  <c r="BZ46" i="6"/>
  <c r="AY46" i="6"/>
  <c r="H47" i="6" a="1"/>
  <c r="H47" i="6" s="1"/>
  <c r="G45" i="12"/>
  <c r="M48" i="6" l="1"/>
  <c r="CI48" i="6" s="1"/>
  <c r="AD49" i="5"/>
  <c r="C50" i="5"/>
  <c r="AE49" i="5"/>
  <c r="N49" i="5"/>
  <c r="D49" i="6" s="1"/>
  <c r="B49" i="5"/>
  <c r="A49" i="12"/>
  <c r="H49" i="5"/>
  <c r="E49" i="5"/>
  <c r="B49" i="6"/>
  <c r="F49" i="5"/>
  <c r="G49" i="5"/>
  <c r="W49" i="5"/>
  <c r="H49" i="12" s="1"/>
  <c r="A48" i="6"/>
  <c r="AT47" i="6"/>
  <c r="T48" i="5"/>
  <c r="BS47" i="6"/>
  <c r="BX47" i="6"/>
  <c r="BP47" i="6"/>
  <c r="CM47" i="6"/>
  <c r="AS47" i="6"/>
  <c r="BD47" i="6"/>
  <c r="AR47" i="6"/>
  <c r="CG47" i="6"/>
  <c r="BA47" i="6"/>
  <c r="CJ47" i="6"/>
  <c r="AV47" i="6"/>
  <c r="AZ47" i="6"/>
  <c r="BL47" i="6"/>
  <c r="AP47" i="6"/>
  <c r="BH47" i="6"/>
  <c r="BM47" i="6"/>
  <c r="AO47" i="6"/>
  <c r="BI47" i="6"/>
  <c r="BJ47" i="6"/>
  <c r="BT47" i="6"/>
  <c r="BE47" i="6"/>
  <c r="BY47" i="6"/>
  <c r="CD47" i="6"/>
  <c r="AW47" i="6"/>
  <c r="BQ47" i="6"/>
  <c r="BR47" i="6"/>
  <c r="CC47" i="6"/>
  <c r="BG47" i="6"/>
  <c r="BZ47" i="6"/>
  <c r="CA47" i="6"/>
  <c r="CK47" i="6"/>
  <c r="G46" i="12"/>
  <c r="BF47" i="6"/>
  <c r="CF47" i="6"/>
  <c r="CL47" i="6"/>
  <c r="BO47" i="6"/>
  <c r="BN47" i="6"/>
  <c r="CH47" i="6"/>
  <c r="CI47" i="6"/>
  <c r="AX47" i="6"/>
  <c r="T47" i="5"/>
  <c r="BV47" i="6"/>
  <c r="BK47" i="6"/>
  <c r="BW47" i="6"/>
  <c r="BC47" i="6"/>
  <c r="AQ47" i="6"/>
  <c r="CB47" i="6"/>
  <c r="AY47" i="6"/>
  <c r="AU47" i="6"/>
  <c r="CE48" i="6" l="1"/>
  <c r="BM48" i="6"/>
  <c r="BT48" i="6"/>
  <c r="BC48" i="6"/>
  <c r="AS48" i="6"/>
  <c r="BK48" i="6"/>
  <c r="CD48" i="6"/>
  <c r="CF48" i="6"/>
  <c r="BV48" i="6"/>
  <c r="BA48" i="6"/>
  <c r="AX48" i="6"/>
  <c r="AN48" i="6"/>
  <c r="AU48" i="6"/>
  <c r="AR48" i="6"/>
  <c r="CC48" i="6"/>
  <c r="AJ48" i="6"/>
  <c r="AL48" i="6"/>
  <c r="AW48" i="6"/>
  <c r="CB48" i="6"/>
  <c r="BR48" i="6"/>
  <c r="BJ48" i="6"/>
  <c r="BP48" i="6"/>
  <c r="AK48" i="6"/>
  <c r="BF48" i="6"/>
  <c r="BH48" i="6"/>
  <c r="CG48" i="6"/>
  <c r="BX48" i="6"/>
  <c r="AV48" i="6"/>
  <c r="BO48" i="6"/>
  <c r="BW48" i="6"/>
  <c r="CL48" i="6"/>
  <c r="AP48" i="6"/>
  <c r="BQ48" i="6"/>
  <c r="BG48" i="6"/>
  <c r="BZ48" i="6"/>
  <c r="CH48" i="6"/>
  <c r="AO48" i="6"/>
  <c r="CJ48" i="6"/>
  <c r="BI48" i="6"/>
  <c r="CA48" i="6"/>
  <c r="BN48" i="6"/>
  <c r="BE48" i="6"/>
  <c r="BD48" i="6"/>
  <c r="CM48" i="6"/>
  <c r="BY48" i="6"/>
  <c r="AT48" i="6"/>
  <c r="CK48" i="6"/>
  <c r="AQ48" i="6"/>
  <c r="AY48" i="6"/>
  <c r="BS48" i="6"/>
  <c r="AZ48" i="6"/>
  <c r="AM48" i="6"/>
  <c r="A49" i="6"/>
  <c r="H49" i="6" a="1"/>
  <c r="H49" i="6" s="1"/>
  <c r="T49" i="5" s="1"/>
  <c r="BL48" i="6"/>
  <c r="AE50" i="5"/>
  <c r="D50" i="5"/>
  <c r="B50" i="12" s="1"/>
  <c r="E50" i="5"/>
  <c r="AD50" i="5"/>
  <c r="K50" i="5"/>
  <c r="N50" i="5"/>
  <c r="D50" i="6" s="1"/>
  <c r="H50" i="6" s="1" a="1"/>
  <c r="H50" i="6" s="1"/>
  <c r="B50" i="6"/>
  <c r="G50" i="5"/>
  <c r="B50" i="5"/>
  <c r="C51" i="5" s="1"/>
  <c r="C52" i="5" s="1"/>
  <c r="A50" i="12"/>
  <c r="J50" i="5"/>
  <c r="F50" i="5"/>
  <c r="H50" i="5"/>
  <c r="G48" i="12"/>
  <c r="M49" i="6"/>
  <c r="G47" i="12"/>
  <c r="N52" i="5" l="1"/>
  <c r="K52" i="5"/>
  <c r="A52" i="12"/>
  <c r="J52" i="5"/>
  <c r="AE52" i="5"/>
  <c r="B52" i="6"/>
  <c r="AD52" i="5"/>
  <c r="D52" i="5"/>
  <c r="B52" i="12" s="1"/>
  <c r="AZ49" i="6"/>
  <c r="AX49" i="6"/>
  <c r="A50" i="6"/>
  <c r="M50" i="6" s="1"/>
  <c r="BF50" i="6" s="1"/>
  <c r="L50" i="12"/>
  <c r="J50" i="12"/>
  <c r="AR49" i="6"/>
  <c r="AJ49" i="6"/>
  <c r="F51" i="5"/>
  <c r="F52" i="5" s="1"/>
  <c r="E51" i="5"/>
  <c r="E52" i="5" s="1"/>
  <c r="N51" i="5"/>
  <c r="D51" i="6" s="1"/>
  <c r="AE51" i="5"/>
  <c r="G51" i="5"/>
  <c r="G52" i="5" s="1"/>
  <c r="AD51" i="5"/>
  <c r="W51" i="5"/>
  <c r="H51" i="12" s="1"/>
  <c r="B51" i="5"/>
  <c r="B52" i="5" s="1"/>
  <c r="C53" i="5" s="1"/>
  <c r="C54" i="5" s="1"/>
  <c r="B51" i="6"/>
  <c r="A51" i="12"/>
  <c r="H51" i="5"/>
  <c r="H52" i="5" s="1"/>
  <c r="AP49" i="6"/>
  <c r="BA49" i="6"/>
  <c r="AW49" i="6"/>
  <c r="AY49" i="6"/>
  <c r="AT49" i="6"/>
  <c r="AU49" i="6"/>
  <c r="AM49" i="6"/>
  <c r="AN49" i="6"/>
  <c r="T50" i="5"/>
  <c r="AQ49" i="6"/>
  <c r="AV49" i="6"/>
  <c r="G49" i="12"/>
  <c r="BG49" i="6"/>
  <c r="BM49" i="6"/>
  <c r="CI49" i="6"/>
  <c r="CE49" i="6"/>
  <c r="BC49" i="6"/>
  <c r="BW49" i="6"/>
  <c r="BQ49" i="6"/>
  <c r="BJ49" i="6"/>
  <c r="BF49" i="6"/>
  <c r="CA49" i="6"/>
  <c r="CL49" i="6"/>
  <c r="CG49" i="6"/>
  <c r="BN49" i="6"/>
  <c r="CM49" i="6"/>
  <c r="CC49" i="6"/>
  <c r="CJ49" i="6"/>
  <c r="BR49" i="6"/>
  <c r="AK49" i="6"/>
  <c r="BD49" i="6"/>
  <c r="CF49" i="6"/>
  <c r="CD49" i="6"/>
  <c r="BS49" i="6"/>
  <c r="BY49" i="6"/>
  <c r="CH49" i="6"/>
  <c r="BH49" i="6"/>
  <c r="CB49" i="6"/>
  <c r="BX49" i="6"/>
  <c r="BT49" i="6"/>
  <c r="CK49" i="6"/>
  <c r="BL49" i="6"/>
  <c r="BV49" i="6"/>
  <c r="BP49" i="6"/>
  <c r="BO49" i="6"/>
  <c r="BK49" i="6"/>
  <c r="BZ49" i="6"/>
  <c r="AO49" i="6"/>
  <c r="BI49" i="6"/>
  <c r="AL49" i="6"/>
  <c r="BE49" i="6"/>
  <c r="AS49" i="6"/>
  <c r="A51" i="6" l="1"/>
  <c r="M51" i="6" s="1"/>
  <c r="BT51" i="6" s="1"/>
  <c r="N54" i="5"/>
  <c r="D54" i="5"/>
  <c r="B54" i="12" s="1"/>
  <c r="K54" i="5"/>
  <c r="A54" i="12"/>
  <c r="J54" i="5"/>
  <c r="AE54" i="5"/>
  <c r="B54" i="6"/>
  <c r="AD54" i="5"/>
  <c r="D52" i="6"/>
  <c r="L52" i="12"/>
  <c r="J52" i="12"/>
  <c r="AZ50" i="6"/>
  <c r="CB50" i="6"/>
  <c r="AS50" i="6"/>
  <c r="BA50" i="6"/>
  <c r="H51" i="6" a="1"/>
  <c r="H51" i="6" s="1"/>
  <c r="AX50" i="6"/>
  <c r="BD50" i="6"/>
  <c r="AQ50" i="6"/>
  <c r="AO50" i="6"/>
  <c r="CL50" i="6"/>
  <c r="BG50" i="6"/>
  <c r="BV50" i="6"/>
  <c r="BW50" i="6"/>
  <c r="BS50" i="6"/>
  <c r="CH50" i="6"/>
  <c r="AT50" i="6"/>
  <c r="BK50" i="6"/>
  <c r="BT50" i="6"/>
  <c r="AP50" i="6"/>
  <c r="AV50" i="6"/>
  <c r="BY50" i="6"/>
  <c r="CD50" i="6"/>
  <c r="AW50" i="6"/>
  <c r="BH50" i="6"/>
  <c r="AY50" i="6"/>
  <c r="AR50" i="6"/>
  <c r="CC50" i="6"/>
  <c r="BQ50" i="6"/>
  <c r="BN50" i="6"/>
  <c r="CE50" i="6"/>
  <c r="BM50" i="6"/>
  <c r="N53" i="5"/>
  <c r="D53" i="6" s="1"/>
  <c r="H53" i="6" s="1" a="1"/>
  <c r="H53" i="6" s="1"/>
  <c r="E53" i="5"/>
  <c r="E54" i="5" s="1"/>
  <c r="H53" i="5"/>
  <c r="H54" i="5" s="1"/>
  <c r="G53" i="5"/>
  <c r="G54" i="5" s="1"/>
  <c r="W53" i="5"/>
  <c r="H53" i="12" s="1"/>
  <c r="B53" i="6"/>
  <c r="F53" i="5"/>
  <c r="F54" i="5" s="1"/>
  <c r="AD53" i="5"/>
  <c r="AE53" i="5"/>
  <c r="A53" i="12"/>
  <c r="B53" i="5"/>
  <c r="B54" i="5" s="1"/>
  <c r="CG50" i="6"/>
  <c r="BX50" i="6"/>
  <c r="BE50" i="6"/>
  <c r="BP50" i="6"/>
  <c r="CI50" i="6"/>
  <c r="AU50" i="6"/>
  <c r="BI50" i="6"/>
  <c r="K50" i="12"/>
  <c r="CM50" i="6"/>
  <c r="CF50" i="6"/>
  <c r="CJ50" i="6"/>
  <c r="BR50" i="6"/>
  <c r="BZ50" i="6"/>
  <c r="BC50" i="6"/>
  <c r="BO50" i="6"/>
  <c r="CA50" i="6"/>
  <c r="BL50" i="6"/>
  <c r="BJ50" i="6"/>
  <c r="CK50" i="6"/>
  <c r="G50" i="12"/>
  <c r="G34" i="6"/>
  <c r="W34" i="5"/>
  <c r="H34" i="12" s="1"/>
  <c r="E34" i="12"/>
  <c r="F34" i="6"/>
  <c r="N39" i="6" l="1"/>
  <c r="N40" i="6"/>
  <c r="BJ51" i="6"/>
  <c r="BZ51" i="6"/>
  <c r="CL51" i="6"/>
  <c r="AU51" i="6"/>
  <c r="BG51" i="6"/>
  <c r="BY51" i="6"/>
  <c r="BD51" i="6"/>
  <c r="CI51" i="6"/>
  <c r="CF51" i="6"/>
  <c r="CB51" i="6"/>
  <c r="CH51" i="6"/>
  <c r="AV51" i="6"/>
  <c r="AW51" i="6"/>
  <c r="AL51" i="6"/>
  <c r="CG51" i="6"/>
  <c r="BX51" i="6"/>
  <c r="BC51" i="6"/>
  <c r="AS51" i="6"/>
  <c r="BF51" i="6"/>
  <c r="BO51" i="6"/>
  <c r="BW51" i="6"/>
  <c r="BM51" i="6"/>
  <c r="BQ51" i="6"/>
  <c r="AZ51" i="6"/>
  <c r="AN51" i="6"/>
  <c r="CK51" i="6"/>
  <c r="BN51" i="6"/>
  <c r="AR51" i="6"/>
  <c r="AY51" i="6"/>
  <c r="CE51" i="6"/>
  <c r="BS51" i="6"/>
  <c r="BI51" i="6"/>
  <c r="CA51" i="6"/>
  <c r="CD51" i="6"/>
  <c r="BV51" i="6"/>
  <c r="BA51" i="6"/>
  <c r="BL51" i="6"/>
  <c r="CC51" i="6"/>
  <c r="BP51" i="6"/>
  <c r="BE51" i="6"/>
  <c r="BH51" i="6"/>
  <c r="CM51" i="6"/>
  <c r="CJ51" i="6"/>
  <c r="AO51" i="6"/>
  <c r="T51" i="5"/>
  <c r="G51" i="12" s="1"/>
  <c r="BK51" i="6"/>
  <c r="BR51" i="6"/>
  <c r="AP51" i="6"/>
  <c r="AK51" i="6"/>
  <c r="AT51" i="6"/>
  <c r="AM51" i="6"/>
  <c r="AQ51" i="6"/>
  <c r="K52" i="12"/>
  <c r="C55" i="5"/>
  <c r="N55" i="5" s="1"/>
  <c r="D55" i="6" s="1"/>
  <c r="L54" i="12"/>
  <c r="J54" i="12"/>
  <c r="D54" i="6"/>
  <c r="H52" i="6" a="1"/>
  <c r="H52" i="6" s="1"/>
  <c r="A52" i="6"/>
  <c r="N52" i="6" s="1"/>
  <c r="AJ51" i="6"/>
  <c r="AX51" i="6"/>
  <c r="N48" i="6"/>
  <c r="N49" i="6"/>
  <c r="N50" i="6"/>
  <c r="N51" i="6"/>
  <c r="T53" i="5"/>
  <c r="N43" i="6"/>
  <c r="N44" i="6"/>
  <c r="N45" i="6"/>
  <c r="N46" i="6"/>
  <c r="N47" i="6"/>
  <c r="N36" i="6"/>
  <c r="N37" i="6"/>
  <c r="N38" i="6"/>
  <c r="N41" i="6"/>
  <c r="N42" i="6"/>
  <c r="N35" i="6"/>
  <c r="AD55" i="5" l="1"/>
  <c r="A55" i="12"/>
  <c r="AE55" i="5"/>
  <c r="G55" i="5"/>
  <c r="J38" i="5" s="1"/>
  <c r="F55" i="5"/>
  <c r="K34" i="5" s="1"/>
  <c r="B55" i="6"/>
  <c r="A55" i="6" s="1"/>
  <c r="B55" i="5"/>
  <c r="C56" i="5" s="1"/>
  <c r="H55" i="5"/>
  <c r="E55" i="5"/>
  <c r="A53" i="6"/>
  <c r="M53" i="6" s="1"/>
  <c r="AQ53" i="6" s="1"/>
  <c r="M52" i="6"/>
  <c r="AR52" i="6" s="1"/>
  <c r="K54" i="12"/>
  <c r="H54" i="6" a="1"/>
  <c r="H54" i="6" s="1"/>
  <c r="T52" i="5"/>
  <c r="N53" i="6"/>
  <c r="M55" i="6"/>
  <c r="BJ55" i="6" s="1"/>
  <c r="H55" i="6" a="1"/>
  <c r="H55" i="6" s="1"/>
  <c r="G53" i="12"/>
  <c r="G56" i="5" l="1"/>
  <c r="AO53" i="6"/>
  <c r="AU53" i="6"/>
  <c r="AV53" i="6"/>
  <c r="CK53" i="6"/>
  <c r="CE53" i="6"/>
  <c r="CJ53" i="6"/>
  <c r="AY53" i="6"/>
  <c r="BZ53" i="6"/>
  <c r="BQ53" i="6"/>
  <c r="A54" i="6"/>
  <c r="N54" i="6" s="1"/>
  <c r="AL53" i="6"/>
  <c r="BL53" i="6"/>
  <c r="BR53" i="6"/>
  <c r="AZ53" i="6"/>
  <c r="CL53" i="6"/>
  <c r="AS53" i="6"/>
  <c r="BT53" i="6"/>
  <c r="BX53" i="6"/>
  <c r="BN53" i="6"/>
  <c r="BC53" i="6"/>
  <c r="BH53" i="6"/>
  <c r="BY53" i="6"/>
  <c r="BI53" i="6"/>
  <c r="BO53" i="6"/>
  <c r="AE56" i="5"/>
  <c r="CG53" i="6"/>
  <c r="B56" i="5"/>
  <c r="F56" i="5"/>
  <c r="A56" i="12"/>
  <c r="C57" i="5"/>
  <c r="AE57" i="5" s="1"/>
  <c r="W56" i="5"/>
  <c r="H56" i="12" s="1"/>
  <c r="N56" i="5"/>
  <c r="D56" i="6" s="1"/>
  <c r="E56" i="5"/>
  <c r="B56" i="6"/>
  <c r="AD56" i="5"/>
  <c r="H56" i="5"/>
  <c r="BG53" i="6"/>
  <c r="J53" i="5"/>
  <c r="CH53" i="6"/>
  <c r="BD53" i="6"/>
  <c r="AM53" i="6"/>
  <c r="CI53" i="6"/>
  <c r="CA53" i="6"/>
  <c r="CM53" i="6"/>
  <c r="BP53" i="6"/>
  <c r="AW53" i="6"/>
  <c r="BE53" i="6"/>
  <c r="CB53" i="6"/>
  <c r="BF53" i="6"/>
  <c r="AN53" i="6"/>
  <c r="BW52" i="6"/>
  <c r="AP53" i="6"/>
  <c r="AJ53" i="6"/>
  <c r="BA53" i="6"/>
  <c r="BS53" i="6"/>
  <c r="CD53" i="6"/>
  <c r="BF52" i="6"/>
  <c r="AX52" i="6"/>
  <c r="AR53" i="6"/>
  <c r="CC53" i="6"/>
  <c r="BW53" i="6"/>
  <c r="CF52" i="6"/>
  <c r="CI52" i="6"/>
  <c r="BV52" i="6"/>
  <c r="BO52" i="6"/>
  <c r="CK52" i="6"/>
  <c r="CE52" i="6"/>
  <c r="BK52" i="6"/>
  <c r="BC52" i="6"/>
  <c r="CH52" i="6"/>
  <c r="BP52" i="6"/>
  <c r="BA52" i="6"/>
  <c r="J41" i="5"/>
  <c r="J51" i="5"/>
  <c r="CB52" i="6"/>
  <c r="BV53" i="6"/>
  <c r="BJ53" i="6"/>
  <c r="AT53" i="6"/>
  <c r="AK53" i="6"/>
  <c r="AX53" i="6"/>
  <c r="CG52" i="6"/>
  <c r="BG52" i="6"/>
  <c r="CD52" i="6"/>
  <c r="AU52" i="6"/>
  <c r="BY52" i="6"/>
  <c r="AW52" i="6"/>
  <c r="BL52" i="6"/>
  <c r="BX52" i="6"/>
  <c r="BZ52" i="6"/>
  <c r="AO52" i="6"/>
  <c r="BN52" i="6"/>
  <c r="BS52" i="6"/>
  <c r="BJ52" i="6"/>
  <c r="AZ52" i="6"/>
  <c r="BM53" i="6"/>
  <c r="BD52" i="6"/>
  <c r="BM52" i="6"/>
  <c r="BE52" i="6"/>
  <c r="BR52" i="6"/>
  <c r="BI52" i="6"/>
  <c r="AQ52" i="6"/>
  <c r="BQ52" i="6"/>
  <c r="AY52" i="6"/>
  <c r="AT52" i="6"/>
  <c r="BK53" i="6"/>
  <c r="CF53" i="6"/>
  <c r="CJ52" i="6"/>
  <c r="CA52" i="6"/>
  <c r="BH52" i="6"/>
  <c r="AP52" i="6"/>
  <c r="CM52" i="6"/>
  <c r="T54" i="5"/>
  <c r="AS52" i="6"/>
  <c r="AV52" i="6"/>
  <c r="CC52" i="6"/>
  <c r="CL52" i="6"/>
  <c r="BT52" i="6"/>
  <c r="G52" i="12"/>
  <c r="AQ55" i="6"/>
  <c r="CI55" i="6"/>
  <c r="BC55" i="6"/>
  <c r="AR55" i="6"/>
  <c r="BF55" i="6"/>
  <c r="BG55" i="6"/>
  <c r="CD55" i="6"/>
  <c r="BM55" i="6"/>
  <c r="CB55" i="6"/>
  <c r="AJ55" i="6"/>
  <c r="BW55" i="6"/>
  <c r="CA55" i="6"/>
  <c r="BK55" i="6"/>
  <c r="CL55" i="6"/>
  <c r="AY55" i="6"/>
  <c r="AX55" i="6"/>
  <c r="BL55" i="6"/>
  <c r="BR55" i="6"/>
  <c r="BQ55" i="6"/>
  <c r="BN55" i="6"/>
  <c r="BZ55" i="6"/>
  <c r="CC55" i="6"/>
  <c r="BE55" i="6"/>
  <c r="AS55" i="6"/>
  <c r="CF55" i="6"/>
  <c r="BS55" i="6"/>
  <c r="AW55" i="6"/>
  <c r="CG55" i="6"/>
  <c r="BX55" i="6"/>
  <c r="BD55" i="6"/>
  <c r="BY55" i="6"/>
  <c r="AM55" i="6"/>
  <c r="AN55" i="6"/>
  <c r="BT55" i="6"/>
  <c r="BO55" i="6"/>
  <c r="CE55" i="6"/>
  <c r="BP55" i="6"/>
  <c r="BA55" i="6"/>
  <c r="BH55" i="6"/>
  <c r="T55" i="5"/>
  <c r="G55" i="12" s="1"/>
  <c r="AP55" i="6"/>
  <c r="AL55" i="6"/>
  <c r="AZ55" i="6"/>
  <c r="AV55" i="6"/>
  <c r="AO55" i="6"/>
  <c r="BV55" i="6"/>
  <c r="BI55" i="6"/>
  <c r="CJ55" i="6"/>
  <c r="AU55" i="6"/>
  <c r="CH55" i="6"/>
  <c r="CK55" i="6"/>
  <c r="CM55" i="6"/>
  <c r="AK55" i="6"/>
  <c r="AT55" i="6"/>
  <c r="N55" i="6"/>
  <c r="N34" i="6"/>
  <c r="H57" i="5" l="1"/>
  <c r="M54" i="6"/>
  <c r="BO54" i="6" s="1"/>
  <c r="F57" i="5"/>
  <c r="A57" i="12"/>
  <c r="L57" i="12" s="1"/>
  <c r="E57" i="5"/>
  <c r="K57" i="5"/>
  <c r="A56" i="6"/>
  <c r="M56" i="6" s="1"/>
  <c r="CB56" i="6" s="1"/>
  <c r="C58" i="5"/>
  <c r="N58" i="5" s="1"/>
  <c r="D58" i="6" s="1"/>
  <c r="AD57" i="5"/>
  <c r="N57" i="5"/>
  <c r="D57" i="6" s="1"/>
  <c r="H57" i="6" s="1" a="1"/>
  <c r="H57" i="6" s="1"/>
  <c r="H56" i="6" a="1"/>
  <c r="H56" i="6" s="1"/>
  <c r="D57" i="5"/>
  <c r="B57" i="12" s="1"/>
  <c r="B57" i="6"/>
  <c r="J57" i="5"/>
  <c r="B57" i="5"/>
  <c r="G57" i="5"/>
  <c r="G54" i="12"/>
  <c r="BW56" i="6" l="1"/>
  <c r="BE56" i="6"/>
  <c r="BQ56" i="6"/>
  <c r="BT56" i="6"/>
  <c r="BJ56" i="6"/>
  <c r="AT54" i="6"/>
  <c r="BN56" i="6"/>
  <c r="AV54" i="6"/>
  <c r="AV56" i="6"/>
  <c r="BV56" i="6"/>
  <c r="CC54" i="6"/>
  <c r="BF54" i="6"/>
  <c r="BX54" i="6"/>
  <c r="BV54" i="6"/>
  <c r="BG54" i="6"/>
  <c r="BS54" i="6"/>
  <c r="CM54" i="6"/>
  <c r="BE54" i="6"/>
  <c r="BJ54" i="6"/>
  <c r="AW54" i="6"/>
  <c r="BQ54" i="6"/>
  <c r="CE54" i="6"/>
  <c r="BN54" i="6"/>
  <c r="AU54" i="6"/>
  <c r="AP54" i="6"/>
  <c r="BY54" i="6"/>
  <c r="BD56" i="6"/>
  <c r="CK56" i="6"/>
  <c r="BO56" i="6"/>
  <c r="CL56" i="6"/>
  <c r="BL56" i="6"/>
  <c r="BI56" i="6"/>
  <c r="BZ54" i="6"/>
  <c r="A57" i="6"/>
  <c r="M57" i="6" s="1"/>
  <c r="BJ57" i="6" s="1"/>
  <c r="CM56" i="6"/>
  <c r="CD56" i="6"/>
  <c r="BX56" i="6"/>
  <c r="BC56" i="6"/>
  <c r="F58" i="5"/>
  <c r="AT56" i="6"/>
  <c r="BK56" i="6"/>
  <c r="BF56" i="6"/>
  <c r="E58" i="5"/>
  <c r="AR56" i="6"/>
  <c r="BS56" i="6"/>
  <c r="BP56" i="6"/>
  <c r="CC56" i="6"/>
  <c r="B58" i="5"/>
  <c r="CD54" i="6"/>
  <c r="CI54" i="6"/>
  <c r="CL54" i="6"/>
  <c r="CB54" i="6"/>
  <c r="AY54" i="6"/>
  <c r="BR54" i="6"/>
  <c r="CK54" i="6"/>
  <c r="BW54" i="6"/>
  <c r="CG54" i="6"/>
  <c r="AS54" i="6"/>
  <c r="AQ54" i="6"/>
  <c r="CH54" i="6"/>
  <c r="BM54" i="6"/>
  <c r="CF54" i="6"/>
  <c r="BT54" i="6"/>
  <c r="BA54" i="6"/>
  <c r="BH54" i="6"/>
  <c r="CA54" i="6"/>
  <c r="AD58" i="5"/>
  <c r="AO54" i="6"/>
  <c r="AX54" i="6"/>
  <c r="BI54" i="6"/>
  <c r="AZ54" i="6"/>
  <c r="BC54" i="6"/>
  <c r="AU56" i="6"/>
  <c r="J57" i="12"/>
  <c r="K57" i="12" s="1"/>
  <c r="BP54" i="6"/>
  <c r="CJ54" i="6"/>
  <c r="AL56" i="6"/>
  <c r="BD54" i="6"/>
  <c r="AR54" i="6"/>
  <c r="BK54" i="6"/>
  <c r="BL54" i="6"/>
  <c r="T56" i="5"/>
  <c r="G56" i="12" s="1"/>
  <c r="AS56" i="6"/>
  <c r="AJ56" i="6"/>
  <c r="BZ56" i="6"/>
  <c r="CE56" i="6"/>
  <c r="CI56" i="6"/>
  <c r="AQ56" i="6"/>
  <c r="CF56" i="6"/>
  <c r="AY56" i="6"/>
  <c r="AK56" i="6"/>
  <c r="BA56" i="6"/>
  <c r="AW56" i="6"/>
  <c r="BM56" i="6"/>
  <c r="AZ56" i="6"/>
  <c r="AM56" i="6"/>
  <c r="AN56" i="6"/>
  <c r="AP56" i="6"/>
  <c r="BH56" i="6"/>
  <c r="BG56" i="6"/>
  <c r="CH56" i="6"/>
  <c r="CG56" i="6"/>
  <c r="AX56" i="6"/>
  <c r="AO56" i="6"/>
  <c r="BY56" i="6"/>
  <c r="CA56" i="6"/>
  <c r="CJ56" i="6"/>
  <c r="BR56" i="6"/>
  <c r="G58" i="5"/>
  <c r="H58" i="5"/>
  <c r="C59" i="5"/>
  <c r="K58" i="5"/>
  <c r="AE58" i="5"/>
  <c r="D58" i="5"/>
  <c r="B58" i="12" s="1"/>
  <c r="A58" i="12"/>
  <c r="J58" i="12" s="1"/>
  <c r="B58" i="6"/>
  <c r="J58" i="5"/>
  <c r="T57" i="5"/>
  <c r="G57" i="12" s="1"/>
  <c r="H58" i="6" a="1"/>
  <c r="H58" i="6" s="1"/>
  <c r="F59" i="5" l="1"/>
  <c r="AD59" i="5"/>
  <c r="BI57" i="6"/>
  <c r="BH57" i="6"/>
  <c r="CF57" i="6"/>
  <c r="BK57" i="6"/>
  <c r="BS57" i="6"/>
  <c r="BD57" i="6"/>
  <c r="CI57" i="6"/>
  <c r="BO57" i="6"/>
  <c r="CH57" i="6"/>
  <c r="BT57" i="6"/>
  <c r="BN57" i="6"/>
  <c r="BA57" i="6"/>
  <c r="BP57" i="6"/>
  <c r="BY57" i="6"/>
  <c r="BZ57" i="6"/>
  <c r="BM57" i="6"/>
  <c r="AZ57" i="6"/>
  <c r="BG57" i="6"/>
  <c r="BV57" i="6"/>
  <c r="CE57" i="6"/>
  <c r="A58" i="6"/>
  <c r="M58" i="6" s="1"/>
  <c r="BN58" i="6" s="1"/>
  <c r="BR57" i="6"/>
  <c r="BX57" i="6"/>
  <c r="AY57" i="6"/>
  <c r="CM57" i="6"/>
  <c r="CA57" i="6"/>
  <c r="CK57" i="6"/>
  <c r="BE57" i="6"/>
  <c r="CJ57" i="6"/>
  <c r="BQ57" i="6"/>
  <c r="BL57" i="6"/>
  <c r="CC57" i="6"/>
  <c r="BF57" i="6"/>
  <c r="CG57" i="6"/>
  <c r="BW57" i="6"/>
  <c r="CB57" i="6"/>
  <c r="CD57" i="6"/>
  <c r="BC57" i="6"/>
  <c r="CL57" i="6"/>
  <c r="B59" i="5"/>
  <c r="C60" i="5" s="1"/>
  <c r="AD60" i="5" s="1"/>
  <c r="A59" i="12"/>
  <c r="L59" i="12" s="1"/>
  <c r="D59" i="5"/>
  <c r="B59" i="12" s="1"/>
  <c r="G59" i="5"/>
  <c r="J59" i="5"/>
  <c r="K59" i="5"/>
  <c r="AE59" i="5"/>
  <c r="N59" i="5"/>
  <c r="D59" i="6" s="1"/>
  <c r="H59" i="6" s="1" a="1"/>
  <c r="H59" i="6" s="1"/>
  <c r="T59" i="5" s="1"/>
  <c r="G59" i="12" s="1"/>
  <c r="E59" i="5"/>
  <c r="H59" i="5"/>
  <c r="B59" i="6"/>
  <c r="L58" i="12"/>
  <c r="K58" i="12" s="1"/>
  <c r="T58" i="5"/>
  <c r="G58" i="12" s="1"/>
  <c r="J59" i="12" l="1"/>
  <c r="K59" i="12" s="1"/>
  <c r="A59" i="6"/>
  <c r="M59" i="6" s="1"/>
  <c r="CL59" i="6" s="1"/>
  <c r="B60" i="6"/>
  <c r="BC58" i="6"/>
  <c r="BT58" i="6"/>
  <c r="BA58" i="6"/>
  <c r="N60" i="5"/>
  <c r="D60" i="6" s="1"/>
  <c r="M60" i="6" s="1"/>
  <c r="BL60" i="6" s="1"/>
  <c r="BV58" i="6"/>
  <c r="BG58" i="6"/>
  <c r="CL58" i="6"/>
  <c r="F60" i="5"/>
  <c r="AZ58" i="6"/>
  <c r="BW58" i="6"/>
  <c r="BQ58" i="6"/>
  <c r="BF58" i="6"/>
  <c r="C61" i="5"/>
  <c r="N61" i="5" s="1"/>
  <c r="D61" i="6" s="1"/>
  <c r="CG58" i="6"/>
  <c r="CI58" i="6"/>
  <c r="BM58" i="6"/>
  <c r="BY58" i="6"/>
  <c r="BK58" i="6"/>
  <c r="CB58" i="6"/>
  <c r="CF58" i="6"/>
  <c r="BS58" i="6"/>
  <c r="W60" i="5"/>
  <c r="H60" i="12" s="1"/>
  <c r="BJ58" i="6"/>
  <c r="CD58" i="6"/>
  <c r="B60" i="5"/>
  <c r="H60" i="5"/>
  <c r="CJ58" i="6"/>
  <c r="BI58" i="6"/>
  <c r="G60" i="5"/>
  <c r="BH58" i="6"/>
  <c r="CM58" i="6"/>
  <c r="BX58" i="6"/>
  <c r="E60" i="5"/>
  <c r="CK58" i="6"/>
  <c r="BL58" i="6"/>
  <c r="CH58" i="6"/>
  <c r="CE58" i="6"/>
  <c r="BO58" i="6"/>
  <c r="AE60" i="5"/>
  <c r="A60" i="12"/>
  <c r="CC58" i="6"/>
  <c r="BD58" i="6"/>
  <c r="BZ58" i="6"/>
  <c r="CA58" i="6"/>
  <c r="BE58" i="6"/>
  <c r="BP58" i="6"/>
  <c r="BR58" i="6"/>
  <c r="AY58" i="6"/>
  <c r="H60" i="6" l="1" a="1"/>
  <c r="H60" i="6" s="1"/>
  <c r="T60" i="5" s="1"/>
  <c r="G60" i="12" s="1"/>
  <c r="A60" i="6"/>
  <c r="B61" i="6"/>
  <c r="B61" i="5"/>
  <c r="C62" i="5"/>
  <c r="A62" i="12" s="1"/>
  <c r="BJ59" i="6"/>
  <c r="AU59" i="6"/>
  <c r="BH59" i="6"/>
  <c r="CB59" i="6"/>
  <c r="CK59" i="6"/>
  <c r="BC59" i="6"/>
  <c r="BQ59" i="6"/>
  <c r="CG59" i="6"/>
  <c r="BX59" i="6"/>
  <c r="AZ59" i="6"/>
  <c r="CI59" i="6"/>
  <c r="BL59" i="6"/>
  <c r="AD61" i="5"/>
  <c r="BO59" i="6"/>
  <c r="BY59" i="6"/>
  <c r="CD59" i="6"/>
  <c r="AY59" i="6"/>
  <c r="CM59" i="6"/>
  <c r="BV59" i="6"/>
  <c r="CF59" i="6"/>
  <c r="CH59" i="6"/>
  <c r="AO59" i="6"/>
  <c r="BF59" i="6"/>
  <c r="CA59" i="6"/>
  <c r="BI59" i="6"/>
  <c r="AW59" i="6"/>
  <c r="BK59" i="6"/>
  <c r="CC59" i="6"/>
  <c r="CJ59" i="6"/>
  <c r="AP59" i="6"/>
  <c r="BZ59" i="6"/>
  <c r="BN59" i="6"/>
  <c r="AT59" i="6"/>
  <c r="BE59" i="6"/>
  <c r="CE59" i="6"/>
  <c r="BP59" i="6"/>
  <c r="BM59" i="6"/>
  <c r="BT59" i="6"/>
  <c r="BW59" i="6"/>
  <c r="AX59" i="6"/>
  <c r="BA59" i="6"/>
  <c r="AS59" i="6"/>
  <c r="AQ59" i="6"/>
  <c r="BD59" i="6"/>
  <c r="AR59" i="6"/>
  <c r="AV59" i="6"/>
  <c r="BS59" i="6"/>
  <c r="BR59" i="6"/>
  <c r="E61" i="5"/>
  <c r="BG59" i="6"/>
  <c r="F61" i="5"/>
  <c r="AE61" i="5"/>
  <c r="K61" i="5"/>
  <c r="J61" i="5"/>
  <c r="A61" i="12"/>
  <c r="L61" i="12" s="1"/>
  <c r="H61" i="5"/>
  <c r="D61" i="5"/>
  <c r="B61" i="12" s="1"/>
  <c r="G61" i="5"/>
  <c r="CL60" i="6"/>
  <c r="BQ60" i="6"/>
  <c r="BJ60" i="6"/>
  <c r="BO60" i="6"/>
  <c r="CD60" i="6"/>
  <c r="BC60" i="6"/>
  <c r="BE60" i="6"/>
  <c r="BG60" i="6"/>
  <c r="BR60" i="6"/>
  <c r="CI60" i="6"/>
  <c r="CK60" i="6"/>
  <c r="BX60" i="6"/>
  <c r="BN60" i="6"/>
  <c r="BV60" i="6"/>
  <c r="CC60" i="6"/>
  <c r="CH60" i="6"/>
  <c r="CE60" i="6"/>
  <c r="CF60" i="6"/>
  <c r="H61" i="6" a="1"/>
  <c r="H61" i="6" s="1"/>
  <c r="BS60" i="6"/>
  <c r="BT60" i="6"/>
  <c r="BM60" i="6"/>
  <c r="BF60" i="6"/>
  <c r="BD60" i="6"/>
  <c r="CG60" i="6"/>
  <c r="BK60" i="6"/>
  <c r="CJ60" i="6"/>
  <c r="CM60" i="6"/>
  <c r="BZ60" i="6"/>
  <c r="CA60" i="6"/>
  <c r="BH60" i="6"/>
  <c r="CB60" i="6"/>
  <c r="BW60" i="6"/>
  <c r="BI60" i="6"/>
  <c r="BP60" i="6"/>
  <c r="BY60" i="6"/>
  <c r="F62" i="5" l="1"/>
  <c r="D62" i="5"/>
  <c r="B62" i="12" s="1"/>
  <c r="AN60" i="6"/>
  <c r="A61" i="6"/>
  <c r="M61" i="6" s="1"/>
  <c r="BP61" i="6" s="1"/>
  <c r="J62" i="5"/>
  <c r="AD62" i="5"/>
  <c r="N62" i="5"/>
  <c r="D62" i="6" s="1"/>
  <c r="H62" i="6" s="1" a="1"/>
  <c r="H62" i="6" s="1"/>
  <c r="K62" i="5"/>
  <c r="B62" i="5"/>
  <c r="C63" i="5" s="1"/>
  <c r="B63" i="6" s="1"/>
  <c r="A63" i="6" s="1"/>
  <c r="AT60" i="6"/>
  <c r="AO60" i="6"/>
  <c r="AW60" i="6"/>
  <c r="AR60" i="6"/>
  <c r="AS60" i="6"/>
  <c r="AP60" i="6"/>
  <c r="AQ60" i="6"/>
  <c r="AV60" i="6"/>
  <c r="AM60" i="6"/>
  <c r="AZ60" i="6"/>
  <c r="AJ60" i="6"/>
  <c r="J61" i="12"/>
  <c r="K61" i="12" s="1"/>
  <c r="AL60" i="6"/>
  <c r="AU60" i="6"/>
  <c r="AK60" i="6"/>
  <c r="BA60" i="6"/>
  <c r="AY60" i="6"/>
  <c r="AX60" i="6"/>
  <c r="AE62" i="5"/>
  <c r="B62" i="6"/>
  <c r="G62" i="5"/>
  <c r="E62" i="5"/>
  <c r="H62" i="5"/>
  <c r="J62" i="12"/>
  <c r="L62" i="12"/>
  <c r="T61" i="5"/>
  <c r="G61" i="12" s="1"/>
  <c r="W63" i="5" l="1"/>
  <c r="H63" i="12" s="1"/>
  <c r="H63" i="5"/>
  <c r="BJ61" i="6"/>
  <c r="AW61" i="6"/>
  <c r="AV61" i="6"/>
  <c r="BC61" i="6"/>
  <c r="AO61" i="6"/>
  <c r="AX61" i="6"/>
  <c r="CA61" i="6"/>
  <c r="BW61" i="6"/>
  <c r="AQ61" i="6"/>
  <c r="AZ61" i="6"/>
  <c r="N63" i="5"/>
  <c r="D63" i="6" s="1"/>
  <c r="H63" i="6" s="1" a="1"/>
  <c r="H63" i="6" s="1"/>
  <c r="AS61" i="6"/>
  <c r="CG61" i="6"/>
  <c r="BM61" i="6"/>
  <c r="CD61" i="6"/>
  <c r="BL61" i="6"/>
  <c r="CJ61" i="6"/>
  <c r="BF61" i="6"/>
  <c r="B63" i="5"/>
  <c r="BE61" i="6"/>
  <c r="CL61" i="6"/>
  <c r="BH61" i="6"/>
  <c r="CK61" i="6"/>
  <c r="AP61" i="6"/>
  <c r="BS61" i="6"/>
  <c r="CC61" i="6"/>
  <c r="CI61" i="6"/>
  <c r="BT61" i="6"/>
  <c r="BK61" i="6"/>
  <c r="AU61" i="6"/>
  <c r="BV61" i="6"/>
  <c r="CH61" i="6"/>
  <c r="CF61" i="6"/>
  <c r="AY61" i="6"/>
  <c r="AR61" i="6"/>
  <c r="BN61" i="6"/>
  <c r="BR61" i="6"/>
  <c r="BI61" i="6"/>
  <c r="BD61" i="6"/>
  <c r="BQ61" i="6"/>
  <c r="BX61" i="6"/>
  <c r="BG61" i="6"/>
  <c r="AT61" i="6"/>
  <c r="BY61" i="6"/>
  <c r="BO61" i="6"/>
  <c r="CE61" i="6"/>
  <c r="BA61" i="6"/>
  <c r="BZ61" i="6"/>
  <c r="CB61" i="6"/>
  <c r="CM61" i="6"/>
  <c r="A62" i="6"/>
  <c r="M62" i="6" s="1"/>
  <c r="BD62" i="6" s="1"/>
  <c r="A63" i="12"/>
  <c r="G63" i="5"/>
  <c r="J60" i="5" s="1"/>
  <c r="C64" i="5"/>
  <c r="A64" i="12" s="1"/>
  <c r="AD63" i="5"/>
  <c r="AE63" i="5"/>
  <c r="F63" i="5"/>
  <c r="K55" i="5" s="1"/>
  <c r="E63" i="5"/>
  <c r="K62" i="12"/>
  <c r="T62" i="5"/>
  <c r="G62" i="12" s="1"/>
  <c r="M63" i="6" l="1"/>
  <c r="BH63" i="6" s="1"/>
  <c r="B64" i="5"/>
  <c r="C65" i="5" s="1"/>
  <c r="G65" i="5" s="1"/>
  <c r="BF62" i="6"/>
  <c r="AD64" i="5"/>
  <c r="N64" i="5"/>
  <c r="D64" i="6" s="1"/>
  <c r="H64" i="6" s="1" a="1"/>
  <c r="H64" i="6" s="1"/>
  <c r="BA62" i="6"/>
  <c r="AQ62" i="6"/>
  <c r="BY62" i="6"/>
  <c r="CB62" i="6"/>
  <c r="AU62" i="6"/>
  <c r="BM62" i="6"/>
  <c r="BE62" i="6"/>
  <c r="CE62" i="6"/>
  <c r="BO62" i="6"/>
  <c r="AP62" i="6"/>
  <c r="BQ62" i="6"/>
  <c r="AS62" i="6"/>
  <c r="BT62" i="6"/>
  <c r="CC62" i="6"/>
  <c r="BI62" i="6"/>
  <c r="AV62" i="6"/>
  <c r="CK62" i="6"/>
  <c r="BZ62" i="6"/>
  <c r="BR62" i="6"/>
  <c r="BS62" i="6"/>
  <c r="BH62" i="6"/>
  <c r="BC62" i="6"/>
  <c r="CI62" i="6"/>
  <c r="BL62" i="6"/>
  <c r="CL62" i="6"/>
  <c r="BW62" i="6"/>
  <c r="CJ62" i="6"/>
  <c r="BX62" i="6"/>
  <c r="CA62" i="6"/>
  <c r="CM62" i="6"/>
  <c r="CH62" i="6"/>
  <c r="AO62" i="6"/>
  <c r="BN62" i="6"/>
  <c r="AW62" i="6"/>
  <c r="AR62" i="6"/>
  <c r="BK62" i="6"/>
  <c r="AT62" i="6"/>
  <c r="BG62" i="6"/>
  <c r="CD62" i="6"/>
  <c r="AZ62" i="6"/>
  <c r="AX62" i="6"/>
  <c r="CG62" i="6"/>
  <c r="AY62" i="6"/>
  <c r="BJ62" i="6"/>
  <c r="BV62" i="6"/>
  <c r="CF62" i="6"/>
  <c r="BP62" i="6"/>
  <c r="G64" i="5"/>
  <c r="E64" i="5"/>
  <c r="J64" i="5"/>
  <c r="F64" i="5"/>
  <c r="K64" i="5"/>
  <c r="AE64" i="5"/>
  <c r="H64" i="5"/>
  <c r="D64" i="5"/>
  <c r="B64" i="12" s="1"/>
  <c r="B64" i="6"/>
  <c r="L64" i="12"/>
  <c r="J64" i="12"/>
  <c r="T63" i="5"/>
  <c r="G63" i="12" s="1"/>
  <c r="J34" i="6" a="1"/>
  <c r="J34" i="6" s="1"/>
  <c r="CA63" i="6" l="1"/>
  <c r="BK63" i="6"/>
  <c r="AP63" i="6"/>
  <c r="AM63" i="6"/>
  <c r="CH63" i="6"/>
  <c r="CI63" i="6"/>
  <c r="BC63" i="6"/>
  <c r="CJ63" i="6"/>
  <c r="AN63" i="6"/>
  <c r="AT63" i="6"/>
  <c r="BM63" i="6"/>
  <c r="CM63" i="6"/>
  <c r="BO63" i="6"/>
  <c r="BP63" i="6"/>
  <c r="CC63" i="6"/>
  <c r="CB63" i="6"/>
  <c r="BS63" i="6"/>
  <c r="CG63" i="6"/>
  <c r="BA63" i="6"/>
  <c r="BF63" i="6"/>
  <c r="AL63" i="6"/>
  <c r="BV63" i="6"/>
  <c r="BD63" i="6"/>
  <c r="AZ63" i="6"/>
  <c r="AY63" i="6"/>
  <c r="BW63" i="6"/>
  <c r="BN63" i="6"/>
  <c r="AW63" i="6"/>
  <c r="AV63" i="6"/>
  <c r="BJ63" i="6"/>
  <c r="BR63" i="6"/>
  <c r="BL63" i="6"/>
  <c r="CE63" i="6"/>
  <c r="AR63" i="6"/>
  <c r="BX63" i="6"/>
  <c r="AK63" i="6"/>
  <c r="BT63" i="6"/>
  <c r="CF63" i="6"/>
  <c r="AS63" i="6"/>
  <c r="BZ63" i="6"/>
  <c r="BE63" i="6"/>
  <c r="BI63" i="6"/>
  <c r="AX63" i="6"/>
  <c r="AU63" i="6"/>
  <c r="BQ63" i="6"/>
  <c r="BY63" i="6"/>
  <c r="CK63" i="6"/>
  <c r="CL63" i="6"/>
  <c r="CD63" i="6"/>
  <c r="AO63" i="6"/>
  <c r="AJ63" i="6"/>
  <c r="AQ63" i="6"/>
  <c r="BG63" i="6"/>
  <c r="N65" i="5"/>
  <c r="D65" i="6" s="1"/>
  <c r="M65" i="6" s="1"/>
  <c r="BQ65" i="6" s="1"/>
  <c r="A65" i="12"/>
  <c r="H65" i="5"/>
  <c r="B65" i="5"/>
  <c r="B65" i="6"/>
  <c r="A65" i="6" s="1"/>
  <c r="F65" i="5"/>
  <c r="K63" i="5" s="1"/>
  <c r="AE65" i="5"/>
  <c r="E65" i="5"/>
  <c r="A64" i="6"/>
  <c r="M64" i="6" s="1"/>
  <c r="BN64" i="6" s="1"/>
  <c r="AD65" i="5"/>
  <c r="K64" i="12"/>
  <c r="T64" i="5"/>
  <c r="G64" i="12" s="1"/>
  <c r="I34" i="5"/>
  <c r="H65" i="6" l="1" a="1"/>
  <c r="H65" i="6" s="1"/>
  <c r="AP65" i="6" s="1"/>
  <c r="C66" i="5"/>
  <c r="BW64" i="6"/>
  <c r="CA64" i="6"/>
  <c r="AT64" i="6"/>
  <c r="AQ64" i="6"/>
  <c r="AZ64" i="6"/>
  <c r="AX64" i="6"/>
  <c r="AS64" i="6"/>
  <c r="CI64" i="6"/>
  <c r="AY64" i="6"/>
  <c r="CG64" i="6"/>
  <c r="AU64" i="6"/>
  <c r="BX64" i="6"/>
  <c r="BV64" i="6"/>
  <c r="BZ64" i="6"/>
  <c r="BE64" i="6"/>
  <c r="BG64" i="6"/>
  <c r="BK64" i="6"/>
  <c r="BP64" i="6"/>
  <c r="CB64" i="6"/>
  <c r="BF64" i="6"/>
  <c r="CK64" i="6"/>
  <c r="CJ64" i="6"/>
  <c r="CH64" i="6"/>
  <c r="BM64" i="6"/>
  <c r="BJ64" i="6"/>
  <c r="CL64" i="6"/>
  <c r="BH64" i="6"/>
  <c r="BC64" i="6"/>
  <c r="BI64" i="6"/>
  <c r="AR64" i="6"/>
  <c r="AP64" i="6"/>
  <c r="BD64" i="6"/>
  <c r="BY64" i="6"/>
  <c r="AV64" i="6"/>
  <c r="BR64" i="6"/>
  <c r="CE64" i="6"/>
  <c r="CM64" i="6"/>
  <c r="AW64" i="6"/>
  <c r="AO64" i="6"/>
  <c r="BA64" i="6"/>
  <c r="CD64" i="6"/>
  <c r="BQ64" i="6"/>
  <c r="CC64" i="6"/>
  <c r="CF64" i="6"/>
  <c r="BO64" i="6"/>
  <c r="BS64" i="6"/>
  <c r="BT64" i="6"/>
  <c r="BL64" i="6"/>
  <c r="BZ65" i="6"/>
  <c r="BF65" i="6"/>
  <c r="BJ65" i="6"/>
  <c r="BL65" i="6"/>
  <c r="BO65" i="6"/>
  <c r="CC65" i="6"/>
  <c r="BM65" i="6"/>
  <c r="BG65" i="6"/>
  <c r="CL65" i="6"/>
  <c r="BI65" i="6"/>
  <c r="BK65" i="6"/>
  <c r="CJ65" i="6"/>
  <c r="CD65" i="6"/>
  <c r="CM65" i="6"/>
  <c r="BN65" i="6"/>
  <c r="BV65" i="6"/>
  <c r="CF65" i="6"/>
  <c r="CE65" i="6"/>
  <c r="BD65" i="6"/>
  <c r="BC65" i="6"/>
  <c r="BR65" i="6"/>
  <c r="BX65" i="6"/>
  <c r="BH65" i="6"/>
  <c r="CK65" i="6"/>
  <c r="BP65" i="6"/>
  <c r="BE65" i="6"/>
  <c r="CB65" i="6"/>
  <c r="CH65" i="6"/>
  <c r="BT65" i="6"/>
  <c r="CI65" i="6"/>
  <c r="CA65" i="6"/>
  <c r="CG65" i="6"/>
  <c r="BW65" i="6"/>
  <c r="BS65" i="6"/>
  <c r="BY65" i="6"/>
  <c r="W65" i="5"/>
  <c r="H65" i="12" s="1"/>
  <c r="G65" i="6"/>
  <c r="E65" i="12"/>
  <c r="F65" i="6"/>
  <c r="F55" i="6"/>
  <c r="E55" i="12"/>
  <c r="G55" i="6"/>
  <c r="W55" i="5"/>
  <c r="H55" i="12" s="1"/>
  <c r="J66" i="5" l="1"/>
  <c r="K66" i="5"/>
  <c r="D66" i="5"/>
  <c r="B66" i="12" s="1"/>
  <c r="N66" i="5"/>
  <c r="D66" i="6" s="1"/>
  <c r="H66" i="6" s="1" a="1"/>
  <c r="H66" i="6" s="1"/>
  <c r="T66" i="5" s="1"/>
  <c r="G66" i="12" s="1"/>
  <c r="A66" i="12"/>
  <c r="L66" i="12" s="1"/>
  <c r="C67" i="5"/>
  <c r="AE66" i="5"/>
  <c r="AD66" i="5"/>
  <c r="B66" i="6"/>
  <c r="AV65" i="6"/>
  <c r="BA65" i="6"/>
  <c r="AQ65" i="6"/>
  <c r="AS65" i="6"/>
  <c r="AZ65" i="6"/>
  <c r="AX65" i="6"/>
  <c r="AK65" i="6"/>
  <c r="T65" i="5"/>
  <c r="G65" i="12" s="1"/>
  <c r="AT65" i="6"/>
  <c r="AY65" i="6"/>
  <c r="AW65" i="6"/>
  <c r="AJ65" i="6"/>
  <c r="AM65" i="6"/>
  <c r="AO65" i="6"/>
  <c r="AR65" i="6"/>
  <c r="AL65" i="6"/>
  <c r="AN65" i="6"/>
  <c r="AU65" i="6"/>
  <c r="E66" i="5"/>
  <c r="G66" i="5"/>
  <c r="H66" i="5"/>
  <c r="B66" i="5"/>
  <c r="F66" i="5"/>
  <c r="N56" i="6"/>
  <c r="N60" i="6"/>
  <c r="N61" i="6"/>
  <c r="N62" i="6"/>
  <c r="N59" i="6"/>
  <c r="N63" i="6"/>
  <c r="N57" i="6"/>
  <c r="N58" i="6"/>
  <c r="N65" i="6"/>
  <c r="J66" i="12" l="1"/>
  <c r="K66" i="12" s="1"/>
  <c r="H67" i="5"/>
  <c r="G67" i="5"/>
  <c r="D67" i="5"/>
  <c r="B67" i="12" s="1"/>
  <c r="AE67" i="5"/>
  <c r="E67" i="5"/>
  <c r="B67" i="6"/>
  <c r="C68" i="5"/>
  <c r="C69" i="5" s="1"/>
  <c r="J67" i="5"/>
  <c r="A67" i="12"/>
  <c r="J67" i="12" s="1"/>
  <c r="F67" i="5"/>
  <c r="B67" i="5"/>
  <c r="N67" i="5"/>
  <c r="D67" i="6" s="1"/>
  <c r="H67" i="6" s="1" a="1"/>
  <c r="H67" i="6" s="1"/>
  <c r="AD67" i="5"/>
  <c r="K67" i="5"/>
  <c r="A66" i="6"/>
  <c r="M66" i="6" s="1"/>
  <c r="BZ66" i="6" s="1"/>
  <c r="J55" i="6" a="1"/>
  <c r="J55" i="6" s="1"/>
  <c r="J65" i="6" a="1"/>
  <c r="J65" i="6" s="1"/>
  <c r="L67" i="12" l="1"/>
  <c r="K67" i="12" s="1"/>
  <c r="K68" i="5"/>
  <c r="D68" i="5"/>
  <c r="B68" i="12" s="1"/>
  <c r="J68" i="5"/>
  <c r="AE68" i="5"/>
  <c r="G68" i="5"/>
  <c r="G69" i="5" s="1"/>
  <c r="B68" i="6"/>
  <c r="H68" i="5"/>
  <c r="H69" i="5" s="1"/>
  <c r="E68" i="5"/>
  <c r="E69" i="5" s="1"/>
  <c r="N68" i="5"/>
  <c r="D68" i="6" s="1"/>
  <c r="H68" i="6" s="1" a="1"/>
  <c r="H68" i="6" s="1"/>
  <c r="F68" i="5"/>
  <c r="F69" i="5" s="1"/>
  <c r="AE69" i="5"/>
  <c r="B69" i="6"/>
  <c r="AD69" i="5"/>
  <c r="N69" i="5"/>
  <c r="K69" i="5"/>
  <c r="A69" i="12"/>
  <c r="J69" i="5"/>
  <c r="D69" i="5"/>
  <c r="B69" i="12" s="1"/>
  <c r="AD68" i="5"/>
  <c r="B68" i="5"/>
  <c r="B69" i="5" s="1"/>
  <c r="A68" i="12"/>
  <c r="J68" i="12" s="1"/>
  <c r="A67" i="6"/>
  <c r="M67" i="6" s="1"/>
  <c r="BX67" i="6" s="1"/>
  <c r="AY66" i="6"/>
  <c r="AZ66" i="6"/>
  <c r="BX66" i="6"/>
  <c r="CD66" i="6"/>
  <c r="BJ66" i="6"/>
  <c r="CL66" i="6"/>
  <c r="CM66" i="6"/>
  <c r="BF66" i="6"/>
  <c r="BQ66" i="6"/>
  <c r="CF66" i="6"/>
  <c r="BK66" i="6"/>
  <c r="CI66" i="6"/>
  <c r="BP66" i="6"/>
  <c r="BR66" i="6"/>
  <c r="BA66" i="6"/>
  <c r="BT66" i="6"/>
  <c r="BS66" i="6"/>
  <c r="BO66" i="6"/>
  <c r="BG66" i="6"/>
  <c r="CA66" i="6"/>
  <c r="BV66" i="6"/>
  <c r="CK66" i="6"/>
  <c r="BY66" i="6"/>
  <c r="BE66" i="6"/>
  <c r="BI66" i="6"/>
  <c r="CJ66" i="6"/>
  <c r="BW66" i="6"/>
  <c r="CB66" i="6"/>
  <c r="CH66" i="6"/>
  <c r="CC66" i="6"/>
  <c r="CE66" i="6"/>
  <c r="BN66" i="6"/>
  <c r="BC66" i="6"/>
  <c r="BL66" i="6"/>
  <c r="BD66" i="6"/>
  <c r="CG66" i="6"/>
  <c r="BM66" i="6"/>
  <c r="BH66" i="6"/>
  <c r="N66" i="6"/>
  <c r="L68" i="12"/>
  <c r="T67" i="5"/>
  <c r="D69" i="6" l="1"/>
  <c r="L69" i="12"/>
  <c r="J69" i="12"/>
  <c r="BL67" i="6"/>
  <c r="BQ67" i="6"/>
  <c r="BV67" i="6"/>
  <c r="BZ67" i="6"/>
  <c r="BP67" i="6"/>
  <c r="CE67" i="6"/>
  <c r="AX67" i="6"/>
  <c r="N67" i="6"/>
  <c r="AR67" i="6"/>
  <c r="BH67" i="6"/>
  <c r="BT67" i="6"/>
  <c r="AS67" i="6"/>
  <c r="A68" i="6"/>
  <c r="M68" i="6" s="1"/>
  <c r="CI68" i="6" s="1"/>
  <c r="CH67" i="6"/>
  <c r="BM67" i="6"/>
  <c r="CD67" i="6"/>
  <c r="BW67" i="6"/>
  <c r="CM67" i="6"/>
  <c r="BN67" i="6"/>
  <c r="AO67" i="6"/>
  <c r="BS67" i="6"/>
  <c r="BO67" i="6"/>
  <c r="CC67" i="6"/>
  <c r="CG67" i="6"/>
  <c r="CK67" i="6"/>
  <c r="BG67" i="6"/>
  <c r="BA67" i="6"/>
  <c r="AW67" i="6"/>
  <c r="BK67" i="6"/>
  <c r="CA67" i="6"/>
  <c r="CJ67" i="6"/>
  <c r="BF67" i="6"/>
  <c r="BY67" i="6"/>
  <c r="AP67" i="6"/>
  <c r="AZ67" i="6"/>
  <c r="AU67" i="6"/>
  <c r="AY67" i="6"/>
  <c r="CL67" i="6"/>
  <c r="CI67" i="6"/>
  <c r="BC67" i="6"/>
  <c r="BR67" i="6"/>
  <c r="BE67" i="6"/>
  <c r="AQ67" i="6"/>
  <c r="AT67" i="6"/>
  <c r="AV67" i="6"/>
  <c r="BD67" i="6"/>
  <c r="CF67" i="6"/>
  <c r="CB67" i="6"/>
  <c r="BI67" i="6"/>
  <c r="BJ67" i="6"/>
  <c r="K68" i="12"/>
  <c r="T68" i="5"/>
  <c r="G68" i="12" s="1"/>
  <c r="G67" i="12"/>
  <c r="I65" i="5"/>
  <c r="K69" i="12" l="1"/>
  <c r="A69" i="6"/>
  <c r="H69" i="6" a="1"/>
  <c r="H69" i="6" s="1"/>
  <c r="AZ68" i="6"/>
  <c r="N68" i="6"/>
  <c r="AR68" i="6"/>
  <c r="CM68" i="6"/>
  <c r="CK68" i="6"/>
  <c r="AW68" i="6"/>
  <c r="BZ68" i="6"/>
  <c r="BY68" i="6"/>
  <c r="AU68" i="6"/>
  <c r="CJ68" i="6"/>
  <c r="BC68" i="6"/>
  <c r="AV68" i="6"/>
  <c r="CC68" i="6"/>
  <c r="BD68" i="6"/>
  <c r="AX68" i="6"/>
  <c r="BP68" i="6"/>
  <c r="BI68" i="6"/>
  <c r="BW68" i="6"/>
  <c r="CD68" i="6"/>
  <c r="CA68" i="6"/>
  <c r="AY68" i="6"/>
  <c r="AP68" i="6"/>
  <c r="BK68" i="6"/>
  <c r="BS68" i="6"/>
  <c r="CH68" i="6"/>
  <c r="BN68" i="6"/>
  <c r="BG68" i="6"/>
  <c r="BH68" i="6"/>
  <c r="BQ68" i="6"/>
  <c r="CL68" i="6"/>
  <c r="BF68" i="6"/>
  <c r="BV68" i="6"/>
  <c r="AQ68" i="6"/>
  <c r="BL68" i="6"/>
  <c r="CE68" i="6"/>
  <c r="BT68" i="6"/>
  <c r="BM68" i="6"/>
  <c r="AT68" i="6"/>
  <c r="AS68" i="6"/>
  <c r="CF68" i="6"/>
  <c r="BJ68" i="6"/>
  <c r="BE68" i="6"/>
  <c r="CB68" i="6"/>
  <c r="AO68" i="6"/>
  <c r="BA68" i="6"/>
  <c r="CG68" i="6"/>
  <c r="BR68" i="6"/>
  <c r="BX68" i="6"/>
  <c r="BO68" i="6"/>
  <c r="E128" i="12"/>
  <c r="F128" i="6"/>
  <c r="N69" i="6" l="1"/>
  <c r="M69" i="6"/>
  <c r="CL69" i="6" s="1"/>
  <c r="T69" i="5"/>
  <c r="AL17" i="13"/>
  <c r="AO17" i="13"/>
  <c r="AO21" i="13"/>
  <c r="AL21" i="13"/>
  <c r="CM69" i="6" l="1"/>
  <c r="AQ69" i="6"/>
  <c r="CE69" i="6"/>
  <c r="CH69" i="6"/>
  <c r="AP69" i="6"/>
  <c r="CF69" i="6"/>
  <c r="BW69" i="6"/>
  <c r="AW69" i="6"/>
  <c r="BN69" i="6"/>
  <c r="BE69" i="6"/>
  <c r="BY69" i="6"/>
  <c r="AV69" i="6"/>
  <c r="CD69" i="6"/>
  <c r="BV69" i="6"/>
  <c r="BM69" i="6"/>
  <c r="AU69" i="6"/>
  <c r="AO69" i="6"/>
  <c r="CC69" i="6"/>
  <c r="BT69" i="6"/>
  <c r="BL69" i="6"/>
  <c r="BD69" i="6"/>
  <c r="BP69" i="6"/>
  <c r="CK69" i="6"/>
  <c r="BS69" i="6"/>
  <c r="BK69" i="6"/>
  <c r="BC69" i="6"/>
  <c r="AT69" i="6"/>
  <c r="AY69" i="6"/>
  <c r="CB69" i="6"/>
  <c r="BR69" i="6"/>
  <c r="BJ69" i="6"/>
  <c r="BA69" i="6"/>
  <c r="AS69" i="6"/>
  <c r="CA69" i="6"/>
  <c r="BQ69" i="6"/>
  <c r="BI69" i="6"/>
  <c r="AZ69" i="6"/>
  <c r="AR69" i="6"/>
  <c r="CG69" i="6"/>
  <c r="CJ69" i="6"/>
  <c r="BZ69" i="6"/>
  <c r="BG69" i="6"/>
  <c r="BO69" i="6"/>
  <c r="BH69" i="6"/>
  <c r="BX69" i="6"/>
  <c r="BF69" i="6"/>
  <c r="CI69" i="6"/>
  <c r="AX69" i="6"/>
  <c r="G69" i="12"/>
  <c r="AL22" i="13"/>
  <c r="AO22" i="13"/>
  <c r="AO15" i="13"/>
  <c r="AL15" i="13"/>
  <c r="AJ21" i="13"/>
  <c r="AM17" i="13"/>
  <c r="AL16" i="13"/>
  <c r="AO16" i="13"/>
  <c r="AK21" i="13"/>
  <c r="AN17" i="13"/>
  <c r="AL19" i="13"/>
  <c r="AO19" i="13"/>
  <c r="AO20" i="13"/>
  <c r="AL20" i="13"/>
  <c r="AO23" i="13"/>
  <c r="AN23" i="13"/>
  <c r="AM23" i="13"/>
  <c r="AL23" i="13"/>
  <c r="AM21" i="13"/>
  <c r="AJ17" i="13"/>
  <c r="AO18" i="13"/>
  <c r="AL18" i="13"/>
  <c r="AO12" i="13"/>
  <c r="AL12" i="13"/>
  <c r="AN21" i="13"/>
  <c r="AK17" i="13"/>
  <c r="AN12" i="13" l="1"/>
  <c r="AK23" i="13"/>
  <c r="AJ20" i="13"/>
  <c r="AM19" i="13"/>
  <c r="AK16" i="13"/>
  <c r="AN22" i="13"/>
  <c r="AK12" i="13"/>
  <c r="AM18" i="13"/>
  <c r="AK20" i="13"/>
  <c r="AN19" i="13"/>
  <c r="AM15" i="13"/>
  <c r="AM12" i="13"/>
  <c r="AN18" i="13"/>
  <c r="AM16" i="13"/>
  <c r="AN15" i="13"/>
  <c r="AJ22" i="13"/>
  <c r="AM20" i="13"/>
  <c r="AJ19" i="13"/>
  <c r="AN16" i="13"/>
  <c r="AK22" i="13"/>
  <c r="AJ18" i="13"/>
  <c r="AN20" i="13"/>
  <c r="AK19" i="13"/>
  <c r="AJ15" i="13"/>
  <c r="AK18" i="13"/>
  <c r="AJ23" i="13"/>
  <c r="AJ16" i="13"/>
  <c r="AK15" i="13"/>
  <c r="AM22" i="13"/>
  <c r="AJ12" i="13" l="1"/>
  <c r="AL14" i="13" l="1"/>
  <c r="AK14" i="13"/>
  <c r="AO14" i="13"/>
  <c r="AN14" i="13"/>
  <c r="AM14" i="13" l="1"/>
  <c r="AJ14" i="13"/>
  <c r="E70" i="12" l="1"/>
  <c r="F70" i="6"/>
  <c r="G15" i="8" l="1"/>
  <c r="G48" i="8"/>
  <c r="G57" i="8" l="1"/>
  <c r="I55" i="5"/>
  <c r="I56" i="5" s="1"/>
  <c r="G51" i="8" l="1"/>
  <c r="G36" i="8" l="1"/>
  <c r="G66" i="8" l="1"/>
  <c r="K22" i="5" l="1"/>
  <c r="J22" i="5"/>
  <c r="K21" i="5"/>
  <c r="D22" i="5" l="1"/>
  <c r="B22" i="12" s="1"/>
  <c r="J25" i="5" l="1"/>
  <c r="AR57" i="6" l="1"/>
  <c r="AW57" i="6"/>
  <c r="AT57" i="6"/>
  <c r="AS57" i="6"/>
  <c r="AU57" i="6"/>
  <c r="AX57" i="6"/>
  <c r="AV57" i="6"/>
  <c r="AU66" i="6"/>
  <c r="AV66" i="6"/>
  <c r="AT66" i="6"/>
  <c r="AR66" i="6"/>
  <c r="AW66" i="6"/>
  <c r="AX66" i="6"/>
  <c r="AS66" i="6"/>
  <c r="AW58" i="6"/>
  <c r="AX58" i="6"/>
  <c r="AV58" i="6"/>
  <c r="AR58" i="6"/>
  <c r="AU58" i="6"/>
  <c r="AS58" i="6"/>
  <c r="AT58" i="6"/>
  <c r="AW18" i="6"/>
  <c r="AU18" i="6"/>
  <c r="AV18" i="6"/>
  <c r="AT18" i="6"/>
  <c r="AX18" i="6"/>
  <c r="C70" i="5" l="1"/>
  <c r="B70" i="6" s="1"/>
  <c r="W70" i="5" l="1"/>
  <c r="H70" i="12" s="1"/>
  <c r="N70" i="5"/>
  <c r="D70" i="6" s="1"/>
  <c r="G70" i="6" s="1"/>
  <c r="B70" i="5"/>
  <c r="G70" i="5"/>
  <c r="F70" i="5"/>
  <c r="A70" i="12"/>
  <c r="AE70" i="5"/>
  <c r="H70" i="5"/>
  <c r="AD70" i="5"/>
  <c r="E70" i="5"/>
  <c r="A70" i="6"/>
  <c r="J70" i="6" a="1"/>
  <c r="J70" i="6" s="1"/>
  <c r="K65" i="5" l="1"/>
  <c r="N70" i="6"/>
  <c r="M70" i="6"/>
  <c r="CA70" i="6" s="1"/>
  <c r="H70" i="6" a="1"/>
  <c r="H70" i="6" s="1"/>
  <c r="T70" i="5" s="1"/>
  <c r="G70" i="12" s="1"/>
  <c r="C71" i="5"/>
  <c r="AQ70" i="6" l="1"/>
  <c r="AP70" i="6"/>
  <c r="AM70" i="6"/>
  <c r="AL70" i="6"/>
  <c r="AU70" i="6"/>
  <c r="BK70" i="6"/>
  <c r="BG70" i="6"/>
  <c r="CK70" i="6"/>
  <c r="BL70" i="6"/>
  <c r="AN70" i="6"/>
  <c r="BO70" i="6"/>
  <c r="BP70" i="6"/>
  <c r="CE70" i="6"/>
  <c r="BZ70" i="6"/>
  <c r="BX70" i="6"/>
  <c r="CM70" i="6"/>
  <c r="CC70" i="6"/>
  <c r="BF70" i="6"/>
  <c r="BV70" i="6"/>
  <c r="AY70" i="6"/>
  <c r="BR70" i="6"/>
  <c r="CD70" i="6"/>
  <c r="AK70" i="6"/>
  <c r="BS70" i="6"/>
  <c r="CH70" i="6"/>
  <c r="AO70" i="6"/>
  <c r="AX70" i="6"/>
  <c r="BM70" i="6"/>
  <c r="CL70" i="6"/>
  <c r="CJ70" i="6"/>
  <c r="BE70" i="6"/>
  <c r="BJ70" i="6"/>
  <c r="BY70" i="6"/>
  <c r="BQ70" i="6"/>
  <c r="BW70" i="6"/>
  <c r="CF70" i="6"/>
  <c r="AJ70" i="6"/>
  <c r="AZ70" i="6"/>
  <c r="AS70" i="6"/>
  <c r="BC70" i="6"/>
  <c r="CG70" i="6"/>
  <c r="BT70" i="6"/>
  <c r="CB70" i="6"/>
  <c r="BN70" i="6"/>
  <c r="BA70" i="6"/>
  <c r="BI70" i="6"/>
  <c r="CI70" i="6"/>
  <c r="BD70" i="6"/>
  <c r="AV70" i="6"/>
  <c r="AR70" i="6"/>
  <c r="BH70" i="6"/>
  <c r="AW70" i="6"/>
  <c r="AT70" i="6"/>
  <c r="F71" i="5"/>
  <c r="G71" i="5"/>
  <c r="J71" i="5"/>
  <c r="H71" i="5"/>
  <c r="C72" i="5"/>
  <c r="B71" i="6"/>
  <c r="AD71" i="5"/>
  <c r="N71" i="5"/>
  <c r="D71" i="6" s="1"/>
  <c r="B71" i="5"/>
  <c r="K71" i="5"/>
  <c r="AE71" i="5"/>
  <c r="D71" i="5"/>
  <c r="B71" i="12" s="1"/>
  <c r="E71" i="5"/>
  <c r="A71" i="12"/>
  <c r="C73" i="5" l="1"/>
  <c r="H71" i="6" a="1"/>
  <c r="H71" i="6" s="1"/>
  <c r="A71" i="6"/>
  <c r="N71" i="6" s="1"/>
  <c r="L71" i="12"/>
  <c r="J71" i="12"/>
  <c r="D72" i="5"/>
  <c r="B72" i="12" s="1"/>
  <c r="G72" i="5"/>
  <c r="K72" i="5"/>
  <c r="J72" i="5"/>
  <c r="E72" i="5"/>
  <c r="A72" i="12"/>
  <c r="B72" i="6"/>
  <c r="AD72" i="5"/>
  <c r="AE72" i="5"/>
  <c r="H72" i="5"/>
  <c r="N72" i="5"/>
  <c r="D72" i="6" s="1"/>
  <c r="B72" i="5"/>
  <c r="F72" i="5"/>
  <c r="G73" i="5" l="1"/>
  <c r="N73" i="5"/>
  <c r="D73" i="5"/>
  <c r="B73" i="12" s="1"/>
  <c r="E73" i="5"/>
  <c r="AE73" i="5"/>
  <c r="A73" i="12"/>
  <c r="J73" i="5"/>
  <c r="B73" i="5"/>
  <c r="B73" i="6"/>
  <c r="AD73" i="5"/>
  <c r="H73" i="5"/>
  <c r="F73" i="5"/>
  <c r="K73" i="5"/>
  <c r="C74" i="5"/>
  <c r="C75" i="5" s="1"/>
  <c r="A72" i="6"/>
  <c r="J72" i="12"/>
  <c r="L72" i="12"/>
  <c r="M71" i="6"/>
  <c r="AV71" i="6" s="1"/>
  <c r="H72" i="6" a="1"/>
  <c r="H72" i="6" s="1"/>
  <c r="T72" i="5" s="1"/>
  <c r="G72" i="12" s="1"/>
  <c r="T71" i="5"/>
  <c r="G71" i="12" s="1"/>
  <c r="K71" i="12"/>
  <c r="N75" i="5" l="1"/>
  <c r="A75" i="12"/>
  <c r="B75" i="6"/>
  <c r="D75" i="5"/>
  <c r="B75" i="12" s="1"/>
  <c r="K75" i="5"/>
  <c r="C76" i="5"/>
  <c r="AD75" i="5"/>
  <c r="J75" i="5"/>
  <c r="AE75" i="5"/>
  <c r="H74" i="5"/>
  <c r="H75" i="5" s="1"/>
  <c r="B74" i="5"/>
  <c r="B75" i="5" s="1"/>
  <c r="D73" i="6"/>
  <c r="A73" i="6" s="1"/>
  <c r="L73" i="12"/>
  <c r="J73" i="12"/>
  <c r="AE74" i="5"/>
  <c r="AD74" i="5"/>
  <c r="B74" i="6"/>
  <c r="N74" i="5"/>
  <c r="D74" i="6" s="1"/>
  <c r="H74" i="6" s="1" a="1"/>
  <c r="H74" i="6" s="1"/>
  <c r="D74" i="5"/>
  <c r="B74" i="12" s="1"/>
  <c r="A74" i="12"/>
  <c r="K74" i="5"/>
  <c r="J74" i="5"/>
  <c r="E74" i="5"/>
  <c r="E75" i="5" s="1"/>
  <c r="G74" i="5"/>
  <c r="G75" i="5" s="1"/>
  <c r="F74" i="5"/>
  <c r="F75" i="5" s="1"/>
  <c r="M72" i="6"/>
  <c r="CE72" i="6" s="1"/>
  <c r="N72" i="6"/>
  <c r="K72" i="12"/>
  <c r="AW71" i="6"/>
  <c r="AZ71" i="6"/>
  <c r="AU71" i="6"/>
  <c r="BA71" i="6"/>
  <c r="BT71" i="6"/>
  <c r="BH71" i="6"/>
  <c r="CI71" i="6"/>
  <c r="BO71" i="6"/>
  <c r="BW71" i="6"/>
  <c r="BE71" i="6"/>
  <c r="BF71" i="6"/>
  <c r="BN71" i="6"/>
  <c r="CE71" i="6"/>
  <c r="CB71" i="6"/>
  <c r="BL71" i="6"/>
  <c r="BS71" i="6"/>
  <c r="BC71" i="6"/>
  <c r="BD71" i="6"/>
  <c r="BR71" i="6"/>
  <c r="BJ71" i="6"/>
  <c r="CD71" i="6"/>
  <c r="CK71" i="6"/>
  <c r="BG71" i="6"/>
  <c r="CC71" i="6"/>
  <c r="BM71" i="6"/>
  <c r="CA71" i="6"/>
  <c r="BV71" i="6"/>
  <c r="BK71" i="6"/>
  <c r="BX71" i="6"/>
  <c r="BQ71" i="6"/>
  <c r="CF71" i="6"/>
  <c r="BI71" i="6"/>
  <c r="BP71" i="6"/>
  <c r="CJ71" i="6"/>
  <c r="BY71" i="6"/>
  <c r="CM71" i="6"/>
  <c r="CH71" i="6"/>
  <c r="CG71" i="6"/>
  <c r="BZ71" i="6"/>
  <c r="CL71" i="6"/>
  <c r="AR71" i="6"/>
  <c r="AY71" i="6"/>
  <c r="AT71" i="6"/>
  <c r="AS71" i="6"/>
  <c r="AX71" i="6"/>
  <c r="J75" i="12" l="1"/>
  <c r="L75" i="12"/>
  <c r="G76" i="5"/>
  <c r="E76" i="5"/>
  <c r="D76" i="5"/>
  <c r="B76" i="12" s="1"/>
  <c r="B76" i="6"/>
  <c r="AE76" i="5"/>
  <c r="A76" i="12"/>
  <c r="K76" i="5"/>
  <c r="J76" i="5"/>
  <c r="B76" i="5"/>
  <c r="AD76" i="5"/>
  <c r="H76" i="5"/>
  <c r="F76" i="5"/>
  <c r="N76" i="5"/>
  <c r="D75" i="6"/>
  <c r="A74" i="6"/>
  <c r="N74" i="6" s="1"/>
  <c r="K73" i="12"/>
  <c r="N73" i="6"/>
  <c r="M73" i="6"/>
  <c r="BL73" i="6" s="1"/>
  <c r="H73" i="6" a="1"/>
  <c r="H73" i="6" s="1"/>
  <c r="J74" i="12"/>
  <c r="L74" i="12"/>
  <c r="CB72" i="6"/>
  <c r="BY72" i="6"/>
  <c r="AV72" i="6"/>
  <c r="BC72" i="6"/>
  <c r="CL72" i="6"/>
  <c r="CH72" i="6"/>
  <c r="CG72" i="6"/>
  <c r="AR72" i="6"/>
  <c r="BZ72" i="6"/>
  <c r="AW72" i="6"/>
  <c r="CD72" i="6"/>
  <c r="BJ72" i="6"/>
  <c r="AS72" i="6"/>
  <c r="BP72" i="6"/>
  <c r="BH72" i="6"/>
  <c r="BI72" i="6"/>
  <c r="BW72" i="6"/>
  <c r="BE72" i="6"/>
  <c r="CM72" i="6"/>
  <c r="BO72" i="6"/>
  <c r="AY72" i="6"/>
  <c r="BV72" i="6"/>
  <c r="CI72" i="6"/>
  <c r="CC72" i="6"/>
  <c r="AZ72" i="6"/>
  <c r="AU72" i="6"/>
  <c r="BQ72" i="6"/>
  <c r="BG72" i="6"/>
  <c r="BX72" i="6"/>
  <c r="CF72" i="6"/>
  <c r="BD72" i="6"/>
  <c r="CJ72" i="6"/>
  <c r="BF72" i="6"/>
  <c r="BA72" i="6"/>
  <c r="CK72" i="6"/>
  <c r="BL72" i="6"/>
  <c r="BM72" i="6"/>
  <c r="BK72" i="6"/>
  <c r="BN72" i="6"/>
  <c r="AT72" i="6"/>
  <c r="AX72" i="6"/>
  <c r="BT72" i="6"/>
  <c r="BR72" i="6"/>
  <c r="BS72" i="6"/>
  <c r="CA72" i="6"/>
  <c r="T74" i="5"/>
  <c r="M74" i="6" l="1"/>
  <c r="AS74" i="6" s="1"/>
  <c r="K75" i="12"/>
  <c r="H75" i="6" a="1"/>
  <c r="H75" i="6" s="1"/>
  <c r="D76" i="6"/>
  <c r="L76" i="12"/>
  <c r="J76" i="12"/>
  <c r="A75" i="6"/>
  <c r="M75" i="6" s="1"/>
  <c r="CA73" i="6"/>
  <c r="BR73" i="6"/>
  <c r="BE73" i="6"/>
  <c r="BQ73" i="6"/>
  <c r="BV73" i="6"/>
  <c r="CI73" i="6"/>
  <c r="AP73" i="6"/>
  <c r="BC73" i="6"/>
  <c r="BG73" i="6"/>
  <c r="BT73" i="6"/>
  <c r="BK73" i="6"/>
  <c r="BZ73" i="6"/>
  <c r="CJ73" i="6"/>
  <c r="AY73" i="6"/>
  <c r="BP73" i="6"/>
  <c r="T73" i="5"/>
  <c r="AV73" i="6"/>
  <c r="AX73" i="6"/>
  <c r="BH73" i="6"/>
  <c r="CH73" i="6"/>
  <c r="BW73" i="6"/>
  <c r="CC73" i="6"/>
  <c r="AW73" i="6"/>
  <c r="CK73" i="6"/>
  <c r="AS73" i="6"/>
  <c r="BM73" i="6"/>
  <c r="BO73" i="6"/>
  <c r="BY73" i="6"/>
  <c r="BF73" i="6"/>
  <c r="AT73" i="6"/>
  <c r="BA73" i="6"/>
  <c r="BX73" i="6"/>
  <c r="CG73" i="6"/>
  <c r="BN73" i="6"/>
  <c r="BJ73" i="6"/>
  <c r="BS73" i="6"/>
  <c r="CD73" i="6"/>
  <c r="CF73" i="6"/>
  <c r="AO73" i="6"/>
  <c r="CM73" i="6"/>
  <c r="AU73" i="6"/>
  <c r="CB73" i="6"/>
  <c r="CL73" i="6"/>
  <c r="AZ73" i="6"/>
  <c r="CE73" i="6"/>
  <c r="BD73" i="6"/>
  <c r="K74" i="12"/>
  <c r="AQ73" i="6"/>
  <c r="BI73" i="6"/>
  <c r="AR73" i="6"/>
  <c r="G74" i="12"/>
  <c r="BK74" i="6" l="1"/>
  <c r="AY74" i="6"/>
  <c r="CF74" i="6"/>
  <c r="BG74" i="6"/>
  <c r="CJ74" i="6"/>
  <c r="CG74" i="6"/>
  <c r="CH74" i="6"/>
  <c r="BQ74" i="6"/>
  <c r="BT74" i="6"/>
  <c r="BI74" i="6"/>
  <c r="BC74" i="6"/>
  <c r="AR74" i="6"/>
  <c r="BM74" i="6"/>
  <c r="BW74" i="6"/>
  <c r="CI74" i="6"/>
  <c r="BE74" i="6"/>
  <c r="BP74" i="6"/>
  <c r="CA74" i="6"/>
  <c r="CB74" i="6"/>
  <c r="AV74" i="6"/>
  <c r="CD74" i="6"/>
  <c r="BF74" i="6"/>
  <c r="BA74" i="6"/>
  <c r="BD74" i="6"/>
  <c r="AZ74" i="6"/>
  <c r="CK74" i="6"/>
  <c r="BN74" i="6"/>
  <c r="BJ74" i="6"/>
  <c r="BY74" i="6"/>
  <c r="BX74" i="6"/>
  <c r="AU74" i="6"/>
  <c r="AW74" i="6"/>
  <c r="BO74" i="6"/>
  <c r="BZ74" i="6"/>
  <c r="BS74" i="6"/>
  <c r="AX74" i="6"/>
  <c r="BH74" i="6"/>
  <c r="BR74" i="6"/>
  <c r="CC74" i="6"/>
  <c r="CL74" i="6"/>
  <c r="AT74" i="6"/>
  <c r="BL74" i="6"/>
  <c r="BV74" i="6"/>
  <c r="CE74" i="6"/>
  <c r="CM74" i="6"/>
  <c r="K76" i="12"/>
  <c r="CM75" i="6"/>
  <c r="BT75" i="6"/>
  <c r="BP75" i="6"/>
  <c r="CE75" i="6"/>
  <c r="BD75" i="6"/>
  <c r="BH75" i="6"/>
  <c r="BW75" i="6"/>
  <c r="BL75" i="6"/>
  <c r="CG75" i="6"/>
  <c r="BE75" i="6"/>
  <c r="BN75" i="6"/>
  <c r="CJ75" i="6"/>
  <c r="CI75" i="6"/>
  <c r="CH75" i="6"/>
  <c r="CF75" i="6"/>
  <c r="CK75" i="6"/>
  <c r="BF75" i="6"/>
  <c r="CL75" i="6"/>
  <c r="BY75" i="6"/>
  <c r="CA75" i="6"/>
  <c r="BZ75" i="6"/>
  <c r="BX75" i="6"/>
  <c r="CD75" i="6"/>
  <c r="BR75" i="6"/>
  <c r="BQ75" i="6"/>
  <c r="BO75" i="6"/>
  <c r="BS75" i="6"/>
  <c r="BV75" i="6"/>
  <c r="CB75" i="6"/>
  <c r="BJ75" i="6"/>
  <c r="BI75" i="6"/>
  <c r="BG75" i="6"/>
  <c r="BC75" i="6"/>
  <c r="CC75" i="6"/>
  <c r="BM75" i="6"/>
  <c r="BK75" i="6"/>
  <c r="T75" i="5"/>
  <c r="AX75" i="6"/>
  <c r="AZ75" i="6"/>
  <c r="BA75" i="6"/>
  <c r="AO75" i="6"/>
  <c r="H76" i="6" a="1"/>
  <c r="H76" i="6" s="1"/>
  <c r="AY75" i="6"/>
  <c r="AW75" i="6"/>
  <c r="AU75" i="6"/>
  <c r="A76" i="6"/>
  <c r="M76" i="6" s="1"/>
  <c r="AT75" i="6"/>
  <c r="N75" i="6"/>
  <c r="AQ75" i="6"/>
  <c r="AP75" i="6"/>
  <c r="AR75" i="6"/>
  <c r="AS75" i="6"/>
  <c r="AV75" i="6"/>
  <c r="G73" i="12"/>
  <c r="AV76" i="6" l="1"/>
  <c r="CA76" i="6"/>
  <c r="BP76" i="6"/>
  <c r="CL76" i="6"/>
  <c r="AO76" i="6"/>
  <c r="BR76" i="6"/>
  <c r="CJ76" i="6"/>
  <c r="BJ76" i="6"/>
  <c r="CD76" i="6"/>
  <c r="BE76" i="6"/>
  <c r="CK76" i="6"/>
  <c r="BY76" i="6"/>
  <c r="BW76" i="6"/>
  <c r="BD76" i="6"/>
  <c r="CB76" i="6"/>
  <c r="CH76" i="6"/>
  <c r="BM76" i="6"/>
  <c r="CF76" i="6"/>
  <c r="CM76" i="6"/>
  <c r="CC76" i="6"/>
  <c r="BV76" i="6"/>
  <c r="AT76" i="6"/>
  <c r="AQ76" i="6"/>
  <c r="AX76" i="6"/>
  <c r="BS76" i="6"/>
  <c r="BZ76" i="6"/>
  <c r="BX76" i="6"/>
  <c r="CE76" i="6"/>
  <c r="BT76" i="6"/>
  <c r="AR76" i="6"/>
  <c r="BF76" i="6"/>
  <c r="BK76" i="6"/>
  <c r="BI76" i="6"/>
  <c r="CG76" i="6"/>
  <c r="BO76" i="6"/>
  <c r="BL76" i="6"/>
  <c r="BC76" i="6"/>
  <c r="AZ76" i="6"/>
  <c r="BQ76" i="6"/>
  <c r="AY76" i="6"/>
  <c r="BG76" i="6"/>
  <c r="BN76" i="6"/>
  <c r="AU76" i="6"/>
  <c r="CI76" i="6"/>
  <c r="BH76" i="6"/>
  <c r="AP76" i="6"/>
  <c r="AW76" i="6"/>
  <c r="N76" i="6"/>
  <c r="AS76" i="6"/>
  <c r="BA76" i="6"/>
  <c r="G75" i="12"/>
  <c r="T76" i="5"/>
  <c r="E21" i="12"/>
  <c r="F21" i="6"/>
  <c r="N24" i="6" s="1"/>
  <c r="G21" i="6"/>
  <c r="G76" i="12" l="1"/>
  <c r="N27" i="6"/>
  <c r="N29" i="6"/>
  <c r="W22" i="5"/>
  <c r="E22" i="12"/>
  <c r="F22" i="6"/>
  <c r="G22" i="6"/>
  <c r="N22" i="6"/>
  <c r="N21" i="6"/>
  <c r="E77" i="12" l="1"/>
  <c r="F77" i="6"/>
  <c r="N23" i="6"/>
  <c r="H22" i="12"/>
  <c r="AR18" i="6" l="1"/>
  <c r="AS18" i="6"/>
  <c r="J22" i="6" l="1" a="1"/>
  <c r="J22" i="6" s="1"/>
  <c r="J21" i="6" a="1"/>
  <c r="J21" i="6" s="1"/>
  <c r="I22" i="5" l="1"/>
  <c r="G33" i="8" l="1"/>
  <c r="C77" i="5" l="1"/>
  <c r="W25" i="5"/>
  <c r="E25" i="12"/>
  <c r="F25" i="6"/>
  <c r="G25" i="6"/>
  <c r="A77" i="12" l="1"/>
  <c r="N77" i="5"/>
  <c r="D77" i="6" s="1"/>
  <c r="B77" i="6"/>
  <c r="A77" i="6" s="1"/>
  <c r="C78" i="5"/>
  <c r="B77" i="5"/>
  <c r="W77" i="5"/>
  <c r="H77" i="12" s="1"/>
  <c r="F77" i="5"/>
  <c r="AD77" i="5"/>
  <c r="E77" i="5"/>
  <c r="G77" i="5"/>
  <c r="AE77" i="5"/>
  <c r="H77" i="5"/>
  <c r="H25" i="12"/>
  <c r="N25" i="6"/>
  <c r="N26" i="6"/>
  <c r="N28" i="6"/>
  <c r="H78" i="5" l="1"/>
  <c r="B78" i="5"/>
  <c r="G78" i="5"/>
  <c r="K78" i="5"/>
  <c r="J78" i="5"/>
  <c r="F78" i="5"/>
  <c r="C79" i="5"/>
  <c r="AE78" i="5"/>
  <c r="B78" i="6"/>
  <c r="AD78" i="5"/>
  <c r="N78" i="5"/>
  <c r="D78" i="6" s="1"/>
  <c r="A78" i="12"/>
  <c r="D78" i="5"/>
  <c r="B78" i="12" s="1"/>
  <c r="E78" i="5"/>
  <c r="G77" i="6"/>
  <c r="H77" i="6" a="1"/>
  <c r="H77" i="6" s="1"/>
  <c r="T77" i="5" s="1"/>
  <c r="G77" i="12" s="1"/>
  <c r="M77" i="6"/>
  <c r="CG77" i="6" s="1"/>
  <c r="N77" i="6"/>
  <c r="C80" i="5" l="1"/>
  <c r="B80" i="6" s="1"/>
  <c r="A78" i="6"/>
  <c r="N78" i="6" s="1"/>
  <c r="BX77" i="6"/>
  <c r="BR77" i="6"/>
  <c r="BS77" i="6"/>
  <c r="AW77" i="6"/>
  <c r="BH77" i="6"/>
  <c r="AL77" i="6"/>
  <c r="BP77" i="6"/>
  <c r="BT77" i="6"/>
  <c r="BF77" i="6"/>
  <c r="BA77" i="6"/>
  <c r="BK77" i="6"/>
  <c r="BW77" i="6"/>
  <c r="AS77" i="6"/>
  <c r="AY77" i="6"/>
  <c r="AK77" i="6"/>
  <c r="CK77" i="6"/>
  <c r="AV77" i="6"/>
  <c r="CF77" i="6"/>
  <c r="BM77" i="6"/>
  <c r="CD77" i="6"/>
  <c r="BL77" i="6"/>
  <c r="CJ77" i="6"/>
  <c r="BQ77" i="6"/>
  <c r="BO77" i="6"/>
  <c r="BD77" i="6"/>
  <c r="AJ77" i="6"/>
  <c r="J78" i="12"/>
  <c r="L78" i="12"/>
  <c r="AR77" i="6"/>
  <c r="CE77" i="6"/>
  <c r="CH77" i="6"/>
  <c r="AN77" i="6"/>
  <c r="CB77" i="6"/>
  <c r="BC77" i="6"/>
  <c r="H78" i="6" a="1"/>
  <c r="H78" i="6" s="1"/>
  <c r="T78" i="5" s="1"/>
  <c r="G78" i="12" s="1"/>
  <c r="AO77" i="6"/>
  <c r="BV77" i="6"/>
  <c r="AT77" i="6"/>
  <c r="CM77" i="6"/>
  <c r="BN77" i="6"/>
  <c r="BE77" i="6"/>
  <c r="BI77" i="6"/>
  <c r="CI77" i="6"/>
  <c r="AU77" i="6"/>
  <c r="AP77" i="6"/>
  <c r="AX77" i="6"/>
  <c r="BY77" i="6"/>
  <c r="AZ77" i="6"/>
  <c r="D79" i="5"/>
  <c r="B79" i="12" s="1"/>
  <c r="B79" i="6"/>
  <c r="B79" i="5"/>
  <c r="F79" i="5"/>
  <c r="K79" i="5"/>
  <c r="E79" i="5"/>
  <c r="J79" i="5"/>
  <c r="A79" i="12"/>
  <c r="AE79" i="5"/>
  <c r="G79" i="5"/>
  <c r="H79" i="5"/>
  <c r="AD79" i="5"/>
  <c r="N79" i="5"/>
  <c r="D79" i="6" s="1"/>
  <c r="CL77" i="6"/>
  <c r="AQ77" i="6"/>
  <c r="BZ77" i="6"/>
  <c r="CA77" i="6"/>
  <c r="BG77" i="6"/>
  <c r="AM77" i="6"/>
  <c r="BJ77" i="6"/>
  <c r="CC77" i="6"/>
  <c r="E80" i="5" l="1"/>
  <c r="F80" i="5"/>
  <c r="B80" i="5"/>
  <c r="G80" i="5"/>
  <c r="H80" i="5"/>
  <c r="A80" i="12"/>
  <c r="J80" i="12" s="1"/>
  <c r="AD80" i="5"/>
  <c r="J80" i="5"/>
  <c r="D80" i="5"/>
  <c r="B80" i="12" s="1"/>
  <c r="K80" i="5"/>
  <c r="C81" i="5"/>
  <c r="N80" i="5"/>
  <c r="D80" i="6" s="1"/>
  <c r="AE80" i="5"/>
  <c r="M78" i="6"/>
  <c r="CF78" i="6" s="1"/>
  <c r="A79" i="6"/>
  <c r="N79" i="6" s="1"/>
  <c r="L79" i="12"/>
  <c r="J79" i="12"/>
  <c r="H79" i="6" a="1"/>
  <c r="H79" i="6" s="1"/>
  <c r="T79" i="5" s="1"/>
  <c r="G79" i="12" s="1"/>
  <c r="K78" i="12"/>
  <c r="L80" i="12" l="1"/>
  <c r="K80" i="12" s="1"/>
  <c r="A81" i="12"/>
  <c r="J81" i="5"/>
  <c r="K81" i="5"/>
  <c r="B81" i="5"/>
  <c r="AE81" i="5"/>
  <c r="B81" i="6"/>
  <c r="AD81" i="5"/>
  <c r="H81" i="5"/>
  <c r="G81" i="5"/>
  <c r="F81" i="5"/>
  <c r="N81" i="5"/>
  <c r="E81" i="5"/>
  <c r="D81" i="5"/>
  <c r="B81" i="12" s="1"/>
  <c r="C82" i="5"/>
  <c r="A80" i="6"/>
  <c r="N80" i="6" s="1"/>
  <c r="H80" i="6" a="1"/>
  <c r="H80" i="6" s="1"/>
  <c r="BM78" i="6"/>
  <c r="BQ78" i="6"/>
  <c r="AS78" i="6"/>
  <c r="BC78" i="6"/>
  <c r="CL78" i="6"/>
  <c r="BP78" i="6"/>
  <c r="CE78" i="6"/>
  <c r="BJ78" i="6"/>
  <c r="CD78" i="6"/>
  <c r="AO78" i="6"/>
  <c r="BG78" i="6"/>
  <c r="BD78" i="6"/>
  <c r="CC78" i="6"/>
  <c r="BE78" i="6"/>
  <c r="BN78" i="6"/>
  <c r="BW78" i="6"/>
  <c r="AU78" i="6"/>
  <c r="AT78" i="6"/>
  <c r="AX78" i="6"/>
  <c r="BV78" i="6"/>
  <c r="AV78" i="6"/>
  <c r="BH78" i="6"/>
  <c r="BI78" i="6"/>
  <c r="CH78" i="6"/>
  <c r="BR78" i="6"/>
  <c r="AR78" i="6"/>
  <c r="CJ78" i="6"/>
  <c r="CG78" i="6"/>
  <c r="BT78" i="6"/>
  <c r="BY78" i="6"/>
  <c r="AQ78" i="6"/>
  <c r="BS78" i="6"/>
  <c r="BO78" i="6"/>
  <c r="AW78" i="6"/>
  <c r="BF78" i="6"/>
  <c r="BX78" i="6"/>
  <c r="BK78" i="6"/>
  <c r="CB78" i="6"/>
  <c r="CI78" i="6"/>
  <c r="CK78" i="6"/>
  <c r="BZ78" i="6"/>
  <c r="CA78" i="6"/>
  <c r="BA78" i="6"/>
  <c r="BL78" i="6"/>
  <c r="AP78" i="6"/>
  <c r="AZ78" i="6"/>
  <c r="AY78" i="6"/>
  <c r="CM78" i="6"/>
  <c r="M79" i="6"/>
  <c r="AP79" i="6" s="1"/>
  <c r="K79" i="12"/>
  <c r="G82" i="5" l="1"/>
  <c r="D82" i="5"/>
  <c r="B82" i="12" s="1"/>
  <c r="K82" i="5"/>
  <c r="N82" i="5"/>
  <c r="D82" i="6" s="1"/>
  <c r="H82" i="6" s="1" a="1"/>
  <c r="H82" i="6" s="1"/>
  <c r="T82" i="5" s="1"/>
  <c r="F82" i="5"/>
  <c r="A82" i="12"/>
  <c r="H82" i="5"/>
  <c r="J82" i="5"/>
  <c r="B82" i="5"/>
  <c r="C83" i="5" s="1"/>
  <c r="B82" i="6"/>
  <c r="E82" i="5"/>
  <c r="AD82" i="5"/>
  <c r="AE82" i="5"/>
  <c r="D81" i="6"/>
  <c r="J81" i="12"/>
  <c r="L81" i="12"/>
  <c r="M80" i="6"/>
  <c r="CH80" i="6" s="1"/>
  <c r="T80" i="5"/>
  <c r="CI79" i="6"/>
  <c r="BV79" i="6"/>
  <c r="CH79" i="6"/>
  <c r="CM79" i="6"/>
  <c r="BJ79" i="6"/>
  <c r="AT79" i="6"/>
  <c r="CG79" i="6"/>
  <c r="AW79" i="6"/>
  <c r="BM79" i="6"/>
  <c r="BS79" i="6"/>
  <c r="BC79" i="6"/>
  <c r="BI79" i="6"/>
  <c r="AV79" i="6"/>
  <c r="BP79" i="6"/>
  <c r="BL79" i="6"/>
  <c r="BF79" i="6"/>
  <c r="AY79" i="6"/>
  <c r="BT79" i="6"/>
  <c r="AQ79" i="6"/>
  <c r="BQ79" i="6"/>
  <c r="BD79" i="6"/>
  <c r="BA79" i="6"/>
  <c r="BR79" i="6"/>
  <c r="BG79" i="6"/>
  <c r="BW79" i="6"/>
  <c r="BN79" i="6"/>
  <c r="BZ79" i="6"/>
  <c r="AZ79" i="6"/>
  <c r="AS79" i="6"/>
  <c r="CC79" i="6"/>
  <c r="BO79" i="6"/>
  <c r="BE79" i="6"/>
  <c r="CB79" i="6"/>
  <c r="CE79" i="6"/>
  <c r="BX79" i="6"/>
  <c r="BY79" i="6"/>
  <c r="CL79" i="6"/>
  <c r="AX79" i="6"/>
  <c r="BH79" i="6"/>
  <c r="CA79" i="6"/>
  <c r="CK79" i="6"/>
  <c r="AU79" i="6"/>
  <c r="CF79" i="6"/>
  <c r="BK79" i="6"/>
  <c r="AR79" i="6"/>
  <c r="CJ79" i="6"/>
  <c r="AO79" i="6"/>
  <c r="CD79" i="6"/>
  <c r="E83" i="12" l="1"/>
  <c r="F83" i="6"/>
  <c r="K81" i="12"/>
  <c r="H81" i="6" a="1"/>
  <c r="H81" i="6" s="1"/>
  <c r="J82" i="12"/>
  <c r="L82" i="12"/>
  <c r="A81" i="6"/>
  <c r="M81" i="6" s="1"/>
  <c r="A83" i="12"/>
  <c r="H83" i="5"/>
  <c r="AD83" i="5"/>
  <c r="I83" i="5"/>
  <c r="C84" i="5"/>
  <c r="N83" i="5"/>
  <c r="D83" i="6" s="1"/>
  <c r="W83" i="5"/>
  <c r="H83" i="12" s="1"/>
  <c r="B83" i="6"/>
  <c r="G83" i="5"/>
  <c r="AE83" i="5"/>
  <c r="E83" i="5"/>
  <c r="B83" i="5"/>
  <c r="F83" i="5"/>
  <c r="K77" i="5" s="1"/>
  <c r="CB80" i="6"/>
  <c r="CE80" i="6"/>
  <c r="BQ80" i="6"/>
  <c r="BY80" i="6"/>
  <c r="BR80" i="6"/>
  <c r="CJ80" i="6"/>
  <c r="AY80" i="6"/>
  <c r="CI80" i="6"/>
  <c r="BN80" i="6"/>
  <c r="CM80" i="6"/>
  <c r="AR80" i="6"/>
  <c r="BZ80" i="6"/>
  <c r="CA80" i="6"/>
  <c r="BW80" i="6"/>
  <c r="AZ80" i="6"/>
  <c r="AU80" i="6"/>
  <c r="BI80" i="6"/>
  <c r="AQ80" i="6"/>
  <c r="AT80" i="6"/>
  <c r="AP80" i="6"/>
  <c r="AS80" i="6"/>
  <c r="AO80" i="6"/>
  <c r="BP80" i="6"/>
  <c r="BH80" i="6"/>
  <c r="AX80" i="6"/>
  <c r="BD80" i="6"/>
  <c r="AW80" i="6"/>
  <c r="CG80" i="6"/>
  <c r="BX80" i="6"/>
  <c r="BO80" i="6"/>
  <c r="BG80" i="6"/>
  <c r="BL80" i="6"/>
  <c r="BC80" i="6"/>
  <c r="CF80" i="6"/>
  <c r="BV80" i="6"/>
  <c r="BE80" i="6"/>
  <c r="BT80" i="6"/>
  <c r="BK80" i="6"/>
  <c r="BA80" i="6"/>
  <c r="BM80" i="6"/>
  <c r="CD80" i="6"/>
  <c r="CK80" i="6"/>
  <c r="CC80" i="6"/>
  <c r="BS80" i="6"/>
  <c r="BJ80" i="6"/>
  <c r="BF80" i="6"/>
  <c r="CL80" i="6"/>
  <c r="AV80" i="6"/>
  <c r="G80" i="12"/>
  <c r="G82" i="12"/>
  <c r="J25" i="6" a="1"/>
  <c r="J25" i="6" s="1"/>
  <c r="K82" i="12" l="1"/>
  <c r="CK81" i="6"/>
  <c r="BZ81" i="6"/>
  <c r="BP81" i="6"/>
  <c r="BF81" i="6"/>
  <c r="CC81" i="6"/>
  <c r="BQ81" i="6"/>
  <c r="BH81" i="6"/>
  <c r="CF81" i="6"/>
  <c r="BT81" i="6"/>
  <c r="BI81" i="6"/>
  <c r="CJ81" i="6"/>
  <c r="CI81" i="6"/>
  <c r="BL81" i="6"/>
  <c r="BX81" i="6"/>
  <c r="CL81" i="6"/>
  <c r="CB81" i="6"/>
  <c r="CA81" i="6"/>
  <c r="BD81" i="6"/>
  <c r="CM81" i="6"/>
  <c r="CD81" i="6"/>
  <c r="BS81" i="6"/>
  <c r="BR81" i="6"/>
  <c r="BO81" i="6"/>
  <c r="CE81" i="6"/>
  <c r="BV81" i="6"/>
  <c r="BK81" i="6"/>
  <c r="BJ81" i="6"/>
  <c r="CG81" i="6"/>
  <c r="BG81" i="6"/>
  <c r="BW81" i="6"/>
  <c r="BM81" i="6"/>
  <c r="BC81" i="6"/>
  <c r="BA81" i="6"/>
  <c r="CH81" i="6"/>
  <c r="BY81" i="6"/>
  <c r="BN81" i="6"/>
  <c r="BE81" i="6"/>
  <c r="AY81" i="6"/>
  <c r="AS81" i="6"/>
  <c r="AT81" i="6"/>
  <c r="AX81" i="6"/>
  <c r="A83" i="6"/>
  <c r="J83" i="6" a="1"/>
  <c r="J83" i="6" s="1"/>
  <c r="AU81" i="6"/>
  <c r="A82" i="6"/>
  <c r="N81" i="6"/>
  <c r="AR81" i="6"/>
  <c r="M83" i="6"/>
  <c r="H83" i="6" a="1"/>
  <c r="H83" i="6" s="1"/>
  <c r="G83" i="6"/>
  <c r="N83" i="6"/>
  <c r="AQ81" i="6"/>
  <c r="AZ81" i="6"/>
  <c r="K84" i="5"/>
  <c r="D84" i="5"/>
  <c r="B84" i="12" s="1"/>
  <c r="E84" i="5"/>
  <c r="J84" i="5"/>
  <c r="B84" i="6"/>
  <c r="B84" i="5"/>
  <c r="F84" i="5"/>
  <c r="AD84" i="5"/>
  <c r="AE84" i="5"/>
  <c r="G84" i="5"/>
  <c r="N84" i="5"/>
  <c r="D84" i="6" s="1"/>
  <c r="H84" i="6" s="1" a="1"/>
  <c r="H84" i="6" s="1"/>
  <c r="T84" i="5" s="1"/>
  <c r="G84" i="12" s="1"/>
  <c r="A84" i="12"/>
  <c r="H84" i="5"/>
  <c r="C85" i="5"/>
  <c r="AO81" i="6"/>
  <c r="AP81" i="6"/>
  <c r="T81" i="5"/>
  <c r="AW81" i="6"/>
  <c r="AV81" i="6"/>
  <c r="A84" i="6" l="1"/>
  <c r="N84" i="6" s="1"/>
  <c r="G81" i="12"/>
  <c r="N82" i="6"/>
  <c r="M82" i="6"/>
  <c r="A85" i="12"/>
  <c r="H85" i="5"/>
  <c r="J85" i="5"/>
  <c r="AE85" i="5"/>
  <c r="AD85" i="5"/>
  <c r="N85" i="5"/>
  <c r="D85" i="6" s="1"/>
  <c r="H85" i="6" s="1" a="1"/>
  <c r="H85" i="6" s="1"/>
  <c r="T85" i="5" s="1"/>
  <c r="G85" i="12" s="1"/>
  <c r="B85" i="6"/>
  <c r="F85" i="5"/>
  <c r="E85" i="5"/>
  <c r="B85" i="5"/>
  <c r="C86" i="5" s="1"/>
  <c r="G85" i="5"/>
  <c r="K85" i="5"/>
  <c r="D85" i="5"/>
  <c r="B85" i="12" s="1"/>
  <c r="J84" i="12"/>
  <c r="L84" i="12"/>
  <c r="T83" i="5"/>
  <c r="G83" i="12" s="1"/>
  <c r="AX83" i="6"/>
  <c r="AM83" i="6"/>
  <c r="AT83" i="6"/>
  <c r="AU83" i="6"/>
  <c r="AY83" i="6"/>
  <c r="AK83" i="6"/>
  <c r="AS83" i="6"/>
  <c r="AP83" i="6"/>
  <c r="BA83" i="6"/>
  <c r="AO83" i="6"/>
  <c r="AJ83" i="6"/>
  <c r="AN83" i="6"/>
  <c r="AW83" i="6"/>
  <c r="AZ83" i="6"/>
  <c r="AQ83" i="6"/>
  <c r="AV83" i="6"/>
  <c r="AR83" i="6"/>
  <c r="AL83" i="6"/>
  <c r="BL83" i="6"/>
  <c r="BP83" i="6"/>
  <c r="BQ83" i="6"/>
  <c r="CH83" i="6"/>
  <c r="BZ83" i="6"/>
  <c r="BK83" i="6"/>
  <c r="CE83" i="6"/>
  <c r="CC83" i="6"/>
  <c r="BM83" i="6"/>
  <c r="CD83" i="6"/>
  <c r="BO83" i="6"/>
  <c r="BR83" i="6"/>
  <c r="BG83" i="6"/>
  <c r="CF83" i="6"/>
  <c r="CK83" i="6"/>
  <c r="BJ83" i="6"/>
  <c r="BC83" i="6"/>
  <c r="CB83" i="6"/>
  <c r="BD83" i="6"/>
  <c r="BF83" i="6"/>
  <c r="BH83" i="6"/>
  <c r="BT83" i="6"/>
  <c r="CJ83" i="6"/>
  <c r="CL83" i="6"/>
  <c r="BV83" i="6"/>
  <c r="BS83" i="6"/>
  <c r="CM83" i="6"/>
  <c r="BY83" i="6"/>
  <c r="CA83" i="6"/>
  <c r="CI83" i="6"/>
  <c r="CG83" i="6"/>
  <c r="BX83" i="6"/>
  <c r="BE83" i="6"/>
  <c r="BW83" i="6"/>
  <c r="BN83" i="6"/>
  <c r="BI83" i="6"/>
  <c r="I25" i="5"/>
  <c r="B86" i="5" l="1"/>
  <c r="W86" i="5"/>
  <c r="H86" i="12" s="1"/>
  <c r="N86" i="5"/>
  <c r="D86" i="6" s="1"/>
  <c r="C87" i="5"/>
  <c r="AD86" i="5"/>
  <c r="A86" i="12"/>
  <c r="AE86" i="5"/>
  <c r="B86" i="6"/>
  <c r="F86" i="5"/>
  <c r="G86" i="5"/>
  <c r="H86" i="5"/>
  <c r="E86" i="5"/>
  <c r="J85" i="12"/>
  <c r="L85" i="12"/>
  <c r="BE82" i="6"/>
  <c r="BZ82" i="6"/>
  <c r="BP82" i="6"/>
  <c r="AV82" i="6"/>
  <c r="BT82" i="6"/>
  <c r="BG82" i="6"/>
  <c r="AT82" i="6"/>
  <c r="BJ82" i="6"/>
  <c r="CK82" i="6"/>
  <c r="BA82" i="6"/>
  <c r="CC82" i="6"/>
  <c r="CI82" i="6"/>
  <c r="AS82" i="6"/>
  <c r="BC82" i="6"/>
  <c r="CL82" i="6"/>
  <c r="CA82" i="6"/>
  <c r="AW82" i="6"/>
  <c r="BV82" i="6"/>
  <c r="CD82" i="6"/>
  <c r="CE82" i="6"/>
  <c r="BO82" i="6"/>
  <c r="BN82" i="6"/>
  <c r="AZ82" i="6"/>
  <c r="BW82" i="6"/>
  <c r="BI82" i="6"/>
  <c r="BH82" i="6"/>
  <c r="BX82" i="6"/>
  <c r="AO82" i="6"/>
  <c r="CM82" i="6"/>
  <c r="CF82" i="6"/>
  <c r="AY82" i="6"/>
  <c r="BQ82" i="6"/>
  <c r="BK82" i="6"/>
  <c r="CG82" i="6"/>
  <c r="BR82" i="6"/>
  <c r="BS82" i="6"/>
  <c r="AQ82" i="6"/>
  <c r="CJ82" i="6"/>
  <c r="CH82" i="6"/>
  <c r="BY82" i="6"/>
  <c r="BM82" i="6"/>
  <c r="CB82" i="6"/>
  <c r="BL82" i="6"/>
  <c r="AX82" i="6"/>
  <c r="AR82" i="6"/>
  <c r="BD82" i="6"/>
  <c r="AU82" i="6"/>
  <c r="BF82" i="6"/>
  <c r="AP82" i="6"/>
  <c r="M84" i="6"/>
  <c r="K84" i="12"/>
  <c r="A85" i="6"/>
  <c r="B87" i="5" l="1"/>
  <c r="N87" i="5"/>
  <c r="D87" i="6" s="1"/>
  <c r="J87" i="5"/>
  <c r="F87" i="5"/>
  <c r="AE87" i="5"/>
  <c r="G87" i="5"/>
  <c r="E87" i="5"/>
  <c r="B87" i="6"/>
  <c r="C88" i="5"/>
  <c r="K87" i="5"/>
  <c r="D87" i="5"/>
  <c r="B87" i="12" s="1"/>
  <c r="H87" i="5"/>
  <c r="A87" i="12"/>
  <c r="L87" i="12" s="1"/>
  <c r="A86" i="6"/>
  <c r="AD87" i="5"/>
  <c r="M86" i="6"/>
  <c r="CM86" i="6" s="1"/>
  <c r="H86" i="6" a="1"/>
  <c r="H86" i="6" s="1"/>
  <c r="N86" i="6"/>
  <c r="K85" i="12"/>
  <c r="N85" i="6"/>
  <c r="M85" i="6"/>
  <c r="AX84" i="6"/>
  <c r="BK84" i="6"/>
  <c r="BS84" i="6"/>
  <c r="BP84" i="6"/>
  <c r="CC84" i="6"/>
  <c r="CG84" i="6"/>
  <c r="AT84" i="6"/>
  <c r="BX84" i="6"/>
  <c r="BR84" i="6"/>
  <c r="BQ84" i="6"/>
  <c r="BH84" i="6"/>
  <c r="BI84" i="6"/>
  <c r="CE84" i="6"/>
  <c r="CL84" i="6"/>
  <c r="CJ84" i="6"/>
  <c r="BV84" i="6"/>
  <c r="BW84" i="6"/>
  <c r="BJ84" i="6"/>
  <c r="CB84" i="6"/>
  <c r="AU84" i="6"/>
  <c r="AY84" i="6"/>
  <c r="BO84" i="6"/>
  <c r="BE84" i="6"/>
  <c r="CH84" i="6"/>
  <c r="BF84" i="6"/>
  <c r="BZ84" i="6"/>
  <c r="CF84" i="6"/>
  <c r="BA84" i="6"/>
  <c r="AR84" i="6"/>
  <c r="AV84" i="6"/>
  <c r="AZ84" i="6"/>
  <c r="CI84" i="6"/>
  <c r="CA84" i="6"/>
  <c r="BT84" i="6"/>
  <c r="AW84" i="6"/>
  <c r="CD84" i="6"/>
  <c r="CK84" i="6"/>
  <c r="BM84" i="6"/>
  <c r="BG84" i="6"/>
  <c r="CM84" i="6"/>
  <c r="BY84" i="6"/>
  <c r="BL84" i="6"/>
  <c r="BN84" i="6"/>
  <c r="AS84" i="6"/>
  <c r="BD84" i="6"/>
  <c r="BC84" i="6"/>
  <c r="K70" i="5"/>
  <c r="AR86" i="6" l="1"/>
  <c r="J87" i="12"/>
  <c r="K87" i="12" s="1"/>
  <c r="AZ86" i="6"/>
  <c r="C89" i="5"/>
  <c r="A88" i="12"/>
  <c r="F88" i="5"/>
  <c r="AD88" i="5"/>
  <c r="E88" i="5"/>
  <c r="N88" i="5"/>
  <c r="D88" i="5"/>
  <c r="B88" i="12" s="1"/>
  <c r="J88" i="5"/>
  <c r="AE88" i="5"/>
  <c r="H88" i="5"/>
  <c r="G88" i="5"/>
  <c r="B88" i="5"/>
  <c r="B88" i="6"/>
  <c r="K88" i="5"/>
  <c r="AK86" i="6"/>
  <c r="AP86" i="6"/>
  <c r="H87" i="6" a="1"/>
  <c r="H87" i="6" s="1"/>
  <c r="BQ86" i="6"/>
  <c r="BA86" i="6"/>
  <c r="AT86" i="6"/>
  <c r="CF86" i="6"/>
  <c r="AX86" i="6"/>
  <c r="CL86" i="6"/>
  <c r="AY86" i="6"/>
  <c r="BZ86" i="6"/>
  <c r="BJ86" i="6"/>
  <c r="BC86" i="6"/>
  <c r="AM86" i="6"/>
  <c r="BP86" i="6"/>
  <c r="AO86" i="6"/>
  <c r="A87" i="6"/>
  <c r="M87" i="6" s="1"/>
  <c r="BH86" i="6"/>
  <c r="CH86" i="6"/>
  <c r="BR86" i="6"/>
  <c r="BK86" i="6"/>
  <c r="AU86" i="6"/>
  <c r="AN86" i="6"/>
  <c r="AW86" i="6"/>
  <c r="CG86" i="6"/>
  <c r="BO86" i="6"/>
  <c r="CA86" i="6"/>
  <c r="BS86" i="6"/>
  <c r="BD86" i="6"/>
  <c r="AV86" i="6"/>
  <c r="BF86" i="6"/>
  <c r="AJ86" i="6"/>
  <c r="AQ86" i="6"/>
  <c r="CI86" i="6"/>
  <c r="CB86" i="6"/>
  <c r="BL86" i="6"/>
  <c r="BE86" i="6"/>
  <c r="BN86" i="6"/>
  <c r="BY86" i="6"/>
  <c r="CJ86" i="6"/>
  <c r="BT86" i="6"/>
  <c r="BM86" i="6"/>
  <c r="BW86" i="6"/>
  <c r="T86" i="5"/>
  <c r="CC86" i="6"/>
  <c r="BV86" i="6"/>
  <c r="CE86" i="6"/>
  <c r="BX86" i="6"/>
  <c r="BI86" i="6"/>
  <c r="AS86" i="6"/>
  <c r="AL86" i="6"/>
  <c r="BG86" i="6"/>
  <c r="CK86" i="6"/>
  <c r="CD86" i="6"/>
  <c r="AU85" i="6"/>
  <c r="CK85" i="6"/>
  <c r="BS85" i="6"/>
  <c r="AX85" i="6"/>
  <c r="CL85" i="6"/>
  <c r="BA85" i="6"/>
  <c r="BK85" i="6"/>
  <c r="BO85" i="6"/>
  <c r="CF85" i="6"/>
  <c r="CG85" i="6"/>
  <c r="AV85" i="6"/>
  <c r="AP85" i="6"/>
  <c r="BX85" i="6"/>
  <c r="BN85" i="6"/>
  <c r="CJ85" i="6"/>
  <c r="CM85" i="6"/>
  <c r="BZ85" i="6"/>
  <c r="BG85" i="6"/>
  <c r="AR85" i="6"/>
  <c r="AQ85" i="6"/>
  <c r="CE85" i="6"/>
  <c r="CH85" i="6"/>
  <c r="CI85" i="6"/>
  <c r="BT85" i="6"/>
  <c r="AY85" i="6"/>
  <c r="AZ85" i="6"/>
  <c r="BV85" i="6"/>
  <c r="CC85" i="6"/>
  <c r="CA85" i="6"/>
  <c r="BI85" i="6"/>
  <c r="AO85" i="6"/>
  <c r="BR85" i="6"/>
  <c r="BD85" i="6"/>
  <c r="BF85" i="6"/>
  <c r="AT85" i="6"/>
  <c r="BM85" i="6"/>
  <c r="AS85" i="6"/>
  <c r="BH85" i="6"/>
  <c r="CB85" i="6"/>
  <c r="BP85" i="6"/>
  <c r="AW85" i="6"/>
  <c r="BJ85" i="6"/>
  <c r="BW85" i="6"/>
  <c r="BQ85" i="6"/>
  <c r="BE85" i="6"/>
  <c r="CD85" i="6"/>
  <c r="BY85" i="6"/>
  <c r="BC85" i="6"/>
  <c r="BL85" i="6"/>
  <c r="L88" i="12" l="1"/>
  <c r="J88" i="12"/>
  <c r="D88" i="6"/>
  <c r="A88" i="6" s="1"/>
  <c r="B89" i="6"/>
  <c r="K89" i="5"/>
  <c r="A89" i="12"/>
  <c r="AD89" i="5"/>
  <c r="D89" i="5"/>
  <c r="B89" i="12" s="1"/>
  <c r="C90" i="5"/>
  <c r="N89" i="5"/>
  <c r="B89" i="5"/>
  <c r="H89" i="5"/>
  <c r="AE89" i="5"/>
  <c r="G89" i="5"/>
  <c r="F89" i="5"/>
  <c r="E89" i="5"/>
  <c r="J89" i="5"/>
  <c r="CJ87" i="6"/>
  <c r="AO87" i="6"/>
  <c r="BT87" i="6"/>
  <c r="G86" i="12"/>
  <c r="AR87" i="6"/>
  <c r="T87" i="5"/>
  <c r="CK87" i="6"/>
  <c r="AW87" i="6"/>
  <c r="AP87" i="6"/>
  <c r="AQ87" i="6"/>
  <c r="AZ87" i="6"/>
  <c r="BF87" i="6"/>
  <c r="AX87" i="6"/>
  <c r="AY87" i="6"/>
  <c r="BI87" i="6"/>
  <c r="AS87" i="6"/>
  <c r="AT87" i="6"/>
  <c r="AV87" i="6"/>
  <c r="BN87" i="6"/>
  <c r="BG87" i="6"/>
  <c r="BH87" i="6"/>
  <c r="BQ87" i="6"/>
  <c r="BA87" i="6"/>
  <c r="BC87" i="6"/>
  <c r="BE87" i="6"/>
  <c r="BW87" i="6"/>
  <c r="BO87" i="6"/>
  <c r="BP87" i="6"/>
  <c r="BZ87" i="6"/>
  <c r="BJ87" i="6"/>
  <c r="BK87" i="6"/>
  <c r="BM87" i="6"/>
  <c r="CE87" i="6"/>
  <c r="BX87" i="6"/>
  <c r="BY87" i="6"/>
  <c r="CH87" i="6"/>
  <c r="BR87" i="6"/>
  <c r="BS87" i="6"/>
  <c r="BV87" i="6"/>
  <c r="CM87" i="6"/>
  <c r="CF87" i="6"/>
  <c r="CG87" i="6"/>
  <c r="AU87" i="6"/>
  <c r="CA87" i="6"/>
  <c r="CB87" i="6"/>
  <c r="BL87" i="6"/>
  <c r="CD87" i="6"/>
  <c r="CC87" i="6"/>
  <c r="BD87" i="6"/>
  <c r="CL87" i="6"/>
  <c r="CI87" i="6"/>
  <c r="J56" i="5"/>
  <c r="K56" i="5"/>
  <c r="K88" i="12" l="1"/>
  <c r="L89" i="12"/>
  <c r="J89" i="12"/>
  <c r="D89" i="6"/>
  <c r="A89" i="6" s="1"/>
  <c r="N90" i="5"/>
  <c r="E90" i="5"/>
  <c r="B90" i="6"/>
  <c r="A90" i="12"/>
  <c r="AE90" i="5"/>
  <c r="G90" i="5"/>
  <c r="D90" i="5"/>
  <c r="B90" i="12" s="1"/>
  <c r="AD90" i="5"/>
  <c r="C91" i="5"/>
  <c r="B90" i="5"/>
  <c r="K90" i="5"/>
  <c r="J90" i="5"/>
  <c r="H90" i="5"/>
  <c r="F90" i="5"/>
  <c r="H88" i="6" a="1"/>
  <c r="H88" i="6" s="1"/>
  <c r="M88" i="6"/>
  <c r="BY88" i="6" s="1"/>
  <c r="G87" i="12"/>
  <c r="D56" i="5"/>
  <c r="B56" i="12" s="1"/>
  <c r="BA88" i="6" l="1"/>
  <c r="BG88" i="6"/>
  <c r="BF88" i="6"/>
  <c r="BJ88" i="6"/>
  <c r="AP88" i="6"/>
  <c r="BZ88" i="6"/>
  <c r="CB88" i="6"/>
  <c r="CG88" i="6"/>
  <c r="CA88" i="6"/>
  <c r="CM88" i="6"/>
  <c r="AW88" i="6"/>
  <c r="BV88" i="6"/>
  <c r="CK88" i="6"/>
  <c r="CJ88" i="6"/>
  <c r="CC88" i="6"/>
  <c r="BI88" i="6"/>
  <c r="CF88" i="6"/>
  <c r="BM88" i="6"/>
  <c r="T88" i="5"/>
  <c r="H89" i="6" a="1"/>
  <c r="H89" i="6" s="1"/>
  <c r="M89" i="6"/>
  <c r="BM89" i="6" s="1"/>
  <c r="BO88" i="6"/>
  <c r="BT88" i="6"/>
  <c r="AO88" i="6"/>
  <c r="BX88" i="6"/>
  <c r="AQ88" i="6"/>
  <c r="CD88" i="6"/>
  <c r="CE88" i="6"/>
  <c r="AZ88" i="6"/>
  <c r="CI88" i="6"/>
  <c r="AT88" i="6"/>
  <c r="AY88" i="6"/>
  <c r="J90" i="12"/>
  <c r="L90" i="12"/>
  <c r="AU88" i="6"/>
  <c r="BQ88" i="6"/>
  <c r="BL88" i="6"/>
  <c r="AR88" i="6"/>
  <c r="BC88" i="6"/>
  <c r="BH88" i="6"/>
  <c r="A91" i="12"/>
  <c r="G91" i="5"/>
  <c r="B91" i="6"/>
  <c r="N91" i="5"/>
  <c r="D91" i="5"/>
  <c r="B91" i="12" s="1"/>
  <c r="F91" i="5"/>
  <c r="E91" i="5"/>
  <c r="AE91" i="5"/>
  <c r="C92" i="5"/>
  <c r="K91" i="5"/>
  <c r="J91" i="5"/>
  <c r="AD91" i="5"/>
  <c r="H91" i="5"/>
  <c r="B91" i="5"/>
  <c r="CL88" i="6"/>
  <c r="AS88" i="6"/>
  <c r="BW88" i="6"/>
  <c r="BD88" i="6"/>
  <c r="BK88" i="6"/>
  <c r="BP88" i="6"/>
  <c r="K89" i="12"/>
  <c r="AV88" i="6"/>
  <c r="BE88" i="6"/>
  <c r="BR88" i="6"/>
  <c r="AX88" i="6"/>
  <c r="CH88" i="6"/>
  <c r="BN88" i="6"/>
  <c r="BS88" i="6"/>
  <c r="D90" i="6"/>
  <c r="AQ89" i="6" l="1"/>
  <c r="H90" i="6" a="1"/>
  <c r="H90" i="6" s="1"/>
  <c r="A90" i="6"/>
  <c r="M90" i="6" s="1"/>
  <c r="AP89" i="6"/>
  <c r="CK89" i="6"/>
  <c r="AU89" i="6"/>
  <c r="CE89" i="6"/>
  <c r="AO89" i="6"/>
  <c r="BH89" i="6"/>
  <c r="BV89" i="6"/>
  <c r="AS89" i="6"/>
  <c r="BA89" i="6"/>
  <c r="BG89" i="6"/>
  <c r="AZ89" i="6"/>
  <c r="BP89" i="6"/>
  <c r="CD89" i="6"/>
  <c r="D91" i="6"/>
  <c r="BN89" i="6"/>
  <c r="CA89" i="6"/>
  <c r="AT89" i="6"/>
  <c r="BR89" i="6"/>
  <c r="BK89" i="6"/>
  <c r="BY89" i="6"/>
  <c r="CL89" i="6"/>
  <c r="BO89" i="6"/>
  <c r="BC89" i="6"/>
  <c r="BF89" i="6"/>
  <c r="CC89" i="6"/>
  <c r="AX89" i="6"/>
  <c r="BW89" i="6"/>
  <c r="CG89" i="6"/>
  <c r="C93" i="5"/>
  <c r="AE92" i="5"/>
  <c r="A92" i="12"/>
  <c r="D92" i="5"/>
  <c r="B92" i="12" s="1"/>
  <c r="B92" i="6"/>
  <c r="N92" i="5"/>
  <c r="B92" i="5"/>
  <c r="H92" i="5"/>
  <c r="G92" i="5"/>
  <c r="F92" i="5"/>
  <c r="K92" i="5"/>
  <c r="E92" i="5"/>
  <c r="AD92" i="5"/>
  <c r="J92" i="5"/>
  <c r="BX89" i="6"/>
  <c r="CI89" i="6"/>
  <c r="BQ89" i="6"/>
  <c r="BJ89" i="6"/>
  <c r="CH89" i="6"/>
  <c r="G88" i="12"/>
  <c r="BZ89" i="6"/>
  <c r="BD89" i="6"/>
  <c r="CB89" i="6"/>
  <c r="AW89" i="6"/>
  <c r="BT89" i="6"/>
  <c r="AV89" i="6"/>
  <c r="CJ89" i="6"/>
  <c r="CM89" i="6"/>
  <c r="BI89" i="6"/>
  <c r="CF89" i="6"/>
  <c r="BE89" i="6"/>
  <c r="L91" i="12"/>
  <c r="J91" i="12"/>
  <c r="K90" i="12"/>
  <c r="AR89" i="6"/>
  <c r="BL89" i="6"/>
  <c r="BS89" i="6"/>
  <c r="T89" i="5"/>
  <c r="AY89" i="6"/>
  <c r="A91" i="6" l="1"/>
  <c r="M91" i="6" s="1"/>
  <c r="BL91" i="6" s="1"/>
  <c r="CG90" i="6"/>
  <c r="CC90" i="6"/>
  <c r="BF90" i="6"/>
  <c r="CH90" i="6"/>
  <c r="BI90" i="6"/>
  <c r="CI90" i="6"/>
  <c r="CL90" i="6"/>
  <c r="BW90" i="6"/>
  <c r="BQ90" i="6"/>
  <c r="CJ90" i="6"/>
  <c r="CA90" i="6"/>
  <c r="CD90" i="6"/>
  <c r="BK90" i="6"/>
  <c r="BG90" i="6"/>
  <c r="BY90" i="6"/>
  <c r="CF90" i="6"/>
  <c r="BR90" i="6"/>
  <c r="BV90" i="6"/>
  <c r="CE90" i="6"/>
  <c r="CK90" i="6"/>
  <c r="BN90" i="6"/>
  <c r="BJ90" i="6"/>
  <c r="BM90" i="6"/>
  <c r="BS90" i="6"/>
  <c r="BZ90" i="6"/>
  <c r="BC90" i="6"/>
  <c r="BE90" i="6"/>
  <c r="BH90" i="6"/>
  <c r="CM90" i="6"/>
  <c r="BO90" i="6"/>
  <c r="CB90" i="6"/>
  <c r="BD90" i="6"/>
  <c r="BX90" i="6"/>
  <c r="BT90" i="6"/>
  <c r="BP90" i="6"/>
  <c r="BL90" i="6"/>
  <c r="AS90" i="6"/>
  <c r="AY90" i="6"/>
  <c r="AR90" i="6"/>
  <c r="J92" i="12"/>
  <c r="L92" i="12"/>
  <c r="AW90" i="6"/>
  <c r="AV90" i="6"/>
  <c r="T90" i="5"/>
  <c r="AQ90" i="6"/>
  <c r="BA90" i="6"/>
  <c r="AO90" i="6"/>
  <c r="K93" i="5"/>
  <c r="A93" i="12"/>
  <c r="F93" i="5"/>
  <c r="H93" i="5"/>
  <c r="B93" i="6"/>
  <c r="AE93" i="5"/>
  <c r="D93" i="5"/>
  <c r="B93" i="12" s="1"/>
  <c r="E93" i="5"/>
  <c r="B93" i="5"/>
  <c r="AD93" i="5"/>
  <c r="N93" i="5"/>
  <c r="J93" i="5"/>
  <c r="G93" i="5"/>
  <c r="C94" i="5"/>
  <c r="C95" i="5" s="1"/>
  <c r="AP90" i="6"/>
  <c r="AU90" i="6"/>
  <c r="G89" i="12"/>
  <c r="D92" i="6"/>
  <c r="H91" i="6" a="1"/>
  <c r="H91" i="6" s="1"/>
  <c r="K91" i="12"/>
  <c r="AZ90" i="6"/>
  <c r="AX90" i="6"/>
  <c r="AT90" i="6"/>
  <c r="J95" i="5" l="1"/>
  <c r="N95" i="5"/>
  <c r="AD95" i="5"/>
  <c r="AE95" i="5"/>
  <c r="C96" i="5"/>
  <c r="K95" i="5"/>
  <c r="A95" i="12"/>
  <c r="D95" i="5"/>
  <c r="B95" i="12" s="1"/>
  <c r="B95" i="6"/>
  <c r="K92" i="12"/>
  <c r="BI91" i="6"/>
  <c r="CE91" i="6"/>
  <c r="BS91" i="6"/>
  <c r="BY91" i="6"/>
  <c r="BP91" i="6"/>
  <c r="BT91" i="6"/>
  <c r="CA91" i="6"/>
  <c r="AZ91" i="6"/>
  <c r="AO91" i="6"/>
  <c r="AT91" i="6"/>
  <c r="CF91" i="6"/>
  <c r="CC91" i="6"/>
  <c r="BQ91" i="6"/>
  <c r="CJ91" i="6"/>
  <c r="BE91" i="6"/>
  <c r="CD91" i="6"/>
  <c r="CI91" i="6"/>
  <c r="T91" i="5"/>
  <c r="AR91" i="6"/>
  <c r="H92" i="6" a="1"/>
  <c r="H92" i="6" s="1"/>
  <c r="D93" i="6"/>
  <c r="L93" i="12"/>
  <c r="J93" i="12"/>
  <c r="CM91" i="6"/>
  <c r="BW91" i="6"/>
  <c r="BD91" i="6"/>
  <c r="CB91" i="6"/>
  <c r="AP91" i="6"/>
  <c r="AY91" i="6"/>
  <c r="CH91" i="6"/>
  <c r="BN91" i="6"/>
  <c r="CL91" i="6"/>
  <c r="AS91" i="6"/>
  <c r="AX91" i="6"/>
  <c r="BK91" i="6"/>
  <c r="AQ91" i="6"/>
  <c r="BZ91" i="6"/>
  <c r="BA91" i="6"/>
  <c r="BG91" i="6"/>
  <c r="G90" i="12"/>
  <c r="AW91" i="6"/>
  <c r="BV91" i="6"/>
  <c r="BC91" i="6"/>
  <c r="CK91" i="6"/>
  <c r="AV91" i="6"/>
  <c r="BJ91" i="6"/>
  <c r="BO91" i="6"/>
  <c r="A92" i="6"/>
  <c r="AU91" i="6"/>
  <c r="BF91" i="6"/>
  <c r="CG91" i="6"/>
  <c r="BM91" i="6"/>
  <c r="BH91" i="6"/>
  <c r="BR91" i="6"/>
  <c r="BX91" i="6"/>
  <c r="K94" i="5"/>
  <c r="D94" i="5"/>
  <c r="B94" i="12" s="1"/>
  <c r="J94" i="5"/>
  <c r="G94" i="5"/>
  <c r="G95" i="5" s="1"/>
  <c r="B94" i="6"/>
  <c r="AE94" i="5"/>
  <c r="F94" i="5"/>
  <c r="F95" i="5" s="1"/>
  <c r="B94" i="5"/>
  <c r="B95" i="5" s="1"/>
  <c r="N94" i="5"/>
  <c r="D94" i="6" s="1"/>
  <c r="AD94" i="5"/>
  <c r="E94" i="5"/>
  <c r="E95" i="5" s="1"/>
  <c r="H94" i="5"/>
  <c r="H95" i="5" s="1"/>
  <c r="A94" i="12"/>
  <c r="D95" i="6" l="1"/>
  <c r="AD96" i="5"/>
  <c r="AE96" i="5"/>
  <c r="B96" i="5"/>
  <c r="D96" i="5"/>
  <c r="B96" i="12" s="1"/>
  <c r="F96" i="5"/>
  <c r="H96" i="5"/>
  <c r="J96" i="5"/>
  <c r="C97" i="5"/>
  <c r="A96" i="12"/>
  <c r="E96" i="5"/>
  <c r="G96" i="5"/>
  <c r="K96" i="5"/>
  <c r="N96" i="5"/>
  <c r="B96" i="6"/>
  <c r="J95" i="12"/>
  <c r="L95" i="12"/>
  <c r="K93" i="12"/>
  <c r="H94" i="6" a="1"/>
  <c r="H94" i="6" s="1"/>
  <c r="T94" i="5" s="1"/>
  <c r="G94" i="12" s="1"/>
  <c r="T92" i="5"/>
  <c r="A93" i="6"/>
  <c r="M92" i="6"/>
  <c r="AU92" i="6" s="1"/>
  <c r="G91" i="12"/>
  <c r="L94" i="12"/>
  <c r="J94" i="12"/>
  <c r="H93" i="6" a="1"/>
  <c r="H93" i="6" s="1"/>
  <c r="H95" i="6" l="1" a="1"/>
  <c r="H95" i="6" s="1"/>
  <c r="E97" i="5"/>
  <c r="H97" i="5"/>
  <c r="C98" i="5"/>
  <c r="A97" i="12"/>
  <c r="B97" i="5"/>
  <c r="D97" i="5"/>
  <c r="B97" i="12" s="1"/>
  <c r="F97" i="5"/>
  <c r="G97" i="5"/>
  <c r="J97" i="5"/>
  <c r="K97" i="5"/>
  <c r="N97" i="5"/>
  <c r="B97" i="6"/>
  <c r="AD97" i="5"/>
  <c r="AE97" i="5"/>
  <c r="J96" i="12"/>
  <c r="L96" i="12"/>
  <c r="D96" i="6"/>
  <c r="K95" i="12"/>
  <c r="M93" i="6"/>
  <c r="A94" i="6"/>
  <c r="K94" i="12"/>
  <c r="AW92" i="6"/>
  <c r="AY92" i="6"/>
  <c r="AQ92" i="6"/>
  <c r="CK92" i="6"/>
  <c r="BX92" i="6"/>
  <c r="BP92" i="6"/>
  <c r="BV92" i="6"/>
  <c r="CB92" i="6"/>
  <c r="CJ92" i="6"/>
  <c r="CC92" i="6"/>
  <c r="BO92" i="6"/>
  <c r="BE92" i="6"/>
  <c r="CH92" i="6"/>
  <c r="BJ92" i="6"/>
  <c r="BQ92" i="6"/>
  <c r="BZ92" i="6"/>
  <c r="BT92" i="6"/>
  <c r="BG92" i="6"/>
  <c r="BW92" i="6"/>
  <c r="CD92" i="6"/>
  <c r="BF92" i="6"/>
  <c r="BL92" i="6"/>
  <c r="BK92" i="6"/>
  <c r="BR92" i="6"/>
  <c r="BD92" i="6"/>
  <c r="CI92" i="6"/>
  <c r="BH92" i="6"/>
  <c r="BY92" i="6"/>
  <c r="CE92" i="6"/>
  <c r="BN92" i="6"/>
  <c r="CL92" i="6"/>
  <c r="BM92" i="6"/>
  <c r="BS92" i="6"/>
  <c r="BC92" i="6"/>
  <c r="CF92" i="6"/>
  <c r="CA92" i="6"/>
  <c r="BA92" i="6"/>
  <c r="CG92" i="6"/>
  <c r="BI92" i="6"/>
  <c r="CM92" i="6"/>
  <c r="AR92" i="6"/>
  <c r="AS92" i="6"/>
  <c r="AX92" i="6"/>
  <c r="AO92" i="6"/>
  <c r="AV92" i="6"/>
  <c r="G92" i="12"/>
  <c r="T93" i="5"/>
  <c r="AP92" i="6"/>
  <c r="AZ92" i="6"/>
  <c r="AT92" i="6"/>
  <c r="K96" i="12" l="1"/>
  <c r="T95" i="5"/>
  <c r="F98" i="5"/>
  <c r="A98" i="12"/>
  <c r="E98" i="5"/>
  <c r="H98" i="5"/>
  <c r="J98" i="5"/>
  <c r="N98" i="5"/>
  <c r="D98" i="5"/>
  <c r="B98" i="12" s="1"/>
  <c r="G98" i="5"/>
  <c r="K98" i="5"/>
  <c r="AD98" i="5"/>
  <c r="AE98" i="5"/>
  <c r="C99" i="5"/>
  <c r="C100" i="5" s="1"/>
  <c r="B98" i="6"/>
  <c r="B98" i="5"/>
  <c r="J97" i="12"/>
  <c r="L97" i="12"/>
  <c r="D97" i="6"/>
  <c r="H96" i="6" a="1"/>
  <c r="H96" i="6" s="1"/>
  <c r="AQ93" i="6"/>
  <c r="AU93" i="6"/>
  <c r="BW93" i="6"/>
  <c r="AY93" i="6"/>
  <c r="M94" i="6"/>
  <c r="A95" i="6"/>
  <c r="BN93" i="6"/>
  <c r="CL93" i="6"/>
  <c r="AV93" i="6"/>
  <c r="CB93" i="6"/>
  <c r="BE93" i="6"/>
  <c r="AW93" i="6"/>
  <c r="BO93" i="6"/>
  <c r="CM93" i="6"/>
  <c r="BH93" i="6"/>
  <c r="CF93" i="6"/>
  <c r="BD93" i="6"/>
  <c r="BI93" i="6"/>
  <c r="AO93" i="6"/>
  <c r="BY93" i="6"/>
  <c r="BG93" i="6"/>
  <c r="BM93" i="6"/>
  <c r="CC93" i="6"/>
  <c r="CH93" i="6"/>
  <c r="CI93" i="6"/>
  <c r="AS93" i="6"/>
  <c r="BR93" i="6"/>
  <c r="BX93" i="6"/>
  <c r="CG93" i="6"/>
  <c r="AR93" i="6"/>
  <c r="BP93" i="6"/>
  <c r="BJ93" i="6"/>
  <c r="CK93" i="6"/>
  <c r="BV93" i="6"/>
  <c r="AZ93" i="6"/>
  <c r="BF93" i="6"/>
  <c r="CD93" i="6"/>
  <c r="AX93" i="6"/>
  <c r="BC93" i="6"/>
  <c r="CA93" i="6"/>
  <c r="BS93" i="6"/>
  <c r="AP93" i="6"/>
  <c r="BL93" i="6"/>
  <c r="BQ93" i="6"/>
  <c r="CE93" i="6"/>
  <c r="BA93" i="6"/>
  <c r="BT93" i="6"/>
  <c r="BZ93" i="6"/>
  <c r="BK93" i="6"/>
  <c r="CJ93" i="6"/>
  <c r="AT93" i="6"/>
  <c r="G93" i="12"/>
  <c r="K97" i="12" l="1"/>
  <c r="B100" i="6"/>
  <c r="J100" i="5"/>
  <c r="K100" i="5"/>
  <c r="N100" i="5"/>
  <c r="A100" i="12"/>
  <c r="AD100" i="5"/>
  <c r="AE100" i="5"/>
  <c r="D100" i="5"/>
  <c r="B100" i="12" s="1"/>
  <c r="C101" i="5"/>
  <c r="C102" i="5" s="1"/>
  <c r="BD94" i="6"/>
  <c r="CB94" i="6"/>
  <c r="BK94" i="6"/>
  <c r="BE94" i="6"/>
  <c r="CA94" i="6"/>
  <c r="BV94" i="6"/>
  <c r="BO94" i="6"/>
  <c r="CJ94" i="6"/>
  <c r="AZ94" i="6"/>
  <c r="AR94" i="6"/>
  <c r="AQ94" i="6"/>
  <c r="AU94" i="6"/>
  <c r="AV94" i="6"/>
  <c r="AX94" i="6"/>
  <c r="BA94" i="6"/>
  <c r="AO94" i="6"/>
  <c r="BI94" i="6"/>
  <c r="CI94" i="6"/>
  <c r="BJ94" i="6"/>
  <c r="BG94" i="6"/>
  <c r="CC94" i="6"/>
  <c r="BX94" i="6"/>
  <c r="CE94" i="6"/>
  <c r="BC94" i="6"/>
  <c r="BP94" i="6"/>
  <c r="CD94" i="6"/>
  <c r="CF94" i="6"/>
  <c r="CM94" i="6"/>
  <c r="AW94" i="6"/>
  <c r="BW94" i="6"/>
  <c r="CL94" i="6"/>
  <c r="CK94" i="6"/>
  <c r="BZ94" i="6"/>
  <c r="BS94" i="6"/>
  <c r="BR94" i="6"/>
  <c r="BL94" i="6"/>
  <c r="BH94" i="6"/>
  <c r="BY94" i="6"/>
  <c r="BM94" i="6"/>
  <c r="BF94" i="6"/>
  <c r="AP94" i="6"/>
  <c r="BQ94" i="6"/>
  <c r="CG94" i="6"/>
  <c r="AY94" i="6"/>
  <c r="CH94" i="6"/>
  <c r="BN94" i="6"/>
  <c r="BT94" i="6"/>
  <c r="AT94" i="6"/>
  <c r="AS94" i="6"/>
  <c r="G95" i="12"/>
  <c r="J98" i="12"/>
  <c r="L98" i="12"/>
  <c r="D98" i="6"/>
  <c r="D99" i="5"/>
  <c r="B99" i="12" s="1"/>
  <c r="F99" i="5"/>
  <c r="F100" i="5" s="1"/>
  <c r="H99" i="5"/>
  <c r="H100" i="5" s="1"/>
  <c r="J99" i="5"/>
  <c r="B99" i="5"/>
  <c r="B100" i="5" s="1"/>
  <c r="E99" i="5"/>
  <c r="E100" i="5" s="1"/>
  <c r="G99" i="5"/>
  <c r="G100" i="5" s="1"/>
  <c r="K99" i="5"/>
  <c r="N99" i="5"/>
  <c r="A99" i="12"/>
  <c r="AD99" i="5"/>
  <c r="AE99" i="5"/>
  <c r="B99" i="6"/>
  <c r="H97" i="6" a="1"/>
  <c r="H97" i="6" s="1"/>
  <c r="T96" i="5"/>
  <c r="A96" i="6"/>
  <c r="M95" i="6"/>
  <c r="K98" i="12" l="1"/>
  <c r="D100" i="6"/>
  <c r="J100" i="12"/>
  <c r="L100" i="12"/>
  <c r="E101" i="5"/>
  <c r="E102" i="5" s="1"/>
  <c r="H101" i="5"/>
  <c r="H102" i="5" s="1"/>
  <c r="K101" i="5"/>
  <c r="B101" i="6"/>
  <c r="D101" i="5"/>
  <c r="B101" i="12" s="1"/>
  <c r="F101" i="5"/>
  <c r="F102" i="5" s="1"/>
  <c r="J101" i="5"/>
  <c r="N101" i="5"/>
  <c r="A101" i="12"/>
  <c r="B101" i="5"/>
  <c r="B102" i="5" s="1"/>
  <c r="G101" i="5"/>
  <c r="G102" i="5" s="1"/>
  <c r="AD101" i="5"/>
  <c r="AE101" i="5"/>
  <c r="H98" i="6" a="1"/>
  <c r="H98" i="6" s="1"/>
  <c r="D99" i="6"/>
  <c r="J99" i="12"/>
  <c r="L99" i="12"/>
  <c r="C103" i="5"/>
  <c r="B102" i="6"/>
  <c r="AD102" i="5"/>
  <c r="AE102" i="5"/>
  <c r="K102" i="5"/>
  <c r="D102" i="5"/>
  <c r="B102" i="12" s="1"/>
  <c r="J102" i="5"/>
  <c r="N102" i="5"/>
  <c r="A102" i="12"/>
  <c r="T97" i="5"/>
  <c r="G96" i="12"/>
  <c r="M96" i="6"/>
  <c r="A97" i="6"/>
  <c r="CM95" i="6"/>
  <c r="CL95" i="6"/>
  <c r="CK95" i="6"/>
  <c r="CJ95" i="6"/>
  <c r="CI95" i="6"/>
  <c r="CH95" i="6"/>
  <c r="CE95" i="6"/>
  <c r="CC95" i="6"/>
  <c r="BZ95" i="6"/>
  <c r="BW95" i="6"/>
  <c r="BT95" i="6"/>
  <c r="BR95" i="6"/>
  <c r="BO95" i="6"/>
  <c r="BL95" i="6"/>
  <c r="BI95" i="6"/>
  <c r="BF95" i="6"/>
  <c r="BD95" i="6"/>
  <c r="BA95" i="6"/>
  <c r="AX95" i="6"/>
  <c r="AS95" i="6"/>
  <c r="AQ95" i="6"/>
  <c r="CF95" i="6"/>
  <c r="CB95" i="6"/>
  <c r="BY95" i="6"/>
  <c r="BV95" i="6"/>
  <c r="BQ95" i="6"/>
  <c r="BN95" i="6"/>
  <c r="BK95" i="6"/>
  <c r="BH95" i="6"/>
  <c r="BE95" i="6"/>
  <c r="AY95" i="6"/>
  <c r="AV95" i="6"/>
  <c r="AT95" i="6"/>
  <c r="AP95" i="6"/>
  <c r="CG95" i="6"/>
  <c r="CD95" i="6"/>
  <c r="CA95" i="6"/>
  <c r="BX95" i="6"/>
  <c r="BS95" i="6"/>
  <c r="BP95" i="6"/>
  <c r="BM95" i="6"/>
  <c r="BJ95" i="6"/>
  <c r="BG95" i="6"/>
  <c r="BC95" i="6"/>
  <c r="AZ95" i="6"/>
  <c r="AW95" i="6"/>
  <c r="AU95" i="6"/>
  <c r="AR95" i="6"/>
  <c r="AO95" i="6"/>
  <c r="K99" i="12" l="1"/>
  <c r="K100" i="12"/>
  <c r="H100" i="6" a="1"/>
  <c r="H100" i="6" s="1"/>
  <c r="D101" i="6"/>
  <c r="J101" i="12"/>
  <c r="L101" i="12"/>
  <c r="T98" i="5"/>
  <c r="H99" i="6" a="1"/>
  <c r="H99" i="6" s="1"/>
  <c r="F103" i="5"/>
  <c r="J103" i="5"/>
  <c r="N103" i="5"/>
  <c r="B103" i="6"/>
  <c r="B103" i="5"/>
  <c r="D103" i="5"/>
  <c r="B103" i="12" s="1"/>
  <c r="H103" i="5"/>
  <c r="C104" i="5"/>
  <c r="E103" i="5"/>
  <c r="G103" i="5"/>
  <c r="K103" i="5"/>
  <c r="AD103" i="5"/>
  <c r="AE103" i="5"/>
  <c r="A103" i="12"/>
  <c r="D102" i="6"/>
  <c r="J102" i="12"/>
  <c r="L102" i="12"/>
  <c r="G97" i="12"/>
  <c r="AZ96" i="6"/>
  <c r="AW96" i="6"/>
  <c r="AS96" i="6"/>
  <c r="AO96" i="6"/>
  <c r="AY96" i="6"/>
  <c r="AT96" i="6"/>
  <c r="AP96" i="6"/>
  <c r="AX96" i="6"/>
  <c r="AU96" i="6"/>
  <c r="AQ96" i="6"/>
  <c r="BA96" i="6"/>
  <c r="AV96" i="6"/>
  <c r="AR96" i="6"/>
  <c r="CL96" i="6"/>
  <c r="CG96" i="6"/>
  <c r="CE96" i="6"/>
  <c r="CB96" i="6"/>
  <c r="BZ96" i="6"/>
  <c r="BX96" i="6"/>
  <c r="BV96" i="6"/>
  <c r="BS96" i="6"/>
  <c r="BQ96" i="6"/>
  <c r="BO96" i="6"/>
  <c r="BM96" i="6"/>
  <c r="BK96" i="6"/>
  <c r="BI96" i="6"/>
  <c r="BH96" i="6"/>
  <c r="BF96" i="6"/>
  <c r="BD96" i="6"/>
  <c r="CM96" i="6"/>
  <c r="CK96" i="6"/>
  <c r="CJ96" i="6"/>
  <c r="CI96" i="6"/>
  <c r="CH96" i="6"/>
  <c r="CF96" i="6"/>
  <c r="CD96" i="6"/>
  <c r="CC96" i="6"/>
  <c r="CA96" i="6"/>
  <c r="BY96" i="6"/>
  <c r="BW96" i="6"/>
  <c r="BT96" i="6"/>
  <c r="BR96" i="6"/>
  <c r="BP96" i="6"/>
  <c r="BN96" i="6"/>
  <c r="BL96" i="6"/>
  <c r="BJ96" i="6"/>
  <c r="BG96" i="6"/>
  <c r="BE96" i="6"/>
  <c r="BC96" i="6"/>
  <c r="M97" i="6"/>
  <c r="A98" i="6"/>
  <c r="K101" i="12" l="1"/>
  <c r="K102" i="12"/>
  <c r="T100" i="5"/>
  <c r="H101" i="6" a="1"/>
  <c r="H101" i="6" s="1"/>
  <c r="G98" i="12"/>
  <c r="T99" i="5"/>
  <c r="D103" i="6"/>
  <c r="G104" i="5"/>
  <c r="AD104" i="5"/>
  <c r="AE104" i="5"/>
  <c r="C105" i="5"/>
  <c r="A104" i="12"/>
  <c r="J104" i="5"/>
  <c r="N104" i="5"/>
  <c r="E104" i="5"/>
  <c r="B104" i="6"/>
  <c r="B104" i="5"/>
  <c r="D104" i="5"/>
  <c r="B104" i="12" s="1"/>
  <c r="F104" i="5"/>
  <c r="H104" i="5"/>
  <c r="K104" i="5"/>
  <c r="J103" i="12"/>
  <c r="L103" i="12"/>
  <c r="H102" i="6" a="1"/>
  <c r="H102" i="6" s="1"/>
  <c r="BA97" i="6"/>
  <c r="AY97" i="6"/>
  <c r="AU97" i="6"/>
  <c r="AS97" i="6"/>
  <c r="AQ97" i="6"/>
  <c r="AW97" i="6"/>
  <c r="AO97" i="6"/>
  <c r="CK97" i="6"/>
  <c r="CI97" i="6"/>
  <c r="CG97" i="6"/>
  <c r="CE97" i="6"/>
  <c r="CC97" i="6"/>
  <c r="CA97" i="6"/>
  <c r="BY97" i="6"/>
  <c r="BX97" i="6"/>
  <c r="BV97" i="6"/>
  <c r="BS97" i="6"/>
  <c r="BQ97" i="6"/>
  <c r="BO97" i="6"/>
  <c r="BM97" i="6"/>
  <c r="BJ97" i="6"/>
  <c r="BG97" i="6"/>
  <c r="BD97" i="6"/>
  <c r="CM97" i="6"/>
  <c r="CL97" i="6"/>
  <c r="BK97" i="6"/>
  <c r="BH97" i="6"/>
  <c r="BE97" i="6"/>
  <c r="CJ97" i="6"/>
  <c r="CH97" i="6"/>
  <c r="CF97" i="6"/>
  <c r="CD97" i="6"/>
  <c r="CB97" i="6"/>
  <c r="BZ97" i="6"/>
  <c r="BW97" i="6"/>
  <c r="BT97" i="6"/>
  <c r="BR97" i="6"/>
  <c r="BP97" i="6"/>
  <c r="BN97" i="6"/>
  <c r="BL97" i="6"/>
  <c r="BI97" i="6"/>
  <c r="BF97" i="6"/>
  <c r="BC97" i="6"/>
  <c r="AZ97" i="6"/>
  <c r="AX97" i="6"/>
  <c r="AV97" i="6"/>
  <c r="AT97" i="6"/>
  <c r="AR97" i="6"/>
  <c r="AP97" i="6"/>
  <c r="M98" i="6"/>
  <c r="A99" i="6"/>
  <c r="A100" i="6" s="1"/>
  <c r="K103" i="12" l="1"/>
  <c r="G100" i="12"/>
  <c r="T101" i="5"/>
  <c r="A101" i="6"/>
  <c r="A102" i="6" s="1"/>
  <c r="M100" i="6"/>
  <c r="G99" i="12"/>
  <c r="H103" i="6" a="1"/>
  <c r="H103" i="6" s="1"/>
  <c r="D105" i="5"/>
  <c r="B105" i="12" s="1"/>
  <c r="F105" i="5"/>
  <c r="H105" i="5"/>
  <c r="K105" i="5"/>
  <c r="B105" i="5"/>
  <c r="E105" i="5"/>
  <c r="G105" i="5"/>
  <c r="J105" i="5"/>
  <c r="N105" i="5"/>
  <c r="A105" i="12"/>
  <c r="B105" i="6"/>
  <c r="AD105" i="5"/>
  <c r="AE105" i="5"/>
  <c r="C106" i="5"/>
  <c r="C107" i="5" s="1"/>
  <c r="J104" i="12"/>
  <c r="L104" i="12"/>
  <c r="D104" i="6"/>
  <c r="T102" i="5"/>
  <c r="AV98" i="6"/>
  <c r="AQ98" i="6"/>
  <c r="AY98" i="6"/>
  <c r="AS98" i="6"/>
  <c r="CH98" i="6"/>
  <c r="BQ98" i="6"/>
  <c r="BJ98" i="6"/>
  <c r="AZ98" i="6"/>
  <c r="CE98" i="6"/>
  <c r="BP98" i="6"/>
  <c r="BD98" i="6"/>
  <c r="AX98" i="6"/>
  <c r="CJ98" i="6"/>
  <c r="CK98" i="6"/>
  <c r="BM98" i="6"/>
  <c r="CG98" i="6"/>
  <c r="CD98" i="6"/>
  <c r="CB98" i="6"/>
  <c r="BZ98" i="6"/>
  <c r="BX98" i="6"/>
  <c r="BW98" i="6"/>
  <c r="BV98" i="6"/>
  <c r="BT98" i="6"/>
  <c r="BH98" i="6"/>
  <c r="BF98" i="6"/>
  <c r="BA98" i="6"/>
  <c r="AW98" i="6"/>
  <c r="AT98" i="6"/>
  <c r="AO98" i="6"/>
  <c r="CI98" i="6"/>
  <c r="CF98" i="6"/>
  <c r="CC98" i="6"/>
  <c r="CA98" i="6"/>
  <c r="BY98" i="6"/>
  <c r="BN98" i="6"/>
  <c r="BL98" i="6"/>
  <c r="BI98" i="6"/>
  <c r="BE98" i="6"/>
  <c r="BC98" i="6"/>
  <c r="CM98" i="6"/>
  <c r="BR98" i="6"/>
  <c r="BK98" i="6"/>
  <c r="AU98" i="6"/>
  <c r="AP98" i="6"/>
  <c r="CL98" i="6"/>
  <c r="BS98" i="6"/>
  <c r="BO98" i="6"/>
  <c r="BG98" i="6"/>
  <c r="AR98" i="6"/>
  <c r="M99" i="6"/>
  <c r="AE107" i="5" l="1"/>
  <c r="B107" i="6"/>
  <c r="D107" i="5"/>
  <c r="B107" i="12" s="1"/>
  <c r="J107" i="5"/>
  <c r="K107" i="5"/>
  <c r="N107" i="5"/>
  <c r="AD107" i="5"/>
  <c r="A107" i="12"/>
  <c r="K104" i="12"/>
  <c r="G101" i="12"/>
  <c r="M101" i="6"/>
  <c r="AY100" i="6"/>
  <c r="AW100" i="6"/>
  <c r="AU100" i="6"/>
  <c r="AT100" i="6"/>
  <c r="BA100" i="6"/>
  <c r="AQ100" i="6"/>
  <c r="AO100" i="6"/>
  <c r="CK100" i="6"/>
  <c r="CH100" i="6"/>
  <c r="CG100" i="6"/>
  <c r="CE100" i="6"/>
  <c r="CC100" i="6"/>
  <c r="CA100" i="6"/>
  <c r="BK100" i="6"/>
  <c r="BE100" i="6"/>
  <c r="AZ100" i="6"/>
  <c r="AV100" i="6"/>
  <c r="AP100" i="6"/>
  <c r="BY100" i="6"/>
  <c r="BW100" i="6"/>
  <c r="BT100" i="6"/>
  <c r="BR100" i="6"/>
  <c r="BP100" i="6"/>
  <c r="BN100" i="6"/>
  <c r="BL100" i="6"/>
  <c r="BJ100" i="6"/>
  <c r="BH100" i="6"/>
  <c r="BF100" i="6"/>
  <c r="BD100" i="6"/>
  <c r="CM100" i="6"/>
  <c r="CL100" i="6"/>
  <c r="CJ100" i="6"/>
  <c r="CI100" i="6"/>
  <c r="CF100" i="6"/>
  <c r="CD100" i="6"/>
  <c r="CB100" i="6"/>
  <c r="BZ100" i="6"/>
  <c r="BX100" i="6"/>
  <c r="BV100" i="6"/>
  <c r="BS100" i="6"/>
  <c r="BQ100" i="6"/>
  <c r="BO100" i="6"/>
  <c r="BM100" i="6"/>
  <c r="BI100" i="6"/>
  <c r="BG100" i="6"/>
  <c r="BC100" i="6"/>
  <c r="AX100" i="6"/>
  <c r="AS100" i="6"/>
  <c r="AR100" i="6"/>
  <c r="T103" i="5"/>
  <c r="D105" i="6"/>
  <c r="J105" i="12"/>
  <c r="L105" i="12"/>
  <c r="F106" i="5"/>
  <c r="F107" i="5" s="1"/>
  <c r="H106" i="5"/>
  <c r="H107" i="5" s="1"/>
  <c r="K106" i="5"/>
  <c r="N106" i="5"/>
  <c r="E106" i="5"/>
  <c r="E107" i="5" s="1"/>
  <c r="J106" i="5"/>
  <c r="B106" i="6"/>
  <c r="AD106" i="5"/>
  <c r="AE106" i="5"/>
  <c r="A106" i="12"/>
  <c r="B106" i="5"/>
  <c r="B107" i="5" s="1"/>
  <c r="D106" i="5"/>
  <c r="B106" i="12" s="1"/>
  <c r="G106" i="5"/>
  <c r="G107" i="5" s="1"/>
  <c r="C108" i="5"/>
  <c r="H104" i="6" a="1"/>
  <c r="H104" i="6" s="1"/>
  <c r="G102" i="12"/>
  <c r="M102" i="6"/>
  <c r="A103" i="6"/>
  <c r="AQ99" i="6"/>
  <c r="AP99" i="6"/>
  <c r="AO99" i="6"/>
  <c r="CL99" i="6"/>
  <c r="CK99" i="6"/>
  <c r="CI99" i="6"/>
  <c r="CG99" i="6"/>
  <c r="CE99" i="6"/>
  <c r="CC99" i="6"/>
  <c r="CA99" i="6"/>
  <c r="BZ99" i="6"/>
  <c r="BX99" i="6"/>
  <c r="BV99" i="6"/>
  <c r="BT99" i="6"/>
  <c r="BR99" i="6"/>
  <c r="BP99" i="6"/>
  <c r="BN99" i="6"/>
  <c r="BL99" i="6"/>
  <c r="BJ99" i="6"/>
  <c r="BH99" i="6"/>
  <c r="BF99" i="6"/>
  <c r="BD99" i="6"/>
  <c r="AX99" i="6"/>
  <c r="AV99" i="6"/>
  <c r="AS99" i="6"/>
  <c r="CM99" i="6"/>
  <c r="CJ99" i="6"/>
  <c r="CH99" i="6"/>
  <c r="CF99" i="6"/>
  <c r="CD99" i="6"/>
  <c r="CB99" i="6"/>
  <c r="BY99" i="6"/>
  <c r="BW99" i="6"/>
  <c r="BS99" i="6"/>
  <c r="BQ99" i="6"/>
  <c r="BO99" i="6"/>
  <c r="BM99" i="6"/>
  <c r="BK99" i="6"/>
  <c r="BI99" i="6"/>
  <c r="BG99" i="6"/>
  <c r="BE99" i="6"/>
  <c r="BC99" i="6"/>
  <c r="BA99" i="6"/>
  <c r="AZ99" i="6"/>
  <c r="AY99" i="6"/>
  <c r="AW99" i="6"/>
  <c r="AU99" i="6"/>
  <c r="AT99" i="6"/>
  <c r="AR99" i="6"/>
  <c r="D107" i="6" l="1"/>
  <c r="J107" i="12"/>
  <c r="L107" i="12"/>
  <c r="K105" i="12"/>
  <c r="CL101" i="6"/>
  <c r="CK101" i="6"/>
  <c r="CI101" i="6"/>
  <c r="CH101" i="6"/>
  <c r="CF101" i="6"/>
  <c r="CD101" i="6"/>
  <c r="CB101" i="6"/>
  <c r="CA101" i="6"/>
  <c r="BY101" i="6"/>
  <c r="BW101" i="6"/>
  <c r="BT101" i="6"/>
  <c r="BR101" i="6"/>
  <c r="BP101" i="6"/>
  <c r="BN101" i="6"/>
  <c r="BL101" i="6"/>
  <c r="CM101" i="6"/>
  <c r="CJ101" i="6"/>
  <c r="CG101" i="6"/>
  <c r="CE101" i="6"/>
  <c r="CC101" i="6"/>
  <c r="BZ101" i="6"/>
  <c r="BX101" i="6"/>
  <c r="BV101" i="6"/>
  <c r="BS101" i="6"/>
  <c r="BQ101" i="6"/>
  <c r="BO101" i="6"/>
  <c r="BM101" i="6"/>
  <c r="BK101" i="6"/>
  <c r="BJ101" i="6"/>
  <c r="BI101" i="6"/>
  <c r="BH101" i="6"/>
  <c r="BG101" i="6"/>
  <c r="BF101" i="6"/>
  <c r="BE101" i="6"/>
  <c r="BD101" i="6"/>
  <c r="BC101" i="6"/>
  <c r="BA101" i="6"/>
  <c r="AZ101" i="6"/>
  <c r="AY101" i="6"/>
  <c r="AX101" i="6"/>
  <c r="AW101" i="6"/>
  <c r="AV101" i="6"/>
  <c r="AU101" i="6"/>
  <c r="AT101" i="6"/>
  <c r="AS101" i="6"/>
  <c r="AR101" i="6"/>
  <c r="AQ101" i="6"/>
  <c r="AP101" i="6"/>
  <c r="AO101" i="6"/>
  <c r="G103" i="12"/>
  <c r="H105" i="6" a="1"/>
  <c r="H105" i="6" s="1"/>
  <c r="D106" i="6"/>
  <c r="J106" i="12"/>
  <c r="L106" i="12"/>
  <c r="F108" i="5"/>
  <c r="D108" i="5"/>
  <c r="B108" i="12" s="1"/>
  <c r="H108" i="5"/>
  <c r="K108" i="5"/>
  <c r="N108" i="5"/>
  <c r="B108" i="6"/>
  <c r="B108" i="5"/>
  <c r="E108" i="5"/>
  <c r="G108" i="5"/>
  <c r="J108" i="5"/>
  <c r="AD108" i="5"/>
  <c r="AE108" i="5"/>
  <c r="C109" i="5"/>
  <c r="A108" i="12"/>
  <c r="T104" i="5"/>
  <c r="AQ102" i="6"/>
  <c r="AP102" i="6"/>
  <c r="AO102" i="6"/>
  <c r="AT102" i="6"/>
  <c r="AS102" i="6"/>
  <c r="AR102" i="6"/>
  <c r="CF102" i="6"/>
  <c r="CD102" i="6"/>
  <c r="CA102" i="6"/>
  <c r="BW102" i="6"/>
  <c r="BS102" i="6"/>
  <c r="BO102" i="6"/>
  <c r="BJ102" i="6"/>
  <c r="CM102" i="6"/>
  <c r="CL102" i="6"/>
  <c r="CK102" i="6"/>
  <c r="CJ102" i="6"/>
  <c r="CI102" i="6"/>
  <c r="CG102" i="6"/>
  <c r="CC102" i="6"/>
  <c r="BZ102" i="6"/>
  <c r="BX102" i="6"/>
  <c r="BT102" i="6"/>
  <c r="BQ102" i="6"/>
  <c r="BN102" i="6"/>
  <c r="BL102" i="6"/>
  <c r="BI102" i="6"/>
  <c r="BG102" i="6"/>
  <c r="BE102" i="6"/>
  <c r="BC102" i="6"/>
  <c r="AZ102" i="6"/>
  <c r="AV102" i="6"/>
  <c r="CH102" i="6"/>
  <c r="CE102" i="6"/>
  <c r="CB102" i="6"/>
  <c r="BY102" i="6"/>
  <c r="BV102" i="6"/>
  <c r="BR102" i="6"/>
  <c r="BP102" i="6"/>
  <c r="BM102" i="6"/>
  <c r="BK102" i="6"/>
  <c r="BH102" i="6"/>
  <c r="BF102" i="6"/>
  <c r="BD102" i="6"/>
  <c r="BA102" i="6"/>
  <c r="AY102" i="6"/>
  <c r="AX102" i="6"/>
  <c r="AW102" i="6"/>
  <c r="AU102" i="6"/>
  <c r="M103" i="6"/>
  <c r="A104" i="6"/>
  <c r="K107" i="12" l="1"/>
  <c r="H107" i="6" a="1"/>
  <c r="H107" i="6" s="1"/>
  <c r="K106" i="12"/>
  <c r="T105" i="5"/>
  <c r="H106" i="6" a="1"/>
  <c r="H106" i="6" s="1"/>
  <c r="D108" i="6"/>
  <c r="F109" i="5"/>
  <c r="A109" i="12"/>
  <c r="B109" i="5"/>
  <c r="AD109" i="5"/>
  <c r="AE109" i="5"/>
  <c r="C110" i="5"/>
  <c r="E109" i="5"/>
  <c r="G109" i="5"/>
  <c r="J109" i="5"/>
  <c r="K109" i="5"/>
  <c r="N109" i="5"/>
  <c r="B109" i="6"/>
  <c r="D109" i="5"/>
  <c r="B109" i="12" s="1"/>
  <c r="H109" i="5"/>
  <c r="J108" i="12"/>
  <c r="L108" i="12"/>
  <c r="G104" i="12"/>
  <c r="CM103" i="6"/>
  <c r="CL103" i="6"/>
  <c r="CK103" i="6"/>
  <c r="CJ103" i="6"/>
  <c r="CI103" i="6"/>
  <c r="CH103" i="6"/>
  <c r="CG103" i="6"/>
  <c r="CF103" i="6"/>
  <c r="CE103" i="6"/>
  <c r="CD103" i="6"/>
  <c r="CC103" i="6"/>
  <c r="CB103" i="6"/>
  <c r="CA103" i="6"/>
  <c r="BZ103" i="6"/>
  <c r="BY103" i="6"/>
  <c r="BX103" i="6"/>
  <c r="BW103" i="6"/>
  <c r="BV103" i="6"/>
  <c r="BT103" i="6"/>
  <c r="BS103" i="6"/>
  <c r="BR103" i="6"/>
  <c r="BQ103" i="6"/>
  <c r="BP103" i="6"/>
  <c r="BO103" i="6"/>
  <c r="BN103" i="6"/>
  <c r="BM103" i="6"/>
  <c r="BL103" i="6"/>
  <c r="BK103" i="6"/>
  <c r="BJ103" i="6"/>
  <c r="BI103" i="6"/>
  <c r="BH103" i="6"/>
  <c r="BG103" i="6"/>
  <c r="BF103" i="6"/>
  <c r="BE103" i="6"/>
  <c r="BD103" i="6"/>
  <c r="BC103" i="6"/>
  <c r="BA103" i="6"/>
  <c r="AZ103" i="6"/>
  <c r="AY103" i="6"/>
  <c r="AX103" i="6"/>
  <c r="AW103" i="6"/>
  <c r="AV103" i="6"/>
  <c r="AU103" i="6"/>
  <c r="AT103" i="6"/>
  <c r="AS103" i="6"/>
  <c r="AR103" i="6"/>
  <c r="AQ103" i="6"/>
  <c r="AP103" i="6"/>
  <c r="AO103" i="6"/>
  <c r="M104" i="6"/>
  <c r="A105" i="6"/>
  <c r="K108" i="12" l="1"/>
  <c r="T107" i="5"/>
  <c r="G105" i="12"/>
  <c r="T106" i="5"/>
  <c r="H108" i="6" a="1"/>
  <c r="H108" i="6" s="1"/>
  <c r="J109" i="12"/>
  <c r="L109" i="12"/>
  <c r="E110" i="5"/>
  <c r="H110" i="5"/>
  <c r="J110" i="5"/>
  <c r="D110" i="5"/>
  <c r="B110" i="12" s="1"/>
  <c r="F110" i="5"/>
  <c r="K110" i="5"/>
  <c r="N110" i="5"/>
  <c r="AD110" i="5"/>
  <c r="B110" i="6"/>
  <c r="AE110" i="5"/>
  <c r="C111" i="5"/>
  <c r="B110" i="5"/>
  <c r="G110" i="5"/>
  <c r="A110" i="12"/>
  <c r="D109" i="6"/>
  <c r="CM104" i="6"/>
  <c r="CL104" i="6"/>
  <c r="CK104" i="6"/>
  <c r="CJ104" i="6"/>
  <c r="CI104" i="6"/>
  <c r="CH104" i="6"/>
  <c r="CG104" i="6"/>
  <c r="CF104" i="6"/>
  <c r="CE104" i="6"/>
  <c r="CD104" i="6"/>
  <c r="CC104" i="6"/>
  <c r="CB104" i="6"/>
  <c r="CA104" i="6"/>
  <c r="BZ104" i="6"/>
  <c r="BY104" i="6"/>
  <c r="BX104" i="6"/>
  <c r="BW104" i="6"/>
  <c r="BV104" i="6"/>
  <c r="BT104" i="6"/>
  <c r="BS104" i="6"/>
  <c r="BR104" i="6"/>
  <c r="BQ104" i="6"/>
  <c r="BP104" i="6"/>
  <c r="BO104" i="6"/>
  <c r="BN104" i="6"/>
  <c r="BM104" i="6"/>
  <c r="BL104" i="6"/>
  <c r="BK104" i="6"/>
  <c r="BJ104" i="6"/>
  <c r="BI104" i="6"/>
  <c r="BH104" i="6"/>
  <c r="BG104" i="6"/>
  <c r="BF104" i="6"/>
  <c r="BE104" i="6"/>
  <c r="BD104" i="6"/>
  <c r="BC104" i="6"/>
  <c r="BA104" i="6"/>
  <c r="AZ104" i="6"/>
  <c r="AY104" i="6"/>
  <c r="AX104" i="6"/>
  <c r="AW104" i="6"/>
  <c r="AV104" i="6"/>
  <c r="AU104" i="6"/>
  <c r="AT104" i="6"/>
  <c r="AS104" i="6"/>
  <c r="AR104" i="6"/>
  <c r="AQ104" i="6"/>
  <c r="AP104" i="6"/>
  <c r="AO104" i="6"/>
  <c r="M105" i="6"/>
  <c r="A106" i="6"/>
  <c r="A107" i="6" s="1"/>
  <c r="K109" i="12" l="1"/>
  <c r="G107" i="12"/>
  <c r="M107" i="6"/>
  <c r="G106" i="12"/>
  <c r="T108" i="5"/>
  <c r="D110" i="6"/>
  <c r="E111" i="5"/>
  <c r="G111" i="5"/>
  <c r="J111" i="5"/>
  <c r="C112" i="5"/>
  <c r="A111" i="12"/>
  <c r="B111" i="5"/>
  <c r="D111" i="5"/>
  <c r="B111" i="12" s="1"/>
  <c r="F111" i="5"/>
  <c r="H111" i="5"/>
  <c r="K111" i="5"/>
  <c r="N111" i="5"/>
  <c r="AD111" i="5"/>
  <c r="AE111" i="5"/>
  <c r="B111" i="6"/>
  <c r="J110" i="12"/>
  <c r="L110" i="12"/>
  <c r="H109" i="6" a="1"/>
  <c r="H109" i="6" s="1"/>
  <c r="CH105" i="6"/>
  <c r="CD105" i="6"/>
  <c r="BZ105" i="6"/>
  <c r="BV105" i="6"/>
  <c r="BQ105" i="6"/>
  <c r="BM105" i="6"/>
  <c r="CM105" i="6"/>
  <c r="CK105" i="6"/>
  <c r="CI105" i="6"/>
  <c r="CF105" i="6"/>
  <c r="CB105" i="6"/>
  <c r="BW105" i="6"/>
  <c r="BR105" i="6"/>
  <c r="BN105" i="6"/>
  <c r="BJ105" i="6"/>
  <c r="BH105" i="6"/>
  <c r="BF105" i="6"/>
  <c r="BD105" i="6"/>
  <c r="BA105" i="6"/>
  <c r="AY105" i="6"/>
  <c r="AW105" i="6"/>
  <c r="AU105" i="6"/>
  <c r="AS105" i="6"/>
  <c r="AP105" i="6"/>
  <c r="CE105" i="6"/>
  <c r="CA105" i="6"/>
  <c r="BX105" i="6"/>
  <c r="BS105" i="6"/>
  <c r="BO105" i="6"/>
  <c r="BL105" i="6"/>
  <c r="CL105" i="6"/>
  <c r="CJ105" i="6"/>
  <c r="CG105" i="6"/>
  <c r="CC105" i="6"/>
  <c r="BY105" i="6"/>
  <c r="BT105" i="6"/>
  <c r="BP105" i="6"/>
  <c r="BK105" i="6"/>
  <c r="BI105" i="6"/>
  <c r="BG105" i="6"/>
  <c r="BE105" i="6"/>
  <c r="BC105" i="6"/>
  <c r="AZ105" i="6"/>
  <c r="AX105" i="6"/>
  <c r="AV105" i="6"/>
  <c r="AT105" i="6"/>
  <c r="AR105" i="6"/>
  <c r="AQ105" i="6"/>
  <c r="AO105" i="6"/>
  <c r="A108" i="6"/>
  <c r="M106" i="6"/>
  <c r="AU107" i="6" l="1"/>
  <c r="AT107" i="6"/>
  <c r="AS107" i="6"/>
  <c r="AR107" i="6"/>
  <c r="AQ107" i="6"/>
  <c r="AP107" i="6"/>
  <c r="AO107" i="6"/>
  <c r="CM107" i="6"/>
  <c r="CL107" i="6"/>
  <c r="CK107" i="6"/>
  <c r="CJ107" i="6"/>
  <c r="CI107" i="6"/>
  <c r="CH107" i="6"/>
  <c r="CG107" i="6"/>
  <c r="CF107" i="6"/>
  <c r="CE107" i="6"/>
  <c r="CD107" i="6"/>
  <c r="CC107" i="6"/>
  <c r="CB107" i="6"/>
  <c r="CA107" i="6"/>
  <c r="BZ107" i="6"/>
  <c r="BY107" i="6"/>
  <c r="BX107" i="6"/>
  <c r="BW107" i="6"/>
  <c r="BV107" i="6"/>
  <c r="BT107" i="6"/>
  <c r="BS107" i="6"/>
  <c r="BR107" i="6"/>
  <c r="BQ107" i="6"/>
  <c r="BP107" i="6"/>
  <c r="BO107" i="6"/>
  <c r="BN107" i="6"/>
  <c r="BM107" i="6"/>
  <c r="BL107" i="6"/>
  <c r="BK107" i="6"/>
  <c r="BJ107" i="6"/>
  <c r="BI107" i="6"/>
  <c r="BH107" i="6"/>
  <c r="BG107" i="6"/>
  <c r="BF107" i="6"/>
  <c r="BE107" i="6"/>
  <c r="BD107" i="6"/>
  <c r="BC107" i="6"/>
  <c r="BA107" i="6"/>
  <c r="AZ107" i="6"/>
  <c r="AY107" i="6"/>
  <c r="AX107" i="6"/>
  <c r="AW107" i="6"/>
  <c r="AV107" i="6"/>
  <c r="G108" i="12"/>
  <c r="H110" i="6" a="1"/>
  <c r="H110" i="6" s="1"/>
  <c r="D112" i="5"/>
  <c r="B112" i="12" s="1"/>
  <c r="F112" i="5"/>
  <c r="H112" i="5"/>
  <c r="J112" i="5"/>
  <c r="C113" i="5"/>
  <c r="B112" i="6"/>
  <c r="A112" i="12"/>
  <c r="B112" i="5"/>
  <c r="E112" i="5"/>
  <c r="G112" i="5"/>
  <c r="K112" i="5"/>
  <c r="N112" i="5"/>
  <c r="AD112" i="5"/>
  <c r="AE112" i="5"/>
  <c r="J111" i="12"/>
  <c r="L111" i="12"/>
  <c r="D111" i="6"/>
  <c r="T109" i="5"/>
  <c r="A109" i="6"/>
  <c r="M108" i="6"/>
  <c r="CM106" i="6"/>
  <c r="CK106" i="6"/>
  <c r="CI106" i="6"/>
  <c r="CG106" i="6"/>
  <c r="CE106" i="6"/>
  <c r="CD106" i="6"/>
  <c r="CC106" i="6"/>
  <c r="CB106" i="6"/>
  <c r="CA106" i="6"/>
  <c r="BZ106" i="6"/>
  <c r="BY106" i="6"/>
  <c r="BX106" i="6"/>
  <c r="BW106" i="6"/>
  <c r="BV106" i="6"/>
  <c r="BT106" i="6"/>
  <c r="BS106" i="6"/>
  <c r="BR106" i="6"/>
  <c r="CL106" i="6"/>
  <c r="CJ106" i="6"/>
  <c r="CH106" i="6"/>
  <c r="CF106" i="6"/>
  <c r="BQ106" i="6"/>
  <c r="BP106" i="6"/>
  <c r="BO106" i="6"/>
  <c r="BN106" i="6"/>
  <c r="BM106" i="6"/>
  <c r="BL106" i="6"/>
  <c r="BK106" i="6"/>
  <c r="BJ106" i="6"/>
  <c r="BI106" i="6"/>
  <c r="BH106" i="6"/>
  <c r="BG106" i="6"/>
  <c r="BF106" i="6"/>
  <c r="BE106" i="6"/>
  <c r="BD106" i="6"/>
  <c r="BC106" i="6"/>
  <c r="BA106" i="6"/>
  <c r="AZ106" i="6"/>
  <c r="AY106" i="6"/>
  <c r="AX106" i="6"/>
  <c r="AW106" i="6"/>
  <c r="AV106" i="6"/>
  <c r="AU106" i="6"/>
  <c r="AT106" i="6"/>
  <c r="AS106" i="6"/>
  <c r="AR106" i="6"/>
  <c r="AQ106" i="6"/>
  <c r="AP106" i="6"/>
  <c r="AO106" i="6"/>
  <c r="K110" i="12"/>
  <c r="K111" i="12" l="1"/>
  <c r="T110" i="5"/>
  <c r="D113" i="5"/>
  <c r="B113" i="12" s="1"/>
  <c r="G113" i="5"/>
  <c r="K113" i="5"/>
  <c r="N113" i="5"/>
  <c r="AE113" i="5"/>
  <c r="B113" i="6"/>
  <c r="A113" i="12"/>
  <c r="C114" i="5"/>
  <c r="B113" i="5"/>
  <c r="E113" i="5"/>
  <c r="F113" i="5"/>
  <c r="H113" i="5"/>
  <c r="J113" i="5"/>
  <c r="AD113" i="5"/>
  <c r="J112" i="12"/>
  <c r="L112" i="12"/>
  <c r="D112" i="6"/>
  <c r="H111" i="6" a="1"/>
  <c r="H111" i="6" s="1"/>
  <c r="G109" i="12"/>
  <c r="M109" i="6"/>
  <c r="A110" i="6"/>
  <c r="BA108" i="6"/>
  <c r="AZ108" i="6"/>
  <c r="AY108" i="6"/>
  <c r="AX108" i="6"/>
  <c r="AW108" i="6"/>
  <c r="CM108" i="6"/>
  <c r="CL108" i="6"/>
  <c r="CK108" i="6"/>
  <c r="CJ108" i="6"/>
  <c r="CI108" i="6"/>
  <c r="CH108" i="6"/>
  <c r="CG108" i="6"/>
  <c r="CF108" i="6"/>
  <c r="CE108" i="6"/>
  <c r="CD108" i="6"/>
  <c r="CC108" i="6"/>
  <c r="CB108" i="6"/>
  <c r="CA108" i="6"/>
  <c r="BZ108" i="6"/>
  <c r="BY108" i="6"/>
  <c r="BX108" i="6"/>
  <c r="BW108" i="6"/>
  <c r="BV108" i="6"/>
  <c r="BT108" i="6"/>
  <c r="BS108" i="6"/>
  <c r="BR108" i="6"/>
  <c r="BQ108" i="6"/>
  <c r="BP108" i="6"/>
  <c r="BO108" i="6"/>
  <c r="BN108" i="6"/>
  <c r="BM108" i="6"/>
  <c r="BL108" i="6"/>
  <c r="BK108" i="6"/>
  <c r="BJ108" i="6"/>
  <c r="BI108" i="6"/>
  <c r="BH108" i="6"/>
  <c r="BG108" i="6"/>
  <c r="BF108" i="6"/>
  <c r="BE108" i="6"/>
  <c r="BD108" i="6"/>
  <c r="BC108" i="6"/>
  <c r="AV108" i="6"/>
  <c r="AU108" i="6"/>
  <c r="AT108" i="6"/>
  <c r="AS108" i="6"/>
  <c r="AR108" i="6"/>
  <c r="AQ108" i="6"/>
  <c r="AP108" i="6"/>
  <c r="AO108" i="6"/>
  <c r="K112" i="12" l="1"/>
  <c r="G110" i="12"/>
  <c r="D113" i="6"/>
  <c r="J113" i="12"/>
  <c r="L113" i="12"/>
  <c r="E114" i="5"/>
  <c r="G114" i="5"/>
  <c r="J114" i="5"/>
  <c r="C115" i="5"/>
  <c r="B114" i="5"/>
  <c r="D114" i="5"/>
  <c r="B114" i="12" s="1"/>
  <c r="F114" i="5"/>
  <c r="H114" i="5"/>
  <c r="K114" i="5"/>
  <c r="N114" i="5"/>
  <c r="AD114" i="5"/>
  <c r="AE114" i="5"/>
  <c r="B114" i="6"/>
  <c r="A114" i="12"/>
  <c r="H112" i="6" a="1"/>
  <c r="H112" i="6" s="1"/>
  <c r="T111" i="5"/>
  <c r="BA109" i="6"/>
  <c r="AZ109" i="6"/>
  <c r="AY109" i="6"/>
  <c r="AX109" i="6"/>
  <c r="AV109" i="6"/>
  <c r="AT109" i="6"/>
  <c r="AQ109" i="6"/>
  <c r="CM109" i="6"/>
  <c r="CL109" i="6"/>
  <c r="CK109" i="6"/>
  <c r="CJ109" i="6"/>
  <c r="CI109" i="6"/>
  <c r="CH109" i="6"/>
  <c r="CG109" i="6"/>
  <c r="CF109" i="6"/>
  <c r="CE109" i="6"/>
  <c r="CD109" i="6"/>
  <c r="CC109" i="6"/>
  <c r="CB109" i="6"/>
  <c r="CA109" i="6"/>
  <c r="BZ109" i="6"/>
  <c r="BY109" i="6"/>
  <c r="BX109" i="6"/>
  <c r="BW109" i="6"/>
  <c r="BV109" i="6"/>
  <c r="BT109" i="6"/>
  <c r="BS109" i="6"/>
  <c r="BR109" i="6"/>
  <c r="BQ109" i="6"/>
  <c r="BP109" i="6"/>
  <c r="BO109" i="6"/>
  <c r="BN109" i="6"/>
  <c r="BM109" i="6"/>
  <c r="BL109" i="6"/>
  <c r="BK109" i="6"/>
  <c r="BJ109" i="6"/>
  <c r="BI109" i="6"/>
  <c r="BH109" i="6"/>
  <c r="BG109" i="6"/>
  <c r="BF109" i="6"/>
  <c r="BE109" i="6"/>
  <c r="BD109" i="6"/>
  <c r="BC109" i="6"/>
  <c r="AW109" i="6"/>
  <c r="AU109" i="6"/>
  <c r="AS109" i="6"/>
  <c r="AR109" i="6"/>
  <c r="AP109" i="6"/>
  <c r="AO109" i="6"/>
  <c r="A111" i="6"/>
  <c r="M110" i="6"/>
  <c r="K113" i="12" l="1"/>
  <c r="H113" i="6" a="1"/>
  <c r="H113" i="6" s="1"/>
  <c r="D115" i="5"/>
  <c r="B115" i="12" s="1"/>
  <c r="G115" i="5"/>
  <c r="J115" i="5"/>
  <c r="AE115" i="5"/>
  <c r="AD115" i="5"/>
  <c r="C116" i="5"/>
  <c r="C117" i="5" s="1"/>
  <c r="B115" i="5"/>
  <c r="E115" i="5"/>
  <c r="F115" i="5"/>
  <c r="H115" i="5"/>
  <c r="K115" i="5"/>
  <c r="N115" i="5"/>
  <c r="B115" i="6"/>
  <c r="A115" i="12"/>
  <c r="D114" i="6"/>
  <c r="J114" i="12"/>
  <c r="L114" i="12"/>
  <c r="T112" i="5"/>
  <c r="G111" i="12"/>
  <c r="M111" i="6"/>
  <c r="A112" i="6"/>
  <c r="BA110" i="6"/>
  <c r="AZ110" i="6"/>
  <c r="AY110" i="6"/>
  <c r="AX110" i="6"/>
  <c r="AW110" i="6"/>
  <c r="AV110" i="6"/>
  <c r="AU110" i="6"/>
  <c r="AT110" i="6"/>
  <c r="AS110" i="6"/>
  <c r="AR110" i="6"/>
  <c r="AQ110" i="6"/>
  <c r="AP110" i="6"/>
  <c r="AO110" i="6"/>
  <c r="CM110" i="6"/>
  <c r="CL110" i="6"/>
  <c r="CK110" i="6"/>
  <c r="CJ110" i="6"/>
  <c r="CI110" i="6"/>
  <c r="CH110" i="6"/>
  <c r="CG110" i="6"/>
  <c r="CF110" i="6"/>
  <c r="CE110" i="6"/>
  <c r="CD110" i="6"/>
  <c r="CC110" i="6"/>
  <c r="CB110" i="6"/>
  <c r="CA110" i="6"/>
  <c r="BZ110" i="6"/>
  <c r="BY110" i="6"/>
  <c r="BX110" i="6"/>
  <c r="BW110" i="6"/>
  <c r="BV110" i="6"/>
  <c r="BT110" i="6"/>
  <c r="BS110" i="6"/>
  <c r="BR110" i="6"/>
  <c r="BQ110" i="6"/>
  <c r="BP110" i="6"/>
  <c r="BO110" i="6"/>
  <c r="BN110" i="6"/>
  <c r="BM110" i="6"/>
  <c r="BL110" i="6"/>
  <c r="BK110" i="6"/>
  <c r="BJ110" i="6"/>
  <c r="BI110" i="6"/>
  <c r="BH110" i="6"/>
  <c r="BG110" i="6"/>
  <c r="BF110" i="6"/>
  <c r="BE110" i="6"/>
  <c r="BD110" i="6"/>
  <c r="BC110" i="6"/>
  <c r="D117" i="5" l="1"/>
  <c r="B117" i="12" s="1"/>
  <c r="J117" i="5"/>
  <c r="K117" i="5"/>
  <c r="N117" i="5"/>
  <c r="AD117" i="5"/>
  <c r="AE117" i="5"/>
  <c r="C118" i="5"/>
  <c r="B117" i="6"/>
  <c r="A117" i="12"/>
  <c r="T113" i="5"/>
  <c r="E116" i="5"/>
  <c r="E117" i="5" s="1"/>
  <c r="G116" i="5"/>
  <c r="G117" i="5" s="1"/>
  <c r="K116" i="5"/>
  <c r="AD116" i="5"/>
  <c r="AE116" i="5"/>
  <c r="B116" i="6"/>
  <c r="A116" i="12"/>
  <c r="B116" i="5"/>
  <c r="B117" i="5" s="1"/>
  <c r="D116" i="5"/>
  <c r="B116" i="12" s="1"/>
  <c r="F116" i="5"/>
  <c r="F117" i="5" s="1"/>
  <c r="H116" i="5"/>
  <c r="H117" i="5" s="1"/>
  <c r="J116" i="5"/>
  <c r="N116" i="5"/>
  <c r="D115" i="6"/>
  <c r="J115" i="12"/>
  <c r="L115" i="12"/>
  <c r="H114" i="6" a="1"/>
  <c r="H114" i="6" s="1"/>
  <c r="G112" i="12"/>
  <c r="AX111" i="6"/>
  <c r="AU111" i="6"/>
  <c r="AT111" i="6"/>
  <c r="AS111" i="6"/>
  <c r="BA111" i="6"/>
  <c r="AW111" i="6"/>
  <c r="AY111" i="6"/>
  <c r="AZ111" i="6"/>
  <c r="AV111" i="6"/>
  <c r="AQ111" i="6"/>
  <c r="AP111" i="6"/>
  <c r="CM111" i="6"/>
  <c r="CL111" i="6"/>
  <c r="CK111" i="6"/>
  <c r="CJ111" i="6"/>
  <c r="CI111" i="6"/>
  <c r="CH111" i="6"/>
  <c r="CG111" i="6"/>
  <c r="CF111" i="6"/>
  <c r="CE111" i="6"/>
  <c r="CD111" i="6"/>
  <c r="CC111" i="6"/>
  <c r="CB111" i="6"/>
  <c r="CA111" i="6"/>
  <c r="BZ111" i="6"/>
  <c r="BY111" i="6"/>
  <c r="BX111" i="6"/>
  <c r="BW111" i="6"/>
  <c r="BV111" i="6"/>
  <c r="BT111" i="6"/>
  <c r="BS111" i="6"/>
  <c r="BR111" i="6"/>
  <c r="BQ111" i="6"/>
  <c r="BP111" i="6"/>
  <c r="BO111" i="6"/>
  <c r="BN111" i="6"/>
  <c r="BM111" i="6"/>
  <c r="BL111" i="6"/>
  <c r="BK111" i="6"/>
  <c r="BJ111" i="6"/>
  <c r="BI111" i="6"/>
  <c r="BH111" i="6"/>
  <c r="BG111" i="6"/>
  <c r="BF111" i="6"/>
  <c r="BE111" i="6"/>
  <c r="BD111" i="6"/>
  <c r="BC111" i="6"/>
  <c r="AR111" i="6"/>
  <c r="AO111" i="6"/>
  <c r="M112" i="6"/>
  <c r="A113" i="6"/>
  <c r="K114" i="12"/>
  <c r="D117" i="6" l="1"/>
  <c r="D118" i="5"/>
  <c r="B118" i="12" s="1"/>
  <c r="E118" i="5"/>
  <c r="F118" i="5"/>
  <c r="G118" i="5"/>
  <c r="H118" i="5"/>
  <c r="J118" i="5"/>
  <c r="K118" i="5"/>
  <c r="B118" i="6"/>
  <c r="AD118" i="5"/>
  <c r="AE118" i="5"/>
  <c r="C119" i="5"/>
  <c r="N118" i="5"/>
  <c r="A118" i="12"/>
  <c r="B118" i="5"/>
  <c r="J117" i="12"/>
  <c r="L117" i="12"/>
  <c r="K115" i="12"/>
  <c r="G113" i="12"/>
  <c r="J116" i="12"/>
  <c r="L116" i="12"/>
  <c r="D116" i="6"/>
  <c r="H115" i="6" a="1"/>
  <c r="H115" i="6" s="1"/>
  <c r="T114" i="5"/>
  <c r="BA112" i="6"/>
  <c r="AZ112" i="6"/>
  <c r="AY112" i="6"/>
  <c r="AX112" i="6"/>
  <c r="AW112" i="6"/>
  <c r="AV112" i="6"/>
  <c r="AU112" i="6"/>
  <c r="AT112" i="6"/>
  <c r="CM112" i="6"/>
  <c r="CL112" i="6"/>
  <c r="CK112" i="6"/>
  <c r="CJ112" i="6"/>
  <c r="CI112" i="6"/>
  <c r="CH112" i="6"/>
  <c r="CG112" i="6"/>
  <c r="CF112" i="6"/>
  <c r="CE112" i="6"/>
  <c r="CD112" i="6"/>
  <c r="CC112" i="6"/>
  <c r="CB112" i="6"/>
  <c r="CA112" i="6"/>
  <c r="BZ112" i="6"/>
  <c r="BY112" i="6"/>
  <c r="BX112" i="6"/>
  <c r="BW112" i="6"/>
  <c r="BV112" i="6"/>
  <c r="BT112" i="6"/>
  <c r="BS112" i="6"/>
  <c r="BR112" i="6"/>
  <c r="BQ112" i="6"/>
  <c r="BP112" i="6"/>
  <c r="BO112" i="6"/>
  <c r="BN112" i="6"/>
  <c r="BM112" i="6"/>
  <c r="BL112" i="6"/>
  <c r="BK112" i="6"/>
  <c r="BJ112" i="6"/>
  <c r="BI112" i="6"/>
  <c r="BH112" i="6"/>
  <c r="BG112" i="6"/>
  <c r="BF112" i="6"/>
  <c r="BE112" i="6"/>
  <c r="BD112" i="6"/>
  <c r="BC112" i="6"/>
  <c r="AR112" i="6"/>
  <c r="AP112" i="6"/>
  <c r="AS112" i="6"/>
  <c r="AQ112" i="6"/>
  <c r="AO112" i="6"/>
  <c r="A114" i="6"/>
  <c r="M113" i="6"/>
  <c r="K117" i="12" l="1"/>
  <c r="H117" i="6" a="1"/>
  <c r="H117" i="6" s="1"/>
  <c r="F119" i="5"/>
  <c r="H119" i="5"/>
  <c r="J119" i="5"/>
  <c r="AD119" i="5"/>
  <c r="AE119" i="5"/>
  <c r="C120" i="5"/>
  <c r="B119" i="5"/>
  <c r="E119" i="5"/>
  <c r="G119" i="5"/>
  <c r="K119" i="5"/>
  <c r="N119" i="5"/>
  <c r="A119" i="12"/>
  <c r="D119" i="5"/>
  <c r="B119" i="12" s="1"/>
  <c r="B119" i="6"/>
  <c r="D118" i="6"/>
  <c r="J118" i="12"/>
  <c r="L118" i="12"/>
  <c r="K116" i="12"/>
  <c r="H116" i="6" a="1"/>
  <c r="H116" i="6" s="1"/>
  <c r="T115" i="5"/>
  <c r="G114" i="12"/>
  <c r="M114" i="6"/>
  <c r="A115" i="6"/>
  <c r="AW113" i="6"/>
  <c r="BA113" i="6"/>
  <c r="AY113" i="6"/>
  <c r="AX113" i="6"/>
  <c r="AZ113" i="6"/>
  <c r="CM113" i="6"/>
  <c r="CL113" i="6"/>
  <c r="CK113" i="6"/>
  <c r="CJ113" i="6"/>
  <c r="CI113" i="6"/>
  <c r="CH113" i="6"/>
  <c r="CG113" i="6"/>
  <c r="CF113" i="6"/>
  <c r="CE113" i="6"/>
  <c r="CD113" i="6"/>
  <c r="CC113" i="6"/>
  <c r="CB113" i="6"/>
  <c r="CA113" i="6"/>
  <c r="BZ113" i="6"/>
  <c r="BY113" i="6"/>
  <c r="BX113" i="6"/>
  <c r="BW113" i="6"/>
  <c r="BV113" i="6"/>
  <c r="BT113" i="6"/>
  <c r="BS113" i="6"/>
  <c r="BR113" i="6"/>
  <c r="BQ113" i="6"/>
  <c r="BP113" i="6"/>
  <c r="BO113" i="6"/>
  <c r="BN113" i="6"/>
  <c r="BM113" i="6"/>
  <c r="BL113" i="6"/>
  <c r="BK113" i="6"/>
  <c r="BJ113" i="6"/>
  <c r="BI113" i="6"/>
  <c r="BH113" i="6"/>
  <c r="BG113" i="6"/>
  <c r="BF113" i="6"/>
  <c r="BE113" i="6"/>
  <c r="BD113" i="6"/>
  <c r="BC113" i="6"/>
  <c r="AV113" i="6"/>
  <c r="AU113" i="6"/>
  <c r="AT113" i="6"/>
  <c r="AS113" i="6"/>
  <c r="AR113" i="6"/>
  <c r="AQ113" i="6"/>
  <c r="AP113" i="6"/>
  <c r="AO113" i="6"/>
  <c r="K118" i="12" l="1"/>
  <c r="T117" i="5"/>
  <c r="G120" i="5"/>
  <c r="K120" i="5"/>
  <c r="N120" i="5"/>
  <c r="A120" i="12"/>
  <c r="B120" i="5"/>
  <c r="D120" i="5"/>
  <c r="B120" i="12" s="1"/>
  <c r="F120" i="5"/>
  <c r="AD120" i="5"/>
  <c r="AE120" i="5"/>
  <c r="B120" i="6"/>
  <c r="E120" i="5"/>
  <c r="H120" i="5"/>
  <c r="J120" i="5"/>
  <c r="C121" i="5"/>
  <c r="D119" i="6"/>
  <c r="J119" i="12"/>
  <c r="L119" i="12"/>
  <c r="H118" i="6" a="1"/>
  <c r="H118" i="6" s="1"/>
  <c r="T116" i="5"/>
  <c r="G115" i="12"/>
  <c r="AY114" i="6"/>
  <c r="AZ114" i="6"/>
  <c r="AW114" i="6"/>
  <c r="AX114" i="6"/>
  <c r="BA114" i="6"/>
  <c r="AV114" i="6"/>
  <c r="CM114" i="6"/>
  <c r="CL114" i="6"/>
  <c r="CK114" i="6"/>
  <c r="CJ114" i="6"/>
  <c r="CI114" i="6"/>
  <c r="CH114" i="6"/>
  <c r="CG114" i="6"/>
  <c r="CF114" i="6"/>
  <c r="CE114" i="6"/>
  <c r="CD114" i="6"/>
  <c r="CC114" i="6"/>
  <c r="CB114" i="6"/>
  <c r="CA114" i="6"/>
  <c r="BZ114" i="6"/>
  <c r="BY114" i="6"/>
  <c r="BX114" i="6"/>
  <c r="BW114" i="6"/>
  <c r="BV114" i="6"/>
  <c r="BT114" i="6"/>
  <c r="BS114" i="6"/>
  <c r="BR114" i="6"/>
  <c r="BQ114" i="6"/>
  <c r="BP114" i="6"/>
  <c r="BO114" i="6"/>
  <c r="BN114" i="6"/>
  <c r="BM114" i="6"/>
  <c r="BL114" i="6"/>
  <c r="BK114" i="6"/>
  <c r="BJ114" i="6"/>
  <c r="BI114" i="6"/>
  <c r="BH114" i="6"/>
  <c r="BG114" i="6"/>
  <c r="BF114" i="6"/>
  <c r="BE114" i="6"/>
  <c r="BD114" i="6"/>
  <c r="BC114" i="6"/>
  <c r="AU114" i="6"/>
  <c r="AT114" i="6"/>
  <c r="AS114" i="6"/>
  <c r="AR114" i="6"/>
  <c r="AQ114" i="6"/>
  <c r="AP114" i="6"/>
  <c r="AO114" i="6"/>
  <c r="M115" i="6"/>
  <c r="A116" i="6"/>
  <c r="A117" i="6" s="1"/>
  <c r="K83" i="5"/>
  <c r="K119" i="12" l="1"/>
  <c r="G117" i="12"/>
  <c r="D120" i="6"/>
  <c r="J120" i="12"/>
  <c r="L120" i="12"/>
  <c r="H121" i="5"/>
  <c r="K121" i="5"/>
  <c r="C122" i="5"/>
  <c r="B121" i="6"/>
  <c r="D121" i="5"/>
  <c r="B121" i="12" s="1"/>
  <c r="G121" i="5"/>
  <c r="J121" i="5"/>
  <c r="B121" i="5"/>
  <c r="F121" i="5"/>
  <c r="N121" i="5"/>
  <c r="A121" i="12"/>
  <c r="E121" i="5"/>
  <c r="AD121" i="5"/>
  <c r="AE121" i="5"/>
  <c r="H119" i="6" a="1"/>
  <c r="H119" i="6" s="1"/>
  <c r="T118" i="5"/>
  <c r="A118" i="6"/>
  <c r="M117" i="6"/>
  <c r="G116" i="12"/>
  <c r="CM115" i="6"/>
  <c r="CL115" i="6"/>
  <c r="CK115" i="6"/>
  <c r="CJ115" i="6"/>
  <c r="CI115" i="6"/>
  <c r="CH115" i="6"/>
  <c r="CG115" i="6"/>
  <c r="CF115" i="6"/>
  <c r="CE115" i="6"/>
  <c r="CD115" i="6"/>
  <c r="CC115" i="6"/>
  <c r="CB115" i="6"/>
  <c r="CA115" i="6"/>
  <c r="BZ115" i="6"/>
  <c r="BY115" i="6"/>
  <c r="BX115" i="6"/>
  <c r="BW115" i="6"/>
  <c r="BV115" i="6"/>
  <c r="BT115" i="6"/>
  <c r="BS115" i="6"/>
  <c r="BR115" i="6"/>
  <c r="BQ115" i="6"/>
  <c r="BP115" i="6"/>
  <c r="BO115" i="6"/>
  <c r="BN115" i="6"/>
  <c r="BM115" i="6"/>
  <c r="BL115" i="6"/>
  <c r="BK115" i="6"/>
  <c r="BJ115" i="6"/>
  <c r="BI115" i="6"/>
  <c r="BH115" i="6"/>
  <c r="BG115" i="6"/>
  <c r="BF115" i="6"/>
  <c r="BE115" i="6"/>
  <c r="BD115" i="6"/>
  <c r="BC115" i="6"/>
  <c r="BA115" i="6"/>
  <c r="AZ115" i="6"/>
  <c r="AY115" i="6"/>
  <c r="AX115" i="6"/>
  <c r="AW115" i="6"/>
  <c r="AV115" i="6"/>
  <c r="AU115" i="6"/>
  <c r="AT115" i="6"/>
  <c r="AS115" i="6"/>
  <c r="AR115" i="6"/>
  <c r="AQ115" i="6"/>
  <c r="AP115" i="6"/>
  <c r="AO115" i="6"/>
  <c r="M116" i="6"/>
  <c r="K120" i="12" l="1"/>
  <c r="H120" i="6" a="1"/>
  <c r="H120" i="6" s="1"/>
  <c r="G122" i="5"/>
  <c r="C123" i="5"/>
  <c r="B122" i="6"/>
  <c r="E122" i="5"/>
  <c r="J122" i="5"/>
  <c r="AD122" i="5"/>
  <c r="AE122" i="5"/>
  <c r="A122" i="12"/>
  <c r="B122" i="5"/>
  <c r="D122" i="5"/>
  <c r="B122" i="12" s="1"/>
  <c r="F122" i="5"/>
  <c r="H122" i="5"/>
  <c r="K122" i="5"/>
  <c r="N122" i="5"/>
  <c r="D121" i="6"/>
  <c r="J121" i="12"/>
  <c r="L121" i="12"/>
  <c r="T119" i="5"/>
  <c r="G118" i="12"/>
  <c r="M118" i="6"/>
  <c r="A119" i="6"/>
  <c r="CM117" i="6"/>
  <c r="CK117" i="6"/>
  <c r="CI117" i="6"/>
  <c r="CG117" i="6"/>
  <c r="CE117" i="6"/>
  <c r="CC117" i="6"/>
  <c r="CB117" i="6"/>
  <c r="BZ117" i="6"/>
  <c r="BX117" i="6"/>
  <c r="BV117" i="6"/>
  <c r="BR117" i="6"/>
  <c r="CL117" i="6"/>
  <c r="CJ117" i="6"/>
  <c r="CH117" i="6"/>
  <c r="CF117" i="6"/>
  <c r="CD117" i="6"/>
  <c r="CA117" i="6"/>
  <c r="BY117" i="6"/>
  <c r="BW117" i="6"/>
  <c r="BT117" i="6"/>
  <c r="BS117" i="6"/>
  <c r="BQ117" i="6"/>
  <c r="BP117" i="6"/>
  <c r="BO117" i="6"/>
  <c r="BN117" i="6"/>
  <c r="BM117" i="6"/>
  <c r="BL117" i="6"/>
  <c r="BK117" i="6"/>
  <c r="BJ117" i="6"/>
  <c r="BI117" i="6"/>
  <c r="BH117" i="6"/>
  <c r="BG117" i="6"/>
  <c r="BF117" i="6"/>
  <c r="BE117" i="6"/>
  <c r="BD117" i="6"/>
  <c r="BC117" i="6"/>
  <c r="BA117" i="6"/>
  <c r="AZ117" i="6"/>
  <c r="AY117" i="6"/>
  <c r="AX117" i="6"/>
  <c r="AW117" i="6"/>
  <c r="AV117" i="6"/>
  <c r="AU117" i="6"/>
  <c r="AT117" i="6"/>
  <c r="AS117" i="6"/>
  <c r="AR117" i="6"/>
  <c r="AQ117" i="6"/>
  <c r="AP117" i="6"/>
  <c r="AO117" i="6"/>
  <c r="BA116" i="6"/>
  <c r="AZ116" i="6"/>
  <c r="AY116" i="6"/>
  <c r="AX116" i="6"/>
  <c r="AW116" i="6"/>
  <c r="AV116" i="6"/>
  <c r="AU116" i="6"/>
  <c r="AT116" i="6"/>
  <c r="AS116" i="6"/>
  <c r="AR116" i="6"/>
  <c r="AQ116" i="6"/>
  <c r="AP116" i="6"/>
  <c r="AO116" i="6"/>
  <c r="CM116" i="6"/>
  <c r="CL116" i="6"/>
  <c r="CK116" i="6"/>
  <c r="CJ116" i="6"/>
  <c r="CI116" i="6"/>
  <c r="CH116" i="6"/>
  <c r="CG116" i="6"/>
  <c r="CF116" i="6"/>
  <c r="CE116" i="6"/>
  <c r="CD116" i="6"/>
  <c r="CC116" i="6"/>
  <c r="CB116" i="6"/>
  <c r="CA116" i="6"/>
  <c r="BZ116" i="6"/>
  <c r="BY116" i="6"/>
  <c r="BX116" i="6"/>
  <c r="BW116" i="6"/>
  <c r="BV116" i="6"/>
  <c r="BT116" i="6"/>
  <c r="BS116" i="6"/>
  <c r="BR116" i="6"/>
  <c r="BQ116" i="6"/>
  <c r="BP116" i="6"/>
  <c r="BO116" i="6"/>
  <c r="BN116" i="6"/>
  <c r="BM116" i="6"/>
  <c r="BL116" i="6"/>
  <c r="BK116" i="6"/>
  <c r="BJ116" i="6"/>
  <c r="BI116" i="6"/>
  <c r="BH116" i="6"/>
  <c r="BG116" i="6"/>
  <c r="BF116" i="6"/>
  <c r="BE116" i="6"/>
  <c r="BD116" i="6"/>
  <c r="BC116" i="6"/>
  <c r="K121" i="12" l="1"/>
  <c r="T120" i="5"/>
  <c r="D123" i="5"/>
  <c r="B123" i="12" s="1"/>
  <c r="F123" i="5"/>
  <c r="K123" i="5"/>
  <c r="N123" i="5"/>
  <c r="B123" i="5"/>
  <c r="E123" i="5"/>
  <c r="G123" i="5"/>
  <c r="H123" i="5"/>
  <c r="J123" i="5"/>
  <c r="C124" i="5"/>
  <c r="B123" i="6"/>
  <c r="A123" i="12"/>
  <c r="AD123" i="5"/>
  <c r="AE123" i="5"/>
  <c r="J122" i="12"/>
  <c r="L122" i="12"/>
  <c r="D122" i="6"/>
  <c r="H121" i="6" a="1"/>
  <c r="H121" i="6" s="1"/>
  <c r="G119" i="12"/>
  <c r="BA118" i="6"/>
  <c r="AZ118" i="6"/>
  <c r="AY118" i="6"/>
  <c r="AX118" i="6"/>
  <c r="AW118" i="6"/>
  <c r="AV118" i="6"/>
  <c r="AU118" i="6"/>
  <c r="AT118" i="6"/>
  <c r="AS118" i="6"/>
  <c r="AR118" i="6"/>
  <c r="CM118" i="6"/>
  <c r="CL118" i="6"/>
  <c r="CK118" i="6"/>
  <c r="CJ118" i="6"/>
  <c r="CI118" i="6"/>
  <c r="CH118" i="6"/>
  <c r="CG118" i="6"/>
  <c r="CF118" i="6"/>
  <c r="CE118" i="6"/>
  <c r="CD118" i="6"/>
  <c r="CC118" i="6"/>
  <c r="CB118" i="6"/>
  <c r="CA118" i="6"/>
  <c r="BZ118" i="6"/>
  <c r="BY118" i="6"/>
  <c r="BX118" i="6"/>
  <c r="BW118" i="6"/>
  <c r="BV118" i="6"/>
  <c r="BT118" i="6"/>
  <c r="BS118" i="6"/>
  <c r="BR118" i="6"/>
  <c r="BQ118" i="6"/>
  <c r="BP118" i="6"/>
  <c r="BO118" i="6"/>
  <c r="BN118" i="6"/>
  <c r="BM118" i="6"/>
  <c r="BL118" i="6"/>
  <c r="BK118" i="6"/>
  <c r="BJ118" i="6"/>
  <c r="BI118" i="6"/>
  <c r="BH118" i="6"/>
  <c r="BG118" i="6"/>
  <c r="BF118" i="6"/>
  <c r="BE118" i="6"/>
  <c r="BD118" i="6"/>
  <c r="BC118" i="6"/>
  <c r="AQ118" i="6"/>
  <c r="AP118" i="6"/>
  <c r="AO118" i="6"/>
  <c r="M119" i="6"/>
  <c r="A120" i="6"/>
  <c r="K122" i="12" l="1"/>
  <c r="G120" i="12"/>
  <c r="D123" i="6"/>
  <c r="D124" i="5"/>
  <c r="B124" i="12" s="1"/>
  <c r="F124" i="5"/>
  <c r="H124" i="5"/>
  <c r="K124" i="5"/>
  <c r="N124" i="5"/>
  <c r="AD124" i="5"/>
  <c r="AE124" i="5"/>
  <c r="B124" i="6"/>
  <c r="A124" i="12"/>
  <c r="B124" i="5"/>
  <c r="E124" i="5"/>
  <c r="G124" i="5"/>
  <c r="J124" i="5"/>
  <c r="C125" i="5"/>
  <c r="J123" i="12"/>
  <c r="L123" i="12"/>
  <c r="H122" i="6" a="1"/>
  <c r="H122" i="6" s="1"/>
  <c r="T121" i="5"/>
  <c r="AT119" i="6"/>
  <c r="AV119" i="6"/>
  <c r="AR119" i="6"/>
  <c r="AO119" i="6"/>
  <c r="AW119" i="6"/>
  <c r="AY119" i="6"/>
  <c r="AS119" i="6"/>
  <c r="AQ119" i="6"/>
  <c r="AU119" i="6"/>
  <c r="AP119" i="6"/>
  <c r="BA119" i="6"/>
  <c r="AZ119" i="6"/>
  <c r="AX119" i="6"/>
  <c r="CM119" i="6"/>
  <c r="CL119" i="6"/>
  <c r="CK119" i="6"/>
  <c r="CJ119" i="6"/>
  <c r="CI119" i="6"/>
  <c r="CH119" i="6"/>
  <c r="CG119" i="6"/>
  <c r="CF119" i="6"/>
  <c r="CE119" i="6"/>
  <c r="CD119" i="6"/>
  <c r="CC119" i="6"/>
  <c r="CB119" i="6"/>
  <c r="CA119" i="6"/>
  <c r="BZ119" i="6"/>
  <c r="BY119" i="6"/>
  <c r="BX119" i="6"/>
  <c r="BW119" i="6"/>
  <c r="BV119" i="6"/>
  <c r="BT119" i="6"/>
  <c r="BS119" i="6"/>
  <c r="BR119" i="6"/>
  <c r="BQ119" i="6"/>
  <c r="BP119" i="6"/>
  <c r="BO119" i="6"/>
  <c r="BN119" i="6"/>
  <c r="BM119" i="6"/>
  <c r="BL119" i="6"/>
  <c r="BK119" i="6"/>
  <c r="BJ119" i="6"/>
  <c r="BI119" i="6"/>
  <c r="BH119" i="6"/>
  <c r="BG119" i="6"/>
  <c r="BF119" i="6"/>
  <c r="BE119" i="6"/>
  <c r="BD119" i="6"/>
  <c r="BC119" i="6"/>
  <c r="A121" i="6"/>
  <c r="M120" i="6"/>
  <c r="K123" i="12" l="1"/>
  <c r="H123" i="6" a="1"/>
  <c r="H123" i="6" s="1"/>
  <c r="D124" i="6"/>
  <c r="J124" i="12"/>
  <c r="L124" i="12"/>
  <c r="D125" i="5"/>
  <c r="B125" i="12" s="1"/>
  <c r="F125" i="5"/>
  <c r="H125" i="5"/>
  <c r="K125" i="5"/>
  <c r="N125" i="5"/>
  <c r="AD125" i="5"/>
  <c r="AE125" i="5"/>
  <c r="C126" i="5"/>
  <c r="B125" i="5"/>
  <c r="E125" i="5"/>
  <c r="G125" i="5"/>
  <c r="J125" i="5"/>
  <c r="B125" i="6"/>
  <c r="A125" i="12"/>
  <c r="T122" i="5"/>
  <c r="G121" i="12"/>
  <c r="M121" i="6"/>
  <c r="A122" i="6"/>
  <c r="CM120" i="6"/>
  <c r="CL120" i="6"/>
  <c r="CK120" i="6"/>
  <c r="CJ120" i="6"/>
  <c r="CI120" i="6"/>
  <c r="CH120" i="6"/>
  <c r="CG120" i="6"/>
  <c r="CF120" i="6"/>
  <c r="CE120" i="6"/>
  <c r="CD120" i="6"/>
  <c r="CC120" i="6"/>
  <c r="CB120" i="6"/>
  <c r="CA120" i="6"/>
  <c r="BZ120" i="6"/>
  <c r="BY120" i="6"/>
  <c r="BX120" i="6"/>
  <c r="BW120" i="6"/>
  <c r="BV120" i="6"/>
  <c r="BT120" i="6"/>
  <c r="BS120" i="6"/>
  <c r="BR120" i="6"/>
  <c r="BQ120" i="6"/>
  <c r="BP120" i="6"/>
  <c r="BO120" i="6"/>
  <c r="BN120" i="6"/>
  <c r="BM120" i="6"/>
  <c r="BL120" i="6"/>
  <c r="BK120" i="6"/>
  <c r="BJ120" i="6"/>
  <c r="BI120" i="6"/>
  <c r="BH120" i="6"/>
  <c r="BG120" i="6"/>
  <c r="BF120" i="6"/>
  <c r="BE120" i="6"/>
  <c r="BD120" i="6"/>
  <c r="BC120" i="6"/>
  <c r="BA120" i="6"/>
  <c r="AZ120" i="6"/>
  <c r="AY120" i="6"/>
  <c r="AX120" i="6"/>
  <c r="AW120" i="6"/>
  <c r="AV120" i="6"/>
  <c r="AU120" i="6"/>
  <c r="AT120" i="6"/>
  <c r="AS120" i="6"/>
  <c r="AR120" i="6"/>
  <c r="AQ120" i="6"/>
  <c r="AP120" i="6"/>
  <c r="AO120" i="6"/>
  <c r="K124" i="12" l="1"/>
  <c r="T123" i="5"/>
  <c r="H124" i="6" a="1"/>
  <c r="H124" i="6" s="1"/>
  <c r="D125" i="6"/>
  <c r="C127" i="5"/>
  <c r="D126" i="5"/>
  <c r="B126" i="12" s="1"/>
  <c r="G126" i="5"/>
  <c r="H126" i="5"/>
  <c r="K126" i="5"/>
  <c r="AD126" i="5"/>
  <c r="AE126" i="5"/>
  <c r="B126" i="5"/>
  <c r="F126" i="5"/>
  <c r="J126" i="5"/>
  <c r="N126" i="5"/>
  <c r="B126" i="6"/>
  <c r="A126" i="12"/>
  <c r="E126" i="5"/>
  <c r="J125" i="12"/>
  <c r="L125" i="12"/>
  <c r="G122" i="12"/>
  <c r="AZ121" i="6"/>
  <c r="AY121" i="6"/>
  <c r="AW121" i="6"/>
  <c r="AU121" i="6"/>
  <c r="AS121" i="6"/>
  <c r="AQ121" i="6"/>
  <c r="AO121" i="6"/>
  <c r="BA121" i="6"/>
  <c r="AX121" i="6"/>
  <c r="AV121" i="6"/>
  <c r="AT121" i="6"/>
  <c r="AR121" i="6"/>
  <c r="AP121" i="6"/>
  <c r="CM121" i="6"/>
  <c r="CL121" i="6"/>
  <c r="CK121" i="6"/>
  <c r="CJ121" i="6"/>
  <c r="CI121" i="6"/>
  <c r="CH121" i="6"/>
  <c r="CG121" i="6"/>
  <c r="CF121" i="6"/>
  <c r="CE121" i="6"/>
  <c r="CD121" i="6"/>
  <c r="CC121" i="6"/>
  <c r="CB121" i="6"/>
  <c r="CA121" i="6"/>
  <c r="BZ121" i="6"/>
  <c r="BY121" i="6"/>
  <c r="BX121" i="6"/>
  <c r="BW121" i="6"/>
  <c r="BV121" i="6"/>
  <c r="BT121" i="6"/>
  <c r="BS121" i="6"/>
  <c r="BR121" i="6"/>
  <c r="BQ121" i="6"/>
  <c r="BP121" i="6"/>
  <c r="BO121" i="6"/>
  <c r="BN121" i="6"/>
  <c r="BM121" i="6"/>
  <c r="BL121" i="6"/>
  <c r="BK121" i="6"/>
  <c r="BJ121" i="6"/>
  <c r="BI121" i="6"/>
  <c r="BH121" i="6"/>
  <c r="BG121" i="6"/>
  <c r="BF121" i="6"/>
  <c r="BE121" i="6"/>
  <c r="BD121" i="6"/>
  <c r="BC121" i="6"/>
  <c r="M122" i="6"/>
  <c r="A123" i="6"/>
  <c r="I74" i="10"/>
  <c r="I75" i="10" s="1"/>
  <c r="K125" i="12" l="1"/>
  <c r="G123" i="12"/>
  <c r="T124" i="5"/>
  <c r="H125" i="6" a="1"/>
  <c r="H125" i="6" s="1"/>
  <c r="A127" i="12"/>
  <c r="B127" i="6"/>
  <c r="AE127" i="5"/>
  <c r="AD127" i="5"/>
  <c r="H127" i="5"/>
  <c r="F127" i="5"/>
  <c r="D127" i="5"/>
  <c r="B127" i="12" s="1"/>
  <c r="B127" i="5"/>
  <c r="C128" i="5" s="1"/>
  <c r="N127" i="5"/>
  <c r="K127" i="5"/>
  <c r="J127" i="5"/>
  <c r="G127" i="5"/>
  <c r="E127" i="5"/>
  <c r="D126" i="6"/>
  <c r="J126" i="12"/>
  <c r="L126" i="12"/>
  <c r="CM122" i="6"/>
  <c r="CL122" i="6"/>
  <c r="CK122" i="6"/>
  <c r="CJ122" i="6"/>
  <c r="CI122" i="6"/>
  <c r="CH122" i="6"/>
  <c r="CG122" i="6"/>
  <c r="CF122" i="6"/>
  <c r="CE122" i="6"/>
  <c r="CD122" i="6"/>
  <c r="CC122" i="6"/>
  <c r="CB122" i="6"/>
  <c r="CA122" i="6"/>
  <c r="BZ122" i="6"/>
  <c r="BY122" i="6"/>
  <c r="BX122" i="6"/>
  <c r="BW122" i="6"/>
  <c r="BV122" i="6"/>
  <c r="BT122" i="6"/>
  <c r="BS122" i="6"/>
  <c r="BR122" i="6"/>
  <c r="BQ122" i="6"/>
  <c r="BP122" i="6"/>
  <c r="BO122" i="6"/>
  <c r="BN122" i="6"/>
  <c r="BM122" i="6"/>
  <c r="BL122" i="6"/>
  <c r="BK122" i="6"/>
  <c r="BJ122" i="6"/>
  <c r="BI122" i="6"/>
  <c r="BH122" i="6"/>
  <c r="BG122" i="6"/>
  <c r="BF122" i="6"/>
  <c r="BE122" i="6"/>
  <c r="BD122" i="6"/>
  <c r="BC122" i="6"/>
  <c r="BA122" i="6"/>
  <c r="AZ122" i="6"/>
  <c r="AY122" i="6"/>
  <c r="AX122" i="6"/>
  <c r="AW122" i="6"/>
  <c r="AV122" i="6"/>
  <c r="AU122" i="6"/>
  <c r="AT122" i="6"/>
  <c r="AS122" i="6"/>
  <c r="AR122" i="6"/>
  <c r="AQ122" i="6"/>
  <c r="AP122" i="6"/>
  <c r="AO122" i="6"/>
  <c r="A124" i="6"/>
  <c r="M123" i="6"/>
  <c r="K126" i="12" l="1"/>
  <c r="G124" i="12"/>
  <c r="T125" i="5"/>
  <c r="L127" i="12"/>
  <c r="J127" i="12"/>
  <c r="E128" i="5"/>
  <c r="AD128" i="5"/>
  <c r="W128" i="5"/>
  <c r="H128" i="12" s="1"/>
  <c r="AE128" i="5"/>
  <c r="A128" i="12"/>
  <c r="I128" i="5"/>
  <c r="B128" i="6"/>
  <c r="C129" i="5"/>
  <c r="F128" i="5"/>
  <c r="G128" i="5"/>
  <c r="B128" i="5"/>
  <c r="H128" i="5"/>
  <c r="N128" i="5"/>
  <c r="D128" i="6" s="1"/>
  <c r="D127" i="6"/>
  <c r="H126" i="6" a="1"/>
  <c r="H126" i="6" s="1"/>
  <c r="M124" i="6"/>
  <c r="A125" i="6"/>
  <c r="CM123" i="6"/>
  <c r="CL123" i="6"/>
  <c r="CK123" i="6"/>
  <c r="CJ123" i="6"/>
  <c r="CI123" i="6"/>
  <c r="CH123" i="6"/>
  <c r="CG123" i="6"/>
  <c r="CF123" i="6"/>
  <c r="CE123" i="6"/>
  <c r="CD123" i="6"/>
  <c r="CC123" i="6"/>
  <c r="CB123" i="6"/>
  <c r="CA123" i="6"/>
  <c r="BZ123" i="6"/>
  <c r="BY123" i="6"/>
  <c r="BX123" i="6"/>
  <c r="BW123" i="6"/>
  <c r="BV123" i="6"/>
  <c r="BT123" i="6"/>
  <c r="BS123" i="6"/>
  <c r="BR123" i="6"/>
  <c r="BQ123" i="6"/>
  <c r="BP123" i="6"/>
  <c r="BO123" i="6"/>
  <c r="BN123" i="6"/>
  <c r="BM123" i="6"/>
  <c r="BL123" i="6"/>
  <c r="BK123" i="6"/>
  <c r="BJ123" i="6"/>
  <c r="BI123" i="6"/>
  <c r="BH123" i="6"/>
  <c r="BG123" i="6"/>
  <c r="BF123" i="6"/>
  <c r="BE123" i="6"/>
  <c r="BD123" i="6"/>
  <c r="BC123" i="6"/>
  <c r="BA123" i="6"/>
  <c r="AZ123" i="6"/>
  <c r="AY123" i="6"/>
  <c r="AX123" i="6"/>
  <c r="AW123" i="6"/>
  <c r="AV123" i="6"/>
  <c r="AU123" i="6"/>
  <c r="AT123" i="6"/>
  <c r="AS123" i="6"/>
  <c r="AR123" i="6"/>
  <c r="AQ123" i="6"/>
  <c r="AP123" i="6"/>
  <c r="AO123" i="6"/>
  <c r="K127" i="12" l="1"/>
  <c r="G125" i="12"/>
  <c r="J128" i="6" a="1"/>
  <c r="J128" i="6" s="1"/>
  <c r="A128" i="6"/>
  <c r="K129" i="5"/>
  <c r="D129" i="5"/>
  <c r="B129" i="12" s="1"/>
  <c r="A129" i="12"/>
  <c r="C130" i="5"/>
  <c r="B129" i="6"/>
  <c r="F129" i="5"/>
  <c r="N129" i="5"/>
  <c r="D129" i="6" s="1"/>
  <c r="AD129" i="5"/>
  <c r="G129" i="5"/>
  <c r="B129" i="5"/>
  <c r="H129" i="5"/>
  <c r="J129" i="5"/>
  <c r="E129" i="5"/>
  <c r="AE129" i="5"/>
  <c r="H128" i="6" a="1"/>
  <c r="H128" i="6" s="1"/>
  <c r="N128" i="6"/>
  <c r="M128" i="6"/>
  <c r="G128" i="6"/>
  <c r="H127" i="6" a="1"/>
  <c r="H127" i="6" s="1"/>
  <c r="T126" i="5"/>
  <c r="AT124" i="6"/>
  <c r="AS124" i="6"/>
  <c r="AR124" i="6"/>
  <c r="AQ124" i="6"/>
  <c r="AP124" i="6"/>
  <c r="AO124" i="6"/>
  <c r="CM124" i="6"/>
  <c r="CL124" i="6"/>
  <c r="CK124" i="6"/>
  <c r="CJ124" i="6"/>
  <c r="CI124" i="6"/>
  <c r="CH124" i="6"/>
  <c r="CG124" i="6"/>
  <c r="CF124" i="6"/>
  <c r="CE124" i="6"/>
  <c r="CD124" i="6"/>
  <c r="CC124" i="6"/>
  <c r="CB124" i="6"/>
  <c r="CA124" i="6"/>
  <c r="BZ124" i="6"/>
  <c r="BY124" i="6"/>
  <c r="BX124" i="6"/>
  <c r="BV124" i="6"/>
  <c r="BS124" i="6"/>
  <c r="BQ124" i="6"/>
  <c r="BO124" i="6"/>
  <c r="BM124" i="6"/>
  <c r="BK124" i="6"/>
  <c r="BI124" i="6"/>
  <c r="BG124" i="6"/>
  <c r="BE124" i="6"/>
  <c r="BA124" i="6"/>
  <c r="AY124" i="6"/>
  <c r="AV124" i="6"/>
  <c r="BW124" i="6"/>
  <c r="BT124" i="6"/>
  <c r="BR124" i="6"/>
  <c r="BP124" i="6"/>
  <c r="BN124" i="6"/>
  <c r="BL124" i="6"/>
  <c r="BJ124" i="6"/>
  <c r="BH124" i="6"/>
  <c r="BF124" i="6"/>
  <c r="BD124" i="6"/>
  <c r="BC124" i="6"/>
  <c r="AZ124" i="6"/>
  <c r="AX124" i="6"/>
  <c r="AW124" i="6"/>
  <c r="AU124" i="6"/>
  <c r="A126" i="6"/>
  <c r="M125" i="6"/>
  <c r="BE128" i="6" l="1"/>
  <c r="CF128" i="6"/>
  <c r="BZ128" i="6"/>
  <c r="CM128" i="6"/>
  <c r="BW128" i="6"/>
  <c r="AT128" i="6"/>
  <c r="AQ128" i="6"/>
  <c r="AU128" i="6"/>
  <c r="AP128" i="6"/>
  <c r="AV128" i="6"/>
  <c r="BJ128" i="6"/>
  <c r="L129" i="12"/>
  <c r="J129" i="12"/>
  <c r="A5" i="5"/>
  <c r="J130" i="5"/>
  <c r="B130" i="6"/>
  <c r="AD130" i="5"/>
  <c r="E130" i="5"/>
  <c r="A130" i="12"/>
  <c r="H130" i="5"/>
  <c r="J39" i="5" s="1"/>
  <c r="D39" i="5" s="1"/>
  <c r="G130" i="5"/>
  <c r="K130" i="5"/>
  <c r="D130" i="5"/>
  <c r="B130" i="12" s="1"/>
  <c r="F130" i="5"/>
  <c r="J19" i="5" s="1"/>
  <c r="D19" i="5" s="1"/>
  <c r="AE130" i="5"/>
  <c r="N130" i="5"/>
  <c r="D130" i="6" s="1"/>
  <c r="B130" i="5"/>
  <c r="H129" i="6" a="1"/>
  <c r="H129" i="6" s="1"/>
  <c r="T128" i="5"/>
  <c r="G128" i="12" s="1"/>
  <c r="AR128" i="6"/>
  <c r="G126" i="12"/>
  <c r="M126" i="6"/>
  <c r="A127" i="6"/>
  <c r="M127" i="6" s="1"/>
  <c r="CM125" i="6"/>
  <c r="CL125" i="6"/>
  <c r="CK125" i="6"/>
  <c r="CJ125" i="6"/>
  <c r="CI125" i="6"/>
  <c r="CH125" i="6"/>
  <c r="CG125" i="6"/>
  <c r="CF125" i="6"/>
  <c r="CE125" i="6"/>
  <c r="CD125" i="6"/>
  <c r="CC125" i="6"/>
  <c r="CB125" i="6"/>
  <c r="CA125" i="6"/>
  <c r="BZ125" i="6"/>
  <c r="BY125" i="6"/>
  <c r="BX125" i="6"/>
  <c r="BW125" i="6"/>
  <c r="BV125" i="6"/>
  <c r="BT125" i="6"/>
  <c r="BS125" i="6"/>
  <c r="BR125" i="6"/>
  <c r="BQ125" i="6"/>
  <c r="BP125" i="6"/>
  <c r="BO125" i="6"/>
  <c r="BN125" i="6"/>
  <c r="BM125" i="6"/>
  <c r="BL125" i="6"/>
  <c r="BK125" i="6"/>
  <c r="BJ125" i="6"/>
  <c r="BI125" i="6"/>
  <c r="BH125" i="6"/>
  <c r="BG125" i="6"/>
  <c r="BF125" i="6"/>
  <c r="BE125" i="6"/>
  <c r="BD125" i="6"/>
  <c r="BC125" i="6"/>
  <c r="BA125" i="6"/>
  <c r="AZ125" i="6"/>
  <c r="AY125" i="6"/>
  <c r="AX125" i="6"/>
  <c r="AW125" i="6"/>
  <c r="AV125" i="6"/>
  <c r="AU125" i="6"/>
  <c r="AT125" i="6"/>
  <c r="AS125" i="6"/>
  <c r="AR125" i="6"/>
  <c r="AQ125" i="6"/>
  <c r="AP125" i="6"/>
  <c r="AO125" i="6"/>
  <c r="A129" i="6"/>
  <c r="N129" i="6" s="1"/>
  <c r="AN128" i="6"/>
  <c r="AW128" i="6"/>
  <c r="AJ128" i="6"/>
  <c r="AM128" i="6"/>
  <c r="AZ128" i="6"/>
  <c r="AX128" i="6"/>
  <c r="AL128" i="6"/>
  <c r="AS128" i="6"/>
  <c r="AY128" i="6"/>
  <c r="AK128" i="6"/>
  <c r="BA128" i="6"/>
  <c r="AO128" i="6"/>
  <c r="CI128" i="6"/>
  <c r="BF128" i="6"/>
  <c r="BG128" i="6"/>
  <c r="BP128" i="6"/>
  <c r="CL128" i="6"/>
  <c r="BL128" i="6"/>
  <c r="BD128" i="6"/>
  <c r="BK128" i="6"/>
  <c r="CH128" i="6"/>
  <c r="CK128" i="6"/>
  <c r="BR128" i="6"/>
  <c r="CD128" i="6"/>
  <c r="BO128" i="6"/>
  <c r="BC128" i="6"/>
  <c r="CC128" i="6"/>
  <c r="BI128" i="6"/>
  <c r="BH128" i="6"/>
  <c r="BN128" i="6"/>
  <c r="CG128" i="6"/>
  <c r="BV128" i="6"/>
  <c r="CE128" i="6"/>
  <c r="BM128" i="6"/>
  <c r="CJ128" i="6"/>
  <c r="CA128" i="6"/>
  <c r="CB128" i="6"/>
  <c r="BS128" i="6"/>
  <c r="BY128" i="6"/>
  <c r="BT128" i="6"/>
  <c r="BX128" i="6"/>
  <c r="BQ128" i="6"/>
  <c r="T127" i="5"/>
  <c r="B39" i="12" l="1"/>
  <c r="B19" i="12"/>
  <c r="K51" i="5"/>
  <c r="D51" i="5" s="1"/>
  <c r="B51" i="12" s="1"/>
  <c r="K53" i="5"/>
  <c r="D53" i="5" s="1"/>
  <c r="K41" i="5"/>
  <c r="D41" i="5" s="1"/>
  <c r="B41" i="12" s="1"/>
  <c r="J49" i="5"/>
  <c r="K49" i="5"/>
  <c r="K38" i="5"/>
  <c r="D38" i="5" s="1"/>
  <c r="B38" i="12" s="1"/>
  <c r="J48" i="5"/>
  <c r="K48" i="5"/>
  <c r="J35" i="5"/>
  <c r="K35" i="5"/>
  <c r="J128" i="5"/>
  <c r="K128" i="5"/>
  <c r="F71" i="8"/>
  <c r="F59" i="8"/>
  <c r="F20" i="8"/>
  <c r="F21" i="8" s="1"/>
  <c r="F17" i="8"/>
  <c r="F18" i="8" s="1"/>
  <c r="F101" i="8"/>
  <c r="F98" i="8"/>
  <c r="F74" i="8"/>
  <c r="F89" i="8"/>
  <c r="F1" i="8"/>
  <c r="F2" i="8" s="1"/>
  <c r="F47" i="8"/>
  <c r="F48" i="8" s="1"/>
  <c r="F86" i="8"/>
  <c r="F38" i="8"/>
  <c r="F39" i="8" s="1"/>
  <c r="F68" i="8"/>
  <c r="F56" i="8"/>
  <c r="F80" i="8"/>
  <c r="F26" i="8"/>
  <c r="F27" i="8" s="1"/>
  <c r="F32" i="8"/>
  <c r="F33" i="8" s="1"/>
  <c r="F50" i="8"/>
  <c r="F51" i="8" s="1"/>
  <c r="F29" i="8"/>
  <c r="F30" i="8" s="1"/>
  <c r="F95" i="8"/>
  <c r="F14" i="8"/>
  <c r="F15" i="8" s="1"/>
  <c r="F41" i="8"/>
  <c r="F42" i="8" s="1"/>
  <c r="F23" i="8"/>
  <c r="F24" i="8" s="1"/>
  <c r="F83" i="8"/>
  <c r="F62" i="8"/>
  <c r="F104" i="8"/>
  <c r="F65" i="8"/>
  <c r="F44" i="8"/>
  <c r="F45" i="8" s="1"/>
  <c r="F77" i="8"/>
  <c r="F35" i="8"/>
  <c r="F36" i="8" s="1"/>
  <c r="F92" i="8"/>
  <c r="F53" i="8"/>
  <c r="A23" i="13"/>
  <c r="K16" i="5"/>
  <c r="B18" i="11"/>
  <c r="A18" i="13"/>
  <c r="B22" i="11"/>
  <c r="A16" i="13"/>
  <c r="A22" i="13"/>
  <c r="B21" i="11"/>
  <c r="J16" i="5"/>
  <c r="B15" i="11"/>
  <c r="B16" i="11"/>
  <c r="B19" i="11"/>
  <c r="B23" i="11"/>
  <c r="A17" i="13"/>
  <c r="A12" i="13"/>
  <c r="B20" i="11"/>
  <c r="B17" i="11"/>
  <c r="A15" i="13"/>
  <c r="A21" i="13"/>
  <c r="A19" i="13"/>
  <c r="B12" i="11"/>
  <c r="A20" i="13"/>
  <c r="J130" i="12"/>
  <c r="L130" i="12"/>
  <c r="K25" i="5"/>
  <c r="D25" i="5" s="1"/>
  <c r="B25" i="12" s="1"/>
  <c r="K60" i="5"/>
  <c r="D60" i="5" s="1"/>
  <c r="B60" i="12" s="1"/>
  <c r="J65" i="5"/>
  <c r="D65" i="5" s="1"/>
  <c r="B65" i="12" s="1"/>
  <c r="J77" i="5"/>
  <c r="D77" i="5" s="1"/>
  <c r="B77" i="12" s="1"/>
  <c r="J63" i="5"/>
  <c r="D63" i="5" s="1"/>
  <c r="B63" i="12" s="1"/>
  <c r="J17" i="5"/>
  <c r="D17" i="5" s="1"/>
  <c r="B17" i="12" s="1"/>
  <c r="J70" i="5"/>
  <c r="D70" i="5" s="1"/>
  <c r="B70" i="12" s="1"/>
  <c r="J55" i="5"/>
  <c r="D55" i="5" s="1"/>
  <c r="B55" i="12" s="1"/>
  <c r="K86" i="5"/>
  <c r="J34" i="5"/>
  <c r="D34" i="5" s="1"/>
  <c r="B34" i="12" s="1"/>
  <c r="J83" i="5"/>
  <c r="D83" i="5" s="1"/>
  <c r="B83" i="12" s="1"/>
  <c r="J86" i="5"/>
  <c r="J21" i="5"/>
  <c r="D21" i="5" s="1"/>
  <c r="B21" i="12" s="1"/>
  <c r="J29" i="5"/>
  <c r="D29" i="5" s="1"/>
  <c r="B29" i="12" s="1"/>
  <c r="H130" i="6" a="1"/>
  <c r="H130" i="6" s="1"/>
  <c r="CM126" i="6"/>
  <c r="CL126" i="6"/>
  <c r="CK126" i="6"/>
  <c r="CJ126" i="6"/>
  <c r="CI126" i="6"/>
  <c r="CH126" i="6"/>
  <c r="CG126" i="6"/>
  <c r="CF126" i="6"/>
  <c r="CE126" i="6"/>
  <c r="CD126" i="6"/>
  <c r="CC126" i="6"/>
  <c r="CB126" i="6"/>
  <c r="CA126" i="6"/>
  <c r="BZ126" i="6"/>
  <c r="BY126" i="6"/>
  <c r="BX126" i="6"/>
  <c r="BW126" i="6"/>
  <c r="BV126" i="6"/>
  <c r="BT126" i="6"/>
  <c r="BS126" i="6"/>
  <c r="BR126" i="6"/>
  <c r="BQ126" i="6"/>
  <c r="BP126" i="6"/>
  <c r="BO126" i="6"/>
  <c r="BN126" i="6"/>
  <c r="BM126" i="6"/>
  <c r="BL126" i="6"/>
  <c r="BK126" i="6"/>
  <c r="BJ126" i="6"/>
  <c r="BI126" i="6"/>
  <c r="BH126" i="6"/>
  <c r="BG126" i="6"/>
  <c r="BF126" i="6"/>
  <c r="BE126" i="6"/>
  <c r="BD126" i="6"/>
  <c r="BC126" i="6"/>
  <c r="BA126" i="6"/>
  <c r="AZ126" i="6"/>
  <c r="AY126" i="6"/>
  <c r="AX126" i="6"/>
  <c r="AW126" i="6"/>
  <c r="AV126" i="6"/>
  <c r="AU126" i="6"/>
  <c r="AT126" i="6"/>
  <c r="AS126" i="6"/>
  <c r="AR126" i="6"/>
  <c r="AQ126" i="6"/>
  <c r="AP126" i="6"/>
  <c r="AO126" i="6"/>
  <c r="CL127" i="6"/>
  <c r="CJ127" i="6"/>
  <c r="CF127" i="6"/>
  <c r="CD127" i="6"/>
  <c r="CA127" i="6"/>
  <c r="BX127" i="6"/>
  <c r="BT127" i="6"/>
  <c r="BQ127" i="6"/>
  <c r="CK127" i="6"/>
  <c r="CI127" i="6"/>
  <c r="CG127" i="6"/>
  <c r="CC127" i="6"/>
  <c r="BZ127" i="6"/>
  <c r="BW127" i="6"/>
  <c r="BS127" i="6"/>
  <c r="BP127" i="6"/>
  <c r="CM127" i="6"/>
  <c r="CH127" i="6"/>
  <c r="CE127" i="6"/>
  <c r="CB127" i="6"/>
  <c r="BY127" i="6"/>
  <c r="BV127" i="6"/>
  <c r="BR127" i="6"/>
  <c r="BO127" i="6"/>
  <c r="BN127" i="6"/>
  <c r="BM127" i="6"/>
  <c r="BL127" i="6"/>
  <c r="BK127" i="6"/>
  <c r="BJ127" i="6"/>
  <c r="BI127" i="6"/>
  <c r="BH127" i="6"/>
  <c r="BG127" i="6"/>
  <c r="BF127" i="6"/>
  <c r="BE127" i="6"/>
  <c r="BD127" i="6"/>
  <c r="BC127" i="6"/>
  <c r="M129" i="6"/>
  <c r="G127" i="12"/>
  <c r="K129" i="12"/>
  <c r="A130" i="6"/>
  <c r="T129" i="5"/>
  <c r="G129" i="12" s="1"/>
  <c r="AR127" i="6"/>
  <c r="AT127" i="6"/>
  <c r="AV127" i="6"/>
  <c r="AW127" i="6"/>
  <c r="AX127" i="6"/>
  <c r="AY127" i="6"/>
  <c r="BA127" i="6"/>
  <c r="AQ127" i="6"/>
  <c r="AS127" i="6"/>
  <c r="AU127" i="6"/>
  <c r="AZ127" i="6"/>
  <c r="AO127" i="6"/>
  <c r="AP127" i="6"/>
  <c r="B53" i="12" l="1"/>
  <c r="D49" i="5"/>
  <c r="D48" i="5"/>
  <c r="B48" i="12" s="1"/>
  <c r="D35" i="5"/>
  <c r="B35" i="12" s="1"/>
  <c r="D128" i="5"/>
  <c r="B128" i="12" s="1"/>
  <c r="K130" i="12"/>
  <c r="M20" i="8"/>
  <c r="J17" i="8"/>
  <c r="M17" i="8"/>
  <c r="M1" i="8"/>
  <c r="N1" i="8"/>
  <c r="Q1" i="8"/>
  <c r="S1" i="8"/>
  <c r="G1" i="8" s="1"/>
  <c r="G2" i="8" s="1"/>
  <c r="P1" i="8"/>
  <c r="O1" i="8"/>
  <c r="J1" i="8"/>
  <c r="I1" i="8"/>
  <c r="M47" i="8"/>
  <c r="Q47" i="8" s="1"/>
  <c r="M38" i="8"/>
  <c r="Q38" i="8" s="1"/>
  <c r="J26" i="8"/>
  <c r="M26" i="8"/>
  <c r="M32" i="8"/>
  <c r="J32" i="8"/>
  <c r="J50" i="8"/>
  <c r="M50" i="8"/>
  <c r="Q50" i="8" s="1"/>
  <c r="M29" i="8"/>
  <c r="J29" i="8"/>
  <c r="J14" i="8"/>
  <c r="M14" i="8"/>
  <c r="M41" i="8"/>
  <c r="J41" i="8"/>
  <c r="J23" i="8"/>
  <c r="M23" i="8"/>
  <c r="J44" i="8"/>
  <c r="M44" i="8"/>
  <c r="J35" i="8"/>
  <c r="M35" i="8"/>
  <c r="B23" i="13"/>
  <c r="AG23" i="13" s="1"/>
  <c r="AA18" i="11"/>
  <c r="O18" i="11"/>
  <c r="G18" i="11"/>
  <c r="F18" i="13" s="1"/>
  <c r="K18" i="11"/>
  <c r="J18" i="13" s="1"/>
  <c r="AB18" i="11"/>
  <c r="N18" i="11" s="1"/>
  <c r="C18" i="13"/>
  <c r="B18" i="13"/>
  <c r="AG18" i="13" s="1"/>
  <c r="AB22" i="11"/>
  <c r="N22" i="11" s="1"/>
  <c r="AA22" i="11"/>
  <c r="C22" i="13"/>
  <c r="O22" i="11"/>
  <c r="G22" i="11"/>
  <c r="F22" i="13" s="1"/>
  <c r="K22" i="11"/>
  <c r="J22" i="13" s="1"/>
  <c r="B16" i="13"/>
  <c r="B22" i="13"/>
  <c r="AG22" i="13" s="1"/>
  <c r="AA21" i="11"/>
  <c r="AB21" i="11"/>
  <c r="N21" i="11" s="1"/>
  <c r="O21" i="11"/>
  <c r="K21" i="11"/>
  <c r="J21" i="13" s="1"/>
  <c r="G21" i="11"/>
  <c r="F21" i="13" s="1"/>
  <c r="C21" i="13"/>
  <c r="C15" i="13"/>
  <c r="K15" i="11"/>
  <c r="J15" i="13" s="1"/>
  <c r="G15" i="11"/>
  <c r="F15" i="13" s="1"/>
  <c r="AA15" i="11"/>
  <c r="O15" i="11"/>
  <c r="AB15" i="11"/>
  <c r="N15" i="11" s="1"/>
  <c r="F10" i="8" a="1"/>
  <c r="F10" i="8" s="1"/>
  <c r="C16" i="13"/>
  <c r="K16" i="11"/>
  <c r="J16" i="13" s="1"/>
  <c r="AA16" i="11"/>
  <c r="G16" i="11"/>
  <c r="F16" i="13" s="1"/>
  <c r="AB16" i="11"/>
  <c r="N16" i="11" s="1"/>
  <c r="O16" i="11"/>
  <c r="AA19" i="11"/>
  <c r="O19" i="11"/>
  <c r="G19" i="11"/>
  <c r="F19" i="13" s="1"/>
  <c r="AB19" i="11"/>
  <c r="N19" i="11" s="1"/>
  <c r="C19" i="13"/>
  <c r="K19" i="11"/>
  <c r="J19" i="13" s="1"/>
  <c r="AB23" i="11"/>
  <c r="N23" i="11" s="1"/>
  <c r="G23" i="11"/>
  <c r="F23" i="13" s="1"/>
  <c r="AA23" i="11"/>
  <c r="K23" i="11"/>
  <c r="J23" i="13" s="1"/>
  <c r="C23" i="13"/>
  <c r="O23" i="11"/>
  <c r="B17" i="13"/>
  <c r="AC17" i="13" s="1"/>
  <c r="B12" i="13"/>
  <c r="AB20" i="11"/>
  <c r="N20" i="11" s="1"/>
  <c r="O20" i="11"/>
  <c r="K20" i="11"/>
  <c r="J20" i="13" s="1"/>
  <c r="C20" i="13"/>
  <c r="G20" i="11"/>
  <c r="F20" i="13" s="1"/>
  <c r="AA20" i="11"/>
  <c r="K17" i="11"/>
  <c r="J17" i="13" s="1"/>
  <c r="AA17" i="11"/>
  <c r="C17" i="13"/>
  <c r="G17" i="11"/>
  <c r="F17" i="13" s="1"/>
  <c r="AB17" i="11"/>
  <c r="N17" i="11" s="1"/>
  <c r="O17" i="11"/>
  <c r="B15" i="13"/>
  <c r="AH15" i="13" s="1"/>
  <c r="B21" i="13"/>
  <c r="AD21" i="13" s="1"/>
  <c r="B19" i="13"/>
  <c r="AC19" i="13" s="1"/>
  <c r="C12" i="13"/>
  <c r="K12" i="11"/>
  <c r="J12" i="13" s="1"/>
  <c r="O12" i="11"/>
  <c r="AA12" i="11"/>
  <c r="G12" i="11"/>
  <c r="F12" i="13" s="1"/>
  <c r="AB12" i="11"/>
  <c r="N12" i="11" s="1"/>
  <c r="B20" i="13"/>
  <c r="AH20" i="13" s="1"/>
  <c r="BT129" i="6"/>
  <c r="BN129" i="6"/>
  <c r="BI129" i="6"/>
  <c r="CL129" i="6"/>
  <c r="BF129" i="6"/>
  <c r="CE129" i="6"/>
  <c r="CD129" i="6"/>
  <c r="BS129" i="6"/>
  <c r="BR129" i="6"/>
  <c r="BO129" i="6"/>
  <c r="BY129" i="6"/>
  <c r="CH129" i="6"/>
  <c r="CF129" i="6"/>
  <c r="BQ129" i="6"/>
  <c r="BP129" i="6"/>
  <c r="BL129" i="6"/>
  <c r="BD129" i="6"/>
  <c r="BG129" i="6"/>
  <c r="CA129" i="6"/>
  <c r="BX129" i="6"/>
  <c r="BE129" i="6"/>
  <c r="BZ129" i="6"/>
  <c r="CK129" i="6"/>
  <c r="CG129" i="6"/>
  <c r="CM129" i="6"/>
  <c r="BC129" i="6"/>
  <c r="BW129" i="6"/>
  <c r="BK129" i="6"/>
  <c r="BV129" i="6"/>
  <c r="BM129" i="6"/>
  <c r="CB129" i="6"/>
  <c r="BH129" i="6"/>
  <c r="CJ129" i="6"/>
  <c r="CC129" i="6"/>
  <c r="CI129" i="6"/>
  <c r="BJ129" i="6"/>
  <c r="D16" i="5"/>
  <c r="D86" i="5"/>
  <c r="B86" i="12" s="1"/>
  <c r="T130" i="5"/>
  <c r="G130" i="12" s="1"/>
  <c r="AV129" i="6"/>
  <c r="AR129" i="6"/>
  <c r="AS129" i="6"/>
  <c r="BA129" i="6"/>
  <c r="AZ129" i="6"/>
  <c r="AX129" i="6"/>
  <c r="AU129" i="6"/>
  <c r="AT129" i="6"/>
  <c r="AY129" i="6"/>
  <c r="AW129" i="6"/>
  <c r="M130" i="6"/>
  <c r="N130" i="6"/>
  <c r="B49" i="12" l="1"/>
  <c r="AD23" i="13"/>
  <c r="AC23" i="13"/>
  <c r="AF23" i="13"/>
  <c r="AH17" i="13"/>
  <c r="AE21" i="13"/>
  <c r="AE18" i="13"/>
  <c r="AE20" i="13"/>
  <c r="AG20" i="13"/>
  <c r="AC15" i="13"/>
  <c r="AE15" i="13"/>
  <c r="AF15" i="13"/>
  <c r="AF18" i="13"/>
  <c r="AD20" i="13"/>
  <c r="AD15" i="13"/>
  <c r="AD18" i="13"/>
  <c r="AC18" i="13"/>
  <c r="AH18" i="13"/>
  <c r="AG15" i="13"/>
  <c r="AG12" i="13"/>
  <c r="AF12" i="13"/>
  <c r="O38" i="8"/>
  <c r="AH12" i="13"/>
  <c r="AE12" i="13"/>
  <c r="AC12" i="13"/>
  <c r="AD12" i="13"/>
  <c r="AF21" i="13"/>
  <c r="AC21" i="13"/>
  <c r="AH21" i="13"/>
  <c r="AG21" i="13"/>
  <c r="AH19" i="13"/>
  <c r="AD19" i="13"/>
  <c r="AQ130" i="6"/>
  <c r="AP130" i="6"/>
  <c r="AO130" i="6"/>
  <c r="AG19" i="13"/>
  <c r="AF19" i="13"/>
  <c r="AE19" i="13"/>
  <c r="P35" i="8"/>
  <c r="Q35" i="8"/>
  <c r="BA130" i="6"/>
  <c r="BA15" i="6" s="1"/>
  <c r="AH15" i="6" s="1"/>
  <c r="AH11" i="6" s="1"/>
  <c r="AW130" i="6"/>
  <c r="AW15" i="6" s="1"/>
  <c r="AD15" i="6" s="1"/>
  <c r="AD11" i="6" s="1"/>
  <c r="AU130" i="6"/>
  <c r="AU15" i="6" s="1"/>
  <c r="AB15" i="6" s="1"/>
  <c r="AB11" i="6" s="1"/>
  <c r="AR130" i="6"/>
  <c r="AR15" i="6" s="1"/>
  <c r="Y15" i="6" s="1"/>
  <c r="Y11" i="6" s="1"/>
  <c r="S3" i="8"/>
  <c r="A1" i="8"/>
  <c r="R1" i="8"/>
  <c r="H1" i="8"/>
  <c r="J2" i="8" s="1"/>
  <c r="H2" i="8"/>
  <c r="S49" i="8"/>
  <c r="P47" i="8"/>
  <c r="S40" i="8"/>
  <c r="P38" i="8"/>
  <c r="S52" i="8"/>
  <c r="P50" i="8"/>
  <c r="F54" i="8"/>
  <c r="S16" i="8"/>
  <c r="A14" i="8"/>
  <c r="L18" i="13"/>
  <c r="D18" i="13" s="1"/>
  <c r="Z18" i="11"/>
  <c r="C18" i="11"/>
  <c r="P18" i="11"/>
  <c r="S18" i="13"/>
  <c r="T18" i="13"/>
  <c r="U18" i="13"/>
  <c r="R18" i="13"/>
  <c r="M18" i="13"/>
  <c r="K18" i="13"/>
  <c r="O18" i="13"/>
  <c r="U22" i="13"/>
  <c r="O22" i="13"/>
  <c r="M22" i="13"/>
  <c r="K22" i="13"/>
  <c r="T22" i="13"/>
  <c r="R22" i="13"/>
  <c r="S22" i="13"/>
  <c r="C22" i="11"/>
  <c r="P22" i="11"/>
  <c r="L22" i="13"/>
  <c r="D22" i="13" s="1"/>
  <c r="Z22" i="11"/>
  <c r="C21" i="11"/>
  <c r="Z21" i="11"/>
  <c r="L21" i="13"/>
  <c r="D21" i="13" s="1"/>
  <c r="P21" i="11"/>
  <c r="T21" i="13"/>
  <c r="K21" i="13"/>
  <c r="O21" i="13"/>
  <c r="M21" i="13"/>
  <c r="R21" i="13"/>
  <c r="U21" i="13"/>
  <c r="S21" i="13"/>
  <c r="S15" i="13"/>
  <c r="U15" i="13"/>
  <c r="O15" i="13"/>
  <c r="R15" i="13"/>
  <c r="T15" i="13"/>
  <c r="M15" i="13"/>
  <c r="K15" i="13"/>
  <c r="P15" i="11"/>
  <c r="C15" i="11"/>
  <c r="L15" i="13"/>
  <c r="D15" i="13" s="1"/>
  <c r="Z15" i="11"/>
  <c r="O16" i="13"/>
  <c r="M16" i="13"/>
  <c r="S16" i="13"/>
  <c r="K16" i="13"/>
  <c r="R16" i="13"/>
  <c r="T16" i="13"/>
  <c r="U16" i="13"/>
  <c r="P16" i="11"/>
  <c r="L16" i="13"/>
  <c r="D16" i="13" s="1"/>
  <c r="C16" i="11"/>
  <c r="Z16" i="11"/>
  <c r="Z19" i="11"/>
  <c r="P19" i="11"/>
  <c r="C19" i="11"/>
  <c r="L19" i="13"/>
  <c r="D19" i="13" s="1"/>
  <c r="S19" i="13"/>
  <c r="M19" i="13"/>
  <c r="O19" i="13"/>
  <c r="K19" i="13"/>
  <c r="T19" i="13"/>
  <c r="U19" i="13"/>
  <c r="R19" i="13"/>
  <c r="T23" i="13"/>
  <c r="K23" i="13"/>
  <c r="U23" i="13"/>
  <c r="S23" i="13"/>
  <c r="O23" i="13"/>
  <c r="R23" i="13"/>
  <c r="M23" i="13"/>
  <c r="C23" i="11"/>
  <c r="Z23" i="11"/>
  <c r="L23" i="13"/>
  <c r="D23" i="13" s="1"/>
  <c r="P23" i="11"/>
  <c r="Z20" i="11"/>
  <c r="C20" i="11"/>
  <c r="L20" i="13"/>
  <c r="D20" i="13" s="1"/>
  <c r="P20" i="11"/>
  <c r="M20" i="13"/>
  <c r="K20" i="13"/>
  <c r="T20" i="13"/>
  <c r="U20" i="13"/>
  <c r="S20" i="13"/>
  <c r="R20" i="13"/>
  <c r="O20" i="13"/>
  <c r="R17" i="13"/>
  <c r="K17" i="13"/>
  <c r="S17" i="13"/>
  <c r="T17" i="13"/>
  <c r="U17" i="13"/>
  <c r="M17" i="13"/>
  <c r="O17" i="13"/>
  <c r="Z17" i="11"/>
  <c r="L17" i="13"/>
  <c r="D17" i="13" s="1"/>
  <c r="C17" i="11"/>
  <c r="P17" i="11"/>
  <c r="U12" i="13"/>
  <c r="R12" i="13"/>
  <c r="K12" i="13"/>
  <c r="M12" i="13"/>
  <c r="O12" i="13"/>
  <c r="S12" i="13"/>
  <c r="T12" i="13"/>
  <c r="C12" i="11"/>
  <c r="P12" i="11"/>
  <c r="L12" i="13"/>
  <c r="Z12" i="11"/>
  <c r="B16" i="12"/>
  <c r="B14" i="13"/>
  <c r="D15" i="5"/>
  <c r="A49" i="10"/>
  <c r="A51" i="9"/>
  <c r="C30" i="10"/>
  <c r="C37" i="9"/>
  <c r="F37" i="9" s="1"/>
  <c r="A39" i="10"/>
  <c r="A21" i="9"/>
  <c r="A15" i="9"/>
  <c r="A28" i="10"/>
  <c r="C56" i="9"/>
  <c r="F56" i="9" s="1"/>
  <c r="C25" i="9"/>
  <c r="F25" i="9" s="1"/>
  <c r="C48" i="9"/>
  <c r="F48" i="9" s="1"/>
  <c r="A49" i="9"/>
  <c r="A39" i="9"/>
  <c r="A23" i="10"/>
  <c r="A50" i="10"/>
  <c r="A17" i="10"/>
  <c r="A54" i="10"/>
  <c r="C1" i="9"/>
  <c r="F1" i="9" s="1"/>
  <c r="C43" i="9"/>
  <c r="F43" i="9" s="1"/>
  <c r="C16" i="9"/>
  <c r="F16" i="9" s="1"/>
  <c r="A16" i="10"/>
  <c r="A36" i="10"/>
  <c r="A63" i="9"/>
  <c r="C20" i="9"/>
  <c r="F20" i="9" s="1"/>
  <c r="C16" i="10"/>
  <c r="A56" i="9"/>
  <c r="C1" i="10"/>
  <c r="A42" i="10"/>
  <c r="A32" i="10"/>
  <c r="A17" i="9"/>
  <c r="C61" i="10"/>
  <c r="A52" i="10"/>
  <c r="A57" i="9"/>
  <c r="C43" i="10"/>
  <c r="C51" i="9"/>
  <c r="F51" i="9" s="1"/>
  <c r="A58" i="10"/>
  <c r="A53" i="10"/>
  <c r="C36" i="9"/>
  <c r="F36" i="9" s="1"/>
  <c r="C64" i="10"/>
  <c r="C44" i="10"/>
  <c r="C58" i="10"/>
  <c r="C60" i="10"/>
  <c r="A51" i="10"/>
  <c r="C32" i="10"/>
  <c r="C49" i="10"/>
  <c r="C59" i="9"/>
  <c r="F59" i="9" s="1"/>
  <c r="A24" i="9"/>
  <c r="C50" i="9"/>
  <c r="F50" i="9" s="1"/>
  <c r="A43" i="9"/>
  <c r="A45" i="10"/>
  <c r="A20" i="9"/>
  <c r="C32" i="9"/>
  <c r="F32" i="9" s="1"/>
  <c r="C52" i="10"/>
  <c r="C29" i="9"/>
  <c r="F29" i="9" s="1"/>
  <c r="A46" i="10"/>
  <c r="C19" i="9"/>
  <c r="F19" i="9" s="1"/>
  <c r="A42" i="9"/>
  <c r="A23" i="9"/>
  <c r="C34" i="9"/>
  <c r="F34" i="9" s="1"/>
  <c r="C38" i="10"/>
  <c r="A45" i="9"/>
  <c r="A44" i="9"/>
  <c r="A56" i="10"/>
  <c r="C19" i="10"/>
  <c r="C25" i="10"/>
  <c r="C54" i="10"/>
  <c r="C33" i="10"/>
  <c r="A40" i="10"/>
  <c r="C42" i="10"/>
  <c r="A26" i="9"/>
  <c r="A58" i="9"/>
  <c r="C18" i="10"/>
  <c r="C40" i="9"/>
  <c r="F40" i="9" s="1"/>
  <c r="A47" i="9"/>
  <c r="C58" i="9"/>
  <c r="F58" i="9" s="1"/>
  <c r="C45" i="10"/>
  <c r="A37" i="9"/>
  <c r="A32" i="9"/>
  <c r="C37" i="10"/>
  <c r="A38" i="9"/>
  <c r="A61" i="9"/>
  <c r="C57" i="10"/>
  <c r="C62" i="10"/>
  <c r="C53" i="9"/>
  <c r="F53" i="9" s="1"/>
  <c r="A26" i="10"/>
  <c r="C59" i="10"/>
  <c r="C63" i="10"/>
  <c r="C18" i="9"/>
  <c r="F18" i="9" s="1"/>
  <c r="A63" i="10"/>
  <c r="A46" i="9"/>
  <c r="C34" i="10"/>
  <c r="C54" i="9"/>
  <c r="F54" i="9" s="1"/>
  <c r="A64" i="10"/>
  <c r="A61" i="10"/>
  <c r="C29" i="10"/>
  <c r="A28" i="9"/>
  <c r="A34" i="9"/>
  <c r="A53" i="9"/>
  <c r="A21" i="10"/>
  <c r="A16" i="9"/>
  <c r="C49" i="9"/>
  <c r="F49" i="9" s="1"/>
  <c r="A29" i="9"/>
  <c r="A62" i="10"/>
  <c r="C52" i="9"/>
  <c r="F52" i="9" s="1"/>
  <c r="A47" i="10"/>
  <c r="A18" i="9"/>
  <c r="A59" i="9"/>
  <c r="C36" i="10"/>
  <c r="A64" i="9"/>
  <c r="C31" i="10"/>
  <c r="C63" i="9"/>
  <c r="F63" i="9" s="1"/>
  <c r="C56" i="10"/>
  <c r="A48" i="10"/>
  <c r="A31" i="9"/>
  <c r="A35" i="9"/>
  <c r="A60" i="10"/>
  <c r="A19" i="9"/>
  <c r="A52" i="9"/>
  <c r="C41" i="10"/>
  <c r="A22" i="10"/>
  <c r="A33" i="10"/>
  <c r="C60" i="9"/>
  <c r="F60" i="9" s="1"/>
  <c r="A41" i="10"/>
  <c r="A22" i="9"/>
  <c r="C41" i="9"/>
  <c r="F41" i="9" s="1"/>
  <c r="A43" i="10"/>
  <c r="A48" i="9"/>
  <c r="A25" i="9"/>
  <c r="A27" i="10"/>
  <c r="A31" i="10"/>
  <c r="C44" i="9"/>
  <c r="F44" i="9" s="1"/>
  <c r="A34" i="10"/>
  <c r="A36" i="9"/>
  <c r="C30" i="9"/>
  <c r="F30" i="9" s="1"/>
  <c r="A20" i="10"/>
  <c r="A19" i="10"/>
  <c r="C35" i="9"/>
  <c r="F35" i="9" s="1"/>
  <c r="A30" i="10"/>
  <c r="A25" i="10"/>
  <c r="A60" i="9"/>
  <c r="C45" i="9"/>
  <c r="F45" i="9" s="1"/>
  <c r="C55" i="9"/>
  <c r="F55" i="9" s="1"/>
  <c r="A50" i="9"/>
  <c r="A29" i="10"/>
  <c r="C62" i="9"/>
  <c r="F62" i="9" s="1"/>
  <c r="C28" i="9"/>
  <c r="F28" i="9" s="1"/>
  <c r="A57" i="10"/>
  <c r="A27" i="9"/>
  <c r="A35" i="10"/>
  <c r="A59" i="10"/>
  <c r="C40" i="10"/>
  <c r="A1" i="10"/>
  <c r="C64" i="9"/>
  <c r="F64" i="9" s="1"/>
  <c r="C47" i="10"/>
  <c r="C42" i="9"/>
  <c r="F42" i="9" s="1"/>
  <c r="C33" i="9"/>
  <c r="F33" i="9" s="1"/>
  <c r="M12" i="6"/>
  <c r="A62" i="9"/>
  <c r="C55" i="10"/>
  <c r="A55" i="10"/>
  <c r="A44" i="10"/>
  <c r="A24" i="10"/>
  <c r="C51" i="10"/>
  <c r="A33" i="9"/>
  <c r="A1" i="9"/>
  <c r="C28" i="10"/>
  <c r="C46" i="9"/>
  <c r="F46" i="9" s="1"/>
  <c r="A54" i="9"/>
  <c r="A55" i="9"/>
  <c r="A37" i="10"/>
  <c r="C31" i="9"/>
  <c r="F31" i="9" s="1"/>
  <c r="A41" i="9"/>
  <c r="A38" i="10"/>
  <c r="A40" i="9"/>
  <c r="C46" i="10"/>
  <c r="C39" i="10"/>
  <c r="A30" i="9"/>
  <c r="C35" i="10"/>
  <c r="C61" i="9"/>
  <c r="F61" i="9" s="1"/>
  <c r="C47" i="9"/>
  <c r="F47" i="9" s="1"/>
  <c r="C57" i="9"/>
  <c r="F57" i="9" s="1"/>
  <c r="C48" i="10"/>
  <c r="C20" i="10"/>
  <c r="C50" i="10"/>
  <c r="A18" i="10"/>
  <c r="C53" i="10"/>
  <c r="C38" i="9"/>
  <c r="F38" i="9" s="1"/>
  <c r="C39" i="9"/>
  <c r="F39" i="9" s="1"/>
  <c r="BP130" i="6"/>
  <c r="CL130" i="6"/>
  <c r="CF130" i="6"/>
  <c r="BZ130" i="6"/>
  <c r="CD130" i="6"/>
  <c r="BN130" i="6"/>
  <c r="BO130" i="6"/>
  <c r="CI130" i="6"/>
  <c r="BD130" i="6"/>
  <c r="CG130" i="6"/>
  <c r="BG130" i="6"/>
  <c r="BQ130" i="6"/>
  <c r="BC130" i="6"/>
  <c r="BT130" i="6"/>
  <c r="BM130" i="6"/>
  <c r="BK130" i="6"/>
  <c r="CJ130" i="6"/>
  <c r="CA130" i="6"/>
  <c r="BI130" i="6"/>
  <c r="BH130" i="6"/>
  <c r="BY130" i="6"/>
  <c r="CC130" i="6"/>
  <c r="BJ130" i="6"/>
  <c r="CM130" i="6"/>
  <c r="BS130" i="6"/>
  <c r="BF130" i="6"/>
  <c r="BE130" i="6"/>
  <c r="CE130" i="6"/>
  <c r="CH130" i="6"/>
  <c r="CK130" i="6"/>
  <c r="BL130" i="6"/>
  <c r="BV130" i="6"/>
  <c r="BR130" i="6"/>
  <c r="CB130" i="6"/>
  <c r="BX130" i="6"/>
  <c r="BW130" i="6"/>
  <c r="S22" i="8"/>
  <c r="Q20" i="8"/>
  <c r="O20" i="8"/>
  <c r="P20" i="8"/>
  <c r="S19" i="8"/>
  <c r="Q17" i="8"/>
  <c r="P17" i="8"/>
  <c r="O17" i="8"/>
  <c r="S28" i="8"/>
  <c r="P26" i="8"/>
  <c r="Q26" i="8"/>
  <c r="O26" i="8"/>
  <c r="S34" i="8"/>
  <c r="P32" i="8"/>
  <c r="Q32" i="8"/>
  <c r="O32" i="8"/>
  <c r="S31" i="8"/>
  <c r="O29" i="8"/>
  <c r="Q29" i="8"/>
  <c r="P29" i="8"/>
  <c r="O14" i="8"/>
  <c r="Q14" i="8"/>
  <c r="P14" i="8"/>
  <c r="S43" i="8"/>
  <c r="Q41" i="8"/>
  <c r="O41" i="8"/>
  <c r="P41" i="8"/>
  <c r="S25" i="8"/>
  <c r="O23" i="8"/>
  <c r="Q23" i="8"/>
  <c r="P23" i="8"/>
  <c r="S46" i="8"/>
  <c r="Q44" i="8"/>
  <c r="P44" i="8"/>
  <c r="O44" i="8"/>
  <c r="S37" i="8"/>
  <c r="O35" i="8"/>
  <c r="AE23" i="13"/>
  <c r="AH23" i="13"/>
  <c r="AG16" i="13"/>
  <c r="AH16" i="13"/>
  <c r="AF16" i="13"/>
  <c r="AE16" i="13"/>
  <c r="AD16" i="13"/>
  <c r="AC16" i="13"/>
  <c r="AE22" i="13"/>
  <c r="AD22" i="13"/>
  <c r="AH22" i="13"/>
  <c r="AF22" i="13"/>
  <c r="AC22" i="13"/>
  <c r="AD17" i="13"/>
  <c r="AE17" i="13"/>
  <c r="AF17" i="13"/>
  <c r="AG17" i="13"/>
  <c r="AC20" i="13"/>
  <c r="AF20" i="13"/>
  <c r="AZ130" i="6"/>
  <c r="AZ15" i="6" s="1"/>
  <c r="AG15" i="6" s="1"/>
  <c r="AG11" i="6" s="1"/>
  <c r="AS130" i="6"/>
  <c r="AS15" i="6" s="1"/>
  <c r="Z15" i="6" s="1"/>
  <c r="Z11" i="6" s="1"/>
  <c r="AX130" i="6"/>
  <c r="AX15" i="6" s="1"/>
  <c r="AE15" i="6" s="1"/>
  <c r="AE11" i="6" s="1"/>
  <c r="AY130" i="6"/>
  <c r="AY15" i="6" s="1"/>
  <c r="AF15" i="6" s="1"/>
  <c r="AF11" i="6" s="1"/>
  <c r="AV130" i="6"/>
  <c r="AV15" i="6" s="1"/>
  <c r="AC15" i="6" s="1"/>
  <c r="AC11" i="6" s="1"/>
  <c r="AT130" i="6"/>
  <c r="AT15" i="6" s="1"/>
  <c r="AA15" i="6" s="1"/>
  <c r="AA11" i="6" s="1"/>
  <c r="AP71" i="6"/>
  <c r="AQ71" i="6"/>
  <c r="AO71" i="6"/>
  <c r="I70" i="5"/>
  <c r="Z3" i="8" l="1"/>
  <c r="E1" i="8"/>
  <c r="U3" i="8"/>
  <c r="AI1" i="8"/>
  <c r="D1" i="8"/>
  <c r="AN3" i="8"/>
  <c r="X1" i="8"/>
  <c r="AP3" i="8"/>
  <c r="AG1" i="8"/>
  <c r="AL3" i="8"/>
  <c r="Y3" i="8"/>
  <c r="AK1" i="8"/>
  <c r="F3" i="8"/>
  <c r="AK3" i="8"/>
  <c r="AE1" i="8"/>
  <c r="C1" i="8"/>
  <c r="W1" i="8"/>
  <c r="V3" i="8"/>
  <c r="W3" i="8"/>
  <c r="AO1" i="8"/>
  <c r="AP1" i="8"/>
  <c r="AR1" i="8"/>
  <c r="AO3" i="8"/>
  <c r="AI3" i="8"/>
  <c r="E3" i="8"/>
  <c r="AJ1" i="8"/>
  <c r="AC1" i="8"/>
  <c r="AL1" i="8"/>
  <c r="AF1" i="8"/>
  <c r="AE3" i="8"/>
  <c r="AB1" i="8"/>
  <c r="AR3" i="8"/>
  <c r="AF3" i="8"/>
  <c r="AD1" i="8"/>
  <c r="AJ3" i="8"/>
  <c r="Z1" i="8"/>
  <c r="AG3" i="8"/>
  <c r="AA3" i="8"/>
  <c r="V1" i="8"/>
  <c r="AM3" i="8"/>
  <c r="AA1" i="8"/>
  <c r="AH1" i="8"/>
  <c r="Y1" i="8"/>
  <c r="AC3" i="8"/>
  <c r="AM1" i="8"/>
  <c r="AD3" i="8"/>
  <c r="X3" i="8"/>
  <c r="AQ1" i="8"/>
  <c r="AN1" i="8"/>
  <c r="U1" i="8"/>
  <c r="AB3" i="8"/>
  <c r="AH3" i="8"/>
  <c r="AQ3" i="8"/>
  <c r="M53" i="8"/>
  <c r="J53" i="8"/>
  <c r="N18" i="13"/>
  <c r="P18" i="13"/>
  <c r="P22" i="13"/>
  <c r="N22" i="13"/>
  <c r="N21" i="13"/>
  <c r="P21" i="13"/>
  <c r="P15" i="13"/>
  <c r="N15" i="13"/>
  <c r="N16" i="13"/>
  <c r="P16" i="13"/>
  <c r="P19" i="13"/>
  <c r="N19" i="13"/>
  <c r="P23" i="13"/>
  <c r="N23" i="13"/>
  <c r="P20" i="13"/>
  <c r="N20" i="13"/>
  <c r="N17" i="13"/>
  <c r="P17" i="13"/>
  <c r="N12" i="13"/>
  <c r="P12" i="13"/>
  <c r="V12" i="13"/>
  <c r="D12" i="13"/>
  <c r="AO72" i="6"/>
  <c r="AQ72" i="6"/>
  <c r="AP72" i="6"/>
  <c r="AO84" i="6"/>
  <c r="AQ84" i="6"/>
  <c r="AP84" i="6"/>
  <c r="AO57" i="6"/>
  <c r="AQ57" i="6"/>
  <c r="AP57" i="6"/>
  <c r="AQ35" i="6"/>
  <c r="AO35" i="6"/>
  <c r="AN35" i="6"/>
  <c r="AP35" i="6"/>
  <c r="AM35" i="6"/>
  <c r="AL35" i="6"/>
  <c r="AQ58" i="6"/>
  <c r="AO58" i="6"/>
  <c r="AP58" i="6"/>
  <c r="I21" i="5"/>
  <c r="AO129" i="6"/>
  <c r="AP129" i="6"/>
  <c r="AQ129" i="6"/>
  <c r="AO66" i="6"/>
  <c r="AP66" i="6"/>
  <c r="AQ66" i="6"/>
  <c r="AQ74" i="6"/>
  <c r="AO74" i="6"/>
  <c r="AP74" i="6"/>
  <c r="Q53" i="8" l="1"/>
  <c r="F57" i="8"/>
  <c r="S55" i="8"/>
  <c r="P53" i="8"/>
  <c r="M56" i="8" l="1"/>
  <c r="J56" i="8"/>
  <c r="O47" i="8"/>
  <c r="J29" i="6" a="1"/>
  <c r="J29" i="6" s="1"/>
  <c r="J77" i="6" a="1"/>
  <c r="J77" i="6" s="1"/>
  <c r="N32" i="8" l="1"/>
  <c r="R32" i="8" s="1"/>
  <c r="F34" i="8" s="1"/>
  <c r="N26" i="8"/>
  <c r="R26" i="8" s="1"/>
  <c r="F28" i="8" s="1"/>
  <c r="N17" i="8"/>
  <c r="R17" i="8" s="1"/>
  <c r="F19" i="8" s="1"/>
  <c r="N35" i="8"/>
  <c r="R35" i="8" s="1"/>
  <c r="F37" i="8" s="1"/>
  <c r="AJ37" i="8" s="1"/>
  <c r="N38" i="8"/>
  <c r="R38" i="8" s="1"/>
  <c r="F40" i="8" s="1"/>
  <c r="N29" i="8"/>
  <c r="R29" i="8" s="1"/>
  <c r="F31" i="8" s="1"/>
  <c r="N44" i="8"/>
  <c r="R44" i="8" s="1"/>
  <c r="F46" i="8" s="1"/>
  <c r="AD46" i="8" s="1"/>
  <c r="N50" i="8"/>
  <c r="N23" i="8"/>
  <c r="R23" i="8" s="1"/>
  <c r="F25" i="8" s="1"/>
  <c r="N47" i="8"/>
  <c r="R47" i="8" s="1"/>
  <c r="F49" i="8" s="1"/>
  <c r="N20" i="8"/>
  <c r="R20" i="8" s="1"/>
  <c r="F22" i="8" s="1"/>
  <c r="N41" i="8"/>
  <c r="R41" i="8" s="1"/>
  <c r="F43" i="8" s="1"/>
  <c r="AQ43" i="8" s="1"/>
  <c r="N14" i="8"/>
  <c r="R14" i="8" s="1"/>
  <c r="AI37" i="8"/>
  <c r="F60" i="8"/>
  <c r="I59" i="8" s="1"/>
  <c r="N53" i="8"/>
  <c r="S58" i="8"/>
  <c r="P56" i="8"/>
  <c r="O56" i="8"/>
  <c r="Q56" i="8"/>
  <c r="AH37" i="8"/>
  <c r="AN28" i="8" l="1"/>
  <c r="AD28" i="8"/>
  <c r="AL28" i="8"/>
  <c r="AA28" i="8"/>
  <c r="Z37" i="8"/>
  <c r="AB37" i="8"/>
  <c r="AK37" i="8"/>
  <c r="AQ37" i="8"/>
  <c r="AF28" i="8"/>
  <c r="AR37" i="8"/>
  <c r="AF19" i="8"/>
  <c r="AN19" i="8"/>
  <c r="Y19" i="8"/>
  <c r="AO19" i="8"/>
  <c r="AI19" i="8"/>
  <c r="W37" i="8"/>
  <c r="AO37" i="8"/>
  <c r="AL37" i="8"/>
  <c r="Y28" i="8"/>
  <c r="AB28" i="8"/>
  <c r="Z28" i="8"/>
  <c r="AM28" i="8"/>
  <c r="AH19" i="8"/>
  <c r="AA19" i="8"/>
  <c r="AR19" i="8"/>
  <c r="X19" i="8"/>
  <c r="W19" i="8"/>
  <c r="V19" i="8"/>
  <c r="AH34" i="8"/>
  <c r="AI34" i="8"/>
  <c r="Z34" i="8"/>
  <c r="AM34" i="8"/>
  <c r="AD34" i="8"/>
  <c r="AR43" i="8"/>
  <c r="Y34" i="8"/>
  <c r="AK43" i="8"/>
  <c r="AI43" i="8"/>
  <c r="AB43" i="8"/>
  <c r="AB19" i="8"/>
  <c r="AG19" i="8"/>
  <c r="AD19" i="8"/>
  <c r="AL19" i="8"/>
  <c r="AG22" i="8"/>
  <c r="AK19" i="8"/>
  <c r="AP19" i="8"/>
  <c r="AI22" i="8"/>
  <c r="AN22" i="8"/>
  <c r="AC19" i="8"/>
  <c r="AJ43" i="8"/>
  <c r="AH43" i="8"/>
  <c r="AM43" i="8"/>
  <c r="AJ22" i="8"/>
  <c r="AF22" i="8"/>
  <c r="Z22" i="8"/>
  <c r="AK22" i="8"/>
  <c r="AQ22" i="8"/>
  <c r="X22" i="8"/>
  <c r="W22" i="8"/>
  <c r="AO22" i="8"/>
  <c r="V22" i="8"/>
  <c r="AL43" i="8"/>
  <c r="AM22" i="8"/>
  <c r="AE19" i="8"/>
  <c r="AI28" i="8"/>
  <c r="AO28" i="8"/>
  <c r="AP28" i="8"/>
  <c r="AQ28" i="8"/>
  <c r="AE28" i="8"/>
  <c r="AC28" i="8"/>
  <c r="AK28" i="8"/>
  <c r="AR28" i="8"/>
  <c r="AJ28" i="8"/>
  <c r="AA22" i="8"/>
  <c r="AM40" i="8"/>
  <c r="AI40" i="8"/>
  <c r="Z40" i="8"/>
  <c r="AA40" i="8"/>
  <c r="AK40" i="8"/>
  <c r="AG40" i="8"/>
  <c r="AE22" i="8"/>
  <c r="AA37" i="8"/>
  <c r="AE43" i="8"/>
  <c r="AG43" i="8"/>
  <c r="AL22" i="8"/>
  <c r="AD37" i="8"/>
  <c r="AQ19" i="8"/>
  <c r="AM19" i="8"/>
  <c r="AJ19" i="8"/>
  <c r="Z19" i="8"/>
  <c r="AH28" i="8"/>
  <c r="AG28" i="8"/>
  <c r="AF43" i="8"/>
  <c r="AO43" i="8"/>
  <c r="AD22" i="8"/>
  <c r="AB22" i="8"/>
  <c r="AN37" i="8"/>
  <c r="X28" i="8"/>
  <c r="AC37" i="8"/>
  <c r="AK25" i="8"/>
  <c r="AO34" i="8"/>
  <c r="AN34" i="8"/>
  <c r="AR34" i="8"/>
  <c r="AB25" i="8"/>
  <c r="AQ34" i="8"/>
  <c r="AG34" i="8"/>
  <c r="AC34" i="8"/>
  <c r="AB34" i="8"/>
  <c r="AP34" i="8"/>
  <c r="AA34" i="8"/>
  <c r="AJ34" i="8"/>
  <c r="AF34" i="8"/>
  <c r="AL34" i="8"/>
  <c r="AE34" i="8"/>
  <c r="AK34" i="8"/>
  <c r="AF31" i="8"/>
  <c r="AQ31" i="8"/>
  <c r="AB31" i="8"/>
  <c r="AK31" i="8"/>
  <c r="AE31" i="8"/>
  <c r="Z31" i="8"/>
  <c r="AD31" i="8"/>
  <c r="AD43" i="8"/>
  <c r="AA43" i="8"/>
  <c r="AC31" i="8"/>
  <c r="AH22" i="8"/>
  <c r="AE37" i="8"/>
  <c r="AI31" i="8"/>
  <c r="AL31" i="8"/>
  <c r="AP40" i="8"/>
  <c r="AQ40" i="8"/>
  <c r="AN40" i="8"/>
  <c r="AL40" i="8"/>
  <c r="AJ25" i="8"/>
  <c r="AB40" i="8"/>
  <c r="AR40" i="8"/>
  <c r="AJ40" i="8"/>
  <c r="AP43" i="8"/>
  <c r="Z43" i="8"/>
  <c r="AC40" i="8"/>
  <c r="AC25" i="8"/>
  <c r="AN25" i="8"/>
  <c r="AO25" i="8"/>
  <c r="AD25" i="8"/>
  <c r="AG25" i="8"/>
  <c r="AR25" i="8"/>
  <c r="AD40" i="8"/>
  <c r="AH40" i="8"/>
  <c r="AP31" i="8"/>
  <c r="AF40" i="8"/>
  <c r="AH25" i="8"/>
  <c r="AH46" i="8"/>
  <c r="AI25" i="8"/>
  <c r="AJ46" i="8"/>
  <c r="AM25" i="8"/>
  <c r="AL46" i="8"/>
  <c r="AF25" i="8"/>
  <c r="AE25" i="8"/>
  <c r="AA31" i="8"/>
  <c r="AG31" i="8"/>
  <c r="AO31" i="8"/>
  <c r="AN31" i="8"/>
  <c r="AG37" i="8"/>
  <c r="AP37" i="8"/>
  <c r="AR31" i="8"/>
  <c r="AR46" i="8"/>
  <c r="W46" i="8"/>
  <c r="AP46" i="8"/>
  <c r="AM46" i="8"/>
  <c r="Z46" i="8"/>
  <c r="F16" i="8"/>
  <c r="D14" i="8"/>
  <c r="C14" i="8"/>
  <c r="AB46" i="8"/>
  <c r="AO46" i="8"/>
  <c r="AA46" i="8"/>
  <c r="AC46" i="8"/>
  <c r="AN46" i="8"/>
  <c r="AG46" i="8"/>
  <c r="AE46" i="8"/>
  <c r="AQ46" i="8"/>
  <c r="AF46" i="8"/>
  <c r="AN43" i="8"/>
  <c r="AC43" i="8"/>
  <c r="AP22" i="8"/>
  <c r="AC22" i="8"/>
  <c r="AR22" i="8"/>
  <c r="AP25" i="8"/>
  <c r="AL25" i="8"/>
  <c r="AK46" i="8"/>
  <c r="AI46" i="8"/>
  <c r="AE40" i="8"/>
  <c r="AF37" i="8"/>
  <c r="AM31" i="8"/>
  <c r="Y22" i="8"/>
  <c r="AO40" i="8"/>
  <c r="AQ25" i="8"/>
  <c r="AJ31" i="8"/>
  <c r="AH31" i="8"/>
  <c r="AM37" i="8"/>
  <c r="J59" i="8"/>
  <c r="M59" i="8"/>
  <c r="S59" i="8"/>
  <c r="G59" i="8" s="1"/>
  <c r="G60" i="8" s="1"/>
  <c r="A59" i="8" l="1"/>
  <c r="N56" i="8"/>
  <c r="R56" i="8" s="1"/>
  <c r="F58" i="8" s="1"/>
  <c r="F63" i="8"/>
  <c r="S61" i="8"/>
  <c r="H59" i="8"/>
  <c r="J60" i="8" s="1"/>
  <c r="H60" i="8"/>
  <c r="Q59" i="8"/>
  <c r="P59" i="8"/>
  <c r="O59" i="8"/>
  <c r="S62" i="8" l="1"/>
  <c r="G62" i="8" s="1"/>
  <c r="G63" i="8" s="1"/>
  <c r="M62" i="8"/>
  <c r="J62" i="8"/>
  <c r="I62" i="8"/>
  <c r="P62" i="8" l="1"/>
  <c r="O62" i="8"/>
  <c r="A62" i="8"/>
  <c r="H62" i="8"/>
  <c r="J63" i="8" s="1"/>
  <c r="H63" i="8"/>
  <c r="N59" i="8"/>
  <c r="R59" i="8" s="1"/>
  <c r="F66" i="8"/>
  <c r="S64" i="8"/>
  <c r="Q62" i="8"/>
  <c r="AQ23" i="6"/>
  <c r="AP23" i="6"/>
  <c r="AO23" i="6"/>
  <c r="I29" i="5"/>
  <c r="D59" i="8" l="1"/>
  <c r="U61" i="8"/>
  <c r="U59" i="8" s="1"/>
  <c r="Z61" i="8"/>
  <c r="Z59" i="8" s="1"/>
  <c r="AR61" i="8"/>
  <c r="AR59" i="8" s="1"/>
  <c r="AE61" i="8"/>
  <c r="AE59" i="8" s="1"/>
  <c r="AH61" i="8"/>
  <c r="AH59" i="8" s="1"/>
  <c r="W61" i="8"/>
  <c r="W59" i="8" s="1"/>
  <c r="AB61" i="8"/>
  <c r="AB59" i="8" s="1"/>
  <c r="V61" i="8"/>
  <c r="V59" i="8" s="1"/>
  <c r="AG61" i="8"/>
  <c r="AG59" i="8" s="1"/>
  <c r="AN61" i="8"/>
  <c r="AN59" i="8" s="1"/>
  <c r="AJ61" i="8"/>
  <c r="AJ59" i="8" s="1"/>
  <c r="AP61" i="8"/>
  <c r="AP59" i="8" s="1"/>
  <c r="AK61" i="8"/>
  <c r="AK59" i="8" s="1"/>
  <c r="AQ61" i="8"/>
  <c r="AQ59" i="8" s="1"/>
  <c r="AO61" i="8"/>
  <c r="AO59" i="8" s="1"/>
  <c r="AF61" i="8"/>
  <c r="AF59" i="8" s="1"/>
  <c r="AM61" i="8"/>
  <c r="AM59" i="8" s="1"/>
  <c r="AI61" i="8"/>
  <c r="AI59" i="8" s="1"/>
  <c r="AA61" i="8"/>
  <c r="AA59" i="8" s="1"/>
  <c r="AC61" i="8"/>
  <c r="AC59" i="8" s="1"/>
  <c r="X61" i="8"/>
  <c r="X59" i="8" s="1"/>
  <c r="AD61" i="8"/>
  <c r="AD59" i="8" s="1"/>
  <c r="AL61" i="8"/>
  <c r="AL59" i="8" s="1"/>
  <c r="Y61" i="8"/>
  <c r="Y59" i="8" s="1"/>
  <c r="F61" i="8"/>
  <c r="E61" i="8"/>
  <c r="E59" i="8" s="1"/>
  <c r="C59" i="8"/>
  <c r="I65" i="8"/>
  <c r="M65" i="8"/>
  <c r="Q65" i="8" s="1"/>
  <c r="J65" i="8"/>
  <c r="S65" i="8"/>
  <c r="G65" i="8" s="1"/>
  <c r="AA49" i="8"/>
  <c r="Z49" i="8"/>
  <c r="AM49" i="8"/>
  <c r="AB49" i="8"/>
  <c r="AI49" i="8"/>
  <c r="AH49" i="8"/>
  <c r="X49" i="8"/>
  <c r="AK49" i="8"/>
  <c r="AJ49" i="8"/>
  <c r="AE49" i="8"/>
  <c r="AO49" i="8"/>
  <c r="W49" i="8"/>
  <c r="AF49" i="8"/>
  <c r="AP49" i="8"/>
  <c r="AR49" i="8"/>
  <c r="AC49" i="8"/>
  <c r="AN49" i="8"/>
  <c r="AG49" i="8"/>
  <c r="AL49" i="8"/>
  <c r="AD49" i="8"/>
  <c r="AQ49" i="8"/>
  <c r="P65" i="8" l="1"/>
  <c r="O65" i="8"/>
  <c r="F69" i="8"/>
  <c r="N62" i="8"/>
  <c r="R62" i="8" s="1"/>
  <c r="S67" i="8"/>
  <c r="H66" i="8"/>
  <c r="H65" i="8"/>
  <c r="J66" i="8" s="1"/>
  <c r="A65" i="8"/>
  <c r="AP28" i="6"/>
  <c r="AQ28" i="6"/>
  <c r="AO28" i="6"/>
  <c r="AP27" i="6"/>
  <c r="AO27" i="6"/>
  <c r="AQ27" i="6"/>
  <c r="AO26" i="6"/>
  <c r="AP26" i="6"/>
  <c r="AQ26" i="6"/>
  <c r="J68" i="8" l="1"/>
  <c r="M68" i="8"/>
  <c r="O68" i="8" s="1"/>
  <c r="S68" i="8"/>
  <c r="G68" i="8" s="1"/>
  <c r="G69" i="8" s="1"/>
  <c r="I68" i="8"/>
  <c r="C62" i="8"/>
  <c r="AB64" i="8"/>
  <c r="AB62" i="8" s="1"/>
  <c r="X64" i="8"/>
  <c r="X62" i="8" s="1"/>
  <c r="AE64" i="8"/>
  <c r="AE62" i="8" s="1"/>
  <c r="AF64" i="8"/>
  <c r="AF62" i="8" s="1"/>
  <c r="AM64" i="8"/>
  <c r="AM62" i="8" s="1"/>
  <c r="AO64" i="8"/>
  <c r="AO62" i="8" s="1"/>
  <c r="AI64" i="8"/>
  <c r="AI62" i="8" s="1"/>
  <c r="AJ64" i="8"/>
  <c r="AJ62" i="8" s="1"/>
  <c r="AA64" i="8"/>
  <c r="AA62" i="8" s="1"/>
  <c r="AG64" i="8"/>
  <c r="AG62" i="8" s="1"/>
  <c r="AC64" i="8"/>
  <c r="AC62" i="8" s="1"/>
  <c r="AD64" i="8"/>
  <c r="AD62" i="8" s="1"/>
  <c r="AR64" i="8"/>
  <c r="AR62" i="8" s="1"/>
  <c r="AL64" i="8"/>
  <c r="AL62" i="8" s="1"/>
  <c r="AK64" i="8"/>
  <c r="AK62" i="8" s="1"/>
  <c r="AN64" i="8"/>
  <c r="AN62" i="8" s="1"/>
  <c r="AP64" i="8"/>
  <c r="AP62" i="8" s="1"/>
  <c r="Y64" i="8"/>
  <c r="Y62" i="8" s="1"/>
  <c r="AH64" i="8"/>
  <c r="AH62" i="8" s="1"/>
  <c r="AQ64" i="8"/>
  <c r="AQ62" i="8" s="1"/>
  <c r="V64" i="8"/>
  <c r="V62" i="8" s="1"/>
  <c r="E64" i="8"/>
  <c r="E62" i="8" s="1"/>
  <c r="U64" i="8"/>
  <c r="U62" i="8" s="1"/>
  <c r="Z64" i="8"/>
  <c r="Z62" i="8" s="1"/>
  <c r="D62" i="8"/>
  <c r="F64" i="8"/>
  <c r="W64" i="8"/>
  <c r="W62" i="8" s="1"/>
  <c r="AA25" i="8"/>
  <c r="Z25" i="8"/>
  <c r="P68" i="8" l="1"/>
  <c r="Q68" i="8"/>
  <c r="A68" i="8"/>
  <c r="F72" i="8"/>
  <c r="N65" i="8"/>
  <c r="R65" i="8" s="1"/>
  <c r="S70" i="8"/>
  <c r="H68" i="8"/>
  <c r="J69" i="8" s="1"/>
  <c r="H69" i="8"/>
  <c r="I77" i="5"/>
  <c r="S71" i="8" l="1"/>
  <c r="G71" i="8" s="1"/>
  <c r="G72" i="8" s="1"/>
  <c r="J71" i="8"/>
  <c r="M71" i="8"/>
  <c r="Q71" i="8" s="1"/>
  <c r="I71" i="8"/>
  <c r="C65" i="8"/>
  <c r="AO67" i="8"/>
  <c r="AO65" i="8" s="1"/>
  <c r="AC67" i="8"/>
  <c r="AC65" i="8" s="1"/>
  <c r="AJ67" i="8"/>
  <c r="AJ65" i="8" s="1"/>
  <c r="E67" i="8"/>
  <c r="E65" i="8" s="1"/>
  <c r="D65" i="8"/>
  <c r="F67" i="8"/>
  <c r="AB67" i="8"/>
  <c r="AB65" i="8" s="1"/>
  <c r="V67" i="8"/>
  <c r="V65" i="8" s="1"/>
  <c r="AA67" i="8"/>
  <c r="AA65" i="8" s="1"/>
  <c r="W67" i="8"/>
  <c r="W65" i="8" s="1"/>
  <c r="AI67" i="8"/>
  <c r="AI65" i="8" s="1"/>
  <c r="AK67" i="8"/>
  <c r="AK65" i="8" s="1"/>
  <c r="AP67" i="8"/>
  <c r="AP65" i="8" s="1"/>
  <c r="AD67" i="8"/>
  <c r="AD65" i="8" s="1"/>
  <c r="AM67" i="8"/>
  <c r="AM65" i="8" s="1"/>
  <c r="AG67" i="8"/>
  <c r="AG65" i="8" s="1"/>
  <c r="Y67" i="8"/>
  <c r="Y65" i="8" s="1"/>
  <c r="Z67" i="8"/>
  <c r="Z65" i="8" s="1"/>
  <c r="X67" i="8"/>
  <c r="X65" i="8" s="1"/>
  <c r="AN67" i="8"/>
  <c r="AN65" i="8" s="1"/>
  <c r="AH67" i="8"/>
  <c r="AH65" i="8" s="1"/>
  <c r="AQ67" i="8"/>
  <c r="AQ65" i="8" s="1"/>
  <c r="AR67" i="8"/>
  <c r="AR65" i="8" s="1"/>
  <c r="AL67" i="8"/>
  <c r="AL65" i="8" s="1"/>
  <c r="AE67" i="8"/>
  <c r="AE65" i="8" s="1"/>
  <c r="U67" i="8"/>
  <c r="U65" i="8" s="1"/>
  <c r="AF67" i="8"/>
  <c r="AF65" i="8" s="1"/>
  <c r="AP18" i="6"/>
  <c r="AP15" i="6" s="1"/>
  <c r="W15" i="6" s="1"/>
  <c r="W11" i="6" s="1"/>
  <c r="AQ18" i="6"/>
  <c r="AQ15" i="6" s="1"/>
  <c r="X15" i="6" s="1"/>
  <c r="X11" i="6" s="1"/>
  <c r="AO18" i="6"/>
  <c r="AO15" i="6" s="1"/>
  <c r="V15" i="6" s="1"/>
  <c r="V11" i="6" s="1"/>
  <c r="P71" i="8" l="1"/>
  <c r="O71" i="8"/>
  <c r="H71" i="8"/>
  <c r="J72" i="8" s="1"/>
  <c r="H72" i="8"/>
  <c r="F75" i="8"/>
  <c r="N68" i="8"/>
  <c r="R68" i="8" s="1"/>
  <c r="A71" i="8"/>
  <c r="S73" i="8"/>
  <c r="M74" i="8" l="1"/>
  <c r="Q74" i="8" s="1"/>
  <c r="I74" i="8"/>
  <c r="J74" i="8"/>
  <c r="S74" i="8"/>
  <c r="AG70" i="8"/>
  <c r="AG68" i="8" s="1"/>
  <c r="AD70" i="8"/>
  <c r="AD68" i="8" s="1"/>
  <c r="AF70" i="8"/>
  <c r="AF68" i="8" s="1"/>
  <c r="AP70" i="8"/>
  <c r="AP68" i="8" s="1"/>
  <c r="AN70" i="8"/>
  <c r="AN68" i="8" s="1"/>
  <c r="C68" i="8"/>
  <c r="AB70" i="8"/>
  <c r="AB68" i="8" s="1"/>
  <c r="AR70" i="8"/>
  <c r="AR68" i="8" s="1"/>
  <c r="AO70" i="8"/>
  <c r="AO68" i="8" s="1"/>
  <c r="AK70" i="8"/>
  <c r="AK68" i="8" s="1"/>
  <c r="AJ70" i="8"/>
  <c r="AJ68" i="8" s="1"/>
  <c r="AQ70" i="8"/>
  <c r="AQ68" i="8" s="1"/>
  <c r="AC70" i="8"/>
  <c r="AC68" i="8" s="1"/>
  <c r="E70" i="8"/>
  <c r="E68" i="8" s="1"/>
  <c r="AL70" i="8"/>
  <c r="AL68" i="8" s="1"/>
  <c r="AM70" i="8"/>
  <c r="AM68" i="8" s="1"/>
  <c r="U70" i="8"/>
  <c r="U68" i="8" s="1"/>
  <c r="Z70" i="8"/>
  <c r="Z68" i="8" s="1"/>
  <c r="AI70" i="8"/>
  <c r="AI68" i="8" s="1"/>
  <c r="AA70" i="8"/>
  <c r="AA68" i="8" s="1"/>
  <c r="AH70" i="8"/>
  <c r="AH68" i="8" s="1"/>
  <c r="V70" i="8"/>
  <c r="V68" i="8" s="1"/>
  <c r="AE70" i="8"/>
  <c r="AE68" i="8" s="1"/>
  <c r="Y70" i="8"/>
  <c r="Y68" i="8" s="1"/>
  <c r="X70" i="8"/>
  <c r="X68" i="8" s="1"/>
  <c r="W70" i="8"/>
  <c r="W68" i="8" s="1"/>
  <c r="D68" i="8"/>
  <c r="F70" i="8"/>
  <c r="J38" i="8"/>
  <c r="P74" i="8" l="1"/>
  <c r="O74" i="8"/>
  <c r="F78" i="8"/>
  <c r="N71" i="8"/>
  <c r="R71" i="8" s="1"/>
  <c r="A74" i="8"/>
  <c r="S76" i="8"/>
  <c r="H75" i="8"/>
  <c r="H74" i="8"/>
  <c r="J75" i="8" s="1"/>
  <c r="G74" i="8"/>
  <c r="G75" i="8" s="1"/>
  <c r="E63" i="12"/>
  <c r="F63" i="6"/>
  <c r="G63" i="6"/>
  <c r="I77" i="8" l="1"/>
  <c r="J77" i="8"/>
  <c r="S77" i="8"/>
  <c r="M77" i="8"/>
  <c r="O77" i="8" s="1"/>
  <c r="AF73" i="8"/>
  <c r="AF71" i="8" s="1"/>
  <c r="AE73" i="8"/>
  <c r="AE71" i="8" s="1"/>
  <c r="AJ73" i="8"/>
  <c r="AJ71" i="8" s="1"/>
  <c r="AL73" i="8"/>
  <c r="AL71" i="8" s="1"/>
  <c r="U73" i="8"/>
  <c r="U71" i="8" s="1"/>
  <c r="AH73" i="8"/>
  <c r="AH71" i="8" s="1"/>
  <c r="V73" i="8"/>
  <c r="V71" i="8" s="1"/>
  <c r="AP73" i="8"/>
  <c r="AP71" i="8" s="1"/>
  <c r="AO73" i="8"/>
  <c r="AO71" i="8" s="1"/>
  <c r="D71" i="8"/>
  <c r="AM73" i="8"/>
  <c r="AM71" i="8" s="1"/>
  <c r="Y73" i="8"/>
  <c r="Y71" i="8" s="1"/>
  <c r="AG73" i="8"/>
  <c r="AG71" i="8" s="1"/>
  <c r="AI73" i="8"/>
  <c r="AI71" i="8" s="1"/>
  <c r="AC73" i="8"/>
  <c r="AC71" i="8" s="1"/>
  <c r="AK73" i="8"/>
  <c r="AK71" i="8" s="1"/>
  <c r="C71" i="8"/>
  <c r="X73" i="8"/>
  <c r="X71" i="8" s="1"/>
  <c r="AR73" i="8"/>
  <c r="AR71" i="8" s="1"/>
  <c r="AD73" i="8"/>
  <c r="AD71" i="8" s="1"/>
  <c r="AQ73" i="8"/>
  <c r="AQ71" i="8" s="1"/>
  <c r="Z73" i="8"/>
  <c r="Z71" i="8" s="1"/>
  <c r="AN73" i="8"/>
  <c r="AN71" i="8" s="1"/>
  <c r="E73" i="8"/>
  <c r="E71" i="8" s="1"/>
  <c r="AB73" i="8"/>
  <c r="AB71" i="8" s="1"/>
  <c r="F73" i="8"/>
  <c r="W73" i="8"/>
  <c r="W71" i="8" s="1"/>
  <c r="AA73" i="8"/>
  <c r="AA71" i="8" s="1"/>
  <c r="N64" i="6"/>
  <c r="C21" i="9" s="1"/>
  <c r="F21" i="9" s="1"/>
  <c r="C24" i="9"/>
  <c r="F24" i="9" s="1"/>
  <c r="C24" i="10"/>
  <c r="C23" i="9"/>
  <c r="F23" i="9" s="1"/>
  <c r="C23" i="10"/>
  <c r="C22" i="10" l="1"/>
  <c r="C22" i="9"/>
  <c r="F22" i="9" s="1"/>
  <c r="D8" i="9" s="1"/>
  <c r="F118" i="8" s="1"/>
  <c r="AL118" i="8" s="1"/>
  <c r="Q77" i="8"/>
  <c r="P77" i="8"/>
  <c r="H77" i="8"/>
  <c r="J78" i="8" s="1"/>
  <c r="H78" i="8"/>
  <c r="G77" i="8"/>
  <c r="G78" i="8" s="1"/>
  <c r="F81" i="8"/>
  <c r="N74" i="8"/>
  <c r="R74" i="8" s="1"/>
  <c r="A77" i="8"/>
  <c r="S79" i="8"/>
  <c r="C21" i="10"/>
  <c r="J63" i="6" a="1"/>
  <c r="J63" i="6" s="1"/>
  <c r="U118" i="8" l="1"/>
  <c r="U119" i="8" s="1"/>
  <c r="AB118" i="8"/>
  <c r="V72" i="9" s="1"/>
  <c r="AO118" i="8"/>
  <c r="AO119" i="8" s="1"/>
  <c r="Y118" i="8"/>
  <c r="P72" i="9" s="1"/>
  <c r="Z118" i="8"/>
  <c r="R72" i="9" s="1"/>
  <c r="V118" i="8"/>
  <c r="J72" i="9" s="1"/>
  <c r="AQ118" i="8"/>
  <c r="AB80" i="9" s="1"/>
  <c r="AG118" i="8"/>
  <c r="AG119" i="8" s="1"/>
  <c r="W118" i="8"/>
  <c r="L72" i="9" s="1"/>
  <c r="AI118" i="8"/>
  <c r="AI119" i="8" s="1"/>
  <c r="AJ118" i="8"/>
  <c r="N80" i="9" s="1"/>
  <c r="AD118" i="8"/>
  <c r="Z72" i="9" s="1"/>
  <c r="A11" i="12"/>
  <c r="P11" i="12" s="1"/>
  <c r="O11" i="12" s="1"/>
  <c r="AP118" i="8"/>
  <c r="AP119" i="8" s="1"/>
  <c r="AM118" i="8"/>
  <c r="T80" i="9" s="1"/>
  <c r="AC118" i="8"/>
  <c r="AC119" i="8" s="1"/>
  <c r="AN118" i="8"/>
  <c r="AN119" i="8" s="1"/>
  <c r="AR118" i="8"/>
  <c r="AD80" i="9" s="1"/>
  <c r="X118" i="8"/>
  <c r="N72" i="9" s="1"/>
  <c r="AK118" i="8"/>
  <c r="P80" i="9" s="1"/>
  <c r="AE118" i="8"/>
  <c r="AE119" i="8" s="1"/>
  <c r="AH118" i="8"/>
  <c r="AH119" i="8" s="1"/>
  <c r="E118" i="8"/>
  <c r="AF118" i="8"/>
  <c r="AF119" i="8" s="1"/>
  <c r="AA118" i="8"/>
  <c r="T72" i="9" s="1"/>
  <c r="S80" i="8"/>
  <c r="J80" i="8"/>
  <c r="I80" i="8"/>
  <c r="M80" i="8"/>
  <c r="F76" i="8"/>
  <c r="X76" i="8"/>
  <c r="X74" i="8" s="1"/>
  <c r="AM76" i="8"/>
  <c r="AM74" i="8" s="1"/>
  <c r="AF76" i="8"/>
  <c r="AF74" i="8" s="1"/>
  <c r="AJ76" i="8"/>
  <c r="AJ74" i="8" s="1"/>
  <c r="AN76" i="8"/>
  <c r="AN74" i="8" s="1"/>
  <c r="AK76" i="8"/>
  <c r="AK74" i="8" s="1"/>
  <c r="AR76" i="8"/>
  <c r="AR74" i="8" s="1"/>
  <c r="AO76" i="8"/>
  <c r="AO74" i="8" s="1"/>
  <c r="AA76" i="8"/>
  <c r="AA74" i="8" s="1"/>
  <c r="V76" i="8"/>
  <c r="V74" i="8" s="1"/>
  <c r="W76" i="8"/>
  <c r="W74" i="8" s="1"/>
  <c r="AD76" i="8"/>
  <c r="AD74" i="8" s="1"/>
  <c r="AE76" i="8"/>
  <c r="AE74" i="8" s="1"/>
  <c r="U76" i="8"/>
  <c r="U74" i="8" s="1"/>
  <c r="AI76" i="8"/>
  <c r="AI74" i="8" s="1"/>
  <c r="AQ76" i="8"/>
  <c r="AQ74" i="8" s="1"/>
  <c r="E76" i="8"/>
  <c r="E74" i="8" s="1"/>
  <c r="AC76" i="8"/>
  <c r="AC74" i="8" s="1"/>
  <c r="AP76" i="8"/>
  <c r="AP74" i="8" s="1"/>
  <c r="AH76" i="8"/>
  <c r="AH74" i="8" s="1"/>
  <c r="AG76" i="8"/>
  <c r="AG74" i="8" s="1"/>
  <c r="AL76" i="8"/>
  <c r="AL74" i="8" s="1"/>
  <c r="AB76" i="8"/>
  <c r="AB74" i="8" s="1"/>
  <c r="Y76" i="8"/>
  <c r="Y74" i="8" s="1"/>
  <c r="D74" i="8"/>
  <c r="Z76" i="8"/>
  <c r="Z74" i="8" s="1"/>
  <c r="C74" i="8"/>
  <c r="R80" i="9"/>
  <c r="AL119" i="8"/>
  <c r="W119" i="8" l="1"/>
  <c r="AB72" i="9"/>
  <c r="V80" i="9"/>
  <c r="H72" i="9"/>
  <c r="AD119" i="8"/>
  <c r="Z80" i="9"/>
  <c r="J80" i="9"/>
  <c r="V119" i="8"/>
  <c r="AK119" i="8"/>
  <c r="Y119" i="8"/>
  <c r="X80" i="9"/>
  <c r="Z119" i="8"/>
  <c r="AQ119" i="8"/>
  <c r="AM119" i="8"/>
  <c r="X119" i="8"/>
  <c r="AJ119" i="8"/>
  <c r="L80" i="9"/>
  <c r="H80" i="9"/>
  <c r="AD72" i="9"/>
  <c r="X72" i="9"/>
  <c r="AA119" i="8"/>
  <c r="AB119" i="8"/>
  <c r="AR119" i="8"/>
  <c r="P80" i="8"/>
  <c r="Q80" i="8"/>
  <c r="O80" i="8"/>
  <c r="H80" i="8"/>
  <c r="J81" i="8" s="1"/>
  <c r="H81" i="8"/>
  <c r="G80" i="8"/>
  <c r="F84" i="8"/>
  <c r="N77" i="8"/>
  <c r="R77" i="8" s="1"/>
  <c r="A80" i="8"/>
  <c r="S82" i="8"/>
  <c r="T119" i="8" l="1"/>
  <c r="I83" i="8"/>
  <c r="S83" i="8"/>
  <c r="Q83" i="8"/>
  <c r="J83" i="8"/>
  <c r="O83" i="8"/>
  <c r="M83" i="8"/>
  <c r="N80" i="8" s="1"/>
  <c r="R80" i="8" s="1"/>
  <c r="C80" i="8" s="1"/>
  <c r="P83" i="8"/>
  <c r="N83" i="8"/>
  <c r="C77" i="8"/>
  <c r="D77" i="8"/>
  <c r="Z79" i="8"/>
  <c r="Z77" i="8" s="1"/>
  <c r="AP79" i="8"/>
  <c r="AP77" i="8" s="1"/>
  <c r="AC79" i="8"/>
  <c r="AC77" i="8" s="1"/>
  <c r="AJ79" i="8"/>
  <c r="AJ77" i="8" s="1"/>
  <c r="AE79" i="8"/>
  <c r="AE77" i="8" s="1"/>
  <c r="U79" i="8"/>
  <c r="U77" i="8" s="1"/>
  <c r="X79" i="8"/>
  <c r="X77" i="8" s="1"/>
  <c r="V79" i="8"/>
  <c r="V77" i="8" s="1"/>
  <c r="AI79" i="8"/>
  <c r="AI77" i="8" s="1"/>
  <c r="W79" i="8"/>
  <c r="W77" i="8" s="1"/>
  <c r="AK79" i="8"/>
  <c r="AK77" i="8" s="1"/>
  <c r="AM79" i="8"/>
  <c r="AM77" i="8" s="1"/>
  <c r="AB79" i="8"/>
  <c r="AB77" i="8" s="1"/>
  <c r="AL79" i="8"/>
  <c r="AL77" i="8" s="1"/>
  <c r="AR79" i="8"/>
  <c r="AR77" i="8" s="1"/>
  <c r="AG79" i="8"/>
  <c r="AG77" i="8" s="1"/>
  <c r="AH79" i="8"/>
  <c r="AH77" i="8" s="1"/>
  <c r="Y79" i="8"/>
  <c r="Y77" i="8" s="1"/>
  <c r="AQ79" i="8"/>
  <c r="AQ77" i="8" s="1"/>
  <c r="AD79" i="8"/>
  <c r="AD77" i="8" s="1"/>
  <c r="AF79" i="8"/>
  <c r="AF77" i="8" s="1"/>
  <c r="AO79" i="8"/>
  <c r="AO77" i="8" s="1"/>
  <c r="AA79" i="8"/>
  <c r="AA77" i="8" s="1"/>
  <c r="AN79" i="8"/>
  <c r="AN77" i="8" s="1"/>
  <c r="F79" i="8"/>
  <c r="E79" i="8"/>
  <c r="E77" i="8" s="1"/>
  <c r="E84" i="12"/>
  <c r="F84" i="6"/>
  <c r="F85" i="6"/>
  <c r="E85" i="12"/>
  <c r="D80" i="8" l="1"/>
  <c r="F82" i="8"/>
  <c r="AC82" i="8"/>
  <c r="AC80" i="8" s="1"/>
  <c r="AE82" i="8"/>
  <c r="AE80" i="8" s="1"/>
  <c r="AH82" i="8"/>
  <c r="AH80" i="8" s="1"/>
  <c r="G83" i="8"/>
  <c r="AL82" i="8"/>
  <c r="AL80" i="8" s="1"/>
  <c r="AK82" i="8"/>
  <c r="AK80" i="8" s="1"/>
  <c r="AF82" i="8"/>
  <c r="AF80" i="8" s="1"/>
  <c r="Y82" i="8"/>
  <c r="Y80" i="8" s="1"/>
  <c r="U82" i="8"/>
  <c r="U80" i="8" s="1"/>
  <c r="AN82" i="8"/>
  <c r="AN80" i="8" s="1"/>
  <c r="E82" i="8"/>
  <c r="E80" i="8" s="1"/>
  <c r="AO82" i="8"/>
  <c r="AO80" i="8" s="1"/>
  <c r="AB82" i="8"/>
  <c r="AB80" i="8" s="1"/>
  <c r="AJ82" i="8"/>
  <c r="AJ80" i="8" s="1"/>
  <c r="AP82" i="8"/>
  <c r="AP80" i="8" s="1"/>
  <c r="AR82" i="8"/>
  <c r="AR80" i="8" s="1"/>
  <c r="AM82" i="8"/>
  <c r="AM80" i="8" s="1"/>
  <c r="AD82" i="8"/>
  <c r="AD80" i="8" s="1"/>
  <c r="V82" i="8"/>
  <c r="V80" i="8" s="1"/>
  <c r="AQ82" i="8"/>
  <c r="AQ80" i="8" s="1"/>
  <c r="AI82" i="8"/>
  <c r="AI80" i="8" s="1"/>
  <c r="AA82" i="8"/>
  <c r="AA80" i="8" s="1"/>
  <c r="W82" i="8"/>
  <c r="W80" i="8" s="1"/>
  <c r="Z82" i="8"/>
  <c r="Z80" i="8" s="1"/>
  <c r="X82" i="8"/>
  <c r="X80" i="8" s="1"/>
  <c r="H83" i="8"/>
  <c r="J84" i="8" s="1"/>
  <c r="H84" i="8"/>
  <c r="AG82" i="8"/>
  <c r="AG80" i="8" s="1"/>
  <c r="F87" i="8"/>
  <c r="A83" i="8"/>
  <c r="R83" i="8"/>
  <c r="S85" i="8"/>
  <c r="AJ35" i="6"/>
  <c r="AK35" i="6"/>
  <c r="AK41" i="6"/>
  <c r="AJ41" i="6"/>
  <c r="AJ38" i="6"/>
  <c r="AK38" i="6"/>
  <c r="I73" i="10" l="1"/>
  <c r="I71" i="10" s="1"/>
  <c r="AE73" i="10"/>
  <c r="AE14" i="13"/>
  <c r="M14" i="13" s="1"/>
  <c r="M28" i="13" s="1"/>
  <c r="U73" i="10"/>
  <c r="K73" i="10"/>
  <c r="AH14" i="13"/>
  <c r="O14" i="13" s="1"/>
  <c r="M73" i="10"/>
  <c r="O73" i="10"/>
  <c r="S73" i="10"/>
  <c r="W73" i="10"/>
  <c r="AC73" i="10"/>
  <c r="Y73" i="10"/>
  <c r="Q73" i="10"/>
  <c r="AA73" i="10"/>
  <c r="J86" i="8"/>
  <c r="S86" i="8"/>
  <c r="O86" i="8"/>
  <c r="M86" i="8"/>
  <c r="P86" i="8"/>
  <c r="I86" i="8"/>
  <c r="N86" i="8"/>
  <c r="Q86" i="8"/>
  <c r="F85" i="8"/>
  <c r="C83" i="8"/>
  <c r="D83" i="8"/>
  <c r="I63" i="5"/>
  <c r="W71" i="10" l="1"/>
  <c r="K71" i="10"/>
  <c r="M71" i="10"/>
  <c r="AC71" i="10"/>
  <c r="AE71" i="10"/>
  <c r="AA71" i="10"/>
  <c r="N14" i="13"/>
  <c r="O28" i="13"/>
  <c r="O71" i="10"/>
  <c r="Q71" i="10"/>
  <c r="Y71" i="10"/>
  <c r="U71" i="10"/>
  <c r="S71" i="10"/>
  <c r="AI85" i="8"/>
  <c r="AI83" i="8" s="1"/>
  <c r="AF85" i="8"/>
  <c r="AF83" i="8" s="1"/>
  <c r="AP85" i="8"/>
  <c r="AP83" i="8" s="1"/>
  <c r="V85" i="8"/>
  <c r="V83" i="8" s="1"/>
  <c r="AH85" i="8"/>
  <c r="AH83" i="8" s="1"/>
  <c r="AK85" i="8"/>
  <c r="AK83" i="8" s="1"/>
  <c r="W85" i="8"/>
  <c r="W83" i="8" s="1"/>
  <c r="AN85" i="8"/>
  <c r="AN83" i="8" s="1"/>
  <c r="AA85" i="8"/>
  <c r="AA83" i="8" s="1"/>
  <c r="AR85" i="8"/>
  <c r="AR83" i="8" s="1"/>
  <c r="AC85" i="8"/>
  <c r="AC83" i="8" s="1"/>
  <c r="AL85" i="8"/>
  <c r="AL83" i="8" s="1"/>
  <c r="Z85" i="8"/>
  <c r="Z83" i="8" s="1"/>
  <c r="AM85" i="8"/>
  <c r="AM83" i="8" s="1"/>
  <c r="AD85" i="8"/>
  <c r="AD83" i="8" s="1"/>
  <c r="AJ85" i="8"/>
  <c r="AJ83" i="8" s="1"/>
  <c r="X85" i="8"/>
  <c r="X83" i="8" s="1"/>
  <c r="E85" i="8"/>
  <c r="E83" i="8" s="1"/>
  <c r="G86" i="8"/>
  <c r="AE85" i="8"/>
  <c r="AE83" i="8" s="1"/>
  <c r="AQ85" i="8"/>
  <c r="AQ83" i="8" s="1"/>
  <c r="AO85" i="8"/>
  <c r="AO83" i="8" s="1"/>
  <c r="U85" i="8"/>
  <c r="U83" i="8" s="1"/>
  <c r="AB85" i="8"/>
  <c r="AB83" i="8" s="1"/>
  <c r="Y85" i="8"/>
  <c r="Y83" i="8" s="1"/>
  <c r="H86" i="8"/>
  <c r="J87" i="8" s="1"/>
  <c r="H87" i="8"/>
  <c r="AG85" i="8"/>
  <c r="AG83" i="8" s="1"/>
  <c r="F90" i="8"/>
  <c r="R86" i="8"/>
  <c r="A86" i="8"/>
  <c r="S88" i="8"/>
  <c r="S56" i="8"/>
  <c r="AD6" i="13" l="1"/>
  <c r="AE6" i="13" s="1"/>
  <c r="N28" i="13"/>
  <c r="E33" i="14" s="1"/>
  <c r="D48" i="2"/>
  <c r="D52" i="2"/>
  <c r="F33" i="14"/>
  <c r="D54" i="2"/>
  <c r="D51" i="2"/>
  <c r="D47" i="2"/>
  <c r="D53" i="2"/>
  <c r="J89" i="8"/>
  <c r="S89" i="8"/>
  <c r="M89" i="8"/>
  <c r="Q89" i="8"/>
  <c r="I89" i="8"/>
  <c r="O89" i="8"/>
  <c r="N89" i="8"/>
  <c r="P89" i="8"/>
  <c r="F88" i="8"/>
  <c r="C86" i="8"/>
  <c r="D86" i="8"/>
  <c r="AA58" i="8"/>
  <c r="AA56" i="8" s="1"/>
  <c r="AG58" i="8"/>
  <c r="AG56" i="8" s="1"/>
  <c r="AJ58" i="8"/>
  <c r="AJ56" i="8" s="1"/>
  <c r="Z58" i="8"/>
  <c r="Z56" i="8" s="1"/>
  <c r="V58" i="8"/>
  <c r="V56" i="8" s="1"/>
  <c r="AP58" i="8"/>
  <c r="AP56" i="8" s="1"/>
  <c r="Y58" i="8"/>
  <c r="Y56" i="8" s="1"/>
  <c r="W58" i="8"/>
  <c r="W56" i="8" s="1"/>
  <c r="X58" i="8"/>
  <c r="X56" i="8" s="1"/>
  <c r="AQ58" i="8"/>
  <c r="AQ56" i="8" s="1"/>
  <c r="AK58" i="8"/>
  <c r="AK56" i="8" s="1"/>
  <c r="AC58" i="8"/>
  <c r="AC56" i="8" s="1"/>
  <c r="AO58" i="8"/>
  <c r="AO56" i="8" s="1"/>
  <c r="AF58" i="8"/>
  <c r="AF56" i="8" s="1"/>
  <c r="AH58" i="8"/>
  <c r="AH56" i="8" s="1"/>
  <c r="AB58" i="8"/>
  <c r="AB56" i="8" s="1"/>
  <c r="AD58" i="8"/>
  <c r="AD56" i="8" s="1"/>
  <c r="AN58" i="8"/>
  <c r="AN56" i="8" s="1"/>
  <c r="AE58" i="8"/>
  <c r="AE56" i="8" s="1"/>
  <c r="AM58" i="8"/>
  <c r="AM56" i="8" s="1"/>
  <c r="AR58" i="8"/>
  <c r="AR56" i="8" s="1"/>
  <c r="AI58" i="8"/>
  <c r="AI56" i="8" s="1"/>
  <c r="AL58" i="8"/>
  <c r="AL56" i="8" s="1"/>
  <c r="E58" i="8"/>
  <c r="E56" i="8" s="1"/>
  <c r="U58" i="8"/>
  <c r="U56" i="8" s="1"/>
  <c r="H57" i="8"/>
  <c r="H56" i="8"/>
  <c r="J57" i="8" s="1"/>
  <c r="C56" i="8"/>
  <c r="D56" i="8"/>
  <c r="G56" i="8"/>
  <c r="D46" i="2" l="1"/>
  <c r="D50" i="2"/>
  <c r="J141" i="12" s="1"/>
  <c r="AH88" i="8"/>
  <c r="AH86" i="8" s="1"/>
  <c r="V88" i="8"/>
  <c r="V86" i="8" s="1"/>
  <c r="AK88" i="8"/>
  <c r="AK86" i="8" s="1"/>
  <c r="AB88" i="8"/>
  <c r="AB86" i="8" s="1"/>
  <c r="Y88" i="8"/>
  <c r="Y86" i="8" s="1"/>
  <c r="AD88" i="8"/>
  <c r="AD86" i="8" s="1"/>
  <c r="AN88" i="8"/>
  <c r="AN86" i="8" s="1"/>
  <c r="AF88" i="8"/>
  <c r="AF86" i="8" s="1"/>
  <c r="G89" i="8"/>
  <c r="AG88" i="8"/>
  <c r="AG86" i="8" s="1"/>
  <c r="AL88" i="8"/>
  <c r="AL86" i="8" s="1"/>
  <c r="W88" i="8"/>
  <c r="W86" i="8" s="1"/>
  <c r="AI88" i="8"/>
  <c r="AI86" i="8" s="1"/>
  <c r="U88" i="8"/>
  <c r="U86" i="8" s="1"/>
  <c r="E88" i="8"/>
  <c r="E86" i="8" s="1"/>
  <c r="AJ88" i="8"/>
  <c r="AJ86" i="8" s="1"/>
  <c r="AM88" i="8"/>
  <c r="AM86" i="8" s="1"/>
  <c r="AP88" i="8"/>
  <c r="AP86" i="8" s="1"/>
  <c r="AE88" i="8"/>
  <c r="AE86" i="8" s="1"/>
  <c r="AA88" i="8"/>
  <c r="AA86" i="8" s="1"/>
  <c r="AO88" i="8"/>
  <c r="AO86" i="8" s="1"/>
  <c r="AQ88" i="8"/>
  <c r="AQ86" i="8" s="1"/>
  <c r="AC88" i="8"/>
  <c r="AC86" i="8" s="1"/>
  <c r="X88" i="8"/>
  <c r="X86" i="8" s="1"/>
  <c r="Z88" i="8"/>
  <c r="Z86" i="8" s="1"/>
  <c r="AR88" i="8"/>
  <c r="AR86" i="8" s="1"/>
  <c r="H89" i="8"/>
  <c r="J90" i="8" s="1"/>
  <c r="H90" i="8"/>
  <c r="F93" i="8"/>
  <c r="A89" i="8"/>
  <c r="S91" i="8"/>
  <c r="R89" i="8"/>
  <c r="I56" i="8"/>
  <c r="A56" i="8" s="1"/>
  <c r="D1" i="2" l="1"/>
  <c r="S77" i="10"/>
  <c r="C11" i="10" s="1"/>
  <c r="S92" i="8"/>
  <c r="Q92" i="8"/>
  <c r="O92" i="8"/>
  <c r="P92" i="8"/>
  <c r="M92" i="8"/>
  <c r="N92" i="8"/>
  <c r="I92" i="8"/>
  <c r="J92" i="8"/>
  <c r="F91" i="8"/>
  <c r="C89" i="8"/>
  <c r="D89" i="8"/>
  <c r="AD91" i="8" l="1"/>
  <c r="AD89" i="8" s="1"/>
  <c r="AC91" i="8"/>
  <c r="AC89" i="8" s="1"/>
  <c r="W91" i="8"/>
  <c r="W89" i="8" s="1"/>
  <c r="AP91" i="8"/>
  <c r="AP89" i="8" s="1"/>
  <c r="Z91" i="8"/>
  <c r="Z89" i="8" s="1"/>
  <c r="AQ91" i="8"/>
  <c r="AQ89" i="8" s="1"/>
  <c r="AH91" i="8"/>
  <c r="AH89" i="8" s="1"/>
  <c r="X91" i="8"/>
  <c r="X89" i="8" s="1"/>
  <c r="U91" i="8"/>
  <c r="U89" i="8" s="1"/>
  <c r="AR91" i="8"/>
  <c r="AR89" i="8" s="1"/>
  <c r="E91" i="8"/>
  <c r="E89" i="8" s="1"/>
  <c r="AF91" i="8"/>
  <c r="AF89" i="8" s="1"/>
  <c r="Y91" i="8"/>
  <c r="Y89" i="8" s="1"/>
  <c r="AG91" i="8"/>
  <c r="AG89" i="8" s="1"/>
  <c r="AM91" i="8"/>
  <c r="AM89" i="8" s="1"/>
  <c r="AA91" i="8"/>
  <c r="AA89" i="8" s="1"/>
  <c r="AN91" i="8"/>
  <c r="AN89" i="8" s="1"/>
  <c r="AB91" i="8"/>
  <c r="AB89" i="8" s="1"/>
  <c r="V91" i="8"/>
  <c r="V89" i="8" s="1"/>
  <c r="AK91" i="8"/>
  <c r="AK89" i="8" s="1"/>
  <c r="AO91" i="8"/>
  <c r="AO89" i="8" s="1"/>
  <c r="G92" i="8"/>
  <c r="AE91" i="8"/>
  <c r="AE89" i="8" s="1"/>
  <c r="AJ91" i="8"/>
  <c r="AJ89" i="8" s="1"/>
  <c r="H93" i="8"/>
  <c r="H92" i="8"/>
  <c r="J93" i="8" s="1"/>
  <c r="F96" i="8"/>
  <c r="R92" i="8"/>
  <c r="A92" i="8"/>
  <c r="S94" i="8"/>
  <c r="AI91" i="8"/>
  <c r="AI89" i="8" s="1"/>
  <c r="AL91" i="8"/>
  <c r="AL89" i="8" s="1"/>
  <c r="M95" i="8" l="1"/>
  <c r="Q95" i="8"/>
  <c r="J95" i="8"/>
  <c r="N95" i="8"/>
  <c r="O95" i="8"/>
  <c r="I95" i="8"/>
  <c r="S95" i="8"/>
  <c r="P95" i="8"/>
  <c r="D92" i="8"/>
  <c r="C92" i="8"/>
  <c r="F94" i="8"/>
  <c r="AG94" i="8" l="1"/>
  <c r="AG92" i="8" s="1"/>
  <c r="AI94" i="8"/>
  <c r="AI92" i="8" s="1"/>
  <c r="AL94" i="8"/>
  <c r="AL92" i="8" s="1"/>
  <c r="AA94" i="8"/>
  <c r="AA92" i="8" s="1"/>
  <c r="AM94" i="8"/>
  <c r="AM92" i="8" s="1"/>
  <c r="AQ94" i="8"/>
  <c r="AQ92" i="8" s="1"/>
  <c r="AN94" i="8"/>
  <c r="AN92" i="8" s="1"/>
  <c r="AH94" i="8"/>
  <c r="AH92" i="8" s="1"/>
  <c r="AE94" i="8"/>
  <c r="AE92" i="8" s="1"/>
  <c r="Z94" i="8"/>
  <c r="Z92" i="8" s="1"/>
  <c r="AJ94" i="8"/>
  <c r="AJ92" i="8" s="1"/>
  <c r="AC94" i="8"/>
  <c r="AC92" i="8" s="1"/>
  <c r="AB94" i="8"/>
  <c r="AB92" i="8" s="1"/>
  <c r="AO94" i="8"/>
  <c r="AO92" i="8" s="1"/>
  <c r="V94" i="8"/>
  <c r="V92" i="8" s="1"/>
  <c r="Y94" i="8"/>
  <c r="Y92" i="8" s="1"/>
  <c r="E94" i="8"/>
  <c r="E92" i="8" s="1"/>
  <c r="AD94" i="8"/>
  <c r="AD92" i="8" s="1"/>
  <c r="AK94" i="8"/>
  <c r="AK92" i="8" s="1"/>
  <c r="AP94" i="8"/>
  <c r="AP92" i="8" s="1"/>
  <c r="AR94" i="8"/>
  <c r="AR92" i="8" s="1"/>
  <c r="W94" i="8"/>
  <c r="W92" i="8" s="1"/>
  <c r="AF94" i="8"/>
  <c r="AF92" i="8" s="1"/>
  <c r="G95" i="8"/>
  <c r="X94" i="8"/>
  <c r="X92" i="8" s="1"/>
  <c r="U94" i="8"/>
  <c r="U92" i="8" s="1"/>
  <c r="F99" i="8"/>
  <c r="S97" i="8"/>
  <c r="A95" i="8"/>
  <c r="R95" i="8"/>
  <c r="H96" i="8"/>
  <c r="H95" i="8"/>
  <c r="J96" i="8" s="1"/>
  <c r="E60" i="12"/>
  <c r="F60" i="6"/>
  <c r="G60" i="6"/>
  <c r="F56" i="6"/>
  <c r="E56" i="12"/>
  <c r="G56" i="6"/>
  <c r="O98" i="8" l="1"/>
  <c r="Q98" i="8"/>
  <c r="I98" i="8"/>
  <c r="N98" i="8"/>
  <c r="M98" i="8"/>
  <c r="P98" i="8"/>
  <c r="J98" i="8"/>
  <c r="S98" i="8"/>
  <c r="F97" i="8"/>
  <c r="D95" i="8"/>
  <c r="C95" i="8"/>
  <c r="AA97" i="8" l="1"/>
  <c r="AA95" i="8" s="1"/>
  <c r="AQ97" i="8"/>
  <c r="AQ95" i="8" s="1"/>
  <c r="AB97" i="8"/>
  <c r="AB95" i="8" s="1"/>
  <c r="AC97" i="8"/>
  <c r="AC95" i="8" s="1"/>
  <c r="AE97" i="8"/>
  <c r="AE95" i="8" s="1"/>
  <c r="AR97" i="8"/>
  <c r="AR95" i="8" s="1"/>
  <c r="Z97" i="8"/>
  <c r="Z95" i="8" s="1"/>
  <c r="W97" i="8"/>
  <c r="W95" i="8" s="1"/>
  <c r="G98" i="8"/>
  <c r="AJ97" i="8"/>
  <c r="AJ95" i="8" s="1"/>
  <c r="V97" i="8"/>
  <c r="V95" i="8" s="1"/>
  <c r="AP97" i="8"/>
  <c r="AP95" i="8" s="1"/>
  <c r="AM97" i="8"/>
  <c r="AM95" i="8" s="1"/>
  <c r="Y97" i="8"/>
  <c r="Y95" i="8" s="1"/>
  <c r="U97" i="8"/>
  <c r="U95" i="8" s="1"/>
  <c r="X97" i="8"/>
  <c r="X95" i="8" s="1"/>
  <c r="AN97" i="8"/>
  <c r="AN95" i="8" s="1"/>
  <c r="AO97" i="8"/>
  <c r="AO95" i="8" s="1"/>
  <c r="AF97" i="8"/>
  <c r="AF95" i="8" s="1"/>
  <c r="E97" i="8"/>
  <c r="E95" i="8" s="1"/>
  <c r="AL97" i="8"/>
  <c r="AL95" i="8" s="1"/>
  <c r="AG97" i="8"/>
  <c r="AG95" i="8" s="1"/>
  <c r="AI97" i="8"/>
  <c r="AI95" i="8" s="1"/>
  <c r="AD97" i="8"/>
  <c r="AD95" i="8" s="1"/>
  <c r="AH97" i="8"/>
  <c r="AH95" i="8" s="1"/>
  <c r="AK97" i="8"/>
  <c r="AK95" i="8" s="1"/>
  <c r="F102" i="8"/>
  <c r="S100" i="8"/>
  <c r="R98" i="8"/>
  <c r="A98" i="8"/>
  <c r="H98" i="8"/>
  <c r="J99" i="8" s="1"/>
  <c r="H99" i="8"/>
  <c r="J60" i="6" a="1"/>
  <c r="J60" i="6" s="1"/>
  <c r="J56" i="6" a="1"/>
  <c r="J56" i="6" s="1"/>
  <c r="N101" i="8" l="1"/>
  <c r="Q101" i="8"/>
  <c r="P101" i="8"/>
  <c r="I101" i="8"/>
  <c r="O101" i="8"/>
  <c r="M101" i="8"/>
  <c r="J101" i="8"/>
  <c r="S101" i="8"/>
  <c r="AA100" i="8" s="1"/>
  <c r="AA98" i="8" s="1"/>
  <c r="C98" i="8"/>
  <c r="F100" i="8"/>
  <c r="D98" i="8"/>
  <c r="AM100" i="8" l="1"/>
  <c r="AM98" i="8" s="1"/>
  <c r="AC100" i="8"/>
  <c r="AC98" i="8" s="1"/>
  <c r="AP100" i="8"/>
  <c r="AP98" i="8" s="1"/>
  <c r="AK100" i="8"/>
  <c r="AK98" i="8" s="1"/>
  <c r="AL100" i="8"/>
  <c r="AL98" i="8" s="1"/>
  <c r="AO100" i="8"/>
  <c r="AO98" i="8" s="1"/>
  <c r="AB100" i="8"/>
  <c r="AB98" i="8" s="1"/>
  <c r="W100" i="8"/>
  <c r="W98" i="8" s="1"/>
  <c r="AN100" i="8"/>
  <c r="AN98" i="8" s="1"/>
  <c r="V100" i="8"/>
  <c r="V98" i="8" s="1"/>
  <c r="Y100" i="8"/>
  <c r="Y98" i="8" s="1"/>
  <c r="AR100" i="8"/>
  <c r="AR98" i="8" s="1"/>
  <c r="E100" i="8"/>
  <c r="E98" i="8" s="1"/>
  <c r="AH100" i="8"/>
  <c r="AH98" i="8" s="1"/>
  <c r="AD100" i="8"/>
  <c r="AD98" i="8" s="1"/>
  <c r="Z100" i="8"/>
  <c r="Z98" i="8" s="1"/>
  <c r="AI100" i="8"/>
  <c r="AI98" i="8" s="1"/>
  <c r="AG100" i="8"/>
  <c r="AG98" i="8" s="1"/>
  <c r="X100" i="8"/>
  <c r="X98" i="8" s="1"/>
  <c r="AE100" i="8"/>
  <c r="AE98" i="8" s="1"/>
  <c r="AQ100" i="8"/>
  <c r="AQ98" i="8" s="1"/>
  <c r="U100" i="8"/>
  <c r="U98" i="8" s="1"/>
  <c r="G101" i="8"/>
  <c r="AF100" i="8"/>
  <c r="AF98" i="8" s="1"/>
  <c r="AJ100" i="8"/>
  <c r="AJ98" i="8" s="1"/>
  <c r="F105" i="8"/>
  <c r="A101" i="8"/>
  <c r="R101" i="8"/>
  <c r="S103" i="8"/>
  <c r="H101" i="8"/>
  <c r="J102" i="8" s="1"/>
  <c r="H102" i="8"/>
  <c r="M104" i="8" l="1"/>
  <c r="O53" i="8" s="1"/>
  <c r="R53" i="8" s="1"/>
  <c r="Q104" i="8"/>
  <c r="S104" i="8"/>
  <c r="AC103" i="8" s="1"/>
  <c r="AC101" i="8" s="1"/>
  <c r="N104" i="8"/>
  <c r="J104" i="8"/>
  <c r="I104" i="8"/>
  <c r="P104" i="8"/>
  <c r="O104" i="8"/>
  <c r="AQ103" i="8"/>
  <c r="AQ101" i="8" s="1"/>
  <c r="F103" i="8"/>
  <c r="C101" i="8"/>
  <c r="D101" i="8"/>
  <c r="J47" i="8"/>
  <c r="F55" i="8" l="1"/>
  <c r="AO55" i="8" s="1"/>
  <c r="AB103" i="8"/>
  <c r="AB101" i="8" s="1"/>
  <c r="AA103" i="8"/>
  <c r="AA101" i="8" s="1"/>
  <c r="AD103" i="8"/>
  <c r="AD101" i="8" s="1"/>
  <c r="AO103" i="8"/>
  <c r="AO101" i="8" s="1"/>
  <c r="U103" i="8"/>
  <c r="U101" i="8" s="1"/>
  <c r="AE103" i="8"/>
  <c r="AE101" i="8" s="1"/>
  <c r="AN103" i="8"/>
  <c r="AN101" i="8" s="1"/>
  <c r="E103" i="8"/>
  <c r="E101" i="8" s="1"/>
  <c r="W103" i="8"/>
  <c r="W101" i="8" s="1"/>
  <c r="AM103" i="8"/>
  <c r="AM101" i="8" s="1"/>
  <c r="AF103" i="8"/>
  <c r="AF101" i="8" s="1"/>
  <c r="AP103" i="8"/>
  <c r="AP101" i="8" s="1"/>
  <c r="AG103" i="8"/>
  <c r="AG101" i="8" s="1"/>
  <c r="AL103" i="8"/>
  <c r="AL101" i="8" s="1"/>
  <c r="AR103" i="8"/>
  <c r="AR101" i="8" s="1"/>
  <c r="AK103" i="8"/>
  <c r="AK101" i="8" s="1"/>
  <c r="G104" i="8"/>
  <c r="V103" i="8"/>
  <c r="V101" i="8" s="1"/>
  <c r="Y103" i="8"/>
  <c r="Y101" i="8" s="1"/>
  <c r="AJ103" i="8"/>
  <c r="AJ101" i="8" s="1"/>
  <c r="AH103" i="8"/>
  <c r="AH101" i="8" s="1"/>
  <c r="AI103" i="8"/>
  <c r="AI101" i="8" s="1"/>
  <c r="X103" i="8"/>
  <c r="X101" i="8" s="1"/>
  <c r="O50" i="8"/>
  <c r="R50" i="8" s="1"/>
  <c r="R104" i="8"/>
  <c r="S106" i="8"/>
  <c r="A104" i="8"/>
  <c r="H104" i="8"/>
  <c r="J105" i="8" s="1"/>
  <c r="H105" i="8"/>
  <c r="Z103" i="8"/>
  <c r="Z101" i="8" s="1"/>
  <c r="G86" i="6"/>
  <c r="E86" i="12"/>
  <c r="F86" i="6"/>
  <c r="N107" i="6" s="1"/>
  <c r="AQ55" i="8" l="1"/>
  <c r="AI55" i="8"/>
  <c r="W55" i="8"/>
  <c r="AM55" i="8"/>
  <c r="AK55" i="8"/>
  <c r="AA55" i="8"/>
  <c r="AE55" i="8"/>
  <c r="AF55" i="8"/>
  <c r="AL55" i="8"/>
  <c r="AJ55" i="8"/>
  <c r="AH55" i="8"/>
  <c r="AD55" i="8"/>
  <c r="AG55" i="8"/>
  <c r="AB55" i="8"/>
  <c r="Z55" i="8"/>
  <c r="AN55" i="8"/>
  <c r="X55" i="8"/>
  <c r="AP55" i="8"/>
  <c r="AC55" i="8"/>
  <c r="AR55" i="8"/>
  <c r="F52" i="8"/>
  <c r="AJ52" i="8" s="1"/>
  <c r="AI106" i="8"/>
  <c r="AI104" i="8" s="1"/>
  <c r="AH106" i="8"/>
  <c r="AH104" i="8" s="1"/>
  <c r="V106" i="8"/>
  <c r="V104" i="8" s="1"/>
  <c r="X106" i="8"/>
  <c r="X104" i="8" s="1"/>
  <c r="AF106" i="8"/>
  <c r="AF104" i="8" s="1"/>
  <c r="D104" i="8"/>
  <c r="AJ106" i="8"/>
  <c r="AJ104" i="8" s="1"/>
  <c r="AB106" i="8"/>
  <c r="AB104" i="8" s="1"/>
  <c r="AC106" i="8"/>
  <c r="AC104" i="8" s="1"/>
  <c r="AO106" i="8"/>
  <c r="AO104" i="8" s="1"/>
  <c r="F106" i="8"/>
  <c r="AK106" i="8"/>
  <c r="AK104" i="8" s="1"/>
  <c r="AP106" i="8"/>
  <c r="AP104" i="8" s="1"/>
  <c r="E106" i="8"/>
  <c r="E104" i="8" s="1"/>
  <c r="AR106" i="8"/>
  <c r="AR104" i="8" s="1"/>
  <c r="U106" i="8"/>
  <c r="U104" i="8" s="1"/>
  <c r="AG106" i="8"/>
  <c r="AG104" i="8" s="1"/>
  <c r="AE106" i="8"/>
  <c r="AE104" i="8" s="1"/>
  <c r="Z106" i="8"/>
  <c r="Z104" i="8" s="1"/>
  <c r="AA106" i="8"/>
  <c r="AA104" i="8" s="1"/>
  <c r="Y106" i="8"/>
  <c r="Y104" i="8" s="1"/>
  <c r="AN106" i="8"/>
  <c r="AN104" i="8" s="1"/>
  <c r="AL106" i="8"/>
  <c r="AL104" i="8" s="1"/>
  <c r="AD106" i="8"/>
  <c r="AD104" i="8" s="1"/>
  <c r="AM106" i="8"/>
  <c r="AM104" i="8" s="1"/>
  <c r="W106" i="8"/>
  <c r="W104" i="8" s="1"/>
  <c r="C104" i="8"/>
  <c r="AQ106" i="8"/>
  <c r="AQ104" i="8" s="1"/>
  <c r="N117" i="6"/>
  <c r="N118" i="6"/>
  <c r="N119" i="6"/>
  <c r="N120" i="6"/>
  <c r="N121" i="6"/>
  <c r="N122" i="6"/>
  <c r="N123" i="6"/>
  <c r="N124" i="6"/>
  <c r="N125" i="6"/>
  <c r="N126" i="6"/>
  <c r="N100" i="6"/>
  <c r="N101" i="6"/>
  <c r="N95" i="6"/>
  <c r="N96" i="6"/>
  <c r="N97" i="6"/>
  <c r="N98" i="6"/>
  <c r="N99" i="6"/>
  <c r="N102" i="6"/>
  <c r="N103" i="6"/>
  <c r="N104" i="6"/>
  <c r="N105" i="6"/>
  <c r="N106" i="6"/>
  <c r="N108" i="6"/>
  <c r="N109" i="6"/>
  <c r="N110" i="6"/>
  <c r="N111" i="6"/>
  <c r="N112" i="6"/>
  <c r="N113" i="6"/>
  <c r="N114" i="6"/>
  <c r="N115" i="6"/>
  <c r="N116" i="6"/>
  <c r="N127" i="6"/>
  <c r="N88" i="6"/>
  <c r="N89" i="6"/>
  <c r="N91" i="6"/>
  <c r="N90" i="6"/>
  <c r="N93" i="6"/>
  <c r="N92" i="6"/>
  <c r="N87" i="6"/>
  <c r="N94" i="6"/>
  <c r="C27" i="10" l="1"/>
  <c r="C27" i="9"/>
  <c r="F27" i="9" s="1"/>
  <c r="AB52" i="8"/>
  <c r="AP52" i="8"/>
  <c r="AF52" i="8"/>
  <c r="AN52" i="8"/>
  <c r="AC52" i="8"/>
  <c r="AO52" i="8"/>
  <c r="AE52" i="8"/>
  <c r="AQ52" i="8"/>
  <c r="AM52" i="8"/>
  <c r="AG52" i="8"/>
  <c r="AI52" i="8"/>
  <c r="AK52" i="8"/>
  <c r="AD52" i="8"/>
  <c r="AA52" i="8"/>
  <c r="W52" i="8"/>
  <c r="AR52" i="8"/>
  <c r="AH52" i="8"/>
  <c r="Z52" i="8"/>
  <c r="AL52" i="8"/>
  <c r="C26" i="9"/>
  <c r="F26" i="9" s="1"/>
  <c r="C26" i="10"/>
  <c r="J86" i="6" l="1" a="1"/>
  <c r="J86" i="6" s="1"/>
  <c r="J20" i="8" l="1"/>
  <c r="E19" i="12" l="1"/>
  <c r="F19" i="6"/>
  <c r="N20" i="6" s="1"/>
  <c r="G19" i="6"/>
  <c r="G51" i="6"/>
  <c r="E53" i="12"/>
  <c r="F53" i="6"/>
  <c r="G53" i="6"/>
  <c r="E49" i="12"/>
  <c r="F49" i="6"/>
  <c r="G49" i="6"/>
  <c r="F48" i="6"/>
  <c r="E48" i="12"/>
  <c r="G48" i="6"/>
  <c r="F51" i="6"/>
  <c r="E51" i="12"/>
  <c r="E41" i="12"/>
  <c r="F41" i="6"/>
  <c r="E38" i="12"/>
  <c r="F38" i="6"/>
  <c r="F35" i="6"/>
  <c r="E35" i="12"/>
  <c r="W41" i="5"/>
  <c r="W35" i="5"/>
  <c r="G41" i="6"/>
  <c r="G38" i="6"/>
  <c r="W38" i="5"/>
  <c r="G35" i="6"/>
  <c r="C17" i="9" l="1"/>
  <c r="F17" i="9" s="1"/>
  <c r="C17" i="10"/>
  <c r="H38" i="12"/>
  <c r="H35" i="12"/>
  <c r="H41" i="12"/>
  <c r="I35" i="5" l="1"/>
  <c r="J19" i="6" l="1" a="1"/>
  <c r="J19" i="6" s="1"/>
  <c r="J53" i="6" a="1"/>
  <c r="J53" i="6" s="1"/>
  <c r="J48" i="6" a="1"/>
  <c r="J48" i="6" s="1"/>
  <c r="J49" i="6" a="1"/>
  <c r="J49" i="6" s="1"/>
  <c r="J51" i="6" a="1"/>
  <c r="J51" i="6" s="1"/>
  <c r="J35" i="6" a="1"/>
  <c r="J35" i="6" s="1"/>
  <c r="J38" i="6" a="1"/>
  <c r="J38" i="6" s="1"/>
  <c r="J41" i="6" a="1"/>
  <c r="J41" i="6" s="1"/>
  <c r="I48" i="5" l="1"/>
  <c r="I49" i="5" s="1"/>
  <c r="I51" i="5" l="1"/>
  <c r="I53" i="5" l="1"/>
  <c r="AF40" i="5"/>
  <c r="AF39" i="5"/>
  <c r="AF75" i="5"/>
  <c r="AF92" i="5"/>
  <c r="AF94" i="5"/>
  <c r="AF56" i="5"/>
  <c r="AF57" i="5"/>
  <c r="AF109" i="5"/>
  <c r="AF91" i="5"/>
  <c r="AF14" i="5"/>
  <c r="AF122" i="5"/>
  <c r="AF96" i="5"/>
  <c r="AF82" i="5"/>
  <c r="AF99" i="5"/>
  <c r="AF60" i="5"/>
  <c r="AF68" i="5"/>
  <c r="AF85" i="5"/>
  <c r="AF87" i="5"/>
  <c r="AF70" i="5"/>
  <c r="AF43" i="5"/>
  <c r="AF25" i="5"/>
  <c r="AF83" i="5"/>
  <c r="AF72" i="5"/>
  <c r="AF129" i="5"/>
  <c r="AF105" i="5"/>
  <c r="AF112" i="5"/>
  <c r="AF114" i="5"/>
  <c r="AF118" i="5"/>
  <c r="AF127" i="5"/>
  <c r="AF62" i="5"/>
  <c r="AF65" i="5"/>
  <c r="AF113" i="5"/>
  <c r="AF29" i="5"/>
  <c r="AF17" i="5"/>
  <c r="AF102" i="5"/>
  <c r="AF67" i="5"/>
  <c r="AF44" i="5"/>
  <c r="AF34" i="5"/>
  <c r="AF61" i="5"/>
  <c r="AF86" i="5"/>
  <c r="AF19" i="5"/>
  <c r="AF21" i="5"/>
  <c r="AF89" i="5"/>
  <c r="AF32" i="5"/>
  <c r="AF16" i="5"/>
  <c r="AF66" i="5"/>
  <c r="AF59" i="5"/>
  <c r="AF119" i="5"/>
  <c r="AF103" i="5"/>
  <c r="AF84" i="5"/>
  <c r="AF31" i="5"/>
  <c r="AF50" i="5"/>
  <c r="AF130" i="5"/>
  <c r="AF54" i="5"/>
  <c r="AF64" i="5"/>
  <c r="AF97" i="5"/>
  <c r="AF76" i="5"/>
  <c r="AF79" i="5"/>
  <c r="AF78" i="5"/>
  <c r="AF20" i="5"/>
  <c r="AF95" i="5"/>
  <c r="AF115" i="5"/>
  <c r="AF51" i="5"/>
  <c r="AF106" i="5"/>
  <c r="AF98" i="5"/>
  <c r="AF55" i="5"/>
  <c r="AF69" i="5"/>
  <c r="AF18" i="5"/>
  <c r="AF45" i="5"/>
  <c r="AF52" i="5"/>
  <c r="AF48" i="5"/>
  <c r="AF30" i="5"/>
  <c r="AF80" i="5"/>
  <c r="AF49" i="5"/>
  <c r="AF108" i="5"/>
  <c r="AF111" i="5"/>
  <c r="AF117" i="5"/>
  <c r="AF123" i="5"/>
  <c r="AF47" i="5"/>
  <c r="AF33" i="5"/>
  <c r="AF100" i="5"/>
  <c r="AF71" i="5"/>
  <c r="AF104" i="5"/>
  <c r="AF46" i="5"/>
  <c r="AF35" i="5"/>
  <c r="AF77" i="5"/>
  <c r="AF74" i="5"/>
  <c r="AF93" i="5"/>
  <c r="AF81" i="5"/>
  <c r="AF42" i="5"/>
  <c r="AF24" i="5"/>
  <c r="AF121" i="5"/>
  <c r="AF26" i="5"/>
  <c r="AF27" i="5"/>
  <c r="AF63" i="5"/>
  <c r="AF53" i="5"/>
  <c r="AF41" i="5"/>
  <c r="AF23" i="5"/>
  <c r="AF88" i="5"/>
  <c r="AF58" i="5"/>
  <c r="AF126" i="5"/>
  <c r="AF120" i="5"/>
  <c r="AF116" i="5"/>
  <c r="AF128" i="5"/>
  <c r="AF37" i="5"/>
  <c r="AF36" i="5"/>
  <c r="AF90" i="5"/>
  <c r="AF38" i="5"/>
  <c r="AF22" i="5"/>
  <c r="AF125" i="5"/>
  <c r="AF107" i="5"/>
  <c r="AF124" i="5"/>
  <c r="AF101" i="5"/>
  <c r="AF28" i="5"/>
  <c r="AF73" i="5"/>
  <c r="AF110" i="5"/>
  <c r="AG39" i="5" l="1"/>
  <c r="U39" i="5" s="1"/>
  <c r="AN39" i="5" s="1"/>
  <c r="S39" i="5"/>
  <c r="AG22" i="5"/>
  <c r="U22" i="5" s="1"/>
  <c r="S22" i="5"/>
  <c r="F22" i="12" s="1"/>
  <c r="AG38" i="5"/>
  <c r="U38" i="5" s="1"/>
  <c r="S38" i="5"/>
  <c r="F38" i="12" s="1"/>
  <c r="S128" i="5"/>
  <c r="F128" i="12" s="1"/>
  <c r="AG128" i="5"/>
  <c r="U128" i="5" s="1"/>
  <c r="S41" i="5"/>
  <c r="F41" i="12" s="1"/>
  <c r="AG41" i="5"/>
  <c r="U41" i="5" s="1"/>
  <c r="AG53" i="5"/>
  <c r="U53" i="5" s="1"/>
  <c r="S53" i="5"/>
  <c r="F53" i="12" s="1"/>
  <c r="AG63" i="5"/>
  <c r="U63" i="5" s="1"/>
  <c r="S63" i="5"/>
  <c r="F63" i="12" s="1"/>
  <c r="AG77" i="5"/>
  <c r="U77" i="5" s="1"/>
  <c r="S77" i="5"/>
  <c r="F77" i="12" s="1"/>
  <c r="AG35" i="5"/>
  <c r="U35" i="5" s="1"/>
  <c r="S35" i="5"/>
  <c r="F35" i="12" s="1"/>
  <c r="S49" i="5"/>
  <c r="F49" i="12" s="1"/>
  <c r="AG49" i="5"/>
  <c r="U49" i="5" s="1"/>
  <c r="S48" i="5"/>
  <c r="F48" i="12" s="1"/>
  <c r="AG48" i="5"/>
  <c r="U48" i="5" s="1"/>
  <c r="S55" i="5"/>
  <c r="F55" i="12" s="1"/>
  <c r="AG55" i="5"/>
  <c r="U55" i="5" s="1"/>
  <c r="AG51" i="5"/>
  <c r="U51" i="5" s="1"/>
  <c r="S51" i="5"/>
  <c r="F51" i="12" s="1"/>
  <c r="AG16" i="5"/>
  <c r="S16" i="5"/>
  <c r="AG21" i="5"/>
  <c r="U21" i="5" s="1"/>
  <c r="S21" i="5"/>
  <c r="F21" i="12" s="1"/>
  <c r="S19" i="5"/>
  <c r="F19" i="12" s="1"/>
  <c r="AG19" i="5"/>
  <c r="U19" i="5" s="1"/>
  <c r="S86" i="5"/>
  <c r="F86" i="12" s="1"/>
  <c r="AG86" i="5"/>
  <c r="U86" i="5" s="1"/>
  <c r="S34" i="5"/>
  <c r="F34" i="12" s="1"/>
  <c r="AG34" i="5"/>
  <c r="U34" i="5" s="1"/>
  <c r="S17" i="5"/>
  <c r="AG17" i="5"/>
  <c r="S29" i="5"/>
  <c r="F29" i="12" s="1"/>
  <c r="AG29" i="5"/>
  <c r="U29" i="5" s="1"/>
  <c r="AG65" i="5"/>
  <c r="U65" i="5" s="1"/>
  <c r="S65" i="5"/>
  <c r="F65" i="12" s="1"/>
  <c r="S83" i="5"/>
  <c r="F83" i="12" s="1"/>
  <c r="AG83" i="5"/>
  <c r="U83" i="5" s="1"/>
  <c r="AG25" i="5"/>
  <c r="U25" i="5" s="1"/>
  <c r="S25" i="5"/>
  <c r="F25" i="12" s="1"/>
  <c r="AG70" i="5"/>
  <c r="U70" i="5" s="1"/>
  <c r="S70" i="5"/>
  <c r="F70" i="12" s="1"/>
  <c r="S60" i="5"/>
  <c r="F60" i="12" s="1"/>
  <c r="AG60" i="5"/>
  <c r="U60" i="5" s="1"/>
  <c r="R14" i="5"/>
  <c r="AG14" i="5"/>
  <c r="S14" i="5"/>
  <c r="S56" i="5"/>
  <c r="AG56" i="5"/>
  <c r="S40" i="5"/>
  <c r="R40" i="5"/>
  <c r="S110" i="5"/>
  <c r="R28" i="5"/>
  <c r="R107" i="5"/>
  <c r="S37" i="5"/>
  <c r="AG120" i="5"/>
  <c r="R88" i="5"/>
  <c r="R26" i="5"/>
  <c r="S42" i="5"/>
  <c r="R93" i="5"/>
  <c r="AG46" i="5"/>
  <c r="AG71" i="5"/>
  <c r="AG47" i="5"/>
  <c r="S111" i="5"/>
  <c r="S80" i="5"/>
  <c r="S18" i="5"/>
  <c r="S98" i="5"/>
  <c r="AG115" i="5"/>
  <c r="R78" i="5"/>
  <c r="R97" i="5"/>
  <c r="S31" i="5"/>
  <c r="R119" i="5"/>
  <c r="S61" i="5"/>
  <c r="S67" i="5"/>
  <c r="S113" i="5"/>
  <c r="S127" i="5"/>
  <c r="AG114" i="5"/>
  <c r="R129" i="5"/>
  <c r="AG87" i="5"/>
  <c r="S99" i="5"/>
  <c r="AG96" i="5"/>
  <c r="S91" i="5"/>
  <c r="S75" i="5"/>
  <c r="R110" i="5"/>
  <c r="S101" i="5"/>
  <c r="AG107" i="5"/>
  <c r="S90" i="5"/>
  <c r="R37" i="5"/>
  <c r="R120" i="5"/>
  <c r="AG88" i="5"/>
  <c r="AG26" i="5"/>
  <c r="R42" i="5"/>
  <c r="S74" i="5"/>
  <c r="S46" i="5"/>
  <c r="S100" i="5"/>
  <c r="R47" i="5"/>
  <c r="AG111" i="5"/>
  <c r="AG80" i="5"/>
  <c r="R52" i="5"/>
  <c r="AG69" i="5"/>
  <c r="S106" i="5"/>
  <c r="S95" i="5"/>
  <c r="S78" i="5"/>
  <c r="AG97" i="5"/>
  <c r="S130" i="5"/>
  <c r="AG31" i="5"/>
  <c r="AG119" i="5"/>
  <c r="S102" i="5"/>
  <c r="AG113" i="5"/>
  <c r="R127" i="5"/>
  <c r="S112" i="5"/>
  <c r="S129" i="5"/>
  <c r="S43" i="5"/>
  <c r="AG85" i="5"/>
  <c r="R99" i="5"/>
  <c r="AG122" i="5"/>
  <c r="AG91" i="5"/>
  <c r="R75" i="5"/>
  <c r="AG110" i="5"/>
  <c r="AG101" i="5"/>
  <c r="S125" i="5"/>
  <c r="R90" i="5"/>
  <c r="R126" i="5"/>
  <c r="S88" i="5"/>
  <c r="AG121" i="5"/>
  <c r="AG42" i="5"/>
  <c r="R74" i="5"/>
  <c r="R46" i="5"/>
  <c r="AG100" i="5"/>
  <c r="R123" i="5"/>
  <c r="R111" i="5"/>
  <c r="R80" i="5"/>
  <c r="S52" i="5"/>
  <c r="R69" i="5"/>
  <c r="AG106" i="5"/>
  <c r="AG95" i="5"/>
  <c r="S79" i="5"/>
  <c r="S97" i="5"/>
  <c r="AG130" i="5"/>
  <c r="AG84" i="5"/>
  <c r="AG59" i="5"/>
  <c r="R32" i="5"/>
  <c r="R102" i="5"/>
  <c r="R113" i="5"/>
  <c r="R112" i="5"/>
  <c r="R72" i="5"/>
  <c r="AG43" i="5"/>
  <c r="S85" i="5"/>
  <c r="AG99" i="5"/>
  <c r="S122" i="5"/>
  <c r="AG109" i="5"/>
  <c r="S94" i="5"/>
  <c r="AG75" i="5"/>
  <c r="R73" i="5"/>
  <c r="R101" i="5"/>
  <c r="R125" i="5"/>
  <c r="AG90" i="5"/>
  <c r="S126" i="5"/>
  <c r="AG23" i="5"/>
  <c r="R121" i="5"/>
  <c r="AG81" i="5"/>
  <c r="AG104" i="5"/>
  <c r="R100" i="5"/>
  <c r="S123" i="5"/>
  <c r="R108" i="5"/>
  <c r="S30" i="5"/>
  <c r="S45" i="5"/>
  <c r="S69" i="5"/>
  <c r="R106" i="5"/>
  <c r="R95" i="5"/>
  <c r="R79" i="5"/>
  <c r="R64" i="5"/>
  <c r="R130" i="5"/>
  <c r="S84" i="5"/>
  <c r="S59" i="5"/>
  <c r="AG32" i="5"/>
  <c r="R44" i="5"/>
  <c r="AG102" i="5"/>
  <c r="AG118" i="5"/>
  <c r="AG112" i="5"/>
  <c r="AG72" i="5"/>
  <c r="R43" i="5"/>
  <c r="R68" i="5"/>
  <c r="S82" i="5"/>
  <c r="R122" i="5"/>
  <c r="S109" i="5"/>
  <c r="R94" i="5"/>
  <c r="S73" i="5"/>
  <c r="R124" i="5"/>
  <c r="AG36" i="5"/>
  <c r="AG116" i="5"/>
  <c r="R23" i="5"/>
  <c r="R27" i="5"/>
  <c r="S121" i="5"/>
  <c r="S81" i="5"/>
  <c r="R104" i="5"/>
  <c r="AG33" i="5"/>
  <c r="AG123" i="5"/>
  <c r="S108" i="5"/>
  <c r="AG30" i="5"/>
  <c r="AG45" i="5"/>
  <c r="R20" i="5"/>
  <c r="AG79" i="5"/>
  <c r="S64" i="5"/>
  <c r="R50" i="5"/>
  <c r="S103" i="5"/>
  <c r="R59" i="5"/>
  <c r="S32" i="5"/>
  <c r="AG44" i="5"/>
  <c r="R118" i="5"/>
  <c r="AG105" i="5"/>
  <c r="S72" i="5"/>
  <c r="AG68" i="5"/>
  <c r="R82" i="5"/>
  <c r="R109" i="5"/>
  <c r="AG94" i="5"/>
  <c r="AG124" i="5"/>
  <c r="S36" i="5"/>
  <c r="S116" i="5"/>
  <c r="S58" i="5"/>
  <c r="S23" i="5"/>
  <c r="AG27" i="5"/>
  <c r="S24" i="5"/>
  <c r="R81" i="5"/>
  <c r="S104" i="5"/>
  <c r="S33" i="5"/>
  <c r="R117" i="5"/>
  <c r="AG108" i="5"/>
  <c r="R30" i="5"/>
  <c r="R45" i="5"/>
  <c r="S20" i="5"/>
  <c r="R76" i="5"/>
  <c r="S50" i="5"/>
  <c r="AG103" i="5"/>
  <c r="R66" i="5"/>
  <c r="AG89" i="5"/>
  <c r="S44" i="5"/>
  <c r="AG62" i="5"/>
  <c r="S118" i="5"/>
  <c r="S105" i="5"/>
  <c r="S68" i="5"/>
  <c r="AG82" i="5"/>
  <c r="R57" i="5"/>
  <c r="S92" i="5"/>
  <c r="AG28" i="5"/>
  <c r="S124" i="5"/>
  <c r="R36" i="5"/>
  <c r="R116" i="5"/>
  <c r="AG58" i="5"/>
  <c r="S27" i="5"/>
  <c r="AG24" i="5"/>
  <c r="AG93" i="5"/>
  <c r="S71" i="5"/>
  <c r="R33" i="5"/>
  <c r="S117" i="5"/>
  <c r="R18" i="5"/>
  <c r="AG98" i="5"/>
  <c r="S115" i="5"/>
  <c r="S76" i="5"/>
  <c r="R54" i="5"/>
  <c r="R103" i="5"/>
  <c r="AG66" i="5"/>
  <c r="R89" i="5"/>
  <c r="R61" i="5"/>
  <c r="R67" i="5"/>
  <c r="R62" i="5"/>
  <c r="R114" i="5"/>
  <c r="R105" i="5"/>
  <c r="S87" i="5"/>
  <c r="R96" i="5"/>
  <c r="S57" i="5"/>
  <c r="AG92" i="5"/>
  <c r="S28" i="5"/>
  <c r="S107" i="5"/>
  <c r="AG37" i="5"/>
  <c r="S120" i="5"/>
  <c r="R58" i="5"/>
  <c r="S26" i="5"/>
  <c r="R24" i="5"/>
  <c r="S93" i="5"/>
  <c r="R71" i="5"/>
  <c r="S47" i="5"/>
  <c r="AG117" i="5"/>
  <c r="AG18" i="5"/>
  <c r="R98" i="5"/>
  <c r="R115" i="5"/>
  <c r="AG78" i="5"/>
  <c r="AG76" i="5"/>
  <c r="S54" i="5"/>
  <c r="R31" i="5"/>
  <c r="S119" i="5"/>
  <c r="S66" i="5"/>
  <c r="S89" i="5"/>
  <c r="AG61" i="5"/>
  <c r="AG67" i="5"/>
  <c r="S62" i="5"/>
  <c r="S114" i="5"/>
  <c r="AG129" i="5"/>
  <c r="R87" i="5"/>
  <c r="S96" i="5"/>
  <c r="R91" i="5"/>
  <c r="AG57" i="5"/>
  <c r="R92" i="5"/>
  <c r="E40" i="12" l="1"/>
  <c r="F40" i="6"/>
  <c r="F40" i="12"/>
  <c r="G40" i="6"/>
  <c r="F39" i="6"/>
  <c r="E39" i="12"/>
  <c r="F39" i="12"/>
  <c r="G39" i="6"/>
  <c r="F92" i="6"/>
  <c r="E92" i="12"/>
  <c r="U57" i="5"/>
  <c r="F91" i="6"/>
  <c r="E91" i="12"/>
  <c r="G96" i="6"/>
  <c r="F96" i="12"/>
  <c r="E87" i="12"/>
  <c r="F87" i="6"/>
  <c r="U129" i="5"/>
  <c r="G114" i="6"/>
  <c r="F114" i="12"/>
  <c r="G62" i="6"/>
  <c r="F62" i="12"/>
  <c r="U67" i="5"/>
  <c r="U61" i="5"/>
  <c r="G89" i="6"/>
  <c r="F89" i="12"/>
  <c r="F66" i="12"/>
  <c r="G66" i="6"/>
  <c r="G119" i="6"/>
  <c r="F119" i="12"/>
  <c r="F31" i="6"/>
  <c r="E31" i="12"/>
  <c r="F54" i="12"/>
  <c r="G54" i="6"/>
  <c r="U76" i="5"/>
  <c r="U78" i="5"/>
  <c r="F115" i="6"/>
  <c r="E115" i="12"/>
  <c r="E98" i="12"/>
  <c r="F98" i="6"/>
  <c r="U18" i="5"/>
  <c r="U117" i="5"/>
  <c r="F47" i="12"/>
  <c r="G47" i="6"/>
  <c r="F71" i="6"/>
  <c r="E71" i="12"/>
  <c r="G93" i="6"/>
  <c r="F93" i="12"/>
  <c r="E24" i="12"/>
  <c r="F24" i="6"/>
  <c r="F26" i="12"/>
  <c r="G26" i="6"/>
  <c r="F58" i="6"/>
  <c r="E58" i="12"/>
  <c r="F120" i="12"/>
  <c r="G120" i="6"/>
  <c r="U37" i="5"/>
  <c r="G107" i="6"/>
  <c r="F107" i="12"/>
  <c r="F28" i="12"/>
  <c r="G28" i="6"/>
  <c r="U92" i="5"/>
  <c r="G57" i="6"/>
  <c r="F57" i="12"/>
  <c r="E96" i="12"/>
  <c r="F96" i="6"/>
  <c r="F87" i="12"/>
  <c r="G87" i="6"/>
  <c r="E105" i="12"/>
  <c r="F105" i="6"/>
  <c r="E114" i="12"/>
  <c r="F114" i="6"/>
  <c r="E62" i="12"/>
  <c r="F62" i="6"/>
  <c r="F67" i="6"/>
  <c r="E67" i="12"/>
  <c r="F61" i="6"/>
  <c r="E61" i="12"/>
  <c r="E89" i="12"/>
  <c r="F89" i="6"/>
  <c r="U66" i="5"/>
  <c r="E103" i="12"/>
  <c r="F103" i="6"/>
  <c r="F54" i="6"/>
  <c r="E54" i="12"/>
  <c r="F76" i="12"/>
  <c r="G76" i="6"/>
  <c r="F115" i="12"/>
  <c r="G115" i="6"/>
  <c r="U98" i="5"/>
  <c r="F18" i="6"/>
  <c r="E18" i="12"/>
  <c r="G117" i="6"/>
  <c r="F117" i="12"/>
  <c r="F33" i="6"/>
  <c r="E33" i="12"/>
  <c r="F71" i="12"/>
  <c r="G71" i="6"/>
  <c r="U93" i="5"/>
  <c r="U24" i="5"/>
  <c r="F27" i="12"/>
  <c r="G27" i="6"/>
  <c r="U58" i="5"/>
  <c r="F116" i="6"/>
  <c r="E116" i="12"/>
  <c r="E36" i="12"/>
  <c r="F36" i="6"/>
  <c r="G124" i="6"/>
  <c r="F124" i="12"/>
  <c r="U28" i="5"/>
  <c r="G92" i="6"/>
  <c r="F92" i="12"/>
  <c r="F57" i="6"/>
  <c r="E57" i="12"/>
  <c r="U82" i="5"/>
  <c r="F68" i="12"/>
  <c r="G68" i="6"/>
  <c r="G105" i="6"/>
  <c r="F105" i="12"/>
  <c r="F118" i="12"/>
  <c r="G118" i="6"/>
  <c r="U62" i="5"/>
  <c r="G44" i="6"/>
  <c r="F44" i="12"/>
  <c r="U89" i="5"/>
  <c r="E66" i="12"/>
  <c r="F66" i="6"/>
  <c r="U103" i="5"/>
  <c r="G50" i="6"/>
  <c r="F50" i="12"/>
  <c r="F76" i="6"/>
  <c r="E76" i="12"/>
  <c r="F20" i="12"/>
  <c r="G20" i="6"/>
  <c r="F45" i="6"/>
  <c r="E45" i="12"/>
  <c r="F30" i="6"/>
  <c r="E30" i="12"/>
  <c r="U108" i="5"/>
  <c r="F117" i="6"/>
  <c r="E117" i="12"/>
  <c r="F33" i="12"/>
  <c r="G33" i="6"/>
  <c r="G104" i="6"/>
  <c r="F104" i="12"/>
  <c r="E81" i="12"/>
  <c r="F81" i="6"/>
  <c r="G24" i="6"/>
  <c r="F24" i="12"/>
  <c r="U27" i="5"/>
  <c r="F23" i="12"/>
  <c r="G23" i="6"/>
  <c r="G58" i="6"/>
  <c r="F58" i="12"/>
  <c r="G116" i="6"/>
  <c r="F116" i="12"/>
  <c r="F36" i="12"/>
  <c r="G36" i="6"/>
  <c r="U124" i="5"/>
  <c r="U94" i="5"/>
  <c r="F109" i="6"/>
  <c r="E109" i="12"/>
  <c r="F82" i="6"/>
  <c r="E82" i="12"/>
  <c r="U68" i="5"/>
  <c r="F72" i="12"/>
  <c r="G72" i="6"/>
  <c r="U105" i="5"/>
  <c r="E118" i="12"/>
  <c r="F118" i="6"/>
  <c r="U44" i="5"/>
  <c r="F32" i="12"/>
  <c r="G32" i="6"/>
  <c r="F59" i="6"/>
  <c r="E59" i="12"/>
  <c r="F103" i="12"/>
  <c r="G103" i="6"/>
  <c r="F50" i="6"/>
  <c r="E50" i="12"/>
  <c r="G64" i="6"/>
  <c r="F64" i="12"/>
  <c r="U79" i="5"/>
  <c r="E20" i="12"/>
  <c r="F20" i="6"/>
  <c r="U45" i="5"/>
  <c r="U30" i="5"/>
  <c r="F108" i="12"/>
  <c r="G108" i="6"/>
  <c r="U123" i="5"/>
  <c r="U33" i="5"/>
  <c r="E104" i="12"/>
  <c r="F104" i="6"/>
  <c r="F81" i="12"/>
  <c r="G81" i="6"/>
  <c r="G121" i="6"/>
  <c r="F121" i="12"/>
  <c r="F27" i="6"/>
  <c r="E27" i="12"/>
  <c r="E23" i="12"/>
  <c r="F23" i="6"/>
  <c r="U116" i="5"/>
  <c r="U36" i="5"/>
  <c r="E124" i="12"/>
  <c r="F124" i="6"/>
  <c r="F73" i="12"/>
  <c r="G73" i="6"/>
  <c r="E94" i="12"/>
  <c r="F94" i="6"/>
  <c r="G109" i="6"/>
  <c r="F109" i="12"/>
  <c r="E122" i="12"/>
  <c r="F122" i="6"/>
  <c r="F82" i="12"/>
  <c r="G82" i="6"/>
  <c r="E68" i="12"/>
  <c r="F68" i="6"/>
  <c r="F43" i="6"/>
  <c r="E43" i="12"/>
  <c r="U72" i="5"/>
  <c r="U112" i="5"/>
  <c r="U118" i="5"/>
  <c r="U102" i="5"/>
  <c r="F44" i="6"/>
  <c r="E44" i="12"/>
  <c r="U32" i="5"/>
  <c r="G59" i="6"/>
  <c r="F59" i="12"/>
  <c r="F84" i="12"/>
  <c r="G84" i="6"/>
  <c r="E130" i="12"/>
  <c r="F130" i="6"/>
  <c r="F64" i="6"/>
  <c r="E64" i="12"/>
  <c r="F79" i="6"/>
  <c r="E79" i="12"/>
  <c r="F95" i="6"/>
  <c r="E95" i="12"/>
  <c r="F106" i="6"/>
  <c r="E106" i="12"/>
  <c r="G69" i="6"/>
  <c r="F69" i="12"/>
  <c r="F45" i="12"/>
  <c r="G45" i="6"/>
  <c r="F30" i="12"/>
  <c r="G30" i="6"/>
  <c r="F108" i="6"/>
  <c r="E108" i="12"/>
  <c r="G123" i="6"/>
  <c r="F123" i="12"/>
  <c r="E100" i="12"/>
  <c r="F100" i="6"/>
  <c r="U104" i="5"/>
  <c r="U81" i="5"/>
  <c r="E121" i="12"/>
  <c r="F121" i="6"/>
  <c r="U23" i="5"/>
  <c r="G126" i="6"/>
  <c r="F126" i="12"/>
  <c r="U90" i="5"/>
  <c r="E125" i="12"/>
  <c r="F125" i="6"/>
  <c r="F101" i="6"/>
  <c r="E101" i="12"/>
  <c r="F73" i="6"/>
  <c r="E73" i="12"/>
  <c r="U75" i="5"/>
  <c r="G94" i="6"/>
  <c r="F94" i="12"/>
  <c r="U109" i="5"/>
  <c r="F122" i="12"/>
  <c r="G122" i="6"/>
  <c r="U99" i="5"/>
  <c r="G85" i="6"/>
  <c r="F85" i="12"/>
  <c r="U43" i="5"/>
  <c r="E72" i="12"/>
  <c r="F72" i="6"/>
  <c r="F112" i="6"/>
  <c r="E112" i="12"/>
  <c r="F113" i="6"/>
  <c r="E113" i="12"/>
  <c r="F102" i="6"/>
  <c r="E102" i="12"/>
  <c r="F32" i="6"/>
  <c r="E32" i="12"/>
  <c r="U59" i="5"/>
  <c r="U84" i="5"/>
  <c r="U130" i="5"/>
  <c r="G97" i="6"/>
  <c r="F97" i="12"/>
  <c r="G79" i="6"/>
  <c r="F79" i="12"/>
  <c r="U95" i="5"/>
  <c r="U106" i="5"/>
  <c r="E69" i="12"/>
  <c r="F69" i="6"/>
  <c r="F52" i="12"/>
  <c r="G52" i="6"/>
  <c r="E80" i="12"/>
  <c r="F80" i="6"/>
  <c r="E111" i="12"/>
  <c r="F111" i="6"/>
  <c r="F123" i="6"/>
  <c r="E123" i="12"/>
  <c r="U100" i="5"/>
  <c r="E46" i="12"/>
  <c r="F46" i="6"/>
  <c r="F74" i="6"/>
  <c r="E74" i="12"/>
  <c r="U42" i="5"/>
  <c r="U121" i="5"/>
  <c r="F88" i="12"/>
  <c r="G88" i="6"/>
  <c r="E126" i="12"/>
  <c r="F126" i="6"/>
  <c r="E90" i="12"/>
  <c r="F90" i="6"/>
  <c r="G125" i="6"/>
  <c r="F125" i="12"/>
  <c r="U101" i="5"/>
  <c r="U110" i="5"/>
  <c r="F75" i="6"/>
  <c r="E75" i="12"/>
  <c r="U91" i="5"/>
  <c r="U122" i="5"/>
  <c r="F99" i="6"/>
  <c r="E99" i="12"/>
  <c r="U85" i="5"/>
  <c r="F43" i="12"/>
  <c r="G43" i="6"/>
  <c r="F129" i="12"/>
  <c r="G129" i="6"/>
  <c r="F112" i="12"/>
  <c r="G112" i="6"/>
  <c r="F127" i="6"/>
  <c r="E127" i="12"/>
  <c r="U113" i="5"/>
  <c r="F102" i="12"/>
  <c r="G102" i="6"/>
  <c r="U119" i="5"/>
  <c r="U31" i="5"/>
  <c r="F130" i="12"/>
  <c r="G130" i="6"/>
  <c r="U97" i="5"/>
  <c r="F78" i="12"/>
  <c r="G78" i="6"/>
  <c r="G95" i="6"/>
  <c r="F95" i="12"/>
  <c r="G106" i="6"/>
  <c r="F106" i="12"/>
  <c r="U69" i="5"/>
  <c r="F52" i="6"/>
  <c r="E52" i="12"/>
  <c r="U80" i="5"/>
  <c r="U111" i="5"/>
  <c r="E47" i="12"/>
  <c r="F47" i="6"/>
  <c r="F100" i="12"/>
  <c r="G100" i="6"/>
  <c r="F46" i="12"/>
  <c r="G46" i="6"/>
  <c r="F74" i="12"/>
  <c r="G74" i="6"/>
  <c r="F42" i="6"/>
  <c r="E42" i="12"/>
  <c r="U26" i="5"/>
  <c r="U88" i="5"/>
  <c r="F120" i="6"/>
  <c r="E120" i="12"/>
  <c r="E37" i="12"/>
  <c r="F37" i="6"/>
  <c r="G90" i="6"/>
  <c r="F90" i="12"/>
  <c r="U107" i="5"/>
  <c r="G101" i="6"/>
  <c r="F101" i="12"/>
  <c r="F110" i="6"/>
  <c r="E110" i="12"/>
  <c r="F75" i="12"/>
  <c r="G75" i="6"/>
  <c r="G91" i="6"/>
  <c r="F91" i="12"/>
  <c r="U96" i="5"/>
  <c r="G99" i="6"/>
  <c r="F99" i="12"/>
  <c r="U87" i="5"/>
  <c r="F129" i="6"/>
  <c r="E129" i="12"/>
  <c r="U114" i="5"/>
  <c r="F127" i="12"/>
  <c r="G127" i="6"/>
  <c r="G113" i="6"/>
  <c r="F113" i="12"/>
  <c r="F67" i="12"/>
  <c r="G67" i="6"/>
  <c r="G61" i="6"/>
  <c r="F61" i="12"/>
  <c r="E119" i="12"/>
  <c r="F119" i="6"/>
  <c r="G31" i="6"/>
  <c r="F31" i="12"/>
  <c r="F97" i="6"/>
  <c r="E97" i="12"/>
  <c r="F78" i="6"/>
  <c r="E78" i="12"/>
  <c r="U115" i="5"/>
  <c r="F98" i="12"/>
  <c r="G98" i="6"/>
  <c r="F18" i="12"/>
  <c r="G18" i="6"/>
  <c r="G80" i="6"/>
  <c r="F80" i="12"/>
  <c r="G111" i="6"/>
  <c r="F111" i="12"/>
  <c r="U47" i="5"/>
  <c r="U71" i="5"/>
  <c r="U46" i="5"/>
  <c r="F93" i="6"/>
  <c r="E93" i="12"/>
  <c r="F42" i="12"/>
  <c r="G42" i="6"/>
  <c r="E26" i="12"/>
  <c r="F26" i="6"/>
  <c r="E88" i="12"/>
  <c r="F88" i="6"/>
  <c r="U120" i="5"/>
  <c r="G37" i="6"/>
  <c r="F37" i="12"/>
  <c r="E107" i="12"/>
  <c r="F107" i="6"/>
  <c r="F28" i="6"/>
  <c r="E28" i="12"/>
  <c r="F110" i="12"/>
  <c r="G110" i="6"/>
  <c r="AN60" i="5"/>
  <c r="AN25" i="5"/>
  <c r="AN29" i="5"/>
  <c r="AN48" i="5"/>
  <c r="AN49" i="5"/>
  <c r="AN41" i="5"/>
  <c r="AN38" i="5"/>
  <c r="G14" i="6"/>
  <c r="F14" i="12"/>
  <c r="AN83" i="5"/>
  <c r="AN35" i="5"/>
  <c r="AN86" i="5"/>
  <c r="AN55" i="5"/>
  <c r="AN22" i="5"/>
  <c r="AC14" i="5"/>
  <c r="J14" i="6" s="1" a="1"/>
  <c r="J14" i="6" s="1"/>
  <c r="F14" i="6"/>
  <c r="E14" i="12"/>
  <c r="AN70" i="5"/>
  <c r="F17" i="12"/>
  <c r="AN51" i="5"/>
  <c r="AN77" i="5"/>
  <c r="AN65" i="5"/>
  <c r="AN19" i="5"/>
  <c r="AN128" i="5"/>
  <c r="AN34" i="5"/>
  <c r="AN63" i="5"/>
  <c r="F16" i="12"/>
  <c r="F56" i="12"/>
  <c r="AN21" i="5"/>
  <c r="AN53" i="5"/>
  <c r="W26" i="5" l="1"/>
  <c r="AN26" i="5"/>
  <c r="W118" i="5"/>
  <c r="AN118" i="5"/>
  <c r="AN36" i="5"/>
  <c r="W36" i="5"/>
  <c r="AN47" i="5"/>
  <c r="W47" i="5"/>
  <c r="W117" i="5"/>
  <c r="AN117" i="5"/>
  <c r="W78" i="5"/>
  <c r="AN78" i="5"/>
  <c r="AN115" i="5"/>
  <c r="W115" i="5"/>
  <c r="W87" i="5"/>
  <c r="AN87" i="5"/>
  <c r="W97" i="5"/>
  <c r="AN97" i="5"/>
  <c r="AN99" i="5"/>
  <c r="W99" i="5"/>
  <c r="W90" i="5"/>
  <c r="AN90" i="5"/>
  <c r="AN104" i="5"/>
  <c r="W104" i="5"/>
  <c r="AN112" i="5"/>
  <c r="W112" i="5"/>
  <c r="AN116" i="5"/>
  <c r="W116" i="5"/>
  <c r="W105" i="5"/>
  <c r="AN105" i="5"/>
  <c r="W93" i="5"/>
  <c r="AN93" i="5"/>
  <c r="W92" i="5"/>
  <c r="AN92" i="5"/>
  <c r="AN18" i="5"/>
  <c r="W18" i="5"/>
  <c r="AN76" i="5"/>
  <c r="W76" i="5"/>
  <c r="W123" i="5"/>
  <c r="AN123" i="5"/>
  <c r="AN79" i="5"/>
  <c r="W79" i="5"/>
  <c r="AN103" i="5"/>
  <c r="W103" i="5"/>
  <c r="W24" i="5"/>
  <c r="AN24" i="5"/>
  <c r="W120" i="5"/>
  <c r="AN120" i="5"/>
  <c r="W69" i="5"/>
  <c r="AN69" i="5"/>
  <c r="AN85" i="5"/>
  <c r="W85" i="5"/>
  <c r="AN72" i="5"/>
  <c r="W72" i="5"/>
  <c r="AN108" i="5"/>
  <c r="W108" i="5"/>
  <c r="AN113" i="5"/>
  <c r="W113" i="5"/>
  <c r="AN42" i="5"/>
  <c r="W42" i="5"/>
  <c r="AN81" i="5"/>
  <c r="W81" i="5"/>
  <c r="AN110" i="5"/>
  <c r="W110" i="5"/>
  <c r="W32" i="5"/>
  <c r="AN32" i="5"/>
  <c r="AN30" i="5"/>
  <c r="W30" i="5"/>
  <c r="AN94" i="5"/>
  <c r="W94" i="5"/>
  <c r="AN129" i="5"/>
  <c r="W129" i="5"/>
  <c r="W96" i="5"/>
  <c r="AN96" i="5"/>
  <c r="W31" i="5"/>
  <c r="AN31" i="5"/>
  <c r="AN101" i="5"/>
  <c r="W101" i="5"/>
  <c r="W130" i="5"/>
  <c r="AN130" i="5"/>
  <c r="AN109" i="5"/>
  <c r="W109" i="5"/>
  <c r="AN23" i="5"/>
  <c r="W23" i="5"/>
  <c r="W45" i="5"/>
  <c r="AN45" i="5"/>
  <c r="W68" i="5"/>
  <c r="AN68" i="5"/>
  <c r="W124" i="5"/>
  <c r="AN124" i="5"/>
  <c r="W89" i="5"/>
  <c r="AN89" i="5"/>
  <c r="AN28" i="5"/>
  <c r="W28" i="5"/>
  <c r="W98" i="5"/>
  <c r="AN98" i="5"/>
  <c r="W57" i="5"/>
  <c r="AN57" i="5"/>
  <c r="W114" i="5"/>
  <c r="AN114" i="5"/>
  <c r="AN111" i="5"/>
  <c r="W111" i="5"/>
  <c r="AN119" i="5"/>
  <c r="W119" i="5"/>
  <c r="AN84" i="5"/>
  <c r="W84" i="5"/>
  <c r="AN44" i="5"/>
  <c r="W44" i="5"/>
  <c r="AN27" i="5"/>
  <c r="W27" i="5"/>
  <c r="AN58" i="5"/>
  <c r="W58" i="5"/>
  <c r="AN61" i="5"/>
  <c r="W61" i="5"/>
  <c r="AN46" i="5"/>
  <c r="W46" i="5"/>
  <c r="W107" i="5"/>
  <c r="AN107" i="5"/>
  <c r="W80" i="5"/>
  <c r="AN80" i="5"/>
  <c r="AN122" i="5"/>
  <c r="W122" i="5"/>
  <c r="W106" i="5"/>
  <c r="AN106" i="5"/>
  <c r="W59" i="5"/>
  <c r="AN59" i="5"/>
  <c r="W43" i="5"/>
  <c r="AN43" i="5"/>
  <c r="W82" i="5"/>
  <c r="AN82" i="5"/>
  <c r="W37" i="5"/>
  <c r="AN37" i="5"/>
  <c r="AN67" i="5"/>
  <c r="W67" i="5"/>
  <c r="AN71" i="5"/>
  <c r="W71" i="5"/>
  <c r="AN88" i="5"/>
  <c r="W88" i="5"/>
  <c r="AN91" i="5"/>
  <c r="W91" i="5"/>
  <c r="AN121" i="5"/>
  <c r="W121" i="5"/>
  <c r="AN100" i="5"/>
  <c r="W100" i="5"/>
  <c r="AN95" i="5"/>
  <c r="W95" i="5"/>
  <c r="W75" i="5"/>
  <c r="AN75" i="5"/>
  <c r="AN102" i="5"/>
  <c r="W102" i="5"/>
  <c r="AN33" i="5"/>
  <c r="W33" i="5"/>
  <c r="W62" i="5"/>
  <c r="AN62" i="5"/>
  <c r="W66" i="5"/>
  <c r="AN66" i="5"/>
  <c r="X66" i="5" l="1"/>
  <c r="H66" i="12"/>
  <c r="H122" i="12"/>
  <c r="X122" i="5"/>
  <c r="H57" i="12"/>
  <c r="X57" i="5"/>
  <c r="H89" i="12"/>
  <c r="X89" i="5"/>
  <c r="X32" i="5"/>
  <c r="H32" i="12"/>
  <c r="H113" i="12"/>
  <c r="X113" i="5"/>
  <c r="H24" i="12"/>
  <c r="X24" i="5"/>
  <c r="H105" i="12"/>
  <c r="X105" i="5"/>
  <c r="H90" i="12"/>
  <c r="X90" i="5"/>
  <c r="X121" i="5"/>
  <c r="H121" i="12"/>
  <c r="H67" i="12"/>
  <c r="X67" i="5"/>
  <c r="X27" i="5"/>
  <c r="H27" i="12"/>
  <c r="X119" i="5"/>
  <c r="H119" i="12"/>
  <c r="X23" i="5"/>
  <c r="H23" i="12"/>
  <c r="H110" i="12"/>
  <c r="X110" i="5"/>
  <c r="H85" i="12"/>
  <c r="X85" i="5"/>
  <c r="X103" i="5"/>
  <c r="H103" i="12"/>
  <c r="H18" i="12"/>
  <c r="X18" i="5"/>
  <c r="H116" i="12"/>
  <c r="X116" i="5"/>
  <c r="X99" i="5"/>
  <c r="H99" i="12"/>
  <c r="H118" i="12"/>
  <c r="X118" i="5"/>
  <c r="H62" i="12"/>
  <c r="X62" i="5"/>
  <c r="X31" i="5"/>
  <c r="H31" i="12"/>
  <c r="X78" i="5"/>
  <c r="H78" i="12"/>
  <c r="X75" i="5"/>
  <c r="H75" i="12"/>
  <c r="H91" i="12"/>
  <c r="X91" i="5"/>
  <c r="H43" i="12"/>
  <c r="X43" i="5"/>
  <c r="X80" i="5"/>
  <c r="H80" i="12"/>
  <c r="H61" i="12"/>
  <c r="X61" i="5"/>
  <c r="H44" i="12"/>
  <c r="X44" i="5"/>
  <c r="X111" i="5"/>
  <c r="H111" i="12"/>
  <c r="X124" i="5"/>
  <c r="H124" i="12"/>
  <c r="X109" i="5"/>
  <c r="H109" i="12"/>
  <c r="H94" i="12"/>
  <c r="X94" i="5"/>
  <c r="H108" i="12"/>
  <c r="X108" i="5"/>
  <c r="H79" i="12"/>
  <c r="X79" i="5"/>
  <c r="X112" i="5"/>
  <c r="H112" i="12"/>
  <c r="H36" i="12"/>
  <c r="X36" i="5"/>
  <c r="X26" i="5"/>
  <c r="H26" i="12"/>
  <c r="X33" i="5"/>
  <c r="H33" i="12"/>
  <c r="H98" i="12"/>
  <c r="X98" i="5"/>
  <c r="X96" i="5"/>
  <c r="H96" i="12"/>
  <c r="H81" i="12"/>
  <c r="X81" i="5"/>
  <c r="X69" i="5"/>
  <c r="H69" i="12"/>
  <c r="X92" i="5"/>
  <c r="H92" i="12"/>
  <c r="X97" i="5"/>
  <c r="H97" i="12"/>
  <c r="H117" i="12"/>
  <c r="X117" i="5"/>
  <c r="H95" i="12"/>
  <c r="X95" i="5"/>
  <c r="X88" i="5"/>
  <c r="H88" i="12"/>
  <c r="H37" i="12"/>
  <c r="X37" i="5"/>
  <c r="X59" i="5"/>
  <c r="H59" i="12"/>
  <c r="H107" i="12"/>
  <c r="X107" i="5"/>
  <c r="H28" i="12"/>
  <c r="X28" i="5"/>
  <c r="X68" i="5"/>
  <c r="H68" i="12"/>
  <c r="X30" i="5"/>
  <c r="H30" i="12"/>
  <c r="X72" i="5"/>
  <c r="H72" i="12"/>
  <c r="H104" i="12"/>
  <c r="X104" i="5"/>
  <c r="H114" i="12"/>
  <c r="X114" i="5"/>
  <c r="H130" i="12"/>
  <c r="X130" i="5"/>
  <c r="H42" i="12"/>
  <c r="X42" i="5"/>
  <c r="X120" i="5"/>
  <c r="H120" i="12"/>
  <c r="H123" i="12"/>
  <c r="X123" i="5"/>
  <c r="H93" i="12"/>
  <c r="X93" i="5"/>
  <c r="H87" i="12"/>
  <c r="X87" i="5"/>
  <c r="X102" i="5"/>
  <c r="H102" i="12"/>
  <c r="H100" i="12"/>
  <c r="X100" i="5"/>
  <c r="H71" i="12"/>
  <c r="X71" i="5"/>
  <c r="X82" i="5"/>
  <c r="H82" i="12"/>
  <c r="X106" i="5"/>
  <c r="H106" i="12"/>
  <c r="X46" i="5"/>
  <c r="H46" i="12"/>
  <c r="H58" i="12"/>
  <c r="X58" i="5"/>
  <c r="X84" i="5"/>
  <c r="H84" i="12"/>
  <c r="H45" i="12"/>
  <c r="X45" i="5"/>
  <c r="X101" i="5"/>
  <c r="H101" i="12"/>
  <c r="H129" i="12"/>
  <c r="X129" i="5"/>
  <c r="X76" i="5"/>
  <c r="H76" i="12"/>
  <c r="H115" i="12"/>
  <c r="X115" i="5"/>
  <c r="X47" i="5"/>
  <c r="H47" i="12"/>
  <c r="AG40" i="5"/>
  <c r="AG20" i="5"/>
  <c r="AG64" i="5"/>
  <c r="AG50" i="5"/>
  <c r="AG73" i="5"/>
  <c r="AG74" i="5"/>
  <c r="AG127" i="5"/>
  <c r="AG126" i="5"/>
  <c r="AG125" i="5"/>
  <c r="AG54" i="5"/>
  <c r="AG52" i="5"/>
  <c r="U40" i="5" l="1"/>
  <c r="U20" i="5"/>
  <c r="W20" i="5" s="1"/>
  <c r="U52" i="5"/>
  <c r="U54" i="5"/>
  <c r="U125" i="5"/>
  <c r="U126" i="5"/>
  <c r="U127" i="5"/>
  <c r="U74" i="5"/>
  <c r="U73" i="5"/>
  <c r="U50" i="5"/>
  <c r="U64" i="5"/>
  <c r="L129" i="5"/>
  <c r="I129" i="5"/>
  <c r="I130" i="5" s="1"/>
  <c r="AK129" i="6"/>
  <c r="I129" i="12"/>
  <c r="Z129" i="5"/>
  <c r="AL129" i="6"/>
  <c r="AJ129" i="6"/>
  <c r="AM129" i="6"/>
  <c r="AM129" i="5"/>
  <c r="AN129" i="6"/>
  <c r="X128" i="5"/>
  <c r="AM87" i="5"/>
  <c r="AK87" i="6"/>
  <c r="AM87" i="6"/>
  <c r="L87" i="5"/>
  <c r="AN87" i="6"/>
  <c r="AL87" i="6"/>
  <c r="I87" i="12"/>
  <c r="AJ87" i="6"/>
  <c r="Z87" i="5"/>
  <c r="AN72" i="6"/>
  <c r="L72" i="5"/>
  <c r="AK72" i="6"/>
  <c r="I72" i="12"/>
  <c r="AJ72" i="6"/>
  <c r="AM72" i="5"/>
  <c r="Z72" i="5"/>
  <c r="AL72" i="6"/>
  <c r="AM72" i="6"/>
  <c r="AL107" i="6"/>
  <c r="L107" i="5"/>
  <c r="Z107" i="5"/>
  <c r="AJ107" i="6"/>
  <c r="I107" i="12"/>
  <c r="AK107" i="6"/>
  <c r="AM107" i="6"/>
  <c r="AN107" i="6"/>
  <c r="AM107" i="5"/>
  <c r="AN95" i="6"/>
  <c r="I95" i="12"/>
  <c r="AL95" i="6"/>
  <c r="AM95" i="6"/>
  <c r="AK95" i="6"/>
  <c r="AJ95" i="6"/>
  <c r="L95" i="5"/>
  <c r="AM95" i="5"/>
  <c r="Z95" i="5"/>
  <c r="I92" i="12"/>
  <c r="AK92" i="6"/>
  <c r="AJ92" i="6"/>
  <c r="Z92" i="5"/>
  <c r="AM92" i="5"/>
  <c r="AM92" i="6"/>
  <c r="L92" i="5"/>
  <c r="AL92" i="6"/>
  <c r="AN92" i="6"/>
  <c r="AM96" i="5"/>
  <c r="Z96" i="5"/>
  <c r="L96" i="5"/>
  <c r="AJ96" i="6"/>
  <c r="I96" i="12"/>
  <c r="AM96" i="6"/>
  <c r="AK96" i="6"/>
  <c r="AN96" i="6"/>
  <c r="AL96" i="6"/>
  <c r="AM79" i="5"/>
  <c r="AK79" i="6"/>
  <c r="AL79" i="6"/>
  <c r="L79" i="5"/>
  <c r="AM79" i="6"/>
  <c r="AN79" i="6"/>
  <c r="Z79" i="5"/>
  <c r="I79" i="12"/>
  <c r="AJ79" i="6"/>
  <c r="AM109" i="6"/>
  <c r="AK109" i="6"/>
  <c r="AL109" i="6"/>
  <c r="AN109" i="6"/>
  <c r="AM109" i="5"/>
  <c r="I109" i="12"/>
  <c r="Z109" i="5"/>
  <c r="L109" i="5"/>
  <c r="AJ109" i="6"/>
  <c r="AK75" i="6"/>
  <c r="I75" i="12"/>
  <c r="AJ75" i="6"/>
  <c r="L75" i="5"/>
  <c r="AM75" i="6"/>
  <c r="Z75" i="5"/>
  <c r="AL75" i="6"/>
  <c r="AM75" i="5"/>
  <c r="AN75" i="6"/>
  <c r="AK103" i="6"/>
  <c r="L103" i="5"/>
  <c r="AJ103" i="6"/>
  <c r="I103" i="12"/>
  <c r="Z103" i="5"/>
  <c r="AL103" i="6"/>
  <c r="AM103" i="6"/>
  <c r="AM103" i="5"/>
  <c r="AN103" i="6"/>
  <c r="AJ119" i="6"/>
  <c r="AM119" i="6"/>
  <c r="Z119" i="5"/>
  <c r="AL119" i="6"/>
  <c r="AM119" i="5"/>
  <c r="I119" i="12"/>
  <c r="AK119" i="6"/>
  <c r="AN119" i="6"/>
  <c r="L119" i="5"/>
  <c r="AK47" i="6"/>
  <c r="AJ47" i="6"/>
  <c r="L47" i="5"/>
  <c r="Z47" i="5"/>
  <c r="AM47" i="6"/>
  <c r="AN47" i="6"/>
  <c r="AM47" i="5"/>
  <c r="I47" i="12"/>
  <c r="AL47" i="6"/>
  <c r="L84" i="5"/>
  <c r="AM84" i="6"/>
  <c r="AL84" i="6"/>
  <c r="AK84" i="6"/>
  <c r="I84" i="5"/>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AM84" i="5"/>
  <c r="Z84" i="5"/>
  <c r="X83" i="5"/>
  <c r="AJ84" i="6"/>
  <c r="I84" i="12"/>
  <c r="AN84" i="6"/>
  <c r="AN82" i="6"/>
  <c r="I82" i="12"/>
  <c r="AM82" i="5"/>
  <c r="AL82" i="6"/>
  <c r="L82" i="5"/>
  <c r="AK82" i="6"/>
  <c r="Z82" i="5"/>
  <c r="AJ82" i="6"/>
  <c r="AM82" i="6"/>
  <c r="AK42" i="6"/>
  <c r="I42" i="12"/>
  <c r="AJ42" i="6"/>
  <c r="AM42" i="6"/>
  <c r="L42" i="5"/>
  <c r="X41" i="5"/>
  <c r="Z42" i="5"/>
  <c r="AL42" i="6"/>
  <c r="AM42" i="5"/>
  <c r="AN42" i="6"/>
  <c r="L33" i="5"/>
  <c r="AJ33" i="6"/>
  <c r="AK33" i="6"/>
  <c r="AM33" i="5"/>
  <c r="Z33" i="5"/>
  <c r="AN33" i="6"/>
  <c r="AL33" i="6"/>
  <c r="I33" i="12"/>
  <c r="AM33" i="6"/>
  <c r="L85" i="5"/>
  <c r="AL85" i="6"/>
  <c r="I85" i="12"/>
  <c r="AM85" i="5"/>
  <c r="AK85" i="6"/>
  <c r="AJ85" i="6"/>
  <c r="AM85" i="6"/>
  <c r="AN85" i="6"/>
  <c r="Z85" i="5"/>
  <c r="Z90" i="5"/>
  <c r="AJ90" i="6"/>
  <c r="L90" i="5"/>
  <c r="I90" i="12"/>
  <c r="AM90" i="5"/>
  <c r="AL90" i="6"/>
  <c r="AK90" i="6"/>
  <c r="AM90" i="6"/>
  <c r="AN90" i="6"/>
  <c r="AL115" i="6"/>
  <c r="AK115" i="6"/>
  <c r="I115" i="12"/>
  <c r="AM115" i="6"/>
  <c r="AM115" i="5"/>
  <c r="L115" i="5"/>
  <c r="AJ115" i="6"/>
  <c r="AN115" i="6"/>
  <c r="Z115" i="5"/>
  <c r="AN58" i="6"/>
  <c r="I58" i="12"/>
  <c r="AL58" i="6"/>
  <c r="AM58" i="6"/>
  <c r="Z58" i="5"/>
  <c r="AK58" i="6"/>
  <c r="AJ58" i="6"/>
  <c r="L58" i="5"/>
  <c r="AM58" i="5"/>
  <c r="AM71" i="5"/>
  <c r="AN71" i="6"/>
  <c r="AM71" i="6"/>
  <c r="I71" i="12"/>
  <c r="L71" i="5"/>
  <c r="Z71" i="5"/>
  <c r="I71" i="5"/>
  <c r="I72" i="5" s="1"/>
  <c r="AK71" i="6"/>
  <c r="AJ71" i="6"/>
  <c r="AL71" i="6"/>
  <c r="AN93" i="6"/>
  <c r="AM93" i="5"/>
  <c r="AK93" i="6"/>
  <c r="AL93" i="6"/>
  <c r="L93" i="5"/>
  <c r="AJ93" i="6"/>
  <c r="Z93" i="5"/>
  <c r="I93" i="12"/>
  <c r="AM93" i="6"/>
  <c r="I30" i="5"/>
  <c r="I31" i="5" s="1"/>
  <c r="I32" i="5" s="1"/>
  <c r="I33" i="5" s="1"/>
  <c r="X29" i="5"/>
  <c r="I30" i="12"/>
  <c r="AL30" i="6"/>
  <c r="Z30" i="5"/>
  <c r="AM30" i="5"/>
  <c r="AJ30" i="6"/>
  <c r="AK30" i="6"/>
  <c r="L30" i="5"/>
  <c r="AM30" i="6"/>
  <c r="AN30" i="6"/>
  <c r="Z117" i="5"/>
  <c r="AM117" i="6"/>
  <c r="I117" i="12"/>
  <c r="AN117" i="6"/>
  <c r="AK117" i="6"/>
  <c r="AJ117" i="6"/>
  <c r="AM117" i="5"/>
  <c r="AL117" i="6"/>
  <c r="L117" i="5"/>
  <c r="I69" i="12"/>
  <c r="AM69" i="6"/>
  <c r="L69" i="5"/>
  <c r="AN69" i="6"/>
  <c r="AL69" i="6"/>
  <c r="AK69" i="6"/>
  <c r="AJ69" i="6"/>
  <c r="Z69" i="5"/>
  <c r="AM69" i="5"/>
  <c r="AM98" i="5"/>
  <c r="AJ98" i="6"/>
  <c r="AN98" i="6"/>
  <c r="Z98" i="5"/>
  <c r="AK98" i="6"/>
  <c r="AL98" i="6"/>
  <c r="L98" i="5"/>
  <c r="I98" i="12"/>
  <c r="AM98" i="6"/>
  <c r="AM124" i="5"/>
  <c r="AK124" i="6"/>
  <c r="Z124" i="5"/>
  <c r="AM124" i="6"/>
  <c r="AN124" i="6"/>
  <c r="L124" i="5"/>
  <c r="AL124" i="6"/>
  <c r="AJ124" i="6"/>
  <c r="I124" i="12"/>
  <c r="AM80" i="5"/>
  <c r="AM80" i="6"/>
  <c r="AN80" i="6"/>
  <c r="AK80" i="6"/>
  <c r="AL80" i="6"/>
  <c r="Z80" i="5"/>
  <c r="AJ80" i="6"/>
  <c r="I80" i="12"/>
  <c r="L80" i="5"/>
  <c r="AL78" i="6"/>
  <c r="Z78" i="5"/>
  <c r="I78" i="5"/>
  <c r="I79" i="5" s="1"/>
  <c r="I80" i="5" s="1"/>
  <c r="I81" i="5" s="1"/>
  <c r="I82" i="5" s="1"/>
  <c r="X77" i="5"/>
  <c r="L78" i="5"/>
  <c r="I78" i="12"/>
  <c r="AM78" i="5"/>
  <c r="AM78" i="6"/>
  <c r="AN78" i="6"/>
  <c r="AJ78" i="6"/>
  <c r="AK78" i="6"/>
  <c r="AM99" i="6"/>
  <c r="AM99" i="5"/>
  <c r="Z99" i="5"/>
  <c r="I99" i="12"/>
  <c r="AJ99" i="6"/>
  <c r="AN99" i="6"/>
  <c r="L99" i="5"/>
  <c r="AK99" i="6"/>
  <c r="AL99" i="6"/>
  <c r="AM27" i="6"/>
  <c r="AJ27" i="6"/>
  <c r="Z27" i="5"/>
  <c r="L27" i="5"/>
  <c r="AN27" i="6"/>
  <c r="AM27" i="5"/>
  <c r="AK27" i="6"/>
  <c r="AL27" i="6"/>
  <c r="I27" i="12"/>
  <c r="Z32" i="5"/>
  <c r="I32" i="12"/>
  <c r="AM32" i="5"/>
  <c r="L32" i="5"/>
  <c r="AJ32" i="6"/>
  <c r="AL32" i="6"/>
  <c r="AK32" i="6"/>
  <c r="AN32" i="6"/>
  <c r="AM32" i="6"/>
  <c r="AK122" i="6"/>
  <c r="I122" i="12"/>
  <c r="L122" i="5"/>
  <c r="Z122" i="5"/>
  <c r="AL122" i="6"/>
  <c r="AJ122" i="6"/>
  <c r="AM122" i="6"/>
  <c r="AN122" i="6"/>
  <c r="AM122" i="5"/>
  <c r="Z101" i="5"/>
  <c r="L101" i="5"/>
  <c r="AK101" i="6"/>
  <c r="AN101" i="6"/>
  <c r="I101" i="12"/>
  <c r="AJ101" i="6"/>
  <c r="AL101" i="6"/>
  <c r="AM101" i="5"/>
  <c r="AM101" i="6"/>
  <c r="Z130" i="5"/>
  <c r="AM130" i="6"/>
  <c r="L130" i="5"/>
  <c r="AK130" i="6"/>
  <c r="AJ130" i="6"/>
  <c r="I130" i="12"/>
  <c r="AN130" i="6"/>
  <c r="AM130" i="5"/>
  <c r="AL130" i="6"/>
  <c r="AL59" i="6"/>
  <c r="AN59" i="6"/>
  <c r="I59" i="12"/>
  <c r="AM59" i="5"/>
  <c r="AM59" i="6"/>
  <c r="AJ59" i="6"/>
  <c r="Z59" i="5"/>
  <c r="L59" i="5"/>
  <c r="AK59" i="6"/>
  <c r="I26" i="12"/>
  <c r="AN26" i="6"/>
  <c r="Z26" i="5"/>
  <c r="AJ26" i="6"/>
  <c r="X25" i="5"/>
  <c r="L26" i="5"/>
  <c r="AL26" i="6"/>
  <c r="I26" i="5"/>
  <c r="I27" i="5" s="1"/>
  <c r="I28" i="5" s="1"/>
  <c r="AM26" i="5"/>
  <c r="AM26" i="6"/>
  <c r="AK26" i="6"/>
  <c r="AL108" i="6"/>
  <c r="AN108" i="6"/>
  <c r="AM108" i="5"/>
  <c r="I108" i="12"/>
  <c r="AJ108" i="6"/>
  <c r="Z108" i="5"/>
  <c r="L108" i="5"/>
  <c r="AM108" i="6"/>
  <c r="AK108" i="6"/>
  <c r="L43" i="5"/>
  <c r="AM43" i="6"/>
  <c r="AN43" i="6"/>
  <c r="AK43" i="6"/>
  <c r="AM43" i="5"/>
  <c r="I43" i="12"/>
  <c r="AJ43" i="6"/>
  <c r="Z43" i="5"/>
  <c r="AL43" i="6"/>
  <c r="AN116" i="6"/>
  <c r="AM116" i="6"/>
  <c r="AK116" i="6"/>
  <c r="AM116" i="5"/>
  <c r="L116" i="5"/>
  <c r="AL116" i="6"/>
  <c r="AJ116" i="6"/>
  <c r="Z116" i="5"/>
  <c r="I116" i="12"/>
  <c r="AM110" i="6"/>
  <c r="L110" i="5"/>
  <c r="AM110" i="5"/>
  <c r="AJ110" i="6"/>
  <c r="Z110" i="5"/>
  <c r="AL110" i="6"/>
  <c r="AN110" i="6"/>
  <c r="I110" i="12"/>
  <c r="AK110" i="6"/>
  <c r="AK105" i="6"/>
  <c r="L105" i="5"/>
  <c r="AM105" i="6"/>
  <c r="Z105" i="5"/>
  <c r="AJ105" i="6"/>
  <c r="AL105" i="6"/>
  <c r="AN105" i="6"/>
  <c r="AM105" i="5"/>
  <c r="I105" i="12"/>
  <c r="AJ45" i="6"/>
  <c r="AN45" i="6"/>
  <c r="L45" i="5"/>
  <c r="Z45" i="5"/>
  <c r="AM45" i="5"/>
  <c r="AL45" i="6"/>
  <c r="I45" i="12"/>
  <c r="AM45" i="6"/>
  <c r="AK45" i="6"/>
  <c r="I100" i="12"/>
  <c r="Z100" i="5"/>
  <c r="AM100" i="6"/>
  <c r="AK100" i="6"/>
  <c r="AN100" i="6"/>
  <c r="AL100" i="6"/>
  <c r="L100" i="5"/>
  <c r="AJ100" i="6"/>
  <c r="AM100" i="5"/>
  <c r="AM123" i="5"/>
  <c r="AK123" i="6"/>
  <c r="L123" i="5"/>
  <c r="AL123" i="6"/>
  <c r="AJ123" i="6"/>
  <c r="Z123" i="5"/>
  <c r="AM123" i="6"/>
  <c r="I123" i="12"/>
  <c r="AN123" i="6"/>
  <c r="AM104" i="5"/>
  <c r="AN104" i="6"/>
  <c r="Z104" i="5"/>
  <c r="AJ104" i="6"/>
  <c r="AL104" i="6"/>
  <c r="AK104" i="6"/>
  <c r="I104" i="12"/>
  <c r="AM104" i="6"/>
  <c r="L104" i="5"/>
  <c r="Z37" i="5"/>
  <c r="AL37" i="6"/>
  <c r="AK37" i="6"/>
  <c r="L37" i="5"/>
  <c r="AN37" i="6"/>
  <c r="AJ37" i="6"/>
  <c r="AM37" i="5"/>
  <c r="I37" i="12"/>
  <c r="AM37" i="6"/>
  <c r="AL81" i="6"/>
  <c r="AM81" i="5"/>
  <c r="Z81" i="5"/>
  <c r="AM81" i="6"/>
  <c r="AK81" i="6"/>
  <c r="AN81" i="6"/>
  <c r="I81" i="12"/>
  <c r="L81" i="5"/>
  <c r="AJ81" i="6"/>
  <c r="AM36" i="6"/>
  <c r="Z36" i="5"/>
  <c r="AK36" i="6"/>
  <c r="I36" i="5"/>
  <c r="I37" i="5" s="1"/>
  <c r="I38" i="5" s="1"/>
  <c r="AM36" i="5"/>
  <c r="X35" i="5"/>
  <c r="AL36" i="6"/>
  <c r="I36" i="12"/>
  <c r="L36" i="5"/>
  <c r="AN36" i="6"/>
  <c r="AJ36" i="6"/>
  <c r="AM111" i="6"/>
  <c r="AN111" i="6"/>
  <c r="I111" i="12"/>
  <c r="AL111" i="6"/>
  <c r="AK111" i="6"/>
  <c r="AM111" i="5"/>
  <c r="AJ111" i="6"/>
  <c r="L111" i="5"/>
  <c r="Z111" i="5"/>
  <c r="AM67" i="5"/>
  <c r="AM67" i="6"/>
  <c r="AK67" i="6"/>
  <c r="AL67" i="6"/>
  <c r="AJ67" i="6"/>
  <c r="AN67" i="6"/>
  <c r="Z67" i="5"/>
  <c r="I67" i="12"/>
  <c r="L67" i="5"/>
  <c r="AK46" i="6"/>
  <c r="I46" i="12"/>
  <c r="L46" i="5"/>
  <c r="AJ46" i="6"/>
  <c r="AM46" i="5"/>
  <c r="AM46" i="6"/>
  <c r="Z46" i="5"/>
  <c r="AL46" i="6"/>
  <c r="AN46" i="6"/>
  <c r="AJ68" i="6"/>
  <c r="Z68" i="5"/>
  <c r="AM68" i="6"/>
  <c r="I68" i="12"/>
  <c r="AK68" i="6"/>
  <c r="AL68" i="6"/>
  <c r="AN68" i="6"/>
  <c r="AM68" i="5"/>
  <c r="L68" i="5"/>
  <c r="AM97" i="6"/>
  <c r="Z97" i="5"/>
  <c r="AJ97" i="6"/>
  <c r="AN97" i="6"/>
  <c r="AL97" i="6"/>
  <c r="L97" i="5"/>
  <c r="AK97" i="6"/>
  <c r="AM97" i="5"/>
  <c r="I97" i="12"/>
  <c r="AK94" i="6"/>
  <c r="AN94" i="6"/>
  <c r="I94" i="12"/>
  <c r="AL94" i="6"/>
  <c r="AM94" i="5"/>
  <c r="Z94" i="5"/>
  <c r="AM94" i="6"/>
  <c r="AJ94" i="6"/>
  <c r="L94" i="5"/>
  <c r="I44" i="12"/>
  <c r="AN44" i="6"/>
  <c r="AL44" i="6"/>
  <c r="Z44" i="5"/>
  <c r="AM44" i="5"/>
  <c r="AJ44" i="6"/>
  <c r="L44" i="5"/>
  <c r="AM44" i="6"/>
  <c r="AK44" i="6"/>
  <c r="AL91" i="6"/>
  <c r="I91" i="12"/>
  <c r="AM91" i="6"/>
  <c r="AM91" i="5"/>
  <c r="AN91" i="6"/>
  <c r="Z91" i="5"/>
  <c r="AJ91" i="6"/>
  <c r="L91" i="5"/>
  <c r="AK91" i="6"/>
  <c r="Z31" i="5"/>
  <c r="AM31" i="6"/>
  <c r="AK31" i="6"/>
  <c r="AM31" i="5"/>
  <c r="L31" i="5"/>
  <c r="AN31" i="6"/>
  <c r="AJ31" i="6"/>
  <c r="AL31" i="6"/>
  <c r="I31" i="12"/>
  <c r="AN62" i="6"/>
  <c r="AM62" i="6"/>
  <c r="L62" i="5"/>
  <c r="AL62" i="6"/>
  <c r="Z62" i="5"/>
  <c r="AM62" i="5"/>
  <c r="AJ62" i="6"/>
  <c r="I62" i="12"/>
  <c r="AK62" i="6"/>
  <c r="I18" i="5"/>
  <c r="I19" i="5" s="1"/>
  <c r="I18" i="12"/>
  <c r="X17" i="5"/>
  <c r="AJ18" i="6"/>
  <c r="AM18" i="5"/>
  <c r="L18" i="5"/>
  <c r="Z18" i="5"/>
  <c r="AK18" i="6"/>
  <c r="AL18" i="6"/>
  <c r="AM18" i="6"/>
  <c r="AN18" i="6"/>
  <c r="AJ24" i="6"/>
  <c r="L24" i="5"/>
  <c r="AM24" i="6"/>
  <c r="AM24" i="5"/>
  <c r="I24" i="12"/>
  <c r="AN24" i="6"/>
  <c r="AL24" i="6"/>
  <c r="Z24" i="5"/>
  <c r="AK24" i="6"/>
  <c r="I89" i="12"/>
  <c r="AN89" i="6"/>
  <c r="AL89" i="6"/>
  <c r="AK89" i="6"/>
  <c r="AM89" i="5"/>
  <c r="Z89" i="5"/>
  <c r="AJ89" i="6"/>
  <c r="L89" i="5"/>
  <c r="AM89" i="6"/>
  <c r="AM28" i="6"/>
  <c r="L28" i="5"/>
  <c r="AN28" i="6"/>
  <c r="AJ28" i="6"/>
  <c r="AL28" i="6"/>
  <c r="AK28" i="6"/>
  <c r="Z28" i="5"/>
  <c r="AM28" i="5"/>
  <c r="I28" i="12"/>
  <c r="I23" i="5"/>
  <c r="I24" i="5" s="1"/>
  <c r="X21" i="5"/>
  <c r="AL23" i="6"/>
  <c r="I23" i="12"/>
  <c r="AN23" i="6"/>
  <c r="L23" i="5"/>
  <c r="AK23" i="6"/>
  <c r="AM23" i="6"/>
  <c r="AM23" i="5"/>
  <c r="Z23" i="5"/>
  <c r="X22" i="5"/>
  <c r="AJ23" i="6"/>
  <c r="AL76" i="6"/>
  <c r="L76" i="5"/>
  <c r="AN76" i="6"/>
  <c r="AJ76" i="6"/>
  <c r="I76" i="12"/>
  <c r="AK76" i="6"/>
  <c r="AM76" i="6"/>
  <c r="Z76" i="5"/>
  <c r="AM76" i="5"/>
  <c r="AM106" i="6"/>
  <c r="AM106" i="5"/>
  <c r="AJ106" i="6"/>
  <c r="L106" i="5"/>
  <c r="AN106" i="6"/>
  <c r="I106" i="12"/>
  <c r="AK106" i="6"/>
  <c r="Z106" i="5"/>
  <c r="AL106" i="6"/>
  <c r="AM102" i="6"/>
  <c r="AL102" i="6"/>
  <c r="AN102" i="6"/>
  <c r="AJ102" i="6"/>
  <c r="AM102" i="5"/>
  <c r="I102" i="12"/>
  <c r="L102" i="5"/>
  <c r="Z102" i="5"/>
  <c r="AK102" i="6"/>
  <c r="AL120" i="6"/>
  <c r="Z120" i="5"/>
  <c r="AK120" i="6"/>
  <c r="AJ120" i="6"/>
  <c r="L120" i="5"/>
  <c r="AM120" i="6"/>
  <c r="I120" i="12"/>
  <c r="AN120" i="6"/>
  <c r="AM120" i="5"/>
  <c r="AK114" i="6"/>
  <c r="AJ114" i="6"/>
  <c r="AM114" i="5"/>
  <c r="Z114" i="5"/>
  <c r="AM114" i="6"/>
  <c r="AN114" i="6"/>
  <c r="I114" i="12"/>
  <c r="AL114" i="6"/>
  <c r="L114" i="5"/>
  <c r="Z88" i="5"/>
  <c r="AK88" i="6"/>
  <c r="AM88" i="5"/>
  <c r="L88" i="5"/>
  <c r="I88" i="12"/>
  <c r="AM88" i="6"/>
  <c r="AJ88" i="6"/>
  <c r="AN88" i="6"/>
  <c r="AL88" i="6"/>
  <c r="AJ112" i="6"/>
  <c r="I112" i="12"/>
  <c r="Z112" i="5"/>
  <c r="L112" i="5"/>
  <c r="AM112" i="5"/>
  <c r="AM112" i="6"/>
  <c r="AK112" i="6"/>
  <c r="AL112" i="6"/>
  <c r="AN112" i="6"/>
  <c r="I61" i="12"/>
  <c r="X60" i="5"/>
  <c r="AM61" i="5"/>
  <c r="AK61" i="6"/>
  <c r="AM61" i="6"/>
  <c r="AL61" i="6"/>
  <c r="Z61" i="5"/>
  <c r="L61" i="5"/>
  <c r="AN61" i="6"/>
  <c r="AJ61" i="6"/>
  <c r="I118" i="12"/>
  <c r="AM118" i="6"/>
  <c r="L118" i="5"/>
  <c r="AN118" i="6"/>
  <c r="AL118" i="6"/>
  <c r="AM118" i="5"/>
  <c r="AJ118" i="6"/>
  <c r="Z118" i="5"/>
  <c r="AK118" i="6"/>
  <c r="AL121" i="6"/>
  <c r="AN121" i="6"/>
  <c r="I121" i="12"/>
  <c r="AM121" i="5"/>
  <c r="L121" i="5"/>
  <c r="Z121" i="5"/>
  <c r="AK121" i="6"/>
  <c r="AJ121" i="6"/>
  <c r="AM121" i="6"/>
  <c r="AL113" i="6"/>
  <c r="Z113" i="5"/>
  <c r="L113" i="5"/>
  <c r="AJ113" i="6"/>
  <c r="AK113" i="6"/>
  <c r="AM113" i="6"/>
  <c r="I113" i="12"/>
  <c r="AN113" i="6"/>
  <c r="AM113" i="5"/>
  <c r="AK57" i="6"/>
  <c r="I57" i="5"/>
  <c r="I58" i="5" s="1"/>
  <c r="I59" i="5" s="1"/>
  <c r="I60" i="5" s="1"/>
  <c r="I61" i="5" s="1"/>
  <c r="I62" i="5" s="1"/>
  <c r="X55" i="5"/>
  <c r="AM57" i="6"/>
  <c r="L57" i="5"/>
  <c r="I57" i="12"/>
  <c r="AN57" i="6"/>
  <c r="X56" i="5"/>
  <c r="AL57" i="6"/>
  <c r="AJ57" i="6"/>
  <c r="Z57" i="5"/>
  <c r="AM57" i="5"/>
  <c r="AK66" i="6"/>
  <c r="L66" i="5"/>
  <c r="AJ66" i="6"/>
  <c r="I66" i="5"/>
  <c r="I67" i="5" s="1"/>
  <c r="I68" i="5" s="1"/>
  <c r="I69" i="5" s="1"/>
  <c r="AM66" i="5"/>
  <c r="I66" i="12"/>
  <c r="Z66" i="5"/>
  <c r="AL66" i="6"/>
  <c r="X65" i="5"/>
  <c r="AN66" i="6"/>
  <c r="AM66" i="6"/>
  <c r="AN40" i="5" l="1"/>
  <c r="W40" i="5"/>
  <c r="I41" i="5"/>
  <c r="I42" i="5" s="1"/>
  <c r="I43" i="5" s="1"/>
  <c r="I44" i="5" s="1"/>
  <c r="I45" i="5" s="1"/>
  <c r="I46" i="5" s="1"/>
  <c r="I47" i="5" s="1"/>
  <c r="I39" i="5"/>
  <c r="AN20" i="5"/>
  <c r="W34" i="8"/>
  <c r="W25" i="8"/>
  <c r="Y25" i="8"/>
  <c r="W40" i="8"/>
  <c r="X34" i="8"/>
  <c r="X25" i="8"/>
  <c r="V46" i="8"/>
  <c r="X40" i="8"/>
  <c r="O66" i="12"/>
  <c r="C66" i="12"/>
  <c r="M66" i="12"/>
  <c r="AO66" i="12"/>
  <c r="S38" i="8"/>
  <c r="L65" i="5"/>
  <c r="I65" i="12"/>
  <c r="AM65" i="5"/>
  <c r="Z65" i="5"/>
  <c r="V40" i="8"/>
  <c r="C57" i="6"/>
  <c r="O57" i="5"/>
  <c r="AC57" i="5"/>
  <c r="AB118" i="5"/>
  <c r="Z60" i="5"/>
  <c r="L60" i="5"/>
  <c r="AM60" i="5"/>
  <c r="I60" i="12"/>
  <c r="AB112" i="5"/>
  <c r="C88" i="6"/>
  <c r="O88" i="5"/>
  <c r="AC88" i="5"/>
  <c r="C102" i="6"/>
  <c r="O102" i="5"/>
  <c r="AC102" i="5"/>
  <c r="AB106" i="5"/>
  <c r="C76" i="6"/>
  <c r="AC76" i="5"/>
  <c r="C23" i="6"/>
  <c r="O23" i="5"/>
  <c r="AC23" i="5"/>
  <c r="AB28" i="5"/>
  <c r="C89" i="6"/>
  <c r="O89" i="5"/>
  <c r="AC89" i="5"/>
  <c r="O94" i="12"/>
  <c r="AO94" i="12"/>
  <c r="M94" i="12"/>
  <c r="C94" i="12"/>
  <c r="AB67" i="5"/>
  <c r="C111" i="6"/>
  <c r="O111" i="5"/>
  <c r="AC111" i="5"/>
  <c r="AB100" i="5"/>
  <c r="C45" i="6"/>
  <c r="AC45" i="5"/>
  <c r="AB105" i="5"/>
  <c r="AB110" i="5"/>
  <c r="AB26" i="5"/>
  <c r="C27" i="12"/>
  <c r="M27" i="12"/>
  <c r="O27" i="12"/>
  <c r="AO27" i="12"/>
  <c r="AB99" i="5"/>
  <c r="AO78" i="12"/>
  <c r="C78" i="12"/>
  <c r="O78" i="12"/>
  <c r="M78" i="12"/>
  <c r="M117" i="12"/>
  <c r="C117" i="12"/>
  <c r="O117" i="12"/>
  <c r="AO117" i="12"/>
  <c r="AB93" i="5"/>
  <c r="AO42" i="12"/>
  <c r="M42" i="12"/>
  <c r="O42" i="12"/>
  <c r="C42" i="12"/>
  <c r="M75" i="12"/>
  <c r="O75" i="12"/>
  <c r="AO75" i="12"/>
  <c r="C75" i="12"/>
  <c r="O79" i="5"/>
  <c r="C79" i="6"/>
  <c r="AC79" i="5"/>
  <c r="AO96" i="12"/>
  <c r="O96" i="12"/>
  <c r="M96" i="12"/>
  <c r="C96" i="12"/>
  <c r="O95" i="5"/>
  <c r="C95" i="6"/>
  <c r="AC95" i="5"/>
  <c r="C87" i="6"/>
  <c r="O87" i="5"/>
  <c r="AC87" i="5"/>
  <c r="U55" i="8"/>
  <c r="E55" i="8"/>
  <c r="AN50" i="5"/>
  <c r="W50" i="5"/>
  <c r="AB121" i="5"/>
  <c r="O61" i="12"/>
  <c r="C61" i="12"/>
  <c r="M61" i="12"/>
  <c r="AO61" i="12"/>
  <c r="M112" i="12"/>
  <c r="AO112" i="12"/>
  <c r="O112" i="12"/>
  <c r="C112" i="12"/>
  <c r="AB114" i="5"/>
  <c r="C120" i="6"/>
  <c r="O120" i="5"/>
  <c r="AC120" i="5"/>
  <c r="M102" i="12"/>
  <c r="O102" i="12"/>
  <c r="AO102" i="12"/>
  <c r="C102" i="12"/>
  <c r="AB76" i="5"/>
  <c r="AB24" i="5"/>
  <c r="C91" i="6"/>
  <c r="O91" i="5"/>
  <c r="AC91" i="5"/>
  <c r="C44" i="12"/>
  <c r="AO44" i="12"/>
  <c r="M44" i="12"/>
  <c r="O44" i="12"/>
  <c r="C68" i="12"/>
  <c r="O68" i="12"/>
  <c r="M68" i="12"/>
  <c r="AO68" i="12"/>
  <c r="AO104" i="12"/>
  <c r="M104" i="12"/>
  <c r="C104" i="12"/>
  <c r="O104" i="12"/>
  <c r="AO123" i="12"/>
  <c r="M123" i="12"/>
  <c r="O123" i="12"/>
  <c r="C123" i="12"/>
  <c r="M100" i="12"/>
  <c r="AO100" i="12"/>
  <c r="C100" i="12"/>
  <c r="O100" i="12"/>
  <c r="C116" i="6"/>
  <c r="O116" i="5"/>
  <c r="AC116" i="5"/>
  <c r="M43" i="12"/>
  <c r="O43" i="12"/>
  <c r="AO43" i="12"/>
  <c r="C43" i="12"/>
  <c r="O108" i="5"/>
  <c r="C108" i="6"/>
  <c r="AC108" i="5"/>
  <c r="AO59" i="12"/>
  <c r="C59" i="12"/>
  <c r="O59" i="12"/>
  <c r="M59" i="12"/>
  <c r="AO101" i="12"/>
  <c r="O101" i="12"/>
  <c r="C101" i="12"/>
  <c r="M101" i="12"/>
  <c r="C78" i="6"/>
  <c r="O78" i="5"/>
  <c r="AC78" i="5"/>
  <c r="AB80" i="5"/>
  <c r="C98" i="12"/>
  <c r="AO98" i="12"/>
  <c r="O98" i="12"/>
  <c r="M98" i="12"/>
  <c r="C69" i="12"/>
  <c r="O69" i="12"/>
  <c r="M69" i="12"/>
  <c r="AO69" i="12"/>
  <c r="AB30" i="5"/>
  <c r="C58" i="12"/>
  <c r="O58" i="12"/>
  <c r="AO58" i="12"/>
  <c r="M58" i="12"/>
  <c r="AO115" i="12"/>
  <c r="O115" i="12"/>
  <c r="M115" i="12"/>
  <c r="C115" i="12"/>
  <c r="AO90" i="12"/>
  <c r="C90" i="12"/>
  <c r="M90" i="12"/>
  <c r="O90" i="12"/>
  <c r="AO82" i="12"/>
  <c r="C82" i="12"/>
  <c r="O82" i="12"/>
  <c r="M82" i="12"/>
  <c r="AN73" i="5"/>
  <c r="W73" i="5"/>
  <c r="AB66" i="5"/>
  <c r="AB57" i="5"/>
  <c r="Z55" i="5"/>
  <c r="L55" i="5"/>
  <c r="I55" i="12"/>
  <c r="AM55" i="5"/>
  <c r="S32" i="8"/>
  <c r="C121" i="6"/>
  <c r="O121" i="5"/>
  <c r="AC121" i="5"/>
  <c r="C61" i="6"/>
  <c r="O61" i="5"/>
  <c r="AC61" i="5"/>
  <c r="M106" i="12"/>
  <c r="AO106" i="12"/>
  <c r="O106" i="12"/>
  <c r="C106" i="12"/>
  <c r="E25" i="8"/>
  <c r="U25" i="8"/>
  <c r="AO23" i="12"/>
  <c r="O23" i="12"/>
  <c r="C23" i="12"/>
  <c r="M23" i="12"/>
  <c r="AB89" i="5"/>
  <c r="E19" i="8"/>
  <c r="U19" i="8"/>
  <c r="AB62" i="5"/>
  <c r="C94" i="6"/>
  <c r="O94" i="5"/>
  <c r="AC94" i="5"/>
  <c r="AB97" i="5"/>
  <c r="C36" i="6"/>
  <c r="O36" i="5"/>
  <c r="AC36" i="5"/>
  <c r="AB36" i="5"/>
  <c r="AB81" i="5"/>
  <c r="C105" i="6"/>
  <c r="O105" i="5"/>
  <c r="AC105" i="5"/>
  <c r="AB108" i="5"/>
  <c r="M26" i="12"/>
  <c r="AO26" i="12"/>
  <c r="O26" i="12"/>
  <c r="C26" i="12"/>
  <c r="O130" i="5"/>
  <c r="C130" i="6"/>
  <c r="AC130" i="5"/>
  <c r="I77" i="12"/>
  <c r="Z77" i="5"/>
  <c r="S44" i="8"/>
  <c r="L77" i="5"/>
  <c r="AM77" i="5"/>
  <c r="C124" i="6"/>
  <c r="O124" i="5"/>
  <c r="AC124" i="5"/>
  <c r="C98" i="6"/>
  <c r="O98" i="5"/>
  <c r="AC98" i="5"/>
  <c r="AB69" i="5"/>
  <c r="C117" i="6"/>
  <c r="O117" i="5"/>
  <c r="AC117" i="5"/>
  <c r="AB117" i="5"/>
  <c r="W28" i="8"/>
  <c r="C93" i="6"/>
  <c r="O93" i="5"/>
  <c r="AC93" i="5"/>
  <c r="C90" i="6"/>
  <c r="O90" i="5"/>
  <c r="AC90" i="5"/>
  <c r="AB33" i="5"/>
  <c r="V49" i="8"/>
  <c r="O119" i="12"/>
  <c r="C119" i="12"/>
  <c r="M119" i="12"/>
  <c r="AO119" i="12"/>
  <c r="O96" i="5"/>
  <c r="C96" i="6"/>
  <c r="AC96" i="5"/>
  <c r="AB92" i="5"/>
  <c r="AB72" i="5"/>
  <c r="AB87" i="5"/>
  <c r="AB129" i="5"/>
  <c r="W74" i="5"/>
  <c r="AN74" i="5"/>
  <c r="I22" i="12"/>
  <c r="AM22" i="5"/>
  <c r="L22" i="5"/>
  <c r="Z22" i="5"/>
  <c r="AM17" i="5"/>
  <c r="Z17" i="5"/>
  <c r="L17" i="5"/>
  <c r="S17" i="8"/>
  <c r="I17" i="12"/>
  <c r="O31" i="5"/>
  <c r="C31" i="6"/>
  <c r="AC31" i="5"/>
  <c r="AB91" i="5"/>
  <c r="C44" i="6"/>
  <c r="O44" i="5"/>
  <c r="AC44" i="5"/>
  <c r="C97" i="12"/>
  <c r="AO97" i="12"/>
  <c r="O97" i="12"/>
  <c r="M97" i="12"/>
  <c r="AB68" i="5"/>
  <c r="O46" i="5"/>
  <c r="C46" i="6"/>
  <c r="AC46" i="5"/>
  <c r="AO36" i="12"/>
  <c r="O36" i="12"/>
  <c r="C36" i="12"/>
  <c r="M36" i="12"/>
  <c r="O37" i="5"/>
  <c r="C37" i="6"/>
  <c r="AC37" i="5"/>
  <c r="AB123" i="5"/>
  <c r="C100" i="6"/>
  <c r="O100" i="5"/>
  <c r="AC100" i="5"/>
  <c r="AO105" i="12"/>
  <c r="O105" i="12"/>
  <c r="C105" i="12"/>
  <c r="M105" i="12"/>
  <c r="O110" i="5"/>
  <c r="C110" i="6"/>
  <c r="AC110" i="5"/>
  <c r="AB122" i="5"/>
  <c r="O30" i="12"/>
  <c r="M30" i="12"/>
  <c r="AO30" i="12"/>
  <c r="C30" i="12"/>
  <c r="C58" i="6"/>
  <c r="O58" i="5"/>
  <c r="AC58" i="5"/>
  <c r="AB115" i="5"/>
  <c r="AO85" i="12"/>
  <c r="M85" i="12"/>
  <c r="O85" i="12"/>
  <c r="C85" i="12"/>
  <c r="AB42" i="5"/>
  <c r="Y49" i="8"/>
  <c r="AB47" i="5"/>
  <c r="C109" i="6"/>
  <c r="O109" i="5"/>
  <c r="AC109" i="5"/>
  <c r="AB96" i="5"/>
  <c r="M107" i="12"/>
  <c r="C107" i="12"/>
  <c r="O107" i="12"/>
  <c r="AO107" i="12"/>
  <c r="C129" i="12"/>
  <c r="AO129" i="12"/>
  <c r="M129" i="12"/>
  <c r="O129" i="12"/>
  <c r="W127" i="5"/>
  <c r="AN127" i="5"/>
  <c r="AB88" i="5"/>
  <c r="V34" i="8"/>
  <c r="AB113" i="5"/>
  <c r="C121" i="12"/>
  <c r="AO121" i="12"/>
  <c r="O121" i="12"/>
  <c r="M121" i="12"/>
  <c r="O114" i="5"/>
  <c r="C114" i="6"/>
  <c r="AC114" i="5"/>
  <c r="AB120" i="5"/>
  <c r="O106" i="5"/>
  <c r="C106" i="6"/>
  <c r="AC106" i="5"/>
  <c r="AO76" i="12"/>
  <c r="C76" i="12"/>
  <c r="O76" i="12"/>
  <c r="M76" i="12"/>
  <c r="AB23" i="5"/>
  <c r="AM21" i="5"/>
  <c r="S23" i="8"/>
  <c r="W23" i="8" s="1"/>
  <c r="Z21" i="5"/>
  <c r="L21" i="5"/>
  <c r="I21" i="12"/>
  <c r="AO24" i="12"/>
  <c r="M24" i="12"/>
  <c r="C24" i="12"/>
  <c r="O24" i="12"/>
  <c r="C18" i="12"/>
  <c r="O18" i="12"/>
  <c r="M18" i="12"/>
  <c r="AO18" i="12"/>
  <c r="C62" i="6"/>
  <c r="O62" i="5"/>
  <c r="AC62" i="5"/>
  <c r="O68" i="5"/>
  <c r="C68" i="6"/>
  <c r="AC68" i="5"/>
  <c r="O46" i="12"/>
  <c r="M46" i="12"/>
  <c r="AO46" i="12"/>
  <c r="C46" i="12"/>
  <c r="O45" i="12"/>
  <c r="M45" i="12"/>
  <c r="C45" i="12"/>
  <c r="AO45" i="12"/>
  <c r="M108" i="12"/>
  <c r="AO108" i="12"/>
  <c r="C108" i="12"/>
  <c r="O108" i="12"/>
  <c r="C59" i="6"/>
  <c r="O59" i="5"/>
  <c r="AC59" i="5"/>
  <c r="AB130" i="5"/>
  <c r="O101" i="5"/>
  <c r="C101" i="6"/>
  <c r="AC101" i="5"/>
  <c r="C122" i="6"/>
  <c r="O122" i="5"/>
  <c r="AC122" i="5"/>
  <c r="O32" i="5"/>
  <c r="C32" i="6"/>
  <c r="AC32" i="5"/>
  <c r="C99" i="6"/>
  <c r="O99" i="5"/>
  <c r="AC99" i="5"/>
  <c r="U46" i="8"/>
  <c r="E46" i="8"/>
  <c r="AB78" i="5"/>
  <c r="S26" i="8"/>
  <c r="Z29" i="5"/>
  <c r="L29" i="5"/>
  <c r="AM29" i="5"/>
  <c r="I29" i="12"/>
  <c r="AB71" i="5"/>
  <c r="AB90" i="5"/>
  <c r="I41" i="12"/>
  <c r="Z41" i="5"/>
  <c r="AM41" i="5"/>
  <c r="L41" i="5"/>
  <c r="AB82" i="5"/>
  <c r="C84" i="12"/>
  <c r="O84" i="12"/>
  <c r="AO84" i="12"/>
  <c r="M84" i="12"/>
  <c r="C47" i="6"/>
  <c r="O47" i="5"/>
  <c r="AC47" i="5"/>
  <c r="AB103" i="5"/>
  <c r="AB75" i="5"/>
  <c r="AB109" i="5"/>
  <c r="C79" i="12"/>
  <c r="M79" i="12"/>
  <c r="O79" i="12"/>
  <c r="AO79" i="12"/>
  <c r="L128" i="5"/>
  <c r="S53" i="8"/>
  <c r="AM128" i="5"/>
  <c r="I128" i="12"/>
  <c r="Z128" i="5"/>
  <c r="V55" i="8"/>
  <c r="W126" i="5"/>
  <c r="AN126" i="5"/>
  <c r="E34" i="8"/>
  <c r="U34" i="8"/>
  <c r="U32" i="8" s="1"/>
  <c r="H20" i="12"/>
  <c r="X20" i="5"/>
  <c r="I56" i="12"/>
  <c r="AM56" i="5"/>
  <c r="Z56" i="5"/>
  <c r="L56" i="5"/>
  <c r="O118" i="5"/>
  <c r="C118" i="6"/>
  <c r="AC118" i="5"/>
  <c r="O28" i="5"/>
  <c r="C28" i="6"/>
  <c r="AC28" i="5"/>
  <c r="AB18" i="5"/>
  <c r="AB94" i="5"/>
  <c r="AO111" i="12"/>
  <c r="C111" i="12"/>
  <c r="O111" i="12"/>
  <c r="M111" i="12"/>
  <c r="Z35" i="5"/>
  <c r="AM35" i="5"/>
  <c r="I35" i="12"/>
  <c r="L35" i="5"/>
  <c r="O81" i="5"/>
  <c r="C81" i="6"/>
  <c r="AC81" i="5"/>
  <c r="AB104" i="5"/>
  <c r="M110" i="12"/>
  <c r="C110" i="12"/>
  <c r="AO110" i="12"/>
  <c r="O110" i="12"/>
  <c r="AO116" i="12"/>
  <c r="M116" i="12"/>
  <c r="C116" i="12"/>
  <c r="O116" i="12"/>
  <c r="C26" i="6"/>
  <c r="O26" i="5"/>
  <c r="AC26" i="5"/>
  <c r="AB59" i="5"/>
  <c r="AB101" i="5"/>
  <c r="M122" i="12"/>
  <c r="AO122" i="12"/>
  <c r="C122" i="12"/>
  <c r="O122" i="12"/>
  <c r="Y46" i="8"/>
  <c r="AB124" i="5"/>
  <c r="AB98" i="5"/>
  <c r="O30" i="5"/>
  <c r="C30" i="6"/>
  <c r="AC30" i="5"/>
  <c r="O71" i="5"/>
  <c r="C71" i="6"/>
  <c r="AC71" i="5"/>
  <c r="AB85" i="5"/>
  <c r="O85" i="5"/>
  <c r="C85" i="6"/>
  <c r="AC85" i="5"/>
  <c r="C42" i="6"/>
  <c r="O42" i="5"/>
  <c r="AC42" i="5"/>
  <c r="E49" i="8"/>
  <c r="U49" i="8"/>
  <c r="C84" i="6"/>
  <c r="O84" i="5"/>
  <c r="AC84" i="5"/>
  <c r="AB119" i="5"/>
  <c r="AO103" i="12"/>
  <c r="O103" i="12"/>
  <c r="M103" i="12"/>
  <c r="C103" i="12"/>
  <c r="M109" i="12"/>
  <c r="C109" i="12"/>
  <c r="O109" i="12"/>
  <c r="AO109" i="12"/>
  <c r="AB79" i="5"/>
  <c r="AO92" i="12"/>
  <c r="M92" i="12"/>
  <c r="C92" i="12"/>
  <c r="O92" i="12"/>
  <c r="C95" i="12"/>
  <c r="M95" i="12"/>
  <c r="O95" i="12"/>
  <c r="AO95" i="12"/>
  <c r="AB107" i="5"/>
  <c r="M72" i="12"/>
  <c r="AO72" i="12"/>
  <c r="C72" i="12"/>
  <c r="O72" i="12"/>
  <c r="C87" i="12"/>
  <c r="O87" i="12"/>
  <c r="AO87" i="12"/>
  <c r="M87" i="12"/>
  <c r="Y55" i="8"/>
  <c r="AN125" i="5"/>
  <c r="W125" i="5"/>
  <c r="C113" i="6"/>
  <c r="O113" i="5"/>
  <c r="AC113" i="5"/>
  <c r="AB61" i="5"/>
  <c r="U40" i="8"/>
  <c r="U38" i="8" s="1"/>
  <c r="E40" i="8"/>
  <c r="E38" i="8" s="1"/>
  <c r="AO114" i="12"/>
  <c r="C114" i="12"/>
  <c r="O114" i="12"/>
  <c r="M114" i="12"/>
  <c r="M28" i="12"/>
  <c r="C28" i="12"/>
  <c r="AO28" i="12"/>
  <c r="O28" i="12"/>
  <c r="C18" i="6"/>
  <c r="O18" i="5"/>
  <c r="AC18" i="5"/>
  <c r="AB44" i="5"/>
  <c r="C97" i="6"/>
  <c r="O97" i="5"/>
  <c r="AC97" i="5"/>
  <c r="O67" i="5"/>
  <c r="C67" i="6"/>
  <c r="AC67" i="5"/>
  <c r="AO81" i="12"/>
  <c r="M81" i="12"/>
  <c r="O81" i="12"/>
  <c r="C81" i="12"/>
  <c r="C37" i="12"/>
  <c r="M37" i="12"/>
  <c r="O37" i="12"/>
  <c r="AO37" i="12"/>
  <c r="AB37" i="5"/>
  <c r="C123" i="6"/>
  <c r="O123" i="5"/>
  <c r="AC123" i="5"/>
  <c r="AB116" i="5"/>
  <c r="C43" i="6"/>
  <c r="O43" i="5"/>
  <c r="AC43" i="5"/>
  <c r="I25" i="12"/>
  <c r="L25" i="5"/>
  <c r="Z25" i="5"/>
  <c r="AM25" i="5"/>
  <c r="O32" i="12"/>
  <c r="M32" i="12"/>
  <c r="C32" i="12"/>
  <c r="AO32" i="12"/>
  <c r="O27" i="5"/>
  <c r="C27" i="6"/>
  <c r="AC27" i="5"/>
  <c r="X46" i="8"/>
  <c r="X44" i="8" s="1"/>
  <c r="O80" i="5"/>
  <c r="C80" i="6"/>
  <c r="AC80" i="5"/>
  <c r="V28" i="8"/>
  <c r="C71" i="12"/>
  <c r="O71" i="12"/>
  <c r="AO71" i="12"/>
  <c r="M71" i="12"/>
  <c r="AB58" i="5"/>
  <c r="C115" i="6"/>
  <c r="O115" i="5"/>
  <c r="AC115" i="5"/>
  <c r="O33" i="5"/>
  <c r="C33" i="6"/>
  <c r="AC33" i="5"/>
  <c r="O82" i="5"/>
  <c r="C82" i="6"/>
  <c r="AC82" i="5"/>
  <c r="I83" i="12"/>
  <c r="AM83" i="5"/>
  <c r="S47" i="8"/>
  <c r="Z83" i="5"/>
  <c r="L83" i="5"/>
  <c r="C75" i="6"/>
  <c r="AC75" i="5"/>
  <c r="AB95" i="5"/>
  <c r="O107" i="5"/>
  <c r="C107" i="6"/>
  <c r="AC107" i="5"/>
  <c r="O129" i="5"/>
  <c r="C129" i="6"/>
  <c r="AC129" i="5"/>
  <c r="W54" i="5"/>
  <c r="AN54" i="5"/>
  <c r="Y40" i="8"/>
  <c r="Y38" i="8" s="1"/>
  <c r="C66" i="6"/>
  <c r="O66" i="5"/>
  <c r="AC66" i="5"/>
  <c r="C57" i="12"/>
  <c r="O57" i="12"/>
  <c r="AO57" i="12"/>
  <c r="M57" i="12"/>
  <c r="M113" i="12"/>
  <c r="O113" i="12"/>
  <c r="C113" i="12"/>
  <c r="AO113" i="12"/>
  <c r="C118" i="12"/>
  <c r="AO118" i="12"/>
  <c r="O118" i="12"/>
  <c r="M118" i="12"/>
  <c r="O112" i="5"/>
  <c r="C112" i="6"/>
  <c r="AC112" i="5"/>
  <c r="M88" i="12"/>
  <c r="AO88" i="12"/>
  <c r="O88" i="12"/>
  <c r="C88" i="12"/>
  <c r="C120" i="12"/>
  <c r="M120" i="12"/>
  <c r="AO120" i="12"/>
  <c r="O120" i="12"/>
  <c r="AB102" i="5"/>
  <c r="V25" i="8"/>
  <c r="O89" i="12"/>
  <c r="M89" i="12"/>
  <c r="C89" i="12"/>
  <c r="AO89" i="12"/>
  <c r="C24" i="6"/>
  <c r="O24" i="5"/>
  <c r="AC24" i="5"/>
  <c r="AO62" i="12"/>
  <c r="M62" i="12"/>
  <c r="O62" i="12"/>
  <c r="C62" i="12"/>
  <c r="M31" i="12"/>
  <c r="O31" i="12"/>
  <c r="C31" i="12"/>
  <c r="AO31" i="12"/>
  <c r="AB31" i="5"/>
  <c r="C91" i="12"/>
  <c r="AO91" i="12"/>
  <c r="M91" i="12"/>
  <c r="O91" i="12"/>
  <c r="AB46" i="5"/>
  <c r="O67" i="12"/>
  <c r="C67" i="12"/>
  <c r="M67" i="12"/>
  <c r="AO67" i="12"/>
  <c r="AB111" i="5"/>
  <c r="C104" i="6"/>
  <c r="O104" i="5"/>
  <c r="AC104" i="5"/>
  <c r="AB45" i="5"/>
  <c r="AB43" i="5"/>
  <c r="M130" i="12"/>
  <c r="C130" i="12"/>
  <c r="AO130" i="12"/>
  <c r="O130" i="12"/>
  <c r="AB32" i="5"/>
  <c r="AB27" i="5"/>
  <c r="O99" i="12"/>
  <c r="C99" i="12"/>
  <c r="M99" i="12"/>
  <c r="AO99" i="12"/>
  <c r="AO80" i="12"/>
  <c r="C80" i="12"/>
  <c r="M80" i="12"/>
  <c r="O80" i="12"/>
  <c r="C124" i="12"/>
  <c r="O124" i="12"/>
  <c r="AO124" i="12"/>
  <c r="M124" i="12"/>
  <c r="C69" i="6"/>
  <c r="O69" i="5"/>
  <c r="AC69" i="5"/>
  <c r="E28" i="8"/>
  <c r="U28" i="8"/>
  <c r="AO93" i="12"/>
  <c r="O93" i="12"/>
  <c r="M93" i="12"/>
  <c r="C93" i="12"/>
  <c r="M33" i="12"/>
  <c r="AO33" i="12"/>
  <c r="C33" i="12"/>
  <c r="O33" i="12"/>
  <c r="AB84" i="5"/>
  <c r="C47" i="12"/>
  <c r="AO47" i="12"/>
  <c r="O47" i="12"/>
  <c r="M47" i="12"/>
  <c r="C119" i="6"/>
  <c r="O119" i="5"/>
  <c r="AC119" i="5"/>
  <c r="O103" i="5"/>
  <c r="C103" i="6"/>
  <c r="AC103" i="5"/>
  <c r="O92" i="5"/>
  <c r="C92" i="6"/>
  <c r="AC92" i="5"/>
  <c r="C72" i="6"/>
  <c r="O72" i="5"/>
  <c r="AC72" i="5"/>
  <c r="W64" i="5"/>
  <c r="AN64" i="5"/>
  <c r="AN52" i="5"/>
  <c r="W52" i="5"/>
  <c r="W32" i="8" l="1"/>
  <c r="H40" i="12"/>
  <c r="X40" i="5"/>
  <c r="X38" i="8"/>
  <c r="O45" i="5"/>
  <c r="D45" i="12" s="1"/>
  <c r="AB60" i="5"/>
  <c r="E44" i="8"/>
  <c r="N33" i="12"/>
  <c r="U26" i="8"/>
  <c r="E26" i="8"/>
  <c r="V26" i="8"/>
  <c r="N99" i="12"/>
  <c r="N67" i="12"/>
  <c r="E32" i="8"/>
  <c r="V32" i="8"/>
  <c r="N112" i="12"/>
  <c r="W38" i="8"/>
  <c r="Y93" i="12"/>
  <c r="X93" i="12" s="1"/>
  <c r="Y79" i="12"/>
  <c r="X79" i="12" s="1"/>
  <c r="V38" i="8"/>
  <c r="N118" i="12"/>
  <c r="N32" i="12"/>
  <c r="Y44" i="8"/>
  <c r="M83" i="12"/>
  <c r="Y101" i="12"/>
  <c r="W101" i="12" s="1"/>
  <c r="Y100" i="12"/>
  <c r="W100" i="12" s="1"/>
  <c r="Y44" i="12"/>
  <c r="X44" i="12" s="1"/>
  <c r="Y45" i="12"/>
  <c r="X45" i="12" s="1"/>
  <c r="Y104" i="12"/>
  <c r="X104" i="12" s="1"/>
  <c r="N102" i="12"/>
  <c r="Y53" i="8"/>
  <c r="Y75" i="12"/>
  <c r="W75" i="12" s="1"/>
  <c r="N97" i="12"/>
  <c r="N47" i="12"/>
  <c r="Y24" i="12"/>
  <c r="X24" i="12" s="1"/>
  <c r="N91" i="12"/>
  <c r="Y89" i="12"/>
  <c r="W89" i="12" s="1"/>
  <c r="N37" i="12"/>
  <c r="N92" i="12"/>
  <c r="N110" i="12"/>
  <c r="Y72" i="12"/>
  <c r="X72" i="12" s="1"/>
  <c r="Y119" i="12"/>
  <c r="X119" i="12" s="1"/>
  <c r="N59" i="12"/>
  <c r="E47" i="8"/>
  <c r="V53" i="8"/>
  <c r="N95" i="12"/>
  <c r="E17" i="8"/>
  <c r="N120" i="12"/>
  <c r="N114" i="12"/>
  <c r="N109" i="12"/>
  <c r="Y97" i="12"/>
  <c r="X97" i="12" s="1"/>
  <c r="V47" i="8"/>
  <c r="N58" i="12"/>
  <c r="N117" i="12"/>
  <c r="Y47" i="12"/>
  <c r="W47" i="12" s="1"/>
  <c r="N80" i="12"/>
  <c r="N31" i="12"/>
  <c r="N113" i="12"/>
  <c r="Y111" i="12"/>
  <c r="X111" i="12" s="1"/>
  <c r="N107" i="12"/>
  <c r="Y90" i="12"/>
  <c r="W90" i="12" s="1"/>
  <c r="Y23" i="8"/>
  <c r="N96" i="12"/>
  <c r="Y94" i="12"/>
  <c r="X94" i="12" s="1"/>
  <c r="U47" i="8"/>
  <c r="N79" i="12"/>
  <c r="N89" i="12"/>
  <c r="N88" i="12"/>
  <c r="Y118" i="12"/>
  <c r="W118" i="12" s="1"/>
  <c r="Y92" i="12"/>
  <c r="W92" i="12" s="1"/>
  <c r="N24" i="12"/>
  <c r="U23" i="8"/>
  <c r="N69" i="12"/>
  <c r="Y68" i="12"/>
  <c r="X68" i="12" s="1"/>
  <c r="Y62" i="12"/>
  <c r="X62" i="12" s="1"/>
  <c r="V23" i="8"/>
  <c r="Y95" i="12"/>
  <c r="W95" i="12" s="1"/>
  <c r="N116" i="12"/>
  <c r="N45" i="12"/>
  <c r="Y85" i="12"/>
  <c r="W85" i="12" s="1"/>
  <c r="N90" i="12"/>
  <c r="N123" i="12"/>
  <c r="X64" i="5"/>
  <c r="H64" i="12"/>
  <c r="D66" i="12"/>
  <c r="E66" i="6"/>
  <c r="E129" i="6"/>
  <c r="D129" i="12"/>
  <c r="D82" i="12"/>
  <c r="E82" i="6"/>
  <c r="D80" i="12"/>
  <c r="E80" i="6"/>
  <c r="D18" i="12"/>
  <c r="E18" i="6"/>
  <c r="Y87" i="12"/>
  <c r="AB17" i="5"/>
  <c r="D17" i="8" s="1"/>
  <c r="W79" i="12"/>
  <c r="AO17" i="12"/>
  <c r="Y18" i="12"/>
  <c r="H127" i="12"/>
  <c r="X127" i="5"/>
  <c r="M29" i="12"/>
  <c r="Y36" i="12"/>
  <c r="AO35" i="12"/>
  <c r="O77" i="5"/>
  <c r="C77" i="6"/>
  <c r="AC77" i="5"/>
  <c r="O25" i="12"/>
  <c r="N26" i="12"/>
  <c r="D78" i="12"/>
  <c r="E78" i="6"/>
  <c r="D120" i="12"/>
  <c r="E120" i="6"/>
  <c r="AO60" i="12"/>
  <c r="Y61" i="12"/>
  <c r="M41" i="12"/>
  <c r="M77" i="12"/>
  <c r="D111" i="12"/>
  <c r="E111" i="6"/>
  <c r="Y120" i="12"/>
  <c r="O83" i="5"/>
  <c r="C83" i="6"/>
  <c r="AC83" i="5"/>
  <c r="E67" i="6"/>
  <c r="D67" i="12"/>
  <c r="D113" i="12"/>
  <c r="E113" i="6"/>
  <c r="N87" i="12"/>
  <c r="N103" i="12"/>
  <c r="X126" i="5"/>
  <c r="H126" i="12"/>
  <c r="AB77" i="5"/>
  <c r="D44" i="8" s="1"/>
  <c r="E32" i="6"/>
  <c r="D32" i="12"/>
  <c r="N46" i="12"/>
  <c r="M17" i="12"/>
  <c r="L21" i="12"/>
  <c r="C21" i="12"/>
  <c r="J21" i="12"/>
  <c r="N76" i="12"/>
  <c r="N129" i="12"/>
  <c r="O128" i="12"/>
  <c r="N30" i="12"/>
  <c r="O29" i="12"/>
  <c r="D31" i="12"/>
  <c r="E31" i="6"/>
  <c r="AB128" i="5"/>
  <c r="D53" i="8" s="1"/>
  <c r="W26" i="8"/>
  <c r="AO44" i="8"/>
  <c r="Z44" i="8"/>
  <c r="W44" i="8"/>
  <c r="AG44" i="8"/>
  <c r="AR44" i="8"/>
  <c r="AB44" i="8"/>
  <c r="AF44" i="8"/>
  <c r="AK44" i="8"/>
  <c r="AL44" i="8"/>
  <c r="AD44" i="8"/>
  <c r="AH44" i="8"/>
  <c r="AI44" i="8"/>
  <c r="AQ44" i="8"/>
  <c r="AE44" i="8"/>
  <c r="AA44" i="8"/>
  <c r="G44" i="8"/>
  <c r="G45" i="8" s="1"/>
  <c r="AN44" i="8"/>
  <c r="AJ44" i="8"/>
  <c r="AC44" i="8"/>
  <c r="H45" i="8"/>
  <c r="AP44" i="8"/>
  <c r="H44" i="8"/>
  <c r="J45" i="8" s="1"/>
  <c r="AM44" i="8"/>
  <c r="Y26" i="12"/>
  <c r="AO25" i="12"/>
  <c r="E23" i="8"/>
  <c r="Y59" i="12"/>
  <c r="M60" i="12"/>
  <c r="H50" i="12"/>
  <c r="X50" i="5"/>
  <c r="E79" i="6"/>
  <c r="D79" i="12"/>
  <c r="Y42" i="12"/>
  <c r="AO41" i="12"/>
  <c r="O77" i="12"/>
  <c r="N78" i="12"/>
  <c r="D89" i="12"/>
  <c r="E89" i="6"/>
  <c r="D88" i="12"/>
  <c r="E88" i="6"/>
  <c r="L65" i="12"/>
  <c r="J65" i="12"/>
  <c r="C65" i="12"/>
  <c r="Y91" i="12"/>
  <c r="E112" i="6"/>
  <c r="D112" i="12"/>
  <c r="N28" i="12"/>
  <c r="Y114" i="12"/>
  <c r="Y103" i="12"/>
  <c r="N111" i="12"/>
  <c r="L56" i="12"/>
  <c r="J56" i="12"/>
  <c r="C56" i="12"/>
  <c r="N18" i="12"/>
  <c r="O17" i="12"/>
  <c r="O21" i="5"/>
  <c r="C21" i="6"/>
  <c r="AC21" i="5"/>
  <c r="M128" i="12"/>
  <c r="Y47" i="8"/>
  <c r="V44" i="8"/>
  <c r="N105" i="12"/>
  <c r="L17" i="12"/>
  <c r="C17" i="12"/>
  <c r="J17" i="12"/>
  <c r="C22" i="6"/>
  <c r="O22" i="5"/>
  <c r="AC22" i="5"/>
  <c r="D98" i="12"/>
  <c r="E98" i="6"/>
  <c r="M25" i="12"/>
  <c r="D94" i="12"/>
  <c r="E94" i="6"/>
  <c r="E121" i="6"/>
  <c r="D121" i="12"/>
  <c r="AB55" i="5"/>
  <c r="D32" i="8" s="1"/>
  <c r="AB56" i="5"/>
  <c r="N82" i="12"/>
  <c r="N98" i="12"/>
  <c r="D116" i="12"/>
  <c r="E116" i="6"/>
  <c r="D95" i="12"/>
  <c r="E95" i="6"/>
  <c r="C65" i="6"/>
  <c r="O65" i="5"/>
  <c r="AC65" i="5"/>
  <c r="D103" i="12"/>
  <c r="E103" i="6"/>
  <c r="Y33" i="12"/>
  <c r="Y67" i="12"/>
  <c r="Y71" i="12"/>
  <c r="D72" i="12"/>
  <c r="E72" i="6"/>
  <c r="AB83" i="5"/>
  <c r="D47" i="8" s="1"/>
  <c r="D69" i="12"/>
  <c r="E69" i="6"/>
  <c r="N62" i="12"/>
  <c r="M56" i="12"/>
  <c r="M55" i="12"/>
  <c r="D107" i="12"/>
  <c r="E107" i="6"/>
  <c r="AQ47" i="8"/>
  <c r="AA47" i="8"/>
  <c r="AR47" i="8"/>
  <c r="X47" i="8"/>
  <c r="Z47" i="8"/>
  <c r="AI47" i="8"/>
  <c r="AJ47" i="8"/>
  <c r="G47" i="8"/>
  <c r="AO47" i="8"/>
  <c r="AH47" i="8"/>
  <c r="AK47" i="8"/>
  <c r="H47" i="8"/>
  <c r="J48" i="8" s="1"/>
  <c r="AE47" i="8"/>
  <c r="AC47" i="8"/>
  <c r="AF47" i="8"/>
  <c r="AP47" i="8"/>
  <c r="H48" i="8"/>
  <c r="AM47" i="8"/>
  <c r="W47" i="8"/>
  <c r="AB47" i="8"/>
  <c r="AD47" i="8"/>
  <c r="AL47" i="8"/>
  <c r="AG47" i="8"/>
  <c r="AN47" i="8"/>
  <c r="E33" i="6"/>
  <c r="D33" i="12"/>
  <c r="N71" i="12"/>
  <c r="O25" i="5"/>
  <c r="C25" i="6"/>
  <c r="AC25" i="5"/>
  <c r="D123" i="12"/>
  <c r="E123" i="6"/>
  <c r="E97" i="6"/>
  <c r="D97" i="12"/>
  <c r="Y28" i="12"/>
  <c r="N72" i="12"/>
  <c r="Y109" i="12"/>
  <c r="E42" i="6"/>
  <c r="D42" i="12"/>
  <c r="Y116" i="12"/>
  <c r="D28" i="12"/>
  <c r="E28" i="6"/>
  <c r="AL20" i="6"/>
  <c r="AM20" i="6"/>
  <c r="AM20" i="5"/>
  <c r="X19" i="5"/>
  <c r="I20" i="12"/>
  <c r="L20" i="5"/>
  <c r="Z20" i="5"/>
  <c r="AK20" i="6"/>
  <c r="I20" i="5"/>
  <c r="AN20" i="6"/>
  <c r="AJ20" i="6"/>
  <c r="E47" i="6"/>
  <c r="D47" i="12"/>
  <c r="C41" i="6"/>
  <c r="O41" i="5"/>
  <c r="AC41" i="5"/>
  <c r="J29" i="12"/>
  <c r="L29" i="12"/>
  <c r="C29" i="12"/>
  <c r="U44" i="8"/>
  <c r="E122" i="6"/>
  <c r="D122" i="12"/>
  <c r="E59" i="6"/>
  <c r="D59" i="12"/>
  <c r="Y76" i="12"/>
  <c r="E114" i="6"/>
  <c r="D114" i="12"/>
  <c r="Y129" i="12"/>
  <c r="AO128" i="12"/>
  <c r="Y105" i="12"/>
  <c r="E37" i="6"/>
  <c r="D37" i="12"/>
  <c r="D46" i="12"/>
  <c r="E46" i="6"/>
  <c r="E44" i="6"/>
  <c r="D44" i="12"/>
  <c r="W17" i="8"/>
  <c r="AF17" i="8"/>
  <c r="AQ17" i="8"/>
  <c r="V17" i="8"/>
  <c r="AJ17" i="8"/>
  <c r="Z17" i="8"/>
  <c r="AN17" i="8"/>
  <c r="AH17" i="8"/>
  <c r="Y17" i="8"/>
  <c r="AK17" i="8"/>
  <c r="AG17" i="8"/>
  <c r="H18" i="8"/>
  <c r="AR17" i="8"/>
  <c r="AD17" i="8"/>
  <c r="AC17" i="8"/>
  <c r="AE17" i="8"/>
  <c r="G17" i="8"/>
  <c r="G18" i="8" s="1"/>
  <c r="H17" i="8"/>
  <c r="J18" i="8" s="1"/>
  <c r="AI17" i="8"/>
  <c r="AL17" i="8"/>
  <c r="AO17" i="8"/>
  <c r="X17" i="8"/>
  <c r="AA17" i="8"/>
  <c r="AB17" i="8"/>
  <c r="AP17" i="8"/>
  <c r="AM17" i="8"/>
  <c r="E96" i="6"/>
  <c r="D96" i="12"/>
  <c r="J77" i="12"/>
  <c r="L77" i="12"/>
  <c r="C77" i="12"/>
  <c r="AB35" i="5"/>
  <c r="N106" i="12"/>
  <c r="N115" i="12"/>
  <c r="Y98" i="12"/>
  <c r="Y123" i="12"/>
  <c r="D91" i="12"/>
  <c r="E91" i="6"/>
  <c r="N61" i="12"/>
  <c r="O60" i="12"/>
  <c r="E53" i="8"/>
  <c r="AO77" i="12"/>
  <c r="Y78" i="12"/>
  <c r="AB25" i="5"/>
  <c r="AL38" i="8"/>
  <c r="AG38" i="8"/>
  <c r="AO38" i="8"/>
  <c r="H39" i="8"/>
  <c r="AR38" i="8"/>
  <c r="AI38" i="8"/>
  <c r="AH38" i="8"/>
  <c r="AQ38" i="8"/>
  <c r="AD38" i="8"/>
  <c r="Z38" i="8"/>
  <c r="AM38" i="8"/>
  <c r="AJ38" i="8"/>
  <c r="AA38" i="8"/>
  <c r="G38" i="8"/>
  <c r="G39" i="8" s="1"/>
  <c r="H38" i="8"/>
  <c r="J39" i="8" s="1"/>
  <c r="AE38" i="8"/>
  <c r="AB38" i="8"/>
  <c r="AP38" i="8"/>
  <c r="AK38" i="8"/>
  <c r="AN38" i="8"/>
  <c r="AC38" i="8"/>
  <c r="AF38" i="8"/>
  <c r="X52" i="5"/>
  <c r="H52" i="12"/>
  <c r="D119" i="12"/>
  <c r="E119" i="6"/>
  <c r="Y80" i="12"/>
  <c r="AO56" i="12"/>
  <c r="AO55" i="12"/>
  <c r="Y57" i="12"/>
  <c r="D27" i="12"/>
  <c r="E27" i="6"/>
  <c r="J25" i="12"/>
  <c r="C25" i="12"/>
  <c r="L25" i="12"/>
  <c r="N81" i="12"/>
  <c r="H125" i="12"/>
  <c r="X125" i="5"/>
  <c r="D71" i="12"/>
  <c r="E71" i="6"/>
  <c r="E81" i="6"/>
  <c r="D81" i="12"/>
  <c r="C128" i="12"/>
  <c r="J128" i="12"/>
  <c r="L128" i="12"/>
  <c r="D68" i="12"/>
  <c r="E68" i="6"/>
  <c r="H24" i="8"/>
  <c r="AD23" i="8"/>
  <c r="AL23" i="8"/>
  <c r="AE23" i="8"/>
  <c r="AJ23" i="8"/>
  <c r="AG23" i="8"/>
  <c r="AQ23" i="8"/>
  <c r="AM23" i="8"/>
  <c r="H23" i="8"/>
  <c r="J24" i="8" s="1"/>
  <c r="AF23" i="8"/>
  <c r="AK23" i="8"/>
  <c r="AC23" i="8"/>
  <c r="AO23" i="8"/>
  <c r="AP23" i="8"/>
  <c r="AA23" i="8"/>
  <c r="AR23" i="8"/>
  <c r="Z23" i="8"/>
  <c r="AB23" i="8"/>
  <c r="G23" i="8"/>
  <c r="G24" i="8" s="1"/>
  <c r="AN23" i="8"/>
  <c r="AI23" i="8"/>
  <c r="AH23" i="8"/>
  <c r="AB41" i="5"/>
  <c r="E58" i="6"/>
  <c r="D58" i="12"/>
  <c r="O17" i="5"/>
  <c r="C17" i="6"/>
  <c r="AC17" i="5"/>
  <c r="C22" i="12"/>
  <c r="J22" i="12"/>
  <c r="L22" i="12"/>
  <c r="E90" i="6"/>
  <c r="D90" i="12"/>
  <c r="M22" i="12"/>
  <c r="M21" i="12"/>
  <c r="Y106" i="12"/>
  <c r="AK32" i="8"/>
  <c r="AJ32" i="8"/>
  <c r="G32" i="8"/>
  <c r="AP32" i="8"/>
  <c r="AN32" i="8"/>
  <c r="AH32" i="8"/>
  <c r="H32" i="8"/>
  <c r="J33" i="8" s="1"/>
  <c r="AI32" i="8"/>
  <c r="AQ32" i="8"/>
  <c r="AL32" i="8"/>
  <c r="AD32" i="8"/>
  <c r="AB32" i="8"/>
  <c r="AA32" i="8"/>
  <c r="AM32" i="8"/>
  <c r="H33" i="8"/>
  <c r="Z32" i="8"/>
  <c r="AO32" i="8"/>
  <c r="Y32" i="8"/>
  <c r="AE32" i="8"/>
  <c r="AR32" i="8"/>
  <c r="AG32" i="8"/>
  <c r="AC32" i="8"/>
  <c r="AF32" i="8"/>
  <c r="AB65" i="5"/>
  <c r="D38" i="8" s="1"/>
  <c r="Y82" i="12"/>
  <c r="Y115" i="12"/>
  <c r="AB29" i="5"/>
  <c r="D26" i="8" s="1"/>
  <c r="N101" i="12"/>
  <c r="E108" i="6"/>
  <c r="D108" i="12"/>
  <c r="N100" i="12"/>
  <c r="N104" i="12"/>
  <c r="N68" i="12"/>
  <c r="Y102" i="12"/>
  <c r="U53" i="8"/>
  <c r="N75" i="12"/>
  <c r="Y117" i="12"/>
  <c r="E57" i="6"/>
  <c r="D57" i="12"/>
  <c r="AO65" i="12"/>
  <c r="Y66" i="12"/>
  <c r="Y99" i="12"/>
  <c r="N130" i="12"/>
  <c r="O56" i="12"/>
  <c r="N57" i="12"/>
  <c r="O55" i="12"/>
  <c r="X54" i="5"/>
  <c r="H54" i="12"/>
  <c r="J83" i="12"/>
  <c r="L83" i="12"/>
  <c r="C83" i="12"/>
  <c r="D115" i="12"/>
  <c r="E115" i="6"/>
  <c r="Y32" i="12"/>
  <c r="N122" i="12"/>
  <c r="Y110" i="12"/>
  <c r="C35" i="6"/>
  <c r="O35" i="5"/>
  <c r="AC35" i="5"/>
  <c r="O29" i="5"/>
  <c r="C29" i="6"/>
  <c r="AC29" i="5"/>
  <c r="D99" i="12"/>
  <c r="E99" i="6"/>
  <c r="N108" i="12"/>
  <c r="N121" i="12"/>
  <c r="D100" i="12"/>
  <c r="E100" i="6"/>
  <c r="M35" i="12"/>
  <c r="E117" i="6"/>
  <c r="D117" i="12"/>
  <c r="D124" i="12"/>
  <c r="E124" i="6"/>
  <c r="D36" i="12"/>
  <c r="E36" i="6"/>
  <c r="Y69" i="12"/>
  <c r="C60" i="12"/>
  <c r="L60" i="12"/>
  <c r="J60" i="12"/>
  <c r="M65" i="12"/>
  <c r="N93" i="12"/>
  <c r="Y124" i="12"/>
  <c r="Y130" i="12"/>
  <c r="D104" i="12"/>
  <c r="E104" i="6"/>
  <c r="Y31" i="12"/>
  <c r="Y88" i="12"/>
  <c r="E43" i="6"/>
  <c r="D43" i="12"/>
  <c r="Y81" i="12"/>
  <c r="X23" i="8"/>
  <c r="D84" i="12"/>
  <c r="E84" i="6"/>
  <c r="E26" i="6"/>
  <c r="D26" i="12"/>
  <c r="L35" i="12"/>
  <c r="J35" i="12"/>
  <c r="C35" i="12"/>
  <c r="D118" i="12"/>
  <c r="E118" i="6"/>
  <c r="X53" i="8"/>
  <c r="AK53" i="8"/>
  <c r="AA53" i="8"/>
  <c r="AC53" i="8"/>
  <c r="W53" i="8"/>
  <c r="AO53" i="8"/>
  <c r="AI53" i="8"/>
  <c r="AB53" i="8"/>
  <c r="AQ53" i="8"/>
  <c r="AG53" i="8"/>
  <c r="G53" i="8"/>
  <c r="G54" i="8" s="1"/>
  <c r="Z53" i="8"/>
  <c r="AE53" i="8"/>
  <c r="AH53" i="8"/>
  <c r="H54" i="8"/>
  <c r="AM53" i="8"/>
  <c r="AP53" i="8"/>
  <c r="H53" i="8"/>
  <c r="J54" i="8" s="1"/>
  <c r="AJ53" i="8"/>
  <c r="AL53" i="8"/>
  <c r="AN53" i="8"/>
  <c r="AD53" i="8"/>
  <c r="AR53" i="8"/>
  <c r="AF53" i="8"/>
  <c r="Y84" i="12"/>
  <c r="AO83" i="12"/>
  <c r="L41" i="12"/>
  <c r="J41" i="12"/>
  <c r="C41" i="12"/>
  <c r="D62" i="12"/>
  <c r="E62" i="6"/>
  <c r="D106" i="12"/>
  <c r="E106" i="6"/>
  <c r="Y121" i="12"/>
  <c r="E109" i="6"/>
  <c r="D109" i="12"/>
  <c r="N85" i="12"/>
  <c r="D130" i="12"/>
  <c r="E130" i="6"/>
  <c r="D105" i="12"/>
  <c r="E105" i="6"/>
  <c r="U17" i="8"/>
  <c r="N23" i="12"/>
  <c r="O21" i="12"/>
  <c r="O22" i="12"/>
  <c r="L55" i="12"/>
  <c r="C55" i="12"/>
  <c r="J55" i="12"/>
  <c r="H73" i="12"/>
  <c r="X73" i="5"/>
  <c r="Y58" i="12"/>
  <c r="Y43" i="12"/>
  <c r="X100" i="12"/>
  <c r="N44" i="12"/>
  <c r="Y112" i="12"/>
  <c r="X32" i="8"/>
  <c r="E87" i="6"/>
  <c r="D87" i="12"/>
  <c r="Y96" i="12"/>
  <c r="Y27" i="12"/>
  <c r="E23" i="6"/>
  <c r="D23" i="12"/>
  <c r="E102" i="6"/>
  <c r="D102" i="12"/>
  <c r="E92" i="6"/>
  <c r="D92" i="12"/>
  <c r="N124" i="12"/>
  <c r="E24" i="6"/>
  <c r="D24" i="12"/>
  <c r="Y113" i="12"/>
  <c r="Y37" i="12"/>
  <c r="D85" i="12"/>
  <c r="E85" i="6"/>
  <c r="E30" i="6"/>
  <c r="D30" i="12"/>
  <c r="Y122" i="12"/>
  <c r="O56" i="5"/>
  <c r="C56" i="6"/>
  <c r="AC56" i="5"/>
  <c r="C128" i="6"/>
  <c r="O128" i="5"/>
  <c r="AC128" i="5"/>
  <c r="O83" i="12"/>
  <c r="N84" i="12"/>
  <c r="H26" i="8"/>
  <c r="J27" i="8" s="1"/>
  <c r="Y26" i="8"/>
  <c r="AD26" i="8"/>
  <c r="AP26" i="8"/>
  <c r="AH26" i="8"/>
  <c r="AO26" i="8"/>
  <c r="AB26" i="8"/>
  <c r="G26" i="8"/>
  <c r="G27" i="8" s="1"/>
  <c r="Z26" i="8"/>
  <c r="AI26" i="8"/>
  <c r="AL26" i="8"/>
  <c r="AM26" i="8"/>
  <c r="AA26" i="8"/>
  <c r="H27" i="8"/>
  <c r="AK26" i="8"/>
  <c r="AE26" i="8"/>
  <c r="AF26" i="8"/>
  <c r="AR26" i="8"/>
  <c r="AN26" i="8"/>
  <c r="AQ26" i="8"/>
  <c r="X26" i="8"/>
  <c r="AG26" i="8"/>
  <c r="AC26" i="8"/>
  <c r="AJ26" i="8"/>
  <c r="D101" i="12"/>
  <c r="E101" i="6"/>
  <c r="Y108" i="12"/>
  <c r="Y46" i="12"/>
  <c r="AB21" i="5"/>
  <c r="D23" i="8" s="1"/>
  <c r="AB22" i="5"/>
  <c r="Y107" i="12"/>
  <c r="AO29" i="12"/>
  <c r="Y30" i="12"/>
  <c r="E110" i="6"/>
  <c r="D110" i="12"/>
  <c r="N36" i="12"/>
  <c r="O35" i="12"/>
  <c r="X74" i="5"/>
  <c r="H74" i="12"/>
  <c r="N119" i="12"/>
  <c r="E93" i="6"/>
  <c r="D93" i="12"/>
  <c r="Y23" i="12"/>
  <c r="AO21" i="12"/>
  <c r="AO22" i="12"/>
  <c r="D61" i="12"/>
  <c r="E61" i="6"/>
  <c r="O55" i="5"/>
  <c r="C55" i="6"/>
  <c r="AC55" i="5"/>
  <c r="N43" i="12"/>
  <c r="N42" i="12"/>
  <c r="O41" i="12"/>
  <c r="N27" i="12"/>
  <c r="N94" i="12"/>
  <c r="C60" i="6"/>
  <c r="O60" i="5"/>
  <c r="AC60" i="5"/>
  <c r="O65" i="12"/>
  <c r="N66" i="12"/>
  <c r="N83" i="12" l="1"/>
  <c r="W93" i="12"/>
  <c r="T93" i="12" s="1"/>
  <c r="W94" i="12"/>
  <c r="T94" i="12" s="1"/>
  <c r="E45" i="6"/>
  <c r="I40" i="5"/>
  <c r="AK40" i="6"/>
  <c r="AJ40" i="6"/>
  <c r="AL40" i="6"/>
  <c r="AM40" i="6"/>
  <c r="AN40" i="6"/>
  <c r="L40" i="5"/>
  <c r="AC40" i="5" s="1"/>
  <c r="AM40" i="5"/>
  <c r="I40" i="12"/>
  <c r="Z40" i="5"/>
  <c r="X39" i="5"/>
  <c r="X38" i="5"/>
  <c r="W119" i="12"/>
  <c r="U119" i="12" s="1"/>
  <c r="W72" i="12"/>
  <c r="V72" i="12" s="1"/>
  <c r="X101" i="12"/>
  <c r="W104" i="12"/>
  <c r="T104" i="12" s="1"/>
  <c r="N41" i="12"/>
  <c r="W45" i="12"/>
  <c r="U45" i="12" s="1"/>
  <c r="W44" i="12"/>
  <c r="T44" i="12" s="1"/>
  <c r="Y29" i="12"/>
  <c r="W29" i="12" s="1"/>
  <c r="W62" i="12"/>
  <c r="V62" i="12" s="1"/>
  <c r="Y77" i="12"/>
  <c r="W77" i="12" s="1"/>
  <c r="N60" i="12"/>
  <c r="W111" i="12"/>
  <c r="U111" i="12" s="1"/>
  <c r="X118" i="12"/>
  <c r="X89" i="12"/>
  <c r="N21" i="12"/>
  <c r="W97" i="12"/>
  <c r="U97" i="12" s="1"/>
  <c r="Y22" i="12"/>
  <c r="W22" i="12" s="1"/>
  <c r="N35" i="12"/>
  <c r="Y128" i="12"/>
  <c r="W128" i="12" s="1"/>
  <c r="N56" i="12"/>
  <c r="X75" i="12"/>
  <c r="X95" i="12"/>
  <c r="X92" i="12"/>
  <c r="K56" i="12"/>
  <c r="X90" i="12"/>
  <c r="Y55" i="12"/>
  <c r="X55" i="12" s="1"/>
  <c r="W24" i="12"/>
  <c r="U24" i="12" s="1"/>
  <c r="Y17" i="12"/>
  <c r="X17" i="12" s="1"/>
  <c r="K35" i="12"/>
  <c r="X85" i="12"/>
  <c r="X47" i="12"/>
  <c r="Y83" i="12"/>
  <c r="W83" i="12" s="1"/>
  <c r="K22" i="12"/>
  <c r="K29" i="12"/>
  <c r="Y65" i="12"/>
  <c r="X65" i="12" s="1"/>
  <c r="X15" i="5"/>
  <c r="U72" i="10" s="1"/>
  <c r="U75" i="10" s="1"/>
  <c r="W68" i="12"/>
  <c r="V68" i="12" s="1"/>
  <c r="N29" i="12"/>
  <c r="D60" i="12"/>
  <c r="E60" i="6"/>
  <c r="I53" i="8"/>
  <c r="A53" i="8" s="1"/>
  <c r="D128" i="12"/>
  <c r="E128" i="6"/>
  <c r="I74" i="12"/>
  <c r="AK74" i="6"/>
  <c r="AJ74" i="6"/>
  <c r="Z74" i="5"/>
  <c r="AL74" i="6"/>
  <c r="L74" i="5"/>
  <c r="AM74" i="6"/>
  <c r="AM74" i="5"/>
  <c r="AN74" i="6"/>
  <c r="W112" i="12"/>
  <c r="X112" i="12"/>
  <c r="X121" i="12"/>
  <c r="W121" i="12"/>
  <c r="X107" i="12"/>
  <c r="W107" i="12"/>
  <c r="Y21" i="12"/>
  <c r="E56" i="6"/>
  <c r="D56" i="12"/>
  <c r="V93" i="12"/>
  <c r="U94" i="12"/>
  <c r="V100" i="12"/>
  <c r="U100" i="12"/>
  <c r="T100" i="12"/>
  <c r="K55" i="12"/>
  <c r="W130" i="12"/>
  <c r="X130" i="12"/>
  <c r="K60" i="12"/>
  <c r="W66" i="12"/>
  <c r="X66" i="12"/>
  <c r="X82" i="12"/>
  <c r="W82" i="12"/>
  <c r="X80" i="12"/>
  <c r="W80" i="12"/>
  <c r="X98" i="12"/>
  <c r="W98" i="12"/>
  <c r="M20" i="12"/>
  <c r="C20" i="12"/>
  <c r="AO20" i="12"/>
  <c r="O20" i="12"/>
  <c r="N17" i="12"/>
  <c r="AJ50" i="6"/>
  <c r="AM50" i="6"/>
  <c r="X48" i="5"/>
  <c r="L50" i="5"/>
  <c r="X49" i="5"/>
  <c r="AK50" i="6"/>
  <c r="AL50" i="6"/>
  <c r="AN50" i="6"/>
  <c r="I50" i="5"/>
  <c r="AM50" i="5"/>
  <c r="Z50" i="5"/>
  <c r="I50" i="12"/>
  <c r="X34" i="5"/>
  <c r="Y25" i="12"/>
  <c r="AJ127" i="6"/>
  <c r="AL127" i="6"/>
  <c r="L127" i="5"/>
  <c r="AK127" i="6"/>
  <c r="AN127" i="6"/>
  <c r="AM127" i="5"/>
  <c r="I127" i="12"/>
  <c r="Z127" i="5"/>
  <c r="AM127" i="6"/>
  <c r="T79" i="12"/>
  <c r="U79" i="12"/>
  <c r="V79" i="12"/>
  <c r="AJ64" i="6"/>
  <c r="AK64" i="6"/>
  <c r="V37" i="8" s="1"/>
  <c r="I64" i="12"/>
  <c r="X63" i="5"/>
  <c r="L64" i="5"/>
  <c r="I64" i="5"/>
  <c r="Z64" i="5"/>
  <c r="AL64" i="6"/>
  <c r="AM64" i="5"/>
  <c r="AN64" i="6"/>
  <c r="Y37" i="8" s="1"/>
  <c r="AM64" i="6"/>
  <c r="X37" i="8" s="1"/>
  <c r="W122" i="12"/>
  <c r="X122" i="12"/>
  <c r="X37" i="12"/>
  <c r="W37" i="12"/>
  <c r="W27" i="12"/>
  <c r="X27" i="12"/>
  <c r="X124" i="12"/>
  <c r="W124" i="12"/>
  <c r="AL54" i="6"/>
  <c r="Z54" i="5"/>
  <c r="AN54" i="6"/>
  <c r="AM54" i="6"/>
  <c r="L54" i="5"/>
  <c r="X53" i="5"/>
  <c r="AM54" i="5"/>
  <c r="AK54" i="6"/>
  <c r="I54" i="12"/>
  <c r="I54" i="5"/>
  <c r="AJ54" i="6"/>
  <c r="T75" i="12"/>
  <c r="U75" i="12"/>
  <c r="V75" i="12"/>
  <c r="X16" i="5"/>
  <c r="AM19" i="5"/>
  <c r="L19" i="5"/>
  <c r="I19" i="12"/>
  <c r="Z19" i="5"/>
  <c r="S20" i="8"/>
  <c r="W26" i="12"/>
  <c r="X26" i="12"/>
  <c r="K21" i="12"/>
  <c r="W61" i="12"/>
  <c r="X61" i="12"/>
  <c r="V90" i="12"/>
  <c r="U90" i="12"/>
  <c r="T90" i="12"/>
  <c r="X23" i="12"/>
  <c r="W23" i="12"/>
  <c r="W110" i="12"/>
  <c r="X110" i="12"/>
  <c r="N65" i="12"/>
  <c r="W46" i="12"/>
  <c r="X46" i="12"/>
  <c r="W96" i="12"/>
  <c r="X96" i="12"/>
  <c r="W43" i="12"/>
  <c r="X43" i="12"/>
  <c r="N22" i="12"/>
  <c r="W32" i="12"/>
  <c r="X32" i="12"/>
  <c r="N55" i="12"/>
  <c r="X106" i="12"/>
  <c r="W106" i="12"/>
  <c r="E17" i="6"/>
  <c r="D17" i="12"/>
  <c r="I17" i="8"/>
  <c r="A17" i="8" s="1"/>
  <c r="K128" i="12"/>
  <c r="X76" i="12"/>
  <c r="W76" i="12"/>
  <c r="U22" i="8"/>
  <c r="E22" i="8"/>
  <c r="X109" i="12"/>
  <c r="W109" i="12"/>
  <c r="E22" i="6"/>
  <c r="D22" i="12"/>
  <c r="K65" i="12"/>
  <c r="N77" i="12"/>
  <c r="D83" i="12"/>
  <c r="E83" i="6"/>
  <c r="I47" i="8"/>
  <c r="A47" i="8" s="1"/>
  <c r="Y60" i="12"/>
  <c r="X108" i="12"/>
  <c r="W108" i="12"/>
  <c r="W113" i="12"/>
  <c r="X113" i="12"/>
  <c r="X58" i="12"/>
  <c r="W58" i="12"/>
  <c r="X99" i="12"/>
  <c r="W99" i="12"/>
  <c r="D25" i="12"/>
  <c r="E25" i="6"/>
  <c r="N128" i="12"/>
  <c r="AL126" i="6"/>
  <c r="AJ126" i="6"/>
  <c r="AM126" i="6"/>
  <c r="I126" i="12"/>
  <c r="AK126" i="6"/>
  <c r="AN126" i="6"/>
  <c r="Z126" i="5"/>
  <c r="AM126" i="5"/>
  <c r="L126" i="5"/>
  <c r="Y35" i="12"/>
  <c r="AM73" i="5"/>
  <c r="L73" i="5"/>
  <c r="AK73" i="6"/>
  <c r="I73" i="5"/>
  <c r="I74" i="5" s="1"/>
  <c r="I75" i="5" s="1"/>
  <c r="AM73" i="6"/>
  <c r="I73" i="12"/>
  <c r="AN73" i="6"/>
  <c r="AJ73" i="6"/>
  <c r="Z73" i="5"/>
  <c r="AL73" i="6"/>
  <c r="X70" i="5"/>
  <c r="X81" i="12"/>
  <c r="W81" i="12"/>
  <c r="X117" i="12"/>
  <c r="W117" i="12"/>
  <c r="AJ125" i="6"/>
  <c r="I125" i="5"/>
  <c r="I126" i="5" s="1"/>
  <c r="I127" i="5" s="1"/>
  <c r="AM125" i="6"/>
  <c r="AN125" i="6"/>
  <c r="Z125" i="5"/>
  <c r="AK125" i="6"/>
  <c r="I125" i="12"/>
  <c r="L125" i="5"/>
  <c r="AM125" i="5"/>
  <c r="AL125" i="6"/>
  <c r="X86" i="5"/>
  <c r="AN52" i="6"/>
  <c r="AM52" i="5"/>
  <c r="AJ52" i="6"/>
  <c r="L52" i="5"/>
  <c r="AL52" i="6"/>
  <c r="I52" i="12"/>
  <c r="X51" i="5"/>
  <c r="AM52" i="6"/>
  <c r="I52" i="5"/>
  <c r="Z52" i="5"/>
  <c r="AK52" i="6"/>
  <c r="X105" i="12"/>
  <c r="W105" i="12"/>
  <c r="E41" i="6"/>
  <c r="D41" i="12"/>
  <c r="W28" i="12"/>
  <c r="X28" i="12"/>
  <c r="I38" i="8"/>
  <c r="A38" i="8" s="1"/>
  <c r="D65" i="12"/>
  <c r="E65" i="6"/>
  <c r="Y41" i="12"/>
  <c r="X59" i="12"/>
  <c r="W59" i="12"/>
  <c r="X120" i="12"/>
  <c r="W120" i="12"/>
  <c r="N25" i="12"/>
  <c r="W36" i="12"/>
  <c r="X36" i="12"/>
  <c r="T47" i="12"/>
  <c r="V47" i="12"/>
  <c r="U47" i="12"/>
  <c r="W30" i="12"/>
  <c r="X30" i="12"/>
  <c r="K41" i="12"/>
  <c r="W31" i="12"/>
  <c r="X31" i="12"/>
  <c r="D29" i="12"/>
  <c r="E29" i="6"/>
  <c r="I26" i="8"/>
  <c r="A26" i="8" s="1"/>
  <c r="W57" i="12"/>
  <c r="X57" i="12"/>
  <c r="W71" i="12"/>
  <c r="X71" i="12"/>
  <c r="W42" i="12"/>
  <c r="X42" i="12"/>
  <c r="U89" i="12"/>
  <c r="V89" i="12"/>
  <c r="T89" i="12"/>
  <c r="X18" i="12"/>
  <c r="W18" i="12"/>
  <c r="V92" i="12"/>
  <c r="U92" i="12"/>
  <c r="T92" i="12"/>
  <c r="D55" i="12"/>
  <c r="I32" i="8"/>
  <c r="A32" i="8" s="1"/>
  <c r="E55" i="6"/>
  <c r="T101" i="12"/>
  <c r="V101" i="12"/>
  <c r="U101" i="12"/>
  <c r="K83" i="12"/>
  <c r="T118" i="12"/>
  <c r="U118" i="12"/>
  <c r="V118" i="12"/>
  <c r="X78" i="12"/>
  <c r="W78" i="12"/>
  <c r="K77" i="12"/>
  <c r="AB20" i="5"/>
  <c r="W67" i="12"/>
  <c r="X67" i="12"/>
  <c r="K17" i="12"/>
  <c r="D21" i="12"/>
  <c r="I23" i="8"/>
  <c r="A23" i="8" s="1"/>
  <c r="E21" i="6"/>
  <c r="W103" i="12"/>
  <c r="X103" i="12"/>
  <c r="X91" i="12"/>
  <c r="W91" i="12"/>
  <c r="U85" i="12"/>
  <c r="V85" i="12"/>
  <c r="T85" i="12"/>
  <c r="X88" i="12"/>
  <c r="W88" i="12"/>
  <c r="X84" i="12"/>
  <c r="W84" i="12"/>
  <c r="X69" i="12"/>
  <c r="W69" i="12"/>
  <c r="D35" i="12"/>
  <c r="E35" i="6"/>
  <c r="W102" i="12"/>
  <c r="X102" i="12"/>
  <c r="X115" i="12"/>
  <c r="W115" i="12"/>
  <c r="K25" i="12"/>
  <c r="Y56" i="12"/>
  <c r="W123" i="12"/>
  <c r="X123" i="12"/>
  <c r="X129" i="12"/>
  <c r="W129" i="12"/>
  <c r="C20" i="6"/>
  <c r="O20" i="5"/>
  <c r="AC20" i="5"/>
  <c r="X116" i="12"/>
  <c r="W116" i="12"/>
  <c r="W33" i="12"/>
  <c r="X33" i="12"/>
  <c r="W114" i="12"/>
  <c r="X114" i="12"/>
  <c r="V95" i="12"/>
  <c r="U95" i="12"/>
  <c r="T95" i="12"/>
  <c r="E77" i="6"/>
  <c r="D77" i="12"/>
  <c r="I44" i="8"/>
  <c r="A44" i="8" s="1"/>
  <c r="X87" i="12"/>
  <c r="W87" i="12"/>
  <c r="U72" i="12" l="1"/>
  <c r="V94" i="12"/>
  <c r="U93" i="12"/>
  <c r="V119" i="12"/>
  <c r="T72" i="12"/>
  <c r="AM38" i="5"/>
  <c r="L38" i="5"/>
  <c r="I38" i="12"/>
  <c r="Z38" i="5"/>
  <c r="Z39" i="5"/>
  <c r="I39" i="12"/>
  <c r="AM39" i="5"/>
  <c r="L39" i="5"/>
  <c r="AB40" i="5"/>
  <c r="C40" i="12"/>
  <c r="AO40" i="12"/>
  <c r="M40" i="12"/>
  <c r="O40" i="12"/>
  <c r="C40" i="6"/>
  <c r="O40" i="5"/>
  <c r="X83" i="12"/>
  <c r="T45" i="12"/>
  <c r="T119" i="12"/>
  <c r="U62" i="12"/>
  <c r="V44" i="12"/>
  <c r="X77" i="12"/>
  <c r="T62" i="12"/>
  <c r="U44" i="12"/>
  <c r="U104" i="12"/>
  <c r="W55" i="12"/>
  <c r="V55" i="12" s="1"/>
  <c r="V45" i="12"/>
  <c r="V97" i="12"/>
  <c r="T97" i="12"/>
  <c r="V104" i="12"/>
  <c r="X29" i="12"/>
  <c r="X128" i="12"/>
  <c r="U20" i="8"/>
  <c r="T111" i="12"/>
  <c r="V111" i="12"/>
  <c r="T24" i="12"/>
  <c r="W17" i="12"/>
  <c r="T17" i="12" s="1"/>
  <c r="T68" i="12"/>
  <c r="E20" i="8"/>
  <c r="U68" i="12"/>
  <c r="V24" i="12"/>
  <c r="W65" i="12"/>
  <c r="U65" i="12" s="1"/>
  <c r="X22" i="12"/>
  <c r="W43" i="8"/>
  <c r="AA70" i="10"/>
  <c r="AK15" i="6"/>
  <c r="R15" i="6" s="1"/>
  <c r="R11" i="6" s="1"/>
  <c r="V52" i="8"/>
  <c r="I72" i="10"/>
  <c r="AE9" i="10" s="1"/>
  <c r="I70" i="10"/>
  <c r="Y9" i="10" s="1"/>
  <c r="O70" i="10"/>
  <c r="Q72" i="10"/>
  <c r="Q75" i="10" s="1"/>
  <c r="AC72" i="10"/>
  <c r="AC75" i="10" s="1"/>
  <c r="AC70" i="10"/>
  <c r="Z15" i="5"/>
  <c r="U70" i="10"/>
  <c r="W70" i="10"/>
  <c r="M72" i="10"/>
  <c r="M75" i="10" s="1"/>
  <c r="AA72" i="10"/>
  <c r="AA75" i="10" s="1"/>
  <c r="Y72" i="10"/>
  <c r="Y75" i="10" s="1"/>
  <c r="K72" i="10"/>
  <c r="K75" i="10" s="1"/>
  <c r="AL15" i="6"/>
  <c r="S15" i="6" s="1"/>
  <c r="S11" i="6" s="1"/>
  <c r="Q70" i="10"/>
  <c r="S70" i="10"/>
  <c r="AM15" i="6"/>
  <c r="T15" i="6" s="1"/>
  <c r="T11" i="6" s="1"/>
  <c r="V43" i="8"/>
  <c r="W72" i="10"/>
  <c r="W75" i="10" s="1"/>
  <c r="O72" i="10"/>
  <c r="O75" i="10" s="1"/>
  <c r="Y70" i="10"/>
  <c r="AE70" i="10"/>
  <c r="S72" i="10"/>
  <c r="S75" i="10" s="1"/>
  <c r="M70" i="10"/>
  <c r="K70" i="10"/>
  <c r="AJ15" i="6"/>
  <c r="Q15" i="6" s="1"/>
  <c r="Q11" i="6" s="1"/>
  <c r="Y43" i="8"/>
  <c r="AN15" i="6"/>
  <c r="U15" i="6" s="1"/>
  <c r="U11" i="6" s="1"/>
  <c r="Y52" i="8"/>
  <c r="X43" i="8"/>
  <c r="AE72" i="10"/>
  <c r="AE75" i="10" s="1"/>
  <c r="AM15" i="5"/>
  <c r="V57" i="12"/>
  <c r="T57" i="12"/>
  <c r="U57" i="12"/>
  <c r="U114" i="12"/>
  <c r="T114" i="12"/>
  <c r="V114" i="12"/>
  <c r="T129" i="12"/>
  <c r="U129" i="12"/>
  <c r="V129" i="12"/>
  <c r="L51" i="5"/>
  <c r="Z51" i="5"/>
  <c r="AM51" i="5"/>
  <c r="I51" i="12"/>
  <c r="S41" i="8"/>
  <c r="I70" i="12"/>
  <c r="Z70" i="5"/>
  <c r="L70" i="5"/>
  <c r="AM70" i="5"/>
  <c r="V58" i="12"/>
  <c r="U58" i="12"/>
  <c r="T58" i="12"/>
  <c r="T32" i="12"/>
  <c r="V32" i="12"/>
  <c r="U32" i="12"/>
  <c r="Z16" i="5"/>
  <c r="S14" i="8"/>
  <c r="AM16" i="5"/>
  <c r="O14" i="11"/>
  <c r="I16" i="12"/>
  <c r="L16" i="5"/>
  <c r="C54" i="12"/>
  <c r="AO54" i="12"/>
  <c r="M54" i="12"/>
  <c r="M53" i="12" s="1"/>
  <c r="O54" i="12"/>
  <c r="U122" i="12"/>
  <c r="V122" i="12"/>
  <c r="T122" i="12"/>
  <c r="S35" i="8"/>
  <c r="X35" i="8" s="1"/>
  <c r="L63" i="5"/>
  <c r="Z63" i="5"/>
  <c r="I63" i="12"/>
  <c r="AM63" i="5"/>
  <c r="AB127" i="5"/>
  <c r="W25" i="12"/>
  <c r="X25" i="12"/>
  <c r="V31" i="8"/>
  <c r="Y20" i="12"/>
  <c r="AO19" i="12"/>
  <c r="O74" i="5"/>
  <c r="C74" i="6"/>
  <c r="AC74" i="5"/>
  <c r="D20" i="12"/>
  <c r="E20" i="6"/>
  <c r="W56" i="12"/>
  <c r="X56" i="12"/>
  <c r="V30" i="12"/>
  <c r="T30" i="12"/>
  <c r="U30" i="12"/>
  <c r="U28" i="12"/>
  <c r="T28" i="12"/>
  <c r="V28" i="12"/>
  <c r="T84" i="12"/>
  <c r="U84" i="12"/>
  <c r="V84" i="12"/>
  <c r="V78" i="12"/>
  <c r="T78" i="12"/>
  <c r="U78" i="12"/>
  <c r="U42" i="12"/>
  <c r="V42" i="12"/>
  <c r="T42" i="12"/>
  <c r="W41" i="12"/>
  <c r="X41" i="12"/>
  <c r="AO52" i="12"/>
  <c r="M52" i="12"/>
  <c r="M51" i="12" s="1"/>
  <c r="C52" i="12"/>
  <c r="O52" i="12"/>
  <c r="E52" i="8"/>
  <c r="U52" i="8"/>
  <c r="C73" i="6"/>
  <c r="O73" i="5"/>
  <c r="AC73" i="5"/>
  <c r="AB126" i="5"/>
  <c r="T124" i="12"/>
  <c r="V124" i="12"/>
  <c r="U124" i="12"/>
  <c r="M64" i="12"/>
  <c r="M63" i="12" s="1"/>
  <c r="C64" i="12"/>
  <c r="O64" i="12"/>
  <c r="AO64" i="12"/>
  <c r="O127" i="12"/>
  <c r="C127" i="12"/>
  <c r="M127" i="12"/>
  <c r="AO127" i="12"/>
  <c r="S29" i="8"/>
  <c r="I34" i="12"/>
  <c r="AM34" i="5"/>
  <c r="L34" i="5"/>
  <c r="Z34" i="5"/>
  <c r="AM49" i="5"/>
  <c r="L49" i="5"/>
  <c r="I49" i="12"/>
  <c r="Z49" i="5"/>
  <c r="U102" i="12"/>
  <c r="T102" i="12"/>
  <c r="V102" i="12"/>
  <c r="U33" i="12"/>
  <c r="V33" i="12"/>
  <c r="T33" i="12"/>
  <c r="V91" i="12"/>
  <c r="U91" i="12"/>
  <c r="T91" i="12"/>
  <c r="V105" i="12"/>
  <c r="T105" i="12"/>
  <c r="U105" i="12"/>
  <c r="C125" i="6"/>
  <c r="O125" i="5"/>
  <c r="AC125" i="5"/>
  <c r="U117" i="12"/>
  <c r="V117" i="12"/>
  <c r="T117" i="12"/>
  <c r="AB73" i="5"/>
  <c r="V110" i="12"/>
  <c r="T110" i="12"/>
  <c r="U110" i="12"/>
  <c r="O50" i="12"/>
  <c r="M50" i="12"/>
  <c r="AO50" i="12"/>
  <c r="C50" i="12"/>
  <c r="O50" i="5"/>
  <c r="C50" i="6"/>
  <c r="AC50" i="5"/>
  <c r="M19" i="12"/>
  <c r="T66" i="12"/>
  <c r="U66" i="12"/>
  <c r="V66" i="12"/>
  <c r="X21" i="12"/>
  <c r="W21" i="12"/>
  <c r="T112" i="12"/>
  <c r="V112" i="12"/>
  <c r="U112" i="12"/>
  <c r="AB74" i="5"/>
  <c r="T116" i="12"/>
  <c r="U116" i="12"/>
  <c r="V116" i="12"/>
  <c r="U123" i="12"/>
  <c r="V123" i="12"/>
  <c r="T123" i="12"/>
  <c r="U115" i="12"/>
  <c r="T115" i="12"/>
  <c r="V115" i="12"/>
  <c r="U88" i="12"/>
  <c r="T88" i="12"/>
  <c r="V88" i="12"/>
  <c r="U67" i="12"/>
  <c r="T67" i="12"/>
  <c r="V67" i="12"/>
  <c r="U55" i="12"/>
  <c r="U71" i="12"/>
  <c r="V71" i="12"/>
  <c r="T71" i="12"/>
  <c r="U31" i="12"/>
  <c r="T31" i="12"/>
  <c r="V31" i="12"/>
  <c r="U36" i="12"/>
  <c r="T36" i="12"/>
  <c r="V36" i="12"/>
  <c r="C52" i="6"/>
  <c r="O52" i="5"/>
  <c r="AC52" i="5"/>
  <c r="O125" i="12"/>
  <c r="M125" i="12"/>
  <c r="C125" i="12"/>
  <c r="AO125" i="12"/>
  <c r="E43" i="8"/>
  <c r="U43" i="8"/>
  <c r="T113" i="12"/>
  <c r="U113" i="12"/>
  <c r="V113" i="12"/>
  <c r="V76" i="12"/>
  <c r="T76" i="12"/>
  <c r="U76" i="12"/>
  <c r="V43" i="12"/>
  <c r="U43" i="12"/>
  <c r="T43" i="12"/>
  <c r="T23" i="12"/>
  <c r="U23" i="12"/>
  <c r="V23" i="12"/>
  <c r="AL20" i="8"/>
  <c r="Z20" i="8"/>
  <c r="AI20" i="8"/>
  <c r="AG20" i="8"/>
  <c r="AQ20" i="8"/>
  <c r="AB20" i="8"/>
  <c r="AK20" i="8"/>
  <c r="AH20" i="8"/>
  <c r="AF20" i="8"/>
  <c r="AD20" i="8"/>
  <c r="AE20" i="8"/>
  <c r="AC20" i="8"/>
  <c r="AJ20" i="8"/>
  <c r="X20" i="8"/>
  <c r="G20" i="8"/>
  <c r="G21" i="8" s="1"/>
  <c r="AR20" i="8"/>
  <c r="AN20" i="8"/>
  <c r="V20" i="8"/>
  <c r="AM20" i="8"/>
  <c r="W20" i="8"/>
  <c r="H20" i="8"/>
  <c r="J21" i="8" s="1"/>
  <c r="AA20" i="8"/>
  <c r="H21" i="8"/>
  <c r="AP20" i="8"/>
  <c r="Y20" i="8"/>
  <c r="AO20" i="8"/>
  <c r="AM53" i="5"/>
  <c r="I53" i="12"/>
  <c r="Z53" i="5"/>
  <c r="L53" i="5"/>
  <c r="U37" i="8"/>
  <c r="E37" i="8"/>
  <c r="AB50" i="5"/>
  <c r="I48" i="12"/>
  <c r="L48" i="5"/>
  <c r="Z48" i="5"/>
  <c r="AM48" i="5"/>
  <c r="V98" i="12"/>
  <c r="U98" i="12"/>
  <c r="T98" i="12"/>
  <c r="T107" i="12"/>
  <c r="U107" i="12"/>
  <c r="V107" i="12"/>
  <c r="O126" i="12"/>
  <c r="AO126" i="12"/>
  <c r="M126" i="12"/>
  <c r="C126" i="12"/>
  <c r="T108" i="12"/>
  <c r="U108" i="12"/>
  <c r="V108" i="12"/>
  <c r="T106" i="12"/>
  <c r="U106" i="12"/>
  <c r="V106" i="12"/>
  <c r="V61" i="12"/>
  <c r="U61" i="12"/>
  <c r="T61" i="12"/>
  <c r="C54" i="6"/>
  <c r="O54" i="5"/>
  <c r="AC54" i="5"/>
  <c r="T27" i="12"/>
  <c r="U27" i="12"/>
  <c r="V27" i="12"/>
  <c r="X31" i="8"/>
  <c r="T29" i="12"/>
  <c r="V29" i="12"/>
  <c r="U29" i="12"/>
  <c r="V77" i="12"/>
  <c r="T77" i="12"/>
  <c r="U77" i="12"/>
  <c r="T103" i="12"/>
  <c r="V103" i="12"/>
  <c r="U103" i="12"/>
  <c r="AB19" i="5"/>
  <c r="D20" i="8" s="1"/>
  <c r="V83" i="12"/>
  <c r="T83" i="12"/>
  <c r="U83" i="12"/>
  <c r="U18" i="12"/>
  <c r="T18" i="12"/>
  <c r="V18" i="12"/>
  <c r="U120" i="12"/>
  <c r="T120" i="12"/>
  <c r="V120" i="12"/>
  <c r="AB52" i="5"/>
  <c r="AB51" i="5" s="1"/>
  <c r="AB125" i="5"/>
  <c r="C73" i="12"/>
  <c r="M73" i="12"/>
  <c r="AO73" i="12"/>
  <c r="O73" i="12"/>
  <c r="V96" i="12"/>
  <c r="U96" i="12"/>
  <c r="T96" i="12"/>
  <c r="L19" i="12"/>
  <c r="C19" i="12"/>
  <c r="J19" i="12"/>
  <c r="U37" i="12"/>
  <c r="V37" i="12"/>
  <c r="T37" i="12"/>
  <c r="AB64" i="5"/>
  <c r="AB63" i="5" s="1"/>
  <c r="O127" i="5"/>
  <c r="C127" i="6"/>
  <c r="AC127" i="5"/>
  <c r="E31" i="8"/>
  <c r="U31" i="8"/>
  <c r="U80" i="12"/>
  <c r="T80" i="12"/>
  <c r="V80" i="12"/>
  <c r="T130" i="12"/>
  <c r="V130" i="12"/>
  <c r="U130" i="12"/>
  <c r="C74" i="12"/>
  <c r="M74" i="12"/>
  <c r="AO74" i="12"/>
  <c r="O74" i="12"/>
  <c r="T128" i="12"/>
  <c r="V128" i="12"/>
  <c r="U128" i="12"/>
  <c r="V81" i="12"/>
  <c r="T81" i="12"/>
  <c r="U81" i="12"/>
  <c r="W35" i="12"/>
  <c r="X35" i="12"/>
  <c r="T99" i="12"/>
  <c r="U99" i="12"/>
  <c r="V99" i="12"/>
  <c r="W60" i="12"/>
  <c r="X60" i="12"/>
  <c r="U109" i="12"/>
  <c r="V109" i="12"/>
  <c r="T109" i="12"/>
  <c r="O19" i="5"/>
  <c r="C19" i="6"/>
  <c r="AC19" i="5"/>
  <c r="Y31" i="8"/>
  <c r="V22" i="12"/>
  <c r="U22" i="12"/>
  <c r="T22" i="12"/>
  <c r="T87" i="12"/>
  <c r="V87" i="12"/>
  <c r="U87" i="12"/>
  <c r="U69" i="12"/>
  <c r="V69" i="12"/>
  <c r="T69" i="12"/>
  <c r="V59" i="12"/>
  <c r="U59" i="12"/>
  <c r="T59" i="12"/>
  <c r="S50" i="8"/>
  <c r="AM86" i="5"/>
  <c r="I86" i="12"/>
  <c r="L86" i="5"/>
  <c r="Z86" i="5"/>
  <c r="X52" i="8"/>
  <c r="I76" i="5"/>
  <c r="O76" i="5" s="1"/>
  <c r="O75" i="5"/>
  <c r="C126" i="6"/>
  <c r="O126" i="5"/>
  <c r="AC126" i="5"/>
  <c r="V46" i="12"/>
  <c r="U46" i="12"/>
  <c r="T46" i="12"/>
  <c r="T26" i="12"/>
  <c r="V26" i="12"/>
  <c r="U26" i="12"/>
  <c r="AB54" i="5"/>
  <c r="AB53" i="5" s="1"/>
  <c r="O64" i="5"/>
  <c r="C64" i="6"/>
  <c r="AC64" i="5"/>
  <c r="W31" i="8"/>
  <c r="N20" i="12"/>
  <c r="O19" i="12"/>
  <c r="U82" i="12"/>
  <c r="V82" i="12"/>
  <c r="T82" i="12"/>
  <c r="U121" i="12"/>
  <c r="T121" i="12"/>
  <c r="V121" i="12"/>
  <c r="V65" i="12" l="1"/>
  <c r="T55" i="12"/>
  <c r="T65" i="12"/>
  <c r="D40" i="12"/>
  <c r="E40" i="6"/>
  <c r="C39" i="6"/>
  <c r="O39" i="5"/>
  <c r="AC39" i="5"/>
  <c r="N40" i="12"/>
  <c r="O39" i="12"/>
  <c r="O38" i="12"/>
  <c r="L39" i="12"/>
  <c r="J39" i="12"/>
  <c r="C39" i="12"/>
  <c r="M39" i="12"/>
  <c r="M38" i="12"/>
  <c r="Y40" i="12"/>
  <c r="AO39" i="12"/>
  <c r="Y39" i="12" s="1"/>
  <c r="AO38" i="12"/>
  <c r="Y38" i="12" s="1"/>
  <c r="L38" i="12"/>
  <c r="C38" i="12"/>
  <c r="J38" i="12"/>
  <c r="O38" i="5"/>
  <c r="AC38" i="5"/>
  <c r="C38" i="6"/>
  <c r="AB39" i="5"/>
  <c r="AB38" i="5"/>
  <c r="J39" i="6" a="1"/>
  <c r="J39" i="6" s="1"/>
  <c r="J40" i="6" a="1"/>
  <c r="J40" i="6" s="1"/>
  <c r="X41" i="8"/>
  <c r="U17" i="12"/>
  <c r="Y35" i="8"/>
  <c r="J125" i="6" a="1"/>
  <c r="J125" i="6" s="1"/>
  <c r="V17" i="12"/>
  <c r="J52" i="6" a="1"/>
  <c r="J52" i="6" s="1"/>
  <c r="J50" i="6" a="1"/>
  <c r="J50" i="6" s="1"/>
  <c r="E41" i="8"/>
  <c r="W29" i="8"/>
  <c r="E35" i="8"/>
  <c r="U35" i="8"/>
  <c r="V35" i="8"/>
  <c r="U41" i="8"/>
  <c r="U29" i="8"/>
  <c r="J61" i="6" a="1"/>
  <c r="J61" i="6" s="1"/>
  <c r="J74" i="6" a="1"/>
  <c r="J74" i="6" s="1"/>
  <c r="Y41" i="8"/>
  <c r="N126" i="12"/>
  <c r="H75" i="10"/>
  <c r="J109" i="6" a="1"/>
  <c r="J109" i="6" s="1"/>
  <c r="J64" i="6" a="1"/>
  <c r="J64" i="6" s="1"/>
  <c r="J66" i="6" a="1"/>
  <c r="J66" i="6" s="1"/>
  <c r="J127" i="6" a="1"/>
  <c r="J127" i="6" s="1"/>
  <c r="J126" i="6" a="1"/>
  <c r="J126" i="6" s="1"/>
  <c r="Y29" i="8"/>
  <c r="J36" i="6" a="1"/>
  <c r="J36" i="6" s="1"/>
  <c r="J130" i="6" a="1"/>
  <c r="J130" i="6" s="1"/>
  <c r="J46" i="6" a="1"/>
  <c r="J46" i="6" s="1"/>
  <c r="AB86" i="5"/>
  <c r="D50" i="8" s="1"/>
  <c r="J82" i="6" a="1"/>
  <c r="J82" i="6" s="1"/>
  <c r="J114" i="6" a="1"/>
  <c r="J114" i="6" s="1"/>
  <c r="J43" i="6" a="1"/>
  <c r="J43" i="6" s="1"/>
  <c r="J20" i="6" a="1"/>
  <c r="J20" i="6" s="1"/>
  <c r="J99" i="6" a="1"/>
  <c r="J99" i="6" s="1"/>
  <c r="J54" i="6" a="1"/>
  <c r="J54" i="6" s="1"/>
  <c r="J98" i="6" a="1"/>
  <c r="J98" i="6" s="1"/>
  <c r="J73" i="6" a="1"/>
  <c r="J73" i="6" s="1"/>
  <c r="J113" i="6" a="1"/>
  <c r="J113" i="6" s="1"/>
  <c r="J96" i="6" a="1"/>
  <c r="J96" i="6" s="1"/>
  <c r="J94" i="6" a="1"/>
  <c r="J94" i="6" s="1"/>
  <c r="J122" i="6" a="1"/>
  <c r="J122" i="6" s="1"/>
  <c r="E29" i="8"/>
  <c r="J92" i="6" a="1"/>
  <c r="J92" i="6" s="1"/>
  <c r="AD16" i="8"/>
  <c r="AD14" i="8" s="1"/>
  <c r="J101" i="6" a="1"/>
  <c r="J101" i="6" s="1"/>
  <c r="J26" i="6" a="1"/>
  <c r="J26" i="6" s="1"/>
  <c r="V41" i="8"/>
  <c r="J37" i="6" a="1"/>
  <c r="J37" i="6" s="1"/>
  <c r="J110" i="6" a="1"/>
  <c r="J110" i="6" s="1"/>
  <c r="K19" i="12"/>
  <c r="N19" i="12"/>
  <c r="J67" i="6" a="1"/>
  <c r="J67" i="6" s="1"/>
  <c r="J75" i="6" a="1"/>
  <c r="J75" i="6" s="1"/>
  <c r="J104" i="6" a="1"/>
  <c r="J104" i="6" s="1"/>
  <c r="J123" i="6" a="1"/>
  <c r="J123" i="6" s="1"/>
  <c r="J79" i="6" a="1"/>
  <c r="J79" i="6" s="1"/>
  <c r="J85" i="6" a="1"/>
  <c r="J85" i="6" s="1"/>
  <c r="J62" i="6" a="1"/>
  <c r="J62" i="6" s="1"/>
  <c r="J84" i="6" a="1"/>
  <c r="J84" i="6" s="1"/>
  <c r="J33" i="6" a="1"/>
  <c r="J33" i="6" s="1"/>
  <c r="J69" i="6" a="1"/>
  <c r="J69" i="6" s="1"/>
  <c r="J93" i="6" a="1"/>
  <c r="J93" i="6" s="1"/>
  <c r="J100" i="6" a="1"/>
  <c r="J100" i="6" s="1"/>
  <c r="J30" i="6" a="1"/>
  <c r="J30" i="6" s="1"/>
  <c r="J118" i="6" a="1"/>
  <c r="J118" i="6" s="1"/>
  <c r="J31" i="6" a="1"/>
  <c r="J31" i="6" s="1"/>
  <c r="J88" i="6" a="1"/>
  <c r="J88" i="6" s="1"/>
  <c r="J90" i="6" a="1"/>
  <c r="J90" i="6" s="1"/>
  <c r="J119" i="6" a="1"/>
  <c r="J119" i="6" s="1"/>
  <c r="J129" i="6" a="1"/>
  <c r="J129" i="6" s="1"/>
  <c r="J27" i="6" a="1"/>
  <c r="J27" i="6" s="1"/>
  <c r="J115" i="6" a="1"/>
  <c r="J115" i="6" s="1"/>
  <c r="J58" i="6" a="1"/>
  <c r="J58" i="6" s="1"/>
  <c r="J18" i="6" a="1"/>
  <c r="J18" i="6" s="1"/>
  <c r="Y127" i="12"/>
  <c r="X127" i="12" s="1"/>
  <c r="J91" i="6" a="1"/>
  <c r="J91" i="6" s="1"/>
  <c r="J97" i="6" a="1"/>
  <c r="J97" i="6" s="1"/>
  <c r="J102" i="6" a="1"/>
  <c r="J102" i="6" s="1"/>
  <c r="J116" i="6" a="1"/>
  <c r="J116" i="6" s="1"/>
  <c r="J57" i="6" a="1"/>
  <c r="J57" i="6" s="1"/>
  <c r="J108" i="6" a="1"/>
  <c r="J108" i="6" s="1"/>
  <c r="J80" i="6" a="1"/>
  <c r="J80" i="6" s="1"/>
  <c r="Y50" i="8"/>
  <c r="X29" i="8"/>
  <c r="W41" i="8"/>
  <c r="J76" i="6" a="1"/>
  <c r="J76" i="6" s="1"/>
  <c r="J78" i="6" a="1"/>
  <c r="J78" i="6" s="1"/>
  <c r="J72" i="6" a="1"/>
  <c r="J72" i="6" s="1"/>
  <c r="J107" i="6" a="1"/>
  <c r="J107" i="6" s="1"/>
  <c r="J71" i="6" a="1"/>
  <c r="J71" i="6" s="1"/>
  <c r="J23" i="6" a="1"/>
  <c r="J23" i="6" s="1"/>
  <c r="J117" i="6" a="1"/>
  <c r="J117" i="6" s="1"/>
  <c r="J68" i="6" a="1"/>
  <c r="J68" i="6" s="1"/>
  <c r="J112" i="6" a="1"/>
  <c r="J112" i="6" s="1"/>
  <c r="J120" i="6" a="1"/>
  <c r="J120" i="6" s="1"/>
  <c r="J32" i="6" a="1"/>
  <c r="J32" i="6" s="1"/>
  <c r="J124" i="6" a="1"/>
  <c r="J124" i="6" s="1"/>
  <c r="J106" i="6" a="1"/>
  <c r="J106" i="6" s="1"/>
  <c r="J59" i="6" a="1"/>
  <c r="J59" i="6" s="1"/>
  <c r="J24" i="6" a="1"/>
  <c r="J24" i="6" s="1"/>
  <c r="J28" i="6" a="1"/>
  <c r="J28" i="6" s="1"/>
  <c r="J42" i="6" a="1"/>
  <c r="J42" i="6" s="1"/>
  <c r="J47" i="6" a="1"/>
  <c r="J47" i="6" s="1"/>
  <c r="J44" i="6" a="1"/>
  <c r="J44" i="6" s="1"/>
  <c r="AJ16" i="8"/>
  <c r="AJ14" i="8" s="1"/>
  <c r="AB15" i="5"/>
  <c r="AO16" i="12"/>
  <c r="J111" i="6" a="1"/>
  <c r="J111" i="6" s="1"/>
  <c r="J95" i="6" a="1"/>
  <c r="J95" i="6" s="1"/>
  <c r="J89" i="6" a="1"/>
  <c r="J89" i="6" s="1"/>
  <c r="J105" i="6" a="1"/>
  <c r="J105" i="6" s="1"/>
  <c r="J81" i="6" a="1"/>
  <c r="J81" i="6" s="1"/>
  <c r="J87" i="6" a="1"/>
  <c r="J87" i="6" s="1"/>
  <c r="J45" i="6" a="1"/>
  <c r="J45" i="6" s="1"/>
  <c r="J121" i="6" a="1"/>
  <c r="J121" i="6" s="1"/>
  <c r="J103" i="6" a="1"/>
  <c r="J103" i="6" s="1"/>
  <c r="M16" i="12"/>
  <c r="Y74" i="12"/>
  <c r="X74" i="12" s="1"/>
  <c r="O16" i="12"/>
  <c r="D126" i="12"/>
  <c r="E126" i="6"/>
  <c r="M70" i="12"/>
  <c r="J48" i="12"/>
  <c r="L48" i="12"/>
  <c r="C48" i="12"/>
  <c r="AO16" i="8"/>
  <c r="AO14" i="8" s="1"/>
  <c r="AB16" i="8"/>
  <c r="AB14" i="8" s="1"/>
  <c r="O49" i="12"/>
  <c r="N50" i="12"/>
  <c r="O48" i="12"/>
  <c r="O34" i="12"/>
  <c r="O63" i="12"/>
  <c r="N63" i="12" s="1"/>
  <c r="N64" i="12"/>
  <c r="E50" i="8"/>
  <c r="N54" i="12"/>
  <c r="O53" i="12"/>
  <c r="N53" i="12" s="1"/>
  <c r="R108" i="8"/>
  <c r="I108" i="8" s="1"/>
  <c r="H15" i="8"/>
  <c r="G14" i="8"/>
  <c r="H14" i="8"/>
  <c r="J15" i="8" s="1"/>
  <c r="AL50" i="8"/>
  <c r="AH50" i="8"/>
  <c r="AQ50" i="8"/>
  <c r="AI50" i="8"/>
  <c r="AN50" i="8"/>
  <c r="G50" i="8"/>
  <c r="AF50" i="8"/>
  <c r="Z50" i="8"/>
  <c r="AB50" i="8"/>
  <c r="AM50" i="8"/>
  <c r="AJ50" i="8"/>
  <c r="AE50" i="8"/>
  <c r="AA50" i="8"/>
  <c r="AK50" i="8"/>
  <c r="AG50" i="8"/>
  <c r="H50" i="8"/>
  <c r="J51" i="8" s="1"/>
  <c r="AD50" i="8"/>
  <c r="W50" i="8"/>
  <c r="AO50" i="8"/>
  <c r="H51" i="8"/>
  <c r="AP50" i="8"/>
  <c r="AC50" i="8"/>
  <c r="AR50" i="8"/>
  <c r="I20" i="8"/>
  <c r="A20" i="8" s="1"/>
  <c r="D19" i="12"/>
  <c r="E19" i="6"/>
  <c r="AF16" i="8"/>
  <c r="AF14" i="8" s="1"/>
  <c r="AE16" i="8"/>
  <c r="AE14" i="8" s="1"/>
  <c r="AI16" i="8"/>
  <c r="AI14" i="8" s="1"/>
  <c r="AL16" i="8"/>
  <c r="AL14" i="8" s="1"/>
  <c r="D52" i="12"/>
  <c r="E52" i="6"/>
  <c r="C34" i="12"/>
  <c r="J34" i="12"/>
  <c r="L34" i="12"/>
  <c r="N52" i="12"/>
  <c r="O51" i="12"/>
  <c r="N51" i="12" s="1"/>
  <c r="Y19" i="12"/>
  <c r="C63" i="12"/>
  <c r="J63" i="12"/>
  <c r="L63" i="12"/>
  <c r="C51" i="6"/>
  <c r="O51" i="5"/>
  <c r="AC51" i="5"/>
  <c r="E75" i="6"/>
  <c r="D75" i="12"/>
  <c r="E127" i="6"/>
  <c r="D127" i="12"/>
  <c r="D54" i="12"/>
  <c r="E54" i="6"/>
  <c r="Y126" i="12"/>
  <c r="AB48" i="5"/>
  <c r="AG14" i="13" s="1"/>
  <c r="U14" i="13" s="1"/>
  <c r="AD4" i="13" s="1"/>
  <c r="AB49" i="5"/>
  <c r="AB34" i="5"/>
  <c r="D29" i="8" s="1"/>
  <c r="X16" i="8"/>
  <c r="X14" i="8" s="1"/>
  <c r="AR16" i="8"/>
  <c r="AR14" i="8" s="1"/>
  <c r="AM16" i="8"/>
  <c r="AM14" i="8" s="1"/>
  <c r="AD29" i="8"/>
  <c r="H29" i="8"/>
  <c r="J30" i="8" s="1"/>
  <c r="AH29" i="8"/>
  <c r="AO29" i="8"/>
  <c r="AN29" i="8"/>
  <c r="G29" i="8"/>
  <c r="G30" i="8" s="1"/>
  <c r="AL29" i="8"/>
  <c r="AA29" i="8"/>
  <c r="AP29" i="8"/>
  <c r="AG29" i="8"/>
  <c r="AF29" i="8"/>
  <c r="AJ29" i="8"/>
  <c r="AI29" i="8"/>
  <c r="AR29" i="8"/>
  <c r="AE29" i="8"/>
  <c r="AQ29" i="8"/>
  <c r="AB29" i="8"/>
  <c r="AC29" i="8"/>
  <c r="H30" i="8"/>
  <c r="Z29" i="8"/>
  <c r="AM29" i="8"/>
  <c r="AK29" i="8"/>
  <c r="U56" i="12"/>
  <c r="T56" i="12"/>
  <c r="V56" i="12"/>
  <c r="W20" i="12"/>
  <c r="X20" i="12"/>
  <c r="Y54" i="12"/>
  <c r="AO53" i="12"/>
  <c r="C70" i="6"/>
  <c r="O70" i="5"/>
  <c r="AC70" i="5"/>
  <c r="E16" i="8"/>
  <c r="V21" i="12"/>
  <c r="U21" i="12"/>
  <c r="T21" i="12"/>
  <c r="J49" i="12"/>
  <c r="L49" i="12"/>
  <c r="C49" i="12"/>
  <c r="V29" i="8"/>
  <c r="C63" i="6"/>
  <c r="O63" i="5"/>
  <c r="AC63" i="5"/>
  <c r="W16" i="8"/>
  <c r="W14" i="8" s="1"/>
  <c r="X50" i="8"/>
  <c r="N74" i="12"/>
  <c r="Z16" i="8"/>
  <c r="Z14" i="8" s="1"/>
  <c r="AN16" i="8"/>
  <c r="AN14" i="8" s="1"/>
  <c r="AP16" i="8"/>
  <c r="AP14" i="8" s="1"/>
  <c r="Y125" i="12"/>
  <c r="AO86" i="12"/>
  <c r="D50" i="12"/>
  <c r="E50" i="6"/>
  <c r="D125" i="12"/>
  <c r="E125" i="6"/>
  <c r="C49" i="6"/>
  <c r="O49" i="5"/>
  <c r="AC49" i="5"/>
  <c r="E73" i="6"/>
  <c r="D73" i="12"/>
  <c r="Y52" i="12"/>
  <c r="AO51" i="12"/>
  <c r="AL35" i="8"/>
  <c r="AI35" i="8"/>
  <c r="H36" i="8"/>
  <c r="AE35" i="8"/>
  <c r="AC35" i="8"/>
  <c r="AP35" i="8"/>
  <c r="AF35" i="8"/>
  <c r="H35" i="8"/>
  <c r="J36" i="8" s="1"/>
  <c r="G35" i="8"/>
  <c r="AA35" i="8"/>
  <c r="AN35" i="8"/>
  <c r="AO35" i="8"/>
  <c r="D35" i="8"/>
  <c r="AG35" i="8"/>
  <c r="Z35" i="8"/>
  <c r="AB35" i="8"/>
  <c r="AR35" i="8"/>
  <c r="AQ35" i="8"/>
  <c r="W35" i="8"/>
  <c r="AM35" i="8"/>
  <c r="AJ35" i="8"/>
  <c r="AK35" i="8"/>
  <c r="AH35" i="8"/>
  <c r="AD35" i="8"/>
  <c r="O16" i="5"/>
  <c r="C16" i="6"/>
  <c r="AC16" i="5"/>
  <c r="C70" i="12"/>
  <c r="J70" i="12"/>
  <c r="L70" i="12"/>
  <c r="D76" i="12"/>
  <c r="E76" i="6"/>
  <c r="U35" i="12"/>
  <c r="V35" i="12"/>
  <c r="T35" i="12"/>
  <c r="V50" i="8"/>
  <c r="C53" i="6"/>
  <c r="O53" i="5"/>
  <c r="AC53" i="5"/>
  <c r="AH16" i="8"/>
  <c r="AH14" i="8" s="1"/>
  <c r="AK16" i="8"/>
  <c r="AK14" i="8" s="1"/>
  <c r="U16" i="8"/>
  <c r="T25" i="12"/>
  <c r="U25" i="12"/>
  <c r="V25" i="12"/>
  <c r="J16" i="12"/>
  <c r="L16" i="12"/>
  <c r="C16" i="12"/>
  <c r="AN41" i="8"/>
  <c r="AE41" i="8"/>
  <c r="AI41" i="8"/>
  <c r="AC41" i="8"/>
  <c r="AG41" i="8"/>
  <c r="AL41" i="8"/>
  <c r="Z41" i="8"/>
  <c r="H42" i="8"/>
  <c r="AF41" i="8"/>
  <c r="AM41" i="8"/>
  <c r="H41" i="8"/>
  <c r="J42" i="8" s="1"/>
  <c r="AJ41" i="8"/>
  <c r="AR41" i="8"/>
  <c r="AQ41" i="8"/>
  <c r="AA41" i="8"/>
  <c r="AH41" i="8"/>
  <c r="AO41" i="8"/>
  <c r="G41" i="8"/>
  <c r="G42" i="8" s="1"/>
  <c r="AD41" i="8"/>
  <c r="AK41" i="8"/>
  <c r="AP41" i="8"/>
  <c r="AB41" i="8"/>
  <c r="D64" i="12"/>
  <c r="E64" i="6"/>
  <c r="O86" i="5"/>
  <c r="C86" i="6"/>
  <c r="AC86" i="5"/>
  <c r="U60" i="12"/>
  <c r="V60" i="12"/>
  <c r="T60" i="12"/>
  <c r="N73" i="12"/>
  <c r="O70" i="12"/>
  <c r="V16" i="8"/>
  <c r="V14" i="8" s="1"/>
  <c r="AQ16" i="8"/>
  <c r="AQ14" i="8" s="1"/>
  <c r="AG16" i="8"/>
  <c r="M86" i="12"/>
  <c r="Y50" i="12"/>
  <c r="AO48" i="12"/>
  <c r="AO49" i="12"/>
  <c r="AO34" i="12"/>
  <c r="AB70" i="5"/>
  <c r="D41" i="8" s="1"/>
  <c r="N127" i="12"/>
  <c r="T41" i="12"/>
  <c r="U41" i="12"/>
  <c r="V41" i="12"/>
  <c r="O24" i="11"/>
  <c r="P14" i="11"/>
  <c r="G11" i="11" s="1"/>
  <c r="G9" i="11" s="1"/>
  <c r="L14" i="13"/>
  <c r="C14" i="11"/>
  <c r="C51" i="12"/>
  <c r="L51" i="12"/>
  <c r="J51" i="12"/>
  <c r="C86" i="12"/>
  <c r="J86" i="12"/>
  <c r="L86" i="12"/>
  <c r="Y73" i="12"/>
  <c r="AO70" i="12"/>
  <c r="AB16" i="5"/>
  <c r="O48" i="5"/>
  <c r="C48" i="6"/>
  <c r="AC48" i="5"/>
  <c r="J53" i="12"/>
  <c r="C53" i="12"/>
  <c r="L53" i="12"/>
  <c r="AA16" i="8"/>
  <c r="AA14" i="8" s="1"/>
  <c r="AC16" i="8"/>
  <c r="AC14" i="8" s="1"/>
  <c r="Y16" i="8"/>
  <c r="Y14" i="8" s="1"/>
  <c r="N125" i="12"/>
  <c r="O86" i="12"/>
  <c r="M49" i="12"/>
  <c r="M48" i="12"/>
  <c r="M34" i="12"/>
  <c r="O34" i="5"/>
  <c r="C34" i="6"/>
  <c r="AC34" i="5"/>
  <c r="Y64" i="12"/>
  <c r="AO63" i="12"/>
  <c r="U50" i="8"/>
  <c r="E74" i="6"/>
  <c r="D74" i="12"/>
  <c r="K38" i="12" l="1"/>
  <c r="K39" i="12"/>
  <c r="W38" i="12"/>
  <c r="X38" i="12"/>
  <c r="N38" i="12"/>
  <c r="X39" i="12"/>
  <c r="W39" i="12"/>
  <c r="N39" i="12"/>
  <c r="W40" i="12"/>
  <c r="X40" i="12"/>
  <c r="E38" i="6"/>
  <c r="D38" i="12"/>
  <c r="D39" i="12"/>
  <c r="E39" i="6"/>
  <c r="W74" i="12"/>
  <c r="U74" i="12" s="1"/>
  <c r="Y34" i="12"/>
  <c r="W34" i="12" s="1"/>
  <c r="N70" i="12"/>
  <c r="Y48" i="12"/>
  <c r="W48" i="12" s="1"/>
  <c r="Y51" i="12"/>
  <c r="W51" i="12" s="1"/>
  <c r="Y70" i="12"/>
  <c r="X70" i="12" s="1"/>
  <c r="W127" i="12"/>
  <c r="U127" i="12" s="1"/>
  <c r="N16" i="12"/>
  <c r="K53" i="12"/>
  <c r="K16" i="12"/>
  <c r="Y63" i="12"/>
  <c r="W63" i="12" s="1"/>
  <c r="Y53" i="12"/>
  <c r="X53" i="12" s="1"/>
  <c r="F11" i="6"/>
  <c r="K70" i="12"/>
  <c r="Y86" i="12"/>
  <c r="X86" i="12" s="1"/>
  <c r="Y49" i="12"/>
  <c r="W49" i="12" s="1"/>
  <c r="I12" i="6"/>
  <c r="N11" i="6"/>
  <c r="K51" i="12"/>
  <c r="K63" i="12"/>
  <c r="W73" i="12"/>
  <c r="X73" i="12"/>
  <c r="AG116" i="8" a="1"/>
  <c r="AG116" i="8" s="1"/>
  <c r="AG14" i="8"/>
  <c r="E53" i="6"/>
  <c r="D53" i="12"/>
  <c r="E16" i="6"/>
  <c r="I14" i="8"/>
  <c r="D16" i="12"/>
  <c r="T20" i="12"/>
  <c r="U20" i="12"/>
  <c r="V20" i="12"/>
  <c r="K86" i="12"/>
  <c r="E116" i="8" a="1"/>
  <c r="E116" i="8" s="1"/>
  <c r="E111" i="8" s="1"/>
  <c r="E14" i="8"/>
  <c r="X126" i="12"/>
  <c r="W126" i="12"/>
  <c r="E51" i="6"/>
  <c r="D51" i="12"/>
  <c r="K34" i="12"/>
  <c r="E117" i="8"/>
  <c r="I29" i="8"/>
  <c r="A29" i="8" s="1"/>
  <c r="D34" i="12"/>
  <c r="E34" i="6"/>
  <c r="P14" i="13"/>
  <c r="D14" i="13"/>
  <c r="V14" i="13"/>
  <c r="V15" i="13" s="1"/>
  <c r="V16" i="13" s="1"/>
  <c r="V17" i="13" s="1"/>
  <c r="V18" i="13" s="1"/>
  <c r="V19" i="13" s="1"/>
  <c r="V20" i="13" s="1"/>
  <c r="V21" i="13" s="1"/>
  <c r="V22" i="13" s="1"/>
  <c r="V23" i="13" s="1"/>
  <c r="L28" i="13"/>
  <c r="E86" i="6"/>
  <c r="I50" i="8"/>
  <c r="A50" i="8" s="1"/>
  <c r="D86" i="12"/>
  <c r="K48" i="12"/>
  <c r="E48" i="6"/>
  <c r="D48" i="12"/>
  <c r="N86" i="12"/>
  <c r="D70" i="12"/>
  <c r="E70" i="6"/>
  <c r="I41" i="8"/>
  <c r="A41" i="8" s="1"/>
  <c r="N34" i="12"/>
  <c r="X52" i="12"/>
  <c r="W52" i="12"/>
  <c r="W64" i="12"/>
  <c r="X64" i="12"/>
  <c r="O25" i="11"/>
  <c r="AA7" i="11"/>
  <c r="U14" i="8"/>
  <c r="U116" i="8" a="1"/>
  <c r="U116" i="8" s="1"/>
  <c r="K49" i="12"/>
  <c r="N48" i="12"/>
  <c r="O12" i="5"/>
  <c r="AB14" i="11"/>
  <c r="AD14" i="13"/>
  <c r="S14" i="13" s="1"/>
  <c r="M27" i="13" s="1"/>
  <c r="W50" i="12"/>
  <c r="X50" i="12"/>
  <c r="AC11" i="5"/>
  <c r="W125" i="12"/>
  <c r="X125" i="12"/>
  <c r="I35" i="8"/>
  <c r="A35" i="8" s="1"/>
  <c r="D63" i="12"/>
  <c r="E63" i="6"/>
  <c r="X54" i="12"/>
  <c r="W54" i="12"/>
  <c r="W19" i="12"/>
  <c r="X19" i="12"/>
  <c r="N49" i="12"/>
  <c r="E49" i="6"/>
  <c r="D49" i="12"/>
  <c r="U117" i="8"/>
  <c r="Y16" i="12"/>
  <c r="V38" i="12" l="1"/>
  <c r="T38" i="12"/>
  <c r="U38" i="12"/>
  <c r="V40" i="12"/>
  <c r="T40" i="12"/>
  <c r="U40" i="12"/>
  <c r="U39" i="12"/>
  <c r="T39" i="12"/>
  <c r="V39" i="12"/>
  <c r="T74" i="12"/>
  <c r="V74" i="12"/>
  <c r="X34" i="12"/>
  <c r="X48" i="12"/>
  <c r="T127" i="12"/>
  <c r="W86" i="12"/>
  <c r="V86" i="12" s="1"/>
  <c r="V127" i="12"/>
  <c r="X51" i="12"/>
  <c r="W70" i="12"/>
  <c r="U70" i="12" s="1"/>
  <c r="X63" i="12"/>
  <c r="W53" i="12"/>
  <c r="U53" i="12" s="1"/>
  <c r="X49" i="12"/>
  <c r="V19" i="12"/>
  <c r="T19" i="12"/>
  <c r="U19" i="12"/>
  <c r="U111" i="8"/>
  <c r="V116" i="8" a="1"/>
  <c r="V116" i="8" s="1"/>
  <c r="V52" i="12"/>
  <c r="T52" i="12"/>
  <c r="U52" i="12"/>
  <c r="T63" i="12"/>
  <c r="U63" i="12"/>
  <c r="V63" i="12"/>
  <c r="V126" i="12"/>
  <c r="T126" i="12"/>
  <c r="U126" i="12"/>
  <c r="AE4" i="13"/>
  <c r="O29" i="13"/>
  <c r="P24" i="13"/>
  <c r="L24" i="13"/>
  <c r="D33" i="14"/>
  <c r="N24" i="13"/>
  <c r="O24" i="13"/>
  <c r="E34" i="14"/>
  <c r="M24" i="13"/>
  <c r="E113" i="8"/>
  <c r="E112" i="8"/>
  <c r="E108" i="8" s="1"/>
  <c r="AG111" i="8"/>
  <c r="AH116" i="8" a="1"/>
  <c r="AH116" i="8" s="1"/>
  <c r="V54" i="12"/>
  <c r="T54" i="12"/>
  <c r="U54" i="12"/>
  <c r="W16" i="12"/>
  <c r="X16" i="12"/>
  <c r="AB24" i="11"/>
  <c r="AB7" i="11" s="1"/>
  <c r="Z3" i="11" s="1"/>
  <c r="AA3" i="11" s="1"/>
  <c r="AA40" i="5" s="1"/>
  <c r="AA39" i="5" s="1"/>
  <c r="N14" i="11"/>
  <c r="N24" i="11" s="1"/>
  <c r="T73" i="12"/>
  <c r="V73" i="12"/>
  <c r="U73" i="12"/>
  <c r="T50" i="12"/>
  <c r="V50" i="12"/>
  <c r="U50" i="12"/>
  <c r="T49" i="12"/>
  <c r="U49" i="12"/>
  <c r="V49" i="12"/>
  <c r="V34" i="12"/>
  <c r="T34" i="12"/>
  <c r="U34" i="12"/>
  <c r="V48" i="12"/>
  <c r="U48" i="12"/>
  <c r="T48" i="12"/>
  <c r="H71" i="9"/>
  <c r="U112" i="8"/>
  <c r="U113" i="8"/>
  <c r="V117" i="8"/>
  <c r="V125" i="12"/>
  <c r="U125" i="12"/>
  <c r="T125" i="12"/>
  <c r="T64" i="12"/>
  <c r="V64" i="12"/>
  <c r="U64" i="12"/>
  <c r="T51" i="12"/>
  <c r="V51" i="12"/>
  <c r="U51" i="12"/>
  <c r="T53" i="12" l="1"/>
  <c r="U86" i="12"/>
  <c r="V53" i="12"/>
  <c r="T86" i="12"/>
  <c r="V70" i="12"/>
  <c r="T70" i="12"/>
  <c r="AI116" i="8" a="1"/>
  <c r="AI116" i="8" s="1"/>
  <c r="AH111" i="8"/>
  <c r="N25" i="11"/>
  <c r="L27" i="13"/>
  <c r="H70" i="9"/>
  <c r="H73" i="9" s="1"/>
  <c r="G10" i="13"/>
  <c r="F34" i="14"/>
  <c r="W116" i="8" a="1"/>
  <c r="W116" i="8" s="1"/>
  <c r="V111" i="8"/>
  <c r="AD16" i="11"/>
  <c r="AD19" i="11"/>
  <c r="AD22" i="11"/>
  <c r="AD17" i="11"/>
  <c r="AD15" i="11"/>
  <c r="AD14" i="11"/>
  <c r="AD21" i="11"/>
  <c r="AD23" i="11"/>
  <c r="AD20" i="11"/>
  <c r="AD12" i="11"/>
  <c r="AD18" i="11"/>
  <c r="AA97" i="5"/>
  <c r="AA69" i="5"/>
  <c r="AA123" i="5"/>
  <c r="AA120" i="5"/>
  <c r="AA90" i="5"/>
  <c r="AA18" i="5"/>
  <c r="AA107" i="5"/>
  <c r="AA105" i="5"/>
  <c r="AA24" i="5"/>
  <c r="AA72" i="5"/>
  <c r="AA23" i="5"/>
  <c r="AA75" i="5"/>
  <c r="AA61" i="5"/>
  <c r="AA37" i="5"/>
  <c r="AA102" i="5"/>
  <c r="AA46" i="5"/>
  <c r="AA80" i="5"/>
  <c r="AA91" i="5"/>
  <c r="AA94" i="5"/>
  <c r="AA44" i="5"/>
  <c r="AA110" i="5"/>
  <c r="AA99" i="5"/>
  <c r="AA121" i="5"/>
  <c r="AA62" i="5"/>
  <c r="AA68" i="5"/>
  <c r="AA88" i="5"/>
  <c r="AA109" i="5"/>
  <c r="AA59" i="5"/>
  <c r="AA95" i="5"/>
  <c r="AA31" i="5"/>
  <c r="AA112" i="5"/>
  <c r="AA106" i="5"/>
  <c r="AA28" i="5"/>
  <c r="AA100" i="5"/>
  <c r="AA114" i="5"/>
  <c r="AA30" i="5"/>
  <c r="AA66" i="5"/>
  <c r="AA89" i="5"/>
  <c r="AA108" i="5"/>
  <c r="AA87" i="5"/>
  <c r="AA122" i="5"/>
  <c r="AA42" i="5"/>
  <c r="AA96" i="5"/>
  <c r="AA119" i="5"/>
  <c r="AA45" i="5"/>
  <c r="AA32" i="5"/>
  <c r="AA84" i="5"/>
  <c r="AA118" i="5"/>
  <c r="AA67" i="5"/>
  <c r="AA26" i="5"/>
  <c r="AA93" i="5"/>
  <c r="AA36" i="5"/>
  <c r="AA117" i="5"/>
  <c r="AA124" i="5"/>
  <c r="AA76" i="5"/>
  <c r="AA57" i="5"/>
  <c r="AA33" i="5"/>
  <c r="AA115" i="5"/>
  <c r="AA47" i="5"/>
  <c r="AA130" i="5"/>
  <c r="AA71" i="5"/>
  <c r="AA82" i="5"/>
  <c r="AA101" i="5"/>
  <c r="AA98" i="5"/>
  <c r="AA79" i="5"/>
  <c r="AA43" i="5"/>
  <c r="AA27" i="5"/>
  <c r="AA81" i="5"/>
  <c r="AA92" i="5"/>
  <c r="AA129" i="5"/>
  <c r="AA113" i="5"/>
  <c r="AA78" i="5"/>
  <c r="AA103" i="5"/>
  <c r="AA104" i="5"/>
  <c r="AA85" i="5"/>
  <c r="AA116" i="5"/>
  <c r="AA58" i="5"/>
  <c r="AA111" i="5"/>
  <c r="AA20" i="5"/>
  <c r="AA19" i="5" s="1"/>
  <c r="C20" i="8" s="1"/>
  <c r="AA73" i="5"/>
  <c r="AA127" i="5"/>
  <c r="AA74" i="5"/>
  <c r="AA125" i="5"/>
  <c r="AA52" i="5"/>
  <c r="AA51" i="5" s="1"/>
  <c r="AA126" i="5"/>
  <c r="AA50" i="5"/>
  <c r="AA54" i="5"/>
  <c r="AA53" i="5" s="1"/>
  <c r="AA64" i="5"/>
  <c r="AA63" i="5" s="1"/>
  <c r="C35" i="8" s="1"/>
  <c r="U108" i="8"/>
  <c r="H68" i="9" s="1"/>
  <c r="H69" i="9"/>
  <c r="U16" i="12"/>
  <c r="T16" i="12"/>
  <c r="V16" i="12"/>
  <c r="O27" i="13"/>
  <c r="J71" i="9"/>
  <c r="V112" i="8"/>
  <c r="V113" i="8"/>
  <c r="J70" i="9" s="1"/>
  <c r="J73" i="9" s="1"/>
  <c r="W117" i="8"/>
  <c r="AA128" i="5" l="1"/>
  <c r="C53" i="8" s="1"/>
  <c r="AA35" i="5"/>
  <c r="AA25" i="5"/>
  <c r="AA55" i="5"/>
  <c r="C32" i="8" s="1"/>
  <c r="AE17" i="11"/>
  <c r="M17" i="11" s="1"/>
  <c r="L17" i="11" s="1"/>
  <c r="AE21" i="11"/>
  <c r="M21" i="11" s="1"/>
  <c r="L21" i="11" s="1"/>
  <c r="AA83" i="5"/>
  <c r="C47" i="8" s="1"/>
  <c r="AE15" i="11"/>
  <c r="M15" i="11" s="1"/>
  <c r="L15" i="11" s="1"/>
  <c r="W113" i="8"/>
  <c r="L70" i="9" s="1"/>
  <c r="L73" i="9" s="1"/>
  <c r="L71" i="9"/>
  <c r="W112" i="8"/>
  <c r="X117" i="8"/>
  <c r="AA29" i="5"/>
  <c r="C26" i="8" s="1"/>
  <c r="AE20" i="11"/>
  <c r="M20" i="11" s="1"/>
  <c r="L20" i="11" s="1"/>
  <c r="AI111" i="8"/>
  <c r="AJ116" i="8" a="1"/>
  <c r="AJ116" i="8" s="1"/>
  <c r="AA21" i="5"/>
  <c r="C23" i="8" s="1"/>
  <c r="AA22" i="5"/>
  <c r="AE12" i="11"/>
  <c r="M12" i="11" s="1"/>
  <c r="L12" i="11" s="1"/>
  <c r="AA38" i="5"/>
  <c r="AA41" i="5"/>
  <c r="AE14" i="11"/>
  <c r="AE16" i="11"/>
  <c r="M16" i="11" s="1"/>
  <c r="L16" i="11" s="1"/>
  <c r="AA77" i="5"/>
  <c r="C44" i="8" s="1"/>
  <c r="AE18" i="11"/>
  <c r="M18" i="11" s="1"/>
  <c r="L18" i="11" s="1"/>
  <c r="D32" i="14"/>
  <c r="AC27" i="13"/>
  <c r="AD27" i="13"/>
  <c r="V108" i="8"/>
  <c r="J68" i="9" s="1"/>
  <c r="J69" i="9"/>
  <c r="AA86" i="5"/>
  <c r="C50" i="8" s="1"/>
  <c r="N27" i="13"/>
  <c r="E32" i="14" s="1"/>
  <c r="F32" i="14"/>
  <c r="AA48" i="5"/>
  <c r="AA49" i="5"/>
  <c r="AA17" i="5"/>
  <c r="C17" i="8" s="1"/>
  <c r="AA16" i="5"/>
  <c r="AA15" i="5"/>
  <c r="AA56" i="5"/>
  <c r="AA70" i="5"/>
  <c r="C41" i="8" s="1"/>
  <c r="AA65" i="5"/>
  <c r="C38" i="8" s="1"/>
  <c r="AA60" i="5"/>
  <c r="AE23" i="11"/>
  <c r="M23" i="11" s="1"/>
  <c r="L23" i="11" s="1"/>
  <c r="AE22" i="11"/>
  <c r="M22" i="11" s="1"/>
  <c r="L22" i="11" s="1"/>
  <c r="AE19" i="11"/>
  <c r="M19" i="11" s="1"/>
  <c r="L19" i="11" s="1"/>
  <c r="AA34" i="5"/>
  <c r="C29" i="8" s="1"/>
  <c r="W111" i="8"/>
  <c r="X116" i="8" a="1"/>
  <c r="X116" i="8" s="1"/>
  <c r="AC14" i="13" l="1"/>
  <c r="R14" i="13" s="1"/>
  <c r="M26" i="13" s="1"/>
  <c r="AF14" i="13"/>
  <c r="T14" i="13" s="1"/>
  <c r="AD3" i="13" s="1"/>
  <c r="AD2" i="13" s="1"/>
  <c r="AA14" i="11"/>
  <c r="AK116" i="8" a="1"/>
  <c r="AK116" i="8" s="1"/>
  <c r="AJ111" i="8"/>
  <c r="U115" i="8" a="1"/>
  <c r="U115" i="8" s="1"/>
  <c r="E115" i="8" a="1"/>
  <c r="E115" i="8" s="1"/>
  <c r="AG115" i="8" a="1"/>
  <c r="AG115" i="8" s="1"/>
  <c r="X112" i="8"/>
  <c r="N71" i="9"/>
  <c r="X113" i="8"/>
  <c r="Y117" i="8"/>
  <c r="W108" i="8"/>
  <c r="L68" i="9" s="1"/>
  <c r="L69" i="9"/>
  <c r="Y116" i="8" a="1"/>
  <c r="Y116" i="8" s="1"/>
  <c r="X111" i="8"/>
  <c r="X108" i="8" l="1"/>
  <c r="N68" i="9" s="1"/>
  <c r="N69" i="9"/>
  <c r="Y111" i="8"/>
  <c r="Z116" i="8" a="1"/>
  <c r="Z116" i="8" s="1"/>
  <c r="AG110" i="8"/>
  <c r="AH115" i="8" a="1"/>
  <c r="AH115" i="8" s="1"/>
  <c r="E110" i="8"/>
  <c r="E114" i="8"/>
  <c r="E109" i="8" s="1"/>
  <c r="V115" i="8" a="1"/>
  <c r="V115" i="8" s="1"/>
  <c r="U110" i="8"/>
  <c r="U114" i="8"/>
  <c r="U109" i="8" s="1"/>
  <c r="Y112" i="8"/>
  <c r="Y113" i="8"/>
  <c r="P70" i="9" s="1"/>
  <c r="P73" i="9" s="1"/>
  <c r="P71" i="9"/>
  <c r="Z117" i="8"/>
  <c r="AK111" i="8"/>
  <c r="AL116" i="8" a="1"/>
  <c r="AL116" i="8" s="1"/>
  <c r="N70" i="9"/>
  <c r="N73" i="9" s="1"/>
  <c r="M14" i="11"/>
  <c r="AA24" i="11"/>
  <c r="Z14" i="11"/>
  <c r="Z24" i="11" s="1"/>
  <c r="AE3" i="13"/>
  <c r="M25" i="13"/>
  <c r="Z111" i="8" l="1"/>
  <c r="AA116" i="8" a="1"/>
  <c r="AA116" i="8" s="1"/>
  <c r="O26" i="13"/>
  <c r="AE2" i="13"/>
  <c r="R71" i="9"/>
  <c r="Z112" i="8"/>
  <c r="Z113" i="8"/>
  <c r="R70" i="9" s="1"/>
  <c r="R73" i="9" s="1"/>
  <c r="AA117" i="8"/>
  <c r="AM116" i="8" a="1"/>
  <c r="AM116" i="8" s="1"/>
  <c r="AL111" i="8"/>
  <c r="AI115" i="8" a="1"/>
  <c r="AI115" i="8" s="1"/>
  <c r="AH110" i="8"/>
  <c r="M24" i="11"/>
  <c r="L14" i="11"/>
  <c r="L24" i="11" s="1"/>
  <c r="F11" i="8" a="1"/>
  <c r="F11" i="8" s="1"/>
  <c r="Y108" i="8"/>
  <c r="P68" i="9" s="1"/>
  <c r="P69" i="9"/>
  <c r="W115" i="8" a="1"/>
  <c r="W115" i="8" s="1"/>
  <c r="V110" i="8"/>
  <c r="V114" i="8"/>
  <c r="V109" i="8" s="1"/>
  <c r="AI110" i="8" l="1"/>
  <c r="AJ115" i="8" a="1"/>
  <c r="AJ115" i="8" s="1"/>
  <c r="AA112" i="8"/>
  <c r="T71" i="9"/>
  <c r="AA113" i="8"/>
  <c r="T70" i="9" s="1"/>
  <c r="T73" i="9" s="1"/>
  <c r="AB117" i="8"/>
  <c r="L25" i="13"/>
  <c r="D30" i="14" s="1"/>
  <c r="L25" i="11"/>
  <c r="L10" i="11"/>
  <c r="M10" i="13" s="1"/>
  <c r="W110" i="8"/>
  <c r="X115" i="8" a="1"/>
  <c r="X115" i="8" s="1"/>
  <c r="W114" i="8"/>
  <c r="W109" i="8" s="1"/>
  <c r="AN116" i="8" a="1"/>
  <c r="AN116" i="8" s="1"/>
  <c r="AM111" i="8"/>
  <c r="F31" i="14"/>
  <c r="N26" i="13"/>
  <c r="E31" i="14" s="1"/>
  <c r="O25" i="13"/>
  <c r="L26" i="13"/>
  <c r="M25" i="11"/>
  <c r="M10" i="11"/>
  <c r="N10" i="13" s="1"/>
  <c r="Z108" i="8"/>
  <c r="R68" i="9" s="1"/>
  <c r="R69" i="9"/>
  <c r="AA111" i="8"/>
  <c r="AB116" i="8" a="1"/>
  <c r="AB116" i="8" s="1"/>
  <c r="AC116" i="8" l="1" a="1"/>
  <c r="AC116" i="8" s="1"/>
  <c r="AB111" i="8"/>
  <c r="AN111" i="8"/>
  <c r="AO116" i="8" a="1"/>
  <c r="AO116" i="8" s="1"/>
  <c r="X110" i="8"/>
  <c r="Y115" i="8" a="1"/>
  <c r="Y115" i="8" s="1"/>
  <c r="X114" i="8"/>
  <c r="X109" i="8" s="1"/>
  <c r="D31" i="14"/>
  <c r="AC26" i="13"/>
  <c r="AD26" i="13"/>
  <c r="T69" i="9"/>
  <c r="AA108" i="8"/>
  <c r="T68" i="9" s="1"/>
  <c r="AK115" i="8" a="1"/>
  <c r="AK115" i="8" s="1"/>
  <c r="AJ110" i="8"/>
  <c r="AB112" i="8"/>
  <c r="AB113" i="8"/>
  <c r="V70" i="9" s="1"/>
  <c r="V73" i="9" s="1"/>
  <c r="V71" i="9"/>
  <c r="AC117" i="8"/>
  <c r="N25" i="13"/>
  <c r="E30" i="14" s="1"/>
  <c r="F30" i="14"/>
  <c r="Z115" i="8" l="1" a="1"/>
  <c r="Z115" i="8" s="1"/>
  <c r="Y110" i="8"/>
  <c r="Y114" i="8"/>
  <c r="Y109" i="8" s="1"/>
  <c r="AC112" i="8"/>
  <c r="AC113" i="8"/>
  <c r="X70" i="9" s="1"/>
  <c r="X73" i="9" s="1"/>
  <c r="X71" i="9"/>
  <c r="AD117" i="8"/>
  <c r="AO111" i="8"/>
  <c r="AP116" i="8" a="1"/>
  <c r="AP116" i="8" s="1"/>
  <c r="AB108" i="8"/>
  <c r="V68" i="9" s="1"/>
  <c r="V69" i="9"/>
  <c r="AK110" i="8"/>
  <c r="AL115" i="8" a="1"/>
  <c r="AL115" i="8" s="1"/>
  <c r="AD116" i="8" a="1"/>
  <c r="AD116" i="8" s="1"/>
  <c r="AC111" i="8"/>
  <c r="AP111" i="8" l="1"/>
  <c r="AQ116" i="8" a="1"/>
  <c r="AQ116" i="8" s="1"/>
  <c r="AA115" i="8" a="1"/>
  <c r="AA115" i="8" s="1"/>
  <c r="Z110" i="8"/>
  <c r="Z114" i="8"/>
  <c r="Z109" i="8" s="1"/>
  <c r="Z71" i="9"/>
  <c r="AD113" i="8"/>
  <c r="Z70" i="9" s="1"/>
  <c r="Z73" i="9" s="1"/>
  <c r="AD112" i="8"/>
  <c r="AE117" i="8"/>
  <c r="AE116" i="8" a="1"/>
  <c r="AE116" i="8" s="1"/>
  <c r="AD111" i="8"/>
  <c r="AL110" i="8"/>
  <c r="AM115" i="8" a="1"/>
  <c r="AM115" i="8" s="1"/>
  <c r="X69" i="9"/>
  <c r="AC108" i="8"/>
  <c r="X68" i="9" s="1"/>
  <c r="AF116" i="8" l="1" a="1"/>
  <c r="AF116" i="8" s="1"/>
  <c r="AF111" i="8" s="1"/>
  <c r="AE111" i="8"/>
  <c r="AE112" i="8"/>
  <c r="AB71" i="9"/>
  <c r="AE113" i="8"/>
  <c r="AB70" i="9" s="1"/>
  <c r="AB73" i="9" s="1"/>
  <c r="AF117" i="8"/>
  <c r="AD108" i="8"/>
  <c r="Z68" i="9" s="1"/>
  <c r="Z69" i="9"/>
  <c r="AM110" i="8"/>
  <c r="AN115" i="8" a="1"/>
  <c r="AN115" i="8" s="1"/>
  <c r="AB115" i="8" a="1"/>
  <c r="AB115" i="8" s="1"/>
  <c r="AA110" i="8"/>
  <c r="AA114" i="8"/>
  <c r="AA109" i="8" s="1"/>
  <c r="AQ111" i="8"/>
  <c r="AR116" i="8" a="1"/>
  <c r="AR116" i="8" s="1"/>
  <c r="AR111" i="8" s="1"/>
  <c r="AF112" i="8" l="1"/>
  <c r="AD71" i="9"/>
  <c r="AF113" i="8"/>
  <c r="AD70" i="9" s="1"/>
  <c r="AD73" i="9" s="1"/>
  <c r="G73" i="9" s="1"/>
  <c r="AG117" i="8"/>
  <c r="AB110" i="8"/>
  <c r="AC115" i="8" a="1"/>
  <c r="AC115" i="8" s="1"/>
  <c r="AB114" i="8"/>
  <c r="AB109" i="8" s="1"/>
  <c r="AE108" i="8"/>
  <c r="AB68" i="9" s="1"/>
  <c r="AB69" i="9"/>
  <c r="AN110" i="8"/>
  <c r="AO115" i="8" a="1"/>
  <c r="AO115" i="8" s="1"/>
  <c r="AO110" i="8" l="1"/>
  <c r="AP115" i="8" a="1"/>
  <c r="AP115" i="8" s="1"/>
  <c r="AG113" i="8"/>
  <c r="H78" i="9" s="1"/>
  <c r="H81" i="9" s="1"/>
  <c r="H79" i="9"/>
  <c r="AG112" i="8"/>
  <c r="AG114" i="8"/>
  <c r="AG109" i="8" s="1"/>
  <c r="AH117" i="8"/>
  <c r="AF108" i="8"/>
  <c r="AD68" i="9" s="1"/>
  <c r="AD69" i="9"/>
  <c r="AC110" i="8"/>
  <c r="AD115" i="8" a="1"/>
  <c r="AD115" i="8" s="1"/>
  <c r="AC114" i="8"/>
  <c r="AC109" i="8" s="1"/>
  <c r="J79" i="9" l="1"/>
  <c r="AH112" i="8"/>
  <c r="AH113" i="8"/>
  <c r="J78" i="9" s="1"/>
  <c r="J81" i="9" s="1"/>
  <c r="AH114" i="8"/>
  <c r="AH109" i="8" s="1"/>
  <c r="AI117" i="8"/>
  <c r="H77" i="9"/>
  <c r="AG108" i="8"/>
  <c r="H76" i="9" s="1"/>
  <c r="AQ115" i="8" a="1"/>
  <c r="AQ115" i="8" s="1"/>
  <c r="AP110" i="8"/>
  <c r="AE115" i="8" a="1"/>
  <c r="AE115" i="8" s="1"/>
  <c r="AD110" i="8"/>
  <c r="AD114" i="8"/>
  <c r="AD109" i="8" s="1"/>
  <c r="AR115" i="8" l="1" a="1"/>
  <c r="AR115" i="8" s="1"/>
  <c r="AR110" i="8" s="1"/>
  <c r="AQ110" i="8"/>
  <c r="AI112" i="8"/>
  <c r="L79" i="9"/>
  <c r="AI114" i="8"/>
  <c r="AI109" i="8" s="1"/>
  <c r="AI113" i="8"/>
  <c r="L78" i="9" s="1"/>
  <c r="L81" i="9" s="1"/>
  <c r="AJ117" i="8"/>
  <c r="AE110" i="8"/>
  <c r="AF115" i="8" a="1"/>
  <c r="AF115" i="8" s="1"/>
  <c r="AE114" i="8"/>
  <c r="AE109" i="8" s="1"/>
  <c r="J77" i="9"/>
  <c r="AH108" i="8"/>
  <c r="J76" i="9" s="1"/>
  <c r="AF110" i="8" l="1"/>
  <c r="AF114" i="8"/>
  <c r="AF109" i="8" s="1"/>
  <c r="AJ114" i="8"/>
  <c r="AJ109" i="8" s="1"/>
  <c r="AJ113" i="8"/>
  <c r="N78" i="9" s="1"/>
  <c r="N81" i="9" s="1"/>
  <c r="AJ112" i="8"/>
  <c r="N79" i="9"/>
  <c r="AK117" i="8"/>
  <c r="L77" i="9"/>
  <c r="AI108" i="8"/>
  <c r="L76" i="9" s="1"/>
  <c r="AK114" i="8" l="1"/>
  <c r="AK109" i="8" s="1"/>
  <c r="AK112" i="8"/>
  <c r="AK113" i="8"/>
  <c r="P78" i="9" s="1"/>
  <c r="P81" i="9" s="1"/>
  <c r="P79" i="9"/>
  <c r="AL117" i="8"/>
  <c r="AJ108" i="8"/>
  <c r="N76" i="9" s="1"/>
  <c r="N77" i="9"/>
  <c r="AL113" i="8" l="1"/>
  <c r="R78" i="9" s="1"/>
  <c r="R81" i="9" s="1"/>
  <c r="AL114" i="8"/>
  <c r="AL109" i="8" s="1"/>
  <c r="AL112" i="8"/>
  <c r="R79" i="9"/>
  <c r="AM117" i="8"/>
  <c r="AK108" i="8"/>
  <c r="P76" i="9" s="1"/>
  <c r="P77" i="9"/>
  <c r="AM112" i="8" l="1"/>
  <c r="T79" i="9"/>
  <c r="AM113" i="8"/>
  <c r="T78" i="9" s="1"/>
  <c r="T81" i="9" s="1"/>
  <c r="AM114" i="8"/>
  <c r="AM109" i="8" s="1"/>
  <c r="AN117" i="8"/>
  <c r="AL108" i="8"/>
  <c r="R76" i="9" s="1"/>
  <c r="R77" i="9"/>
  <c r="V79" i="9" l="1"/>
  <c r="AN112" i="8"/>
  <c r="AN114" i="8"/>
  <c r="AN109" i="8" s="1"/>
  <c r="AN113" i="8"/>
  <c r="V78" i="9" s="1"/>
  <c r="V81" i="9" s="1"/>
  <c r="AO117" i="8"/>
  <c r="AM108" i="8"/>
  <c r="T76" i="9" s="1"/>
  <c r="T77" i="9"/>
  <c r="AN108" i="8" l="1"/>
  <c r="V76" i="9" s="1"/>
  <c r="V77" i="9"/>
  <c r="AO114" i="8"/>
  <c r="AO109" i="8" s="1"/>
  <c r="AO113" i="8"/>
  <c r="X78" i="9" s="1"/>
  <c r="X81" i="9" s="1"/>
  <c r="X79" i="9"/>
  <c r="AO112" i="8"/>
  <c r="AP117" i="8"/>
  <c r="AO108" i="8" l="1"/>
  <c r="X76" i="9" s="1"/>
  <c r="X77" i="9"/>
  <c r="AP112" i="8"/>
  <c r="AP114" i="8"/>
  <c r="AP109" i="8" s="1"/>
  <c r="Z79" i="9"/>
  <c r="AP113" i="8"/>
  <c r="Z78" i="9" s="1"/>
  <c r="Z81" i="9" s="1"/>
  <c r="AQ117" i="8"/>
  <c r="AQ113" i="8" l="1"/>
  <c r="AB78" i="9" s="1"/>
  <c r="AB81" i="9" s="1"/>
  <c r="AB79" i="9"/>
  <c r="AQ114" i="8"/>
  <c r="AQ109" i="8" s="1"/>
  <c r="AQ112" i="8"/>
  <c r="AR117" i="8"/>
  <c r="AP108" i="8"/>
  <c r="Z76" i="9" s="1"/>
  <c r="Z77" i="9"/>
  <c r="B6" i="9" l="1"/>
  <c r="M13" i="9" s="1"/>
  <c r="AR112" i="8"/>
  <c r="AD79" i="9"/>
  <c r="AR114" i="8"/>
  <c r="AR109" i="8" s="1"/>
  <c r="K10" i="8"/>
  <c r="AR113" i="8"/>
  <c r="AD78" i="9" s="1"/>
  <c r="AD81" i="9" s="1"/>
  <c r="G81" i="9" s="1"/>
  <c r="AB77" i="9"/>
  <c r="AQ108" i="8"/>
  <c r="AB76" i="9" s="1"/>
  <c r="AD77" i="9" l="1"/>
  <c r="AR108" i="8"/>
  <c r="AD7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<sst xmlns="http://schemas.openxmlformats.org/spreadsheetml/2006/main" count="2481" uniqueCount="1084">
  <si>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</si>
  <si>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</si>
  <si>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</si>
  <si>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</si>
  <si>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</si>
  <si>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</si>
  <si>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</si>
  <si>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</si>
  <si>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</si>
  <si>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</si>
  <si>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</si>
  <si>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</si>
  <si>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</si>
  <si>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</si>
  <si>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</si>
  <si>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</si>
  <si>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</si>
  <si>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</si>
  <si>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</si>
  <si>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</si>
  <si>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</si>
  <si>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</si>
  <si>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</si>
  <si>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</si>
  <si>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</si>
  <si>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</si>
  <si>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</si>
  <si>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</si>
  <si>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</si>
  <si>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</si>
  <si>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</si>
  <si>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</si>
  <si>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</si>
  <si>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</si>
  <si>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</si>
  <si>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</si>
  <si>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</si>
  <si>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</si>
  <si>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</si>
  <si>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</si>
  <si>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</si>
  <si>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</si>
  <si>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</si>
  <si>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</si>
  <si>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</si>
  <si>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</si>
  <si>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</si>
  <si>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</si>
  <si>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</si>
  <si>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</si>
  <si>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</si>
  <si>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</si>
  <si>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</si>
  <si>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</si>
  <si>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</si>
  <si>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</si>
  <si>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</si>
  <si>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</si>
  <si>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</si>
  <si>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</si>
  <si>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</si>
  <si>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</si>
  <si>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</si>
  <si>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</si>
  <si>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</si>
  <si>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</si>
  <si>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</si>
  <si>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</si>
  <si>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</si>
  <si>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</si>
  <si>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</si>
  <si>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</si>
  <si>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</si>
  <si>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</si>
  <si>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</si>
  <si>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</si>
  <si>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</si>
  <si>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</si>
  <si>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</si>
  <si>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</si>
  <si>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</si>
  <si>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</si>
  <si>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</si>
  <si>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</si>
  <si>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</si>
  <si>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</si>
  <si>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</si>
  <si>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</si>
  <si>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</si>
  <si>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</si>
  <si>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</si>
  <si>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</si>
  <si>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</si>
  <si>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</si>
  <si>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</si>
  <si>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</si>
  <si>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</si>
  <si>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</si>
  <si>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</si>
  <si>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</si>
  <si>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</si>
  <si>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</si>
  <si>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</si>
  <si>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</si>
  <si>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</si>
  <si>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</si>
  <si>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</si>
  <si>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</si>
  <si>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</si>
  <si>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</si>
  <si>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</si>
  <si>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</si>
  <si>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</si>
  <si>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</si>
  <si>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</si>
  <si>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</si>
  <si>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</si>
  <si>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</si>
  <si>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</si>
  <si>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</si>
  <si>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</si>
  <si>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</si>
  <si>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</si>
  <si>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</si>
  <si>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</si>
  <si>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</si>
  <si>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</si>
  <si>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</si>
  <si>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</si>
  <si>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</si>
  <si>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</si>
  <si>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</si>
  <si>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</si>
  <si>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</si>
  <si>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</si>
  <si>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</si>
  <si>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</si>
  <si>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</si>
  <si>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</si>
  <si>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</si>
  <si>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</si>
  <si>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</si>
  <si>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</si>
  <si>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</si>
  <si>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</si>
  <si>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</si>
  <si>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</si>
  <si>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</si>
  <si>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</si>
  <si>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</si>
  <si>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</si>
  <si>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</si>
  <si>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</si>
  <si>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</si>
  <si>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</si>
  <si>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</si>
  <si>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</si>
  <si>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</si>
  <si>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</si>
  <si>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</si>
  <si>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</si>
  <si>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</si>
  <si>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</si>
  <si>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</si>
  <si>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</si>
  <si>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</si>
  <si>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</si>
  <si>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</si>
  <si>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</si>
  <si>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</si>
  <si>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</si>
  <si>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</si>
  <si>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</si>
  <si>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</si>
  <si>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</si>
  <si>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</si>
  <si>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</si>
  <si>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</si>
  <si>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</si>
  <si>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</si>
  <si>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</si>
  <si>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</si>
  <si>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</si>
  <si>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</si>
  <si>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</si>
  <si>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</si>
  <si>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</si>
  <si>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</si>
  <si>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</si>
  <si>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</si>
  <si>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</si>
  <si>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</si>
  <si>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</si>
  <si>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</si>
  <si>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</si>
  <si>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</si>
  <si>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</si>
  <si>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</si>
  <si>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</si>
  <si>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</si>
  <si>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</si>
  <si>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</si>
  <si>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</si>
  <si>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</si>
  <si>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</si>
  <si>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</si>
  <si>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</si>
  <si>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</si>
  <si>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</si>
  <si>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</si>
  <si>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</si>
  <si>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</si>
  <si>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</si>
  <si>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</si>
  <si>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</si>
  <si>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</si>
  <si>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</si>
  <si>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</si>
  <si>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</si>
  <si>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</si>
  <si>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</si>
  <si>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</si>
  <si>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</si>
  <si>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</si>
  <si>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</si>
  <si>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</si>
  <si>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</si>
  <si>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</si>
  <si>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</si>
  <si>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</si>
  <si>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</si>
  <si>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</si>
  <si>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</si>
  <si>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</si>
  <si>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</si>
  <si>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</si>
  <si>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</si>
  <si>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</si>
  <si>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</si>
  <si>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</si>
  <si>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</si>
  <si>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</si>
  <si>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</si>
  <si>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</si>
  <si>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</si>
  <si>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</si>
  <si>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</si>
  <si>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</si>
  <si>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</si>
  <si>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</si>
  <si>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</si>
  <si>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</si>
  <si>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</si>
  <si>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</si>
  <si>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</si>
  <si>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</si>
  <si>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</si>
  <si>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</si>
  <si>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</si>
  <si>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</si>
  <si>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</si>
  <si>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</si>
  <si>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</si>
  <si>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</si>
  <si>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</si>
  <si>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</si>
  <si>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</si>
  <si>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</si>
  <si>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</si>
  <si>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</si>
  <si>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</si>
  <si>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</si>
  <si>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</si>
  <si>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</si>
  <si>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</si>
  <si>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</si>
  <si>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</si>
  <si>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</si>
  <si>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</si>
  <si>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</si>
  <si>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</si>
  <si>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</si>
  <si>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</si>
  <si>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</si>
  <si>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</si>
  <si>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Filtro</t>
  </si>
  <si>
    <t>Título dos Eventos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</si>
  <si>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</si>
  <si>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</si>
  <si>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</si>
  <si>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</si>
  <si>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</si>
  <si>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</si>
  <si>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</si>
  <si>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</si>
  <si>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</si>
  <si>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</si>
  <si>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</si>
  <si>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</si>
  <si>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</si>
  <si>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</si>
  <si>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</si>
  <si>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</si>
  <si>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</si>
  <si>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</si>
  <si>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</si>
  <si>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</si>
  <si>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</si>
  <si>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</si>
  <si>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</si>
  <si>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</si>
  <si>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</si>
  <si>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</si>
  <si>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</si>
  <si>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</si>
  <si>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</si>
  <si>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</si>
  <si>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</si>
  <si>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</si>
  <si>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</si>
  <si>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</si>
  <si>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</si>
  <si>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</si>
  <si>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</si>
  <si>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</si>
  <si>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</si>
  <si>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</si>
  <si>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</si>
  <si>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</si>
  <si>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</si>
  <si>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</si>
  <si>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</si>
  <si>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</si>
  <si>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</si>
  <si>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</si>
  <si>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</si>
  <si>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</si>
  <si>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</si>
  <si>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</si>
  <si>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</si>
  <si>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</si>
  <si>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</si>
  <si>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</si>
  <si>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</si>
  <si>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</si>
  <si>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</si>
  <si>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</si>
  <si>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</si>
  <si>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</si>
  <si>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</si>
  <si>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</si>
  <si>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</si>
  <si>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</si>
  <si>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</si>
  <si>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</si>
  <si>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</si>
  <si>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</si>
  <si>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</si>
  <si>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</si>
  <si>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</si>
  <si>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</si>
  <si>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</si>
  <si>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</si>
  <si>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</si>
  <si>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</si>
  <si>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</si>
  <si>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</si>
  <si>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</si>
  <si>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</si>
  <si>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</si>
  <si>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</si>
  <si>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</si>
  <si>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</si>
  <si>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</si>
  <si>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</si>
  <si>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</si>
  <si>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</si>
  <si>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</si>
  <si>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</si>
  <si>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</si>
  <si>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</si>
  <si>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</si>
  <si>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</si>
  <si>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</si>
  <si>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</si>
  <si>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</si>
  <si>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</si>
  <si>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</si>
  <si>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</si>
  <si>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</si>
  <si>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</si>
  <si>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</si>
  <si>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</si>
  <si>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</si>
  <si>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</si>
  <si>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</si>
  <si>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</si>
  <si>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</si>
  <si>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</si>
  <si>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PO</t>
  </si>
  <si>
    <t>Preço Unitário Edital (R$)</t>
  </si>
  <si>
    <t>Ajustes de formatações.</t>
  </si>
  <si>
    <t>Correção da aplicação do BDI não desonerado.</t>
  </si>
  <si>
    <t>Inclusão de coluna exclusiva "Preço Unitário Edital", para o Modo 'Orçamento Licitado'.</t>
  </si>
  <si>
    <t>Custo Unitário Referência (R$)</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</si>
  <si>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</si>
  <si>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</si>
  <si>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</si>
  <si>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</si>
  <si>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</si>
  <si>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</si>
  <si>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</si>
  <si>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</si>
  <si>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</si>
  <si>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CÁLCULO</t>
  </si>
  <si>
    <t>Corrigida lentidão e travamento ao incluir e excluir frentes.</t>
  </si>
  <si>
    <t>Correção da CPRB que exibia 4,5% mesmo quando não desonerado.</t>
  </si>
  <si>
    <t>Correção da distribuição de Repasse, CP e Outros para as metas manuais.</t>
  </si>
  <si>
    <t>Adicionado botão para adotar a CP do QCI como CP do contrato (zera saldo a reprogramar de CP).</t>
  </si>
  <si>
    <t>Corrigido modo de Cálculo da Planilha para Automático.</t>
  </si>
  <si>
    <t>Arredondamento das frentes:</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</si>
  <si>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</si>
  <si>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</si>
  <si>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</si>
  <si>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</si>
  <si>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</si>
  <si>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</si>
  <si>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</si>
  <si>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</si>
  <si>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</si>
  <si>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</si>
  <si>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</si>
  <si>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</si>
  <si>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</si>
  <si>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</si>
  <si>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</si>
  <si>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</si>
  <si>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</si>
  <si>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</si>
  <si>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</si>
  <si>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</si>
  <si>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</si>
  <si>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</si>
  <si>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</si>
  <si>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</si>
  <si>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</si>
  <si>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</si>
  <si>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</si>
  <si>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</si>
  <si>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</si>
  <si>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</si>
  <si>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</si>
  <si>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</si>
  <si>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</si>
  <si>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</si>
  <si>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</si>
  <si>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</si>
  <si>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Acrescentados botões de navegação (cor azul claro) em várias abas. Em relação a esses botões, também foram ajustados os links, nomes e formatação.</t>
  </si>
  <si>
    <t>Alterada a posição da aba NOVO para antes da aba MENU.</t>
  </si>
  <si>
    <t>Correção na fórmula da data, para replicar a “Data de fechamento do RRE” na aba DADOS.</t>
  </si>
  <si>
    <t>Atualizada a macro de Importação para incluir a importar da coluna "Nº Agrupador de Eventos" da aba CÁLCULO.</t>
  </si>
  <si>
    <t>Atualizada a macro de Imprimir Documentos (para englobar as abas EVENTOS e CRONOPLE).</t>
  </si>
  <si>
    <t>V3.08</t>
  </si>
  <si>
    <t>V3.07</t>
  </si>
  <si>
    <t>V3.06</t>
  </si>
  <si>
    <t>V3.05</t>
  </si>
  <si>
    <t>V3.04</t>
  </si>
  <si>
    <t>V3.03</t>
  </si>
  <si>
    <t>V3.02</t>
  </si>
  <si>
    <t>V3.01</t>
  </si>
  <si>
    <t>V3.00</t>
  </si>
  <si>
    <t>CRONO</t>
  </si>
  <si>
    <t>Ajustada a fórmula do % acumulado a partir da parcela 13 (para manter o padrão da fórmula das parcelas 1 a 12).</t>
  </si>
  <si>
    <t>Corrigida a fórmula do % no quadro "Percentual previsto em:". Que estava limitada a buscar o % previsto até a parcela 12.</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</si>
  <si>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</si>
  <si>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</si>
  <si>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</si>
  <si>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</si>
  <si>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</si>
  <si>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</si>
  <si>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</si>
  <si>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</si>
  <si>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</si>
  <si>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</si>
  <si>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</si>
  <si>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</si>
  <si>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</si>
  <si>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</si>
  <si>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</si>
  <si>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</si>
  <si>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Macrosserviço</t>
  </si>
  <si>
    <t>UN</t>
  </si>
  <si>
    <t>M</t>
  </si>
  <si>
    <t>Total:</t>
  </si>
  <si>
    <t>N° do Evento</t>
  </si>
  <si>
    <t>N° da Frente de Obra</t>
  </si>
  <si>
    <t>N° do Período de Conclusão do Evento</t>
  </si>
  <si>
    <t>Número</t>
  </si>
  <si>
    <t>Percentual Parcela</t>
  </si>
  <si>
    <t>MÊS</t>
  </si>
  <si>
    <t>M2</t>
  </si>
  <si>
    <t>UNIDADE</t>
  </si>
  <si>
    <t>M3</t>
  </si>
  <si>
    <t>M3XKM</t>
  </si>
  <si>
    <t>Unidades válidas no Tgov</t>
  </si>
  <si>
    <t>Sigla</t>
  </si>
  <si>
    <t>METRO QUADRADO</t>
  </si>
  <si>
    <t>METRO</t>
  </si>
  <si>
    <t>METRO CÚBICO</t>
  </si>
  <si>
    <t>KG</t>
  </si>
  <si>
    <t>QUILOGRAMA</t>
  </si>
  <si>
    <t>TXKM</t>
  </si>
  <si>
    <t>T</t>
  </si>
  <si>
    <t>TONELADA</t>
  </si>
  <si>
    <t>MES</t>
  </si>
  <si>
    <t>H</t>
  </si>
  <si>
    <t>HORA</t>
  </si>
  <si>
    <t>MESES</t>
  </si>
  <si>
    <t>MÊS/MESES</t>
  </si>
  <si>
    <t>CJ</t>
  </si>
  <si>
    <t>CONJUNTO</t>
  </si>
  <si>
    <t>KM</t>
  </si>
  <si>
    <t>QUILOMETRO</t>
  </si>
  <si>
    <t>PC</t>
  </si>
  <si>
    <t>PEÇA</t>
  </si>
  <si>
    <t>CHP</t>
  </si>
  <si>
    <t>PAR</t>
  </si>
  <si>
    <t>OUTRAS</t>
  </si>
  <si>
    <t>DM3</t>
  </si>
  <si>
    <t>DECIMETRO CUBICO</t>
  </si>
  <si>
    <t>DIA</t>
  </si>
  <si>
    <t>100M</t>
  </si>
  <si>
    <t>100 METROS</t>
  </si>
  <si>
    <t>18L</t>
  </si>
  <si>
    <t>18 LITROS</t>
  </si>
  <si>
    <t>200KG</t>
  </si>
  <si>
    <t>200 QUILOS</t>
  </si>
  <si>
    <t>250G</t>
  </si>
  <si>
    <t>250 GRAMAS</t>
  </si>
  <si>
    <t>310ML</t>
  </si>
  <si>
    <t>310 MILILITROS</t>
  </si>
  <si>
    <t>50KG</t>
  </si>
  <si>
    <t>50 QUILOS</t>
  </si>
  <si>
    <t>A</t>
  </si>
  <si>
    <t>AMPÈRE</t>
  </si>
  <si>
    <t>ACA/ACC</t>
  </si>
  <si>
    <t>A.CORR.ALTERN/CONT.</t>
  </si>
  <si>
    <t>AH</t>
  </si>
  <si>
    <t>AMPÈRE HORA</t>
  </si>
  <si>
    <t>AH/H/V</t>
  </si>
  <si>
    <t>AMPÉRE-H/H/VOLT</t>
  </si>
  <si>
    <t>AM</t>
  </si>
  <si>
    <t>AMPOLA</t>
  </si>
  <si>
    <t>AM0/4ML</t>
  </si>
  <si>
    <t>AMPOLA COM 0,4 Ml</t>
  </si>
  <si>
    <t>AM0/5ML</t>
  </si>
  <si>
    <t>AMPOLA COM 0,5 mL</t>
  </si>
  <si>
    <t>AM10ML</t>
  </si>
  <si>
    <t>AMPOLA COM 10 mL</t>
  </si>
  <si>
    <t>AM1/5ML</t>
  </si>
  <si>
    <t>AMPOLA COM 1,5 mL</t>
  </si>
  <si>
    <t>AM1ML</t>
  </si>
  <si>
    <t>AMPOLA COM 1 mL</t>
  </si>
  <si>
    <t>AM2/5ML</t>
  </si>
  <si>
    <t>AMPOLA COM 2,5 mL</t>
  </si>
  <si>
    <t>AM2ML</t>
  </si>
  <si>
    <t>AMPOLA COM 2 mL</t>
  </si>
  <si>
    <t>AM3ML</t>
  </si>
  <si>
    <t>AMPOLA COM 3 mL</t>
  </si>
  <si>
    <t>AM4ML</t>
  </si>
  <si>
    <t>AMPOLA COM 4 mL</t>
  </si>
  <si>
    <t>AM5ML</t>
  </si>
  <si>
    <t>AMPOLA COM 5 mL</t>
  </si>
  <si>
    <t>AM6ML</t>
  </si>
  <si>
    <t>AMPOLA COM 6 mL</t>
  </si>
  <si>
    <t>AM7ML</t>
  </si>
  <si>
    <t>AMPOLA COM 7 mL</t>
  </si>
  <si>
    <t>ANO</t>
  </si>
  <si>
    <t>ANO/ANOS</t>
  </si>
  <si>
    <t>ANOS</t>
  </si>
  <si>
    <t>ARR</t>
  </si>
  <si>
    <t>ARROBA</t>
  </si>
  <si>
    <t>AWG</t>
  </si>
  <si>
    <t>AMERICAN WIRE GAUGE</t>
  </si>
  <si>
    <t>BAR</t>
  </si>
  <si>
    <t>BARRIL</t>
  </si>
  <si>
    <t>BAR.</t>
  </si>
  <si>
    <t>BD</t>
  </si>
  <si>
    <t>BALDE</t>
  </si>
  <si>
    <t>BIS</t>
  </si>
  <si>
    <t>BISNAGA</t>
  </si>
  <si>
    <t>BIS100G</t>
  </si>
  <si>
    <t>BISNAGA COM 100 g</t>
  </si>
  <si>
    <t>BIS10G</t>
  </si>
  <si>
    <t>BISNAGA COM 10 g</t>
  </si>
  <si>
    <t>BIS135G</t>
  </si>
  <si>
    <t>BISNAGA COM 135 g</t>
  </si>
  <si>
    <t>BIS13G</t>
  </si>
  <si>
    <t>BISNAGA COM 13 g</t>
  </si>
  <si>
    <t>BIS14G</t>
  </si>
  <si>
    <t>BISNAGA COM 14 g</t>
  </si>
  <si>
    <t>BIS15G</t>
  </si>
  <si>
    <t>BISNAGA COM 15 g</t>
  </si>
  <si>
    <t>BIS1/65G</t>
  </si>
  <si>
    <t>BISNAGA COM 1,65 g</t>
  </si>
  <si>
    <t>BIS1/8G</t>
  </si>
  <si>
    <t>BISNAGA COM 1,8 g</t>
  </si>
  <si>
    <t>BIS1G</t>
  </si>
  <si>
    <t>BISNAGA COM 1 g</t>
  </si>
  <si>
    <t>BIS20G</t>
  </si>
  <si>
    <t>BISNAGA COM 20 g</t>
  </si>
  <si>
    <t>BIS25G</t>
  </si>
  <si>
    <t>BISNAGA COM 25 g</t>
  </si>
  <si>
    <t>BIS28/8G</t>
  </si>
  <si>
    <t>BISNAGA COM 28,8 g</t>
  </si>
  <si>
    <t>BIS28G</t>
  </si>
  <si>
    <t>BISNAGA COM 28 g</t>
  </si>
  <si>
    <t>BIS2G</t>
  </si>
  <si>
    <t>BISNAGA COM 2 g</t>
  </si>
  <si>
    <t>BIS30G</t>
  </si>
  <si>
    <t>BISNAGA COM 30 g</t>
  </si>
  <si>
    <t>BIS30ML</t>
  </si>
  <si>
    <t>BISNAGA COM 30 mL</t>
  </si>
  <si>
    <t>BIS3/5G</t>
  </si>
  <si>
    <t>BISNAGA COM 3,5 g</t>
  </si>
  <si>
    <t>BIS40G</t>
  </si>
  <si>
    <t>BISNAGA COM 40 g</t>
  </si>
  <si>
    <t>BIS43G</t>
  </si>
  <si>
    <t>BISNAGA COM 43 g</t>
  </si>
  <si>
    <t>BIS45G</t>
  </si>
  <si>
    <t>BISNAGA COM 45 g</t>
  </si>
  <si>
    <t>BIS47G</t>
  </si>
  <si>
    <t>BISNAGA COM 47 g</t>
  </si>
  <si>
    <t>BIS4G</t>
  </si>
  <si>
    <t>BISNAGA COM 4 g</t>
  </si>
  <si>
    <t>BIS50G</t>
  </si>
  <si>
    <t>BISNAGA COM 50 g</t>
  </si>
  <si>
    <t>BIS55G</t>
  </si>
  <si>
    <t>BISNAGA COM 55 g</t>
  </si>
  <si>
    <t>BIS56G</t>
  </si>
  <si>
    <t>BISNAGA COM 56 g</t>
  </si>
  <si>
    <t>BIS5G</t>
  </si>
  <si>
    <t>BISNAGA COM 5 g</t>
  </si>
  <si>
    <t>BIS60G</t>
  </si>
  <si>
    <t>BISNAGA COM 60 g</t>
  </si>
  <si>
    <t>BIS6G</t>
  </si>
  <si>
    <t>BISNAGA COM 6 g</t>
  </si>
  <si>
    <t>BIS70G</t>
  </si>
  <si>
    <t>BISNAGA COM 70 g</t>
  </si>
  <si>
    <t>BIS7/5G</t>
  </si>
  <si>
    <t>BISNAGA COM 7,5 g</t>
  </si>
  <si>
    <t>BIS80G</t>
  </si>
  <si>
    <t>BISNAGA COM 80 g</t>
  </si>
  <si>
    <t>BIS90G</t>
  </si>
  <si>
    <t>BISNAGA COM 90 g</t>
  </si>
  <si>
    <t>BIS/GL</t>
  </si>
  <si>
    <t>BISNAGA POR GALÃO</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</si>
  <si>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</si>
  <si>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</si>
  <si>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</si>
  <si>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</si>
  <si>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</si>
  <si>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</si>
  <si>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</si>
  <si>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</si>
  <si>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</si>
  <si>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</si>
  <si>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</si>
  <si>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</si>
  <si>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</si>
  <si>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</si>
  <si>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</si>
  <si>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</si>
  <si>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</si>
  <si>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</si>
  <si>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</si>
  <si>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</si>
  <si>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</si>
  <si>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</si>
  <si>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</si>
  <si>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</si>
  <si>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</si>
  <si>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</si>
  <si>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</si>
  <si>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</si>
  <si>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</si>
  <si>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</si>
  <si>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</si>
  <si>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</si>
  <si>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</si>
  <si>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</si>
  <si>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t>
  </si>
  <si>
    <t>GRAU CELSIUS</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</si>
  <si>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</si>
  <si>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</si>
  <si>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</si>
  <si>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</si>
  <si>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</si>
  <si>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</si>
  <si>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</si>
  <si>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</si>
  <si>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</si>
  <si>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</si>
  <si>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</si>
  <si>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</si>
  <si>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</si>
  <si>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</si>
  <si>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</si>
  <si>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</si>
  <si>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</si>
  <si>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</si>
  <si>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</si>
  <si>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</si>
  <si>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</si>
  <si>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</si>
  <si>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CI</t>
  </si>
  <si>
    <t>CURIE</t>
  </si>
  <si>
    <t>CIL</t>
  </si>
  <si>
    <t>CILINDRO</t>
  </si>
  <si>
    <t>CIN</t>
  </si>
  <si>
    <t>CINQUENTA</t>
  </si>
  <si>
    <t>CL</t>
  </si>
  <si>
    <t>CENTILITRO</t>
  </si>
  <si>
    <t>CM</t>
  </si>
  <si>
    <t>CENTÍMETRO</t>
  </si>
  <si>
    <t>CM2</t>
  </si>
  <si>
    <t>CENTIMETRO QUADRADO</t>
  </si>
  <si>
    <t>CM2/H</t>
  </si>
  <si>
    <t>CENT.QUAD/HORA</t>
  </si>
  <si>
    <t>CM2/M</t>
  </si>
  <si>
    <t>CENT.QUADRADO/METRO</t>
  </si>
  <si>
    <t>CM3</t>
  </si>
  <si>
    <t>CENTÍMETRO CÚBICO</t>
  </si>
  <si>
    <t>CM³/H</t>
  </si>
  <si>
    <t>CENT.CÚBICO POR HORA</t>
  </si>
  <si>
    <t>CM³/MIN</t>
  </si>
  <si>
    <t>CM³/MINUTO</t>
  </si>
  <si>
    <t>CM/POL</t>
  </si>
  <si>
    <t>CENTÍMETRO/POLEGADA</t>
  </si>
  <si>
    <t>CNT</t>
  </si>
  <si>
    <t>RECIPIENTE</t>
  </si>
  <si>
    <t>CO</t>
  </si>
  <si>
    <t>CONTEINER</t>
  </si>
  <si>
    <t>COL</t>
  </si>
  <si>
    <t>COLEÇÃO</t>
  </si>
  <si>
    <t>COMP</t>
  </si>
  <si>
    <t>COMPRIMENTO</t>
  </si>
  <si>
    <t>COMPR</t>
  </si>
  <si>
    <t>COMPRIMIDO</t>
  </si>
  <si>
    <t>CÓPIA</t>
  </si>
  <si>
    <t>COPO</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</si>
  <si>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</si>
  <si>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</si>
  <si>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</si>
  <si>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</si>
  <si>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</si>
  <si>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</si>
  <si>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</si>
  <si>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</si>
  <si>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</si>
  <si>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</si>
  <si>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</si>
  <si>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</si>
  <si>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</si>
  <si>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</si>
  <si>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</si>
  <si>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</si>
  <si>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</si>
  <si>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</si>
  <si>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</si>
  <si>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</si>
  <si>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</si>
  <si>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</si>
  <si>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</si>
  <si>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</si>
  <si>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</si>
  <si>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</si>
  <si>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</si>
  <si>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</si>
  <si>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</si>
  <si>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</si>
  <si>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</si>
  <si>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</si>
  <si>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</si>
  <si>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</si>
  <si>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</si>
  <si>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</si>
  <si>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</si>
  <si>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</si>
  <si>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</si>
  <si>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</si>
  <si>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</si>
  <si>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</si>
  <si>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</si>
  <si>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</si>
  <si>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</si>
  <si>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</si>
  <si>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</si>
  <si>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</si>
  <si>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</si>
  <si>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</si>
  <si>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</si>
  <si>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</si>
  <si>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</si>
  <si>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</si>
  <si>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</si>
  <si>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</si>
  <si>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</si>
  <si>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</si>
  <si>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</si>
  <si>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</si>
  <si>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</si>
  <si>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</si>
  <si>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</si>
  <si>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</si>
  <si>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</si>
  <si>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</si>
  <si>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</si>
  <si>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</si>
  <si>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</si>
  <si>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</si>
  <si>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</si>
  <si>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</si>
  <si>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</si>
  <si>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</si>
  <si>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</si>
  <si>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</si>
  <si>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FARAD</t>
  </si>
  <si>
    <t>°F</t>
  </si>
  <si>
    <t>GRAU FAHRENHEIT</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</si>
  <si>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</si>
  <si>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</si>
  <si>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</si>
  <si>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</si>
  <si>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</si>
  <si>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</si>
  <si>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</si>
  <si>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</si>
  <si>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</si>
  <si>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</si>
  <si>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</si>
  <si>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</si>
  <si>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</si>
  <si>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</si>
  <si>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</si>
  <si>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</si>
  <si>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</si>
  <si>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</si>
  <si>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</si>
  <si>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</si>
  <si>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</si>
  <si>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</si>
  <si>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</si>
  <si>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</si>
  <si>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</si>
  <si>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</si>
  <si>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</si>
  <si>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</si>
  <si>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</si>
  <si>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</si>
  <si>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</si>
  <si>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</si>
  <si>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</si>
  <si>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</si>
  <si>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</si>
  <si>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</si>
  <si>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</si>
  <si>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</si>
  <si>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</si>
  <si>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</si>
  <si>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</si>
  <si>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</si>
  <si>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</si>
  <si>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</si>
  <si>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</si>
  <si>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</si>
  <si>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</si>
  <si>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</si>
  <si>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</si>
  <si>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</si>
  <si>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</si>
  <si>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</si>
  <si>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</si>
  <si>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</si>
  <si>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</si>
  <si>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</si>
  <si>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</si>
  <si>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</si>
  <si>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</si>
  <si>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</si>
  <si>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</si>
  <si>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</si>
  <si>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</si>
  <si>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</si>
  <si>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</si>
  <si>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</si>
  <si>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</si>
  <si>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</si>
  <si>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</si>
  <si>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</si>
  <si>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</si>
  <si>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</si>
  <si>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</si>
  <si>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</si>
  <si>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</si>
  <si>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</si>
  <si>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</si>
  <si>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Incluídos botões de navegação para os formulários de BDI (BDI 1, BDI 2, BDI 3).</t>
  </si>
  <si>
    <t/>
  </si>
  <si>
    <t>Administração Local:</t>
  </si>
  <si>
    <t>Administração Local</t>
  </si>
  <si>
    <t>Linha Adm. L.</t>
  </si>
  <si>
    <t>OK</t>
  </si>
  <si>
    <t>Incluídos alertas de erro de preenchimento em todas as abas.</t>
  </si>
  <si>
    <t>Não é mais possível deixar Eventos em branco (sem nome ou sem valor).</t>
  </si>
  <si>
    <t>Não é mais possível deixar Frentes de Obra em branco (sem nome ou sem quantidades).</t>
  </si>
  <si>
    <t>Incluída linha com o percentual acumulado da Administração Local em cada período.</t>
  </si>
  <si>
    <t>Incluído campo para selecionar o Macrosserviço referente à Administração Local (acompanhamento por BM).</t>
  </si>
  <si>
    <t>Incluído campo para selecionar o Título do Evento referente à Administração Local (acompanhamento por PLE).</t>
  </si>
  <si>
    <t>Incluída linha com o percentual acumulado da Administração Local em cada parcela.</t>
  </si>
  <si>
    <t>Incluída linha com o percentual acumulado da Administração Local em cada medição.</t>
  </si>
  <si>
    <t>Incluído campo com o percentual medido acumulado da Administração Local.</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</si>
  <si>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</si>
  <si>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</si>
  <si>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Incluído botão de macro para gerar arquivo (em xlsx) para upload da PO e CFF no TransfereGOV.</t>
  </si>
  <si>
    <t>Lista Macrosserviços</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</si>
  <si>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</si>
  <si>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</si>
  <si>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V3.09</t>
  </si>
  <si>
    <t>Automática, conforme os agrupadores Nível 2 do Orçamento</t>
  </si>
  <si>
    <t>v3.09</t>
  </si>
  <si>
    <t>Corrigida a macro dos botões de navegação para os formulários do BDI.</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</si>
  <si>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</si>
  <si>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</si>
  <si>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DESONERADO</t>
  </si>
  <si>
    <t>OGU</t>
  </si>
  <si>
    <t>PREFEITO MUNICIPAL</t>
  </si>
  <si>
    <t>SERVIÇOS INICIAIS</t>
  </si>
  <si>
    <t>103689</t>
  </si>
  <si>
    <t>Composição</t>
  </si>
  <si>
    <t>ESQUADRIAS</t>
  </si>
  <si>
    <t>PINTURA</t>
  </si>
  <si>
    <t>COTAÇÃO</t>
  </si>
  <si>
    <t>SERVIÇOS FINAIS</t>
  </si>
  <si>
    <t>99814</t>
  </si>
  <si>
    <t>Tradicional</t>
  </si>
  <si>
    <t>PAISAGISMO</t>
  </si>
  <si>
    <t>0</t>
  </si>
  <si>
    <t>RAFAELA B. BOSCHETTI</t>
  </si>
  <si>
    <t>A295176-2</t>
  </si>
  <si>
    <t>SINAPI-I</t>
  </si>
  <si>
    <t>99821</t>
  </si>
  <si>
    <t>LINDÓIA DO SUL - SC</t>
  </si>
  <si>
    <t>RUA COBERTA MUNICIPAL</t>
  </si>
  <si>
    <t>16357172</t>
  </si>
  <si>
    <t>FLAVIO BENINI</t>
  </si>
  <si>
    <t>ESTRUTURA METÁLICA</t>
  </si>
  <si>
    <t>DEMOLIÇÕES E REMOÇÕES</t>
  </si>
  <si>
    <t>CALÇADAS E CANTEIROS</t>
  </si>
  <si>
    <t>PAVIMENTAÇÃO</t>
  </si>
  <si>
    <t>PAREDES DE FECHAMENTO</t>
  </si>
  <si>
    <t>ACESSIBILIDADE</t>
  </si>
  <si>
    <t>1,2*2,40 = 2,88 M2</t>
  </si>
  <si>
    <t>98527</t>
  </si>
  <si>
    <t>ÁRVORES</t>
  </si>
  <si>
    <t>98530</t>
  </si>
  <si>
    <t>4 arvores a serem removidas</t>
  </si>
  <si>
    <t>104796</t>
  </si>
  <si>
    <t>104790</t>
  </si>
  <si>
    <t>106122</t>
  </si>
  <si>
    <t>105521</t>
  </si>
  <si>
    <t>98520</t>
  </si>
  <si>
    <t>38640</t>
  </si>
  <si>
    <t>98516</t>
  </si>
  <si>
    <t>94275</t>
  </si>
  <si>
    <t>94276</t>
  </si>
  <si>
    <t>94995</t>
  </si>
  <si>
    <t>92398</t>
  </si>
  <si>
    <t>104658</t>
  </si>
  <si>
    <t>PISO PODOTÁTIL DIRECIONAL, DE CONCRETO, ASSENTADO SOBRE ARGAMASSA. AF_03/2024</t>
  </si>
  <si>
    <t>PISO PODOTÁTIL DE ALERTA, DE CONCRETO, ASSENTADO SOBRE ARGAMASSA. AF_03/2024</t>
  </si>
  <si>
    <t>66</t>
  </si>
  <si>
    <t>65</t>
  </si>
  <si>
    <t>EQUIPAMENTOS E MOBILIÁRIOS URBANOS</t>
  </si>
  <si>
    <t>103307</t>
  </si>
  <si>
    <t>Amauc 111</t>
  </si>
  <si>
    <t>103330</t>
  </si>
  <si>
    <t>87905</t>
  </si>
  <si>
    <t>104218</t>
  </si>
  <si>
    <t>Amauc 113</t>
  </si>
  <si>
    <t>ALVENARIA</t>
  </si>
  <si>
    <t>VERGAS E CONTRAVERGAS</t>
  </si>
  <si>
    <t>105026</t>
  </si>
  <si>
    <t>105032</t>
  </si>
  <si>
    <t>67</t>
  </si>
  <si>
    <t>68</t>
  </si>
  <si>
    <t>2 UNIDADES NAS PONTAS</t>
  </si>
  <si>
    <t>6 UNIDADES</t>
  </si>
  <si>
    <t>2 UNIDADES</t>
  </si>
  <si>
    <t>1 UNIDADE (ORÇADO JÁ COM OS 4 TRECHOS)</t>
  </si>
  <si>
    <t>4 UNIDADES</t>
  </si>
  <si>
    <t>3 POR VASO X 2 VASOS =6</t>
  </si>
  <si>
    <t>1 POR VASOO X 2 VASOS = 2</t>
  </si>
  <si>
    <t>4 MUDAS POR M LINEAR .: 60 METROS = 240 MUDAS</t>
  </si>
  <si>
    <t>CONFORME QUANTITATIVOS REVIT</t>
  </si>
  <si>
    <t>CONFORME PLANILHA DE APOIO CÁLCULOS</t>
  </si>
  <si>
    <t>INSTALAÇÕES ELÉTRICAS</t>
  </si>
  <si>
    <t>0,6X0,9 = 0,54 X 64 JANELAS = 34,56</t>
  </si>
  <si>
    <t>92869</t>
  </si>
  <si>
    <t>95811</t>
  </si>
  <si>
    <t>104399</t>
  </si>
  <si>
    <t>104404</t>
  </si>
  <si>
    <t>95817</t>
  </si>
  <si>
    <t>39175</t>
  </si>
  <si>
    <t>39177</t>
  </si>
  <si>
    <t>92009</t>
  </si>
  <si>
    <t>91992</t>
  </si>
  <si>
    <t>91920</t>
  </si>
  <si>
    <t>91914</t>
  </si>
  <si>
    <t>CONFORME PROJETO ELÉTRICO</t>
  </si>
  <si>
    <t>93653</t>
  </si>
  <si>
    <t>93655</t>
  </si>
  <si>
    <t>39445</t>
  </si>
  <si>
    <t>106027</t>
  </si>
  <si>
    <t>91847</t>
  </si>
  <si>
    <t>91871</t>
  </si>
  <si>
    <t>91873</t>
  </si>
  <si>
    <t>91928</t>
  </si>
  <si>
    <t>91926</t>
  </si>
  <si>
    <t>91863</t>
  </si>
  <si>
    <t>91875</t>
  </si>
  <si>
    <t>91877</t>
  </si>
  <si>
    <t>97668</t>
  </si>
  <si>
    <t>93656</t>
  </si>
  <si>
    <t>93659</t>
  </si>
  <si>
    <t>97595</t>
  </si>
  <si>
    <t>Cotação</t>
  </si>
  <si>
    <t>70</t>
  </si>
  <si>
    <t>71</t>
  </si>
  <si>
    <t>72</t>
  </si>
  <si>
    <t>73</t>
  </si>
  <si>
    <t>74</t>
  </si>
  <si>
    <t>75</t>
  </si>
  <si>
    <t>76</t>
  </si>
  <si>
    <t>97888</t>
  </si>
  <si>
    <t>77</t>
  </si>
  <si>
    <t>96620</t>
  </si>
  <si>
    <t>AMAUC 114</t>
  </si>
  <si>
    <t>AMAUC 115</t>
  </si>
  <si>
    <t>AMAUC 116</t>
  </si>
  <si>
    <t>91933</t>
  </si>
  <si>
    <t xml:space="preserve">CONSTRUÇÃO DA RUA COBERTA MUNICIPAL </t>
  </si>
  <si>
    <t>102329</t>
  </si>
  <si>
    <t>93369</t>
  </si>
  <si>
    <t>ESCAVAÇÃO E REATERRO</t>
  </si>
  <si>
    <t>AZ ENG</t>
  </si>
  <si>
    <t>FUNDAÇÃO EM CONCRETO</t>
  </si>
  <si>
    <t>96531</t>
  </si>
  <si>
    <t>104916</t>
  </si>
  <si>
    <t>104918</t>
  </si>
  <si>
    <t>104919</t>
  </si>
  <si>
    <t>104920</t>
  </si>
  <si>
    <t>96557</t>
  </si>
  <si>
    <t>ESTRUTURA E FUNDAÇÕES - PROJETO E ORÇAMENTO TERCERIZADO - AZEVEDO ENGENHARIA (AZ ENG)</t>
  </si>
  <si>
    <t>BLANK DE FIXAÇÃO</t>
  </si>
  <si>
    <t>ESTRUTURA DA COBERTURA</t>
  </si>
  <si>
    <t>MARQUIZE METÁLICA</t>
  </si>
  <si>
    <t>AZ ENG. 01</t>
  </si>
  <si>
    <t>AZ ENG. 02</t>
  </si>
  <si>
    <t>AZ ENG. 03</t>
  </si>
  <si>
    <t>conforme quantitativos revit</t>
  </si>
  <si>
    <t>LOCAÇÃO DE OBRA</t>
  </si>
  <si>
    <t>AMAUC 01</t>
  </si>
  <si>
    <t>SERVIÇOS INICIAIS E ESCAVAÇÕES</t>
  </si>
  <si>
    <t>ALVENARIA, ESQUADRIAS E INSTALAÇÕES ELÉTRICAS</t>
  </si>
  <si>
    <t xml:space="preserve">FUNDAÇÕES E ESTRUTURA </t>
  </si>
  <si>
    <t>PAVIMENTAÇÃO E FECHAMENTO METÁLICO</t>
  </si>
  <si>
    <t>88497</t>
  </si>
  <si>
    <t>88415</t>
  </si>
  <si>
    <t>88489</t>
  </si>
  <si>
    <t>PISOS</t>
  </si>
  <si>
    <t>ESTACAS DE CONCRETO</t>
  </si>
  <si>
    <t>AZ ENG. 04</t>
  </si>
  <si>
    <t>SAPATAS E BLOCOS DE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</si>
</sst>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style="thin">
        <color indexed="64"/>
      </left>
      <right style="thin">
        <color indexed="64"/>
      </right>
      <top style="thin">
        <color indexed="64"/>
      </top>
      <bottom style="thin">
        <color auto="1"/>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hair">
        <color indexed="8"/>
      </left>
      <right/>
      <top style="hair">
        <color indexed="8"/>
      </top>
      <bottom/>
      <diagonal/>
    </border>
    <border>
      <left style="hair">
        <color indexed="8"/>
      </left>
      <right/>
      <top style="hair">
        <color indexed="8"/>
      </top>
      <bottom style="thin">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3"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70" fillId="0" borderId="0"/>
  </cellStyleXfs>
  <cellXfs count="852">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6"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6"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0"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1" fontId="0" fillId="0" borderId="40" xfId="48" applyFont="1" applyFill="1" applyBorder="1" applyAlignment="1" applyProtection="1">
      <alignment vertical="center" shrinkToFit="1"/>
    </xf>
    <xf numFmtId="171"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1"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1"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1" fontId="24" fillId="17" borderId="46" xfId="48" applyFont="1" applyFill="1" applyBorder="1" applyAlignment="1" applyProtection="1">
      <alignment horizontal="center" vertical="center" shrinkToFit="1"/>
    </xf>
    <xf numFmtId="171"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71"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7" fontId="0" fillId="0" borderId="30" xfId="0" applyNumberFormat="1" applyBorder="1"/>
    <xf numFmtId="0" fontId="0" fillId="0" borderId="30" xfId="0" applyBorder="1"/>
    <xf numFmtId="0" fontId="0" fillId="0" borderId="0" xfId="33" applyFont="1" applyAlignment="1">
      <alignment vertical="center"/>
    </xf>
    <xf numFmtId="0" fontId="46" fillId="0" borderId="32" xfId="0" applyFont="1" applyBorder="1" applyAlignment="1">
      <alignment horizontal="center" vertical="center"/>
    </xf>
    <xf numFmtId="171" fontId="56" fillId="0"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2"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3" fontId="56" fillId="0" borderId="61" xfId="48" applyNumberFormat="1" applyFill="1" applyBorder="1" applyAlignment="1" applyProtection="1">
      <alignment horizontal="right" shrinkToFit="1"/>
    </xf>
    <xf numFmtId="173" fontId="0" fillId="0" borderId="34" xfId="48" applyNumberFormat="1" applyFont="1" applyFill="1" applyBorder="1" applyAlignment="1" applyProtection="1">
      <alignment horizontal="center" vertical="center"/>
    </xf>
    <xf numFmtId="0" fontId="46" fillId="0" borderId="31" xfId="34" applyFont="1" applyBorder="1" applyAlignment="1">
      <alignment horizontal="center"/>
    </xf>
    <xf numFmtId="0" fontId="46" fillId="0" borderId="62" xfId="34" applyFont="1" applyBorder="1"/>
    <xf numFmtId="0" fontId="32" fillId="0" borderId="62" xfId="34" applyFont="1" applyBorder="1"/>
    <xf numFmtId="0" fontId="46" fillId="0" borderId="62" xfId="34" applyFont="1" applyBorder="1" applyAlignment="1">
      <alignment horizontal="center"/>
    </xf>
    <xf numFmtId="165" fontId="0" fillId="0" borderId="62" xfId="49" applyFont="1" applyFill="1" applyBorder="1" applyAlignment="1" applyProtection="1">
      <alignment horizontal="right" shrinkToFit="1"/>
    </xf>
    <xf numFmtId="173" fontId="0" fillId="0" borderId="31" xfId="48" applyNumberFormat="1" applyFont="1" applyFill="1" applyBorder="1" applyAlignment="1" applyProtection="1">
      <alignment horizontal="center" vertical="center"/>
    </xf>
    <xf numFmtId="165" fontId="48" fillId="0" borderId="63" xfId="49" applyFont="1" applyFill="1" applyBorder="1" applyAlignment="1" applyProtection="1">
      <alignment horizontal="center"/>
    </xf>
    <xf numFmtId="0" fontId="46" fillId="0" borderId="14" xfId="34" applyFont="1" applyBorder="1" applyAlignment="1">
      <alignment horizontal="center"/>
    </xf>
    <xf numFmtId="165" fontId="48" fillId="0" borderId="0" xfId="49" applyFont="1" applyFill="1" applyBorder="1" applyAlignment="1" applyProtection="1">
      <alignment horizontal="center"/>
    </xf>
    <xf numFmtId="165" fontId="0" fillId="0" borderId="14"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5" fontId="24" fillId="0" borderId="33"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6" fillId="0" borderId="0" xfId="34" applyFont="1" applyAlignment="1">
      <alignment horizontal="center" wrapText="1"/>
    </xf>
    <xf numFmtId="174"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4" fontId="49" fillId="0" borderId="56" xfId="34" applyNumberFormat="1" applyFont="1" applyBorder="1" applyAlignment="1" applyProtection="1">
      <alignment horizontal="center"/>
      <protection locked="0"/>
    </xf>
    <xf numFmtId="0" fontId="46" fillId="8" borderId="34" xfId="34" applyFont="1" applyFill="1" applyBorder="1"/>
    <xf numFmtId="165" fontId="24" fillId="0" borderId="0" xfId="49" applyFont="1" applyFill="1" applyBorder="1" applyAlignment="1" applyProtection="1">
      <alignment horizontal="center" shrinkToFit="1"/>
    </xf>
    <xf numFmtId="165" fontId="0" fillId="8" borderId="64"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0" xfId="48" applyFill="1" applyBorder="1" applyAlignment="1" applyProtection="1">
      <alignment shrinkToFit="1"/>
    </xf>
    <xf numFmtId="0" fontId="46" fillId="8" borderId="31" xfId="34" applyFont="1" applyFill="1" applyBorder="1"/>
    <xf numFmtId="165" fontId="0" fillId="0" borderId="38" xfId="49" applyFont="1" applyFill="1" applyBorder="1" applyAlignment="1" applyProtection="1">
      <alignment horizontal="center"/>
    </xf>
    <xf numFmtId="165" fontId="0" fillId="0" borderId="67" xfId="49" applyFont="1" applyFill="1" applyBorder="1" applyAlignment="1" applyProtection="1">
      <alignment horizontal="right"/>
    </xf>
    <xf numFmtId="0" fontId="49" fillId="0" borderId="0" xfId="34" applyFont="1" applyAlignment="1">
      <alignment horizontal="left"/>
    </xf>
    <xf numFmtId="0" fontId="46" fillId="8" borderId="31" xfId="34" applyFont="1" applyFill="1" applyBorder="1" applyAlignment="1">
      <alignment horizontal="center"/>
    </xf>
    <xf numFmtId="165" fontId="0" fillId="8" borderId="38" xfId="49" applyFont="1" applyFill="1" applyBorder="1" applyAlignment="1" applyProtection="1">
      <alignment horizontal="center"/>
    </xf>
    <xf numFmtId="165" fontId="0" fillId="8" borderId="67" xfId="49" applyFont="1" applyFill="1" applyBorder="1" applyAlignment="1" applyProtection="1">
      <alignment horizontal="right"/>
    </xf>
    <xf numFmtId="171" fontId="56" fillId="0" borderId="43" xfId="48" applyFill="1" applyBorder="1" applyAlignment="1" applyProtection="1">
      <alignment shrinkToFit="1"/>
    </xf>
    <xf numFmtId="165" fontId="0" fillId="0" borderId="59" xfId="49" applyFont="1" applyFill="1" applyBorder="1" applyAlignment="1" applyProtection="1">
      <alignment horizontal="center"/>
    </xf>
    <xf numFmtId="165" fontId="0" fillId="0" borderId="61" xfId="49" applyFont="1" applyFill="1" applyBorder="1" applyAlignment="1" applyProtection="1">
      <alignment horizontal="right"/>
    </xf>
    <xf numFmtId="0" fontId="46" fillId="8" borderId="14" xfId="34" applyFont="1" applyFill="1" applyBorder="1"/>
    <xf numFmtId="165" fontId="24" fillId="8" borderId="70" xfId="49" applyFont="1" applyFill="1" applyBorder="1" applyAlignment="1" applyProtection="1">
      <alignment horizontal="center"/>
    </xf>
    <xf numFmtId="165" fontId="24" fillId="8" borderId="71" xfId="49" applyFont="1" applyFill="1" applyBorder="1" applyAlignment="1" applyProtection="1">
      <alignment horizontal="right"/>
    </xf>
    <xf numFmtId="0" fontId="46" fillId="0" borderId="30" xfId="34" applyFont="1" applyBorder="1" applyAlignment="1">
      <alignment horizontal="center"/>
    </xf>
    <xf numFmtId="165" fontId="0" fillId="0" borderId="30" xfId="49" applyFont="1" applyFill="1" applyBorder="1" applyAlignment="1" applyProtection="1">
      <alignment horizontal="center"/>
    </xf>
    <xf numFmtId="0" fontId="0" fillId="0" borderId="40" xfId="0" applyBorder="1" applyAlignment="1">
      <alignment horizontal="center"/>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4" xfId="0" applyFont="1" applyFill="1" applyBorder="1"/>
    <xf numFmtId="0" fontId="24" fillId="8" borderId="75" xfId="0" applyFont="1" applyFill="1" applyBorder="1"/>
    <xf numFmtId="0" fontId="24" fillId="8" borderId="76" xfId="0" applyFont="1" applyFill="1" applyBorder="1"/>
    <xf numFmtId="0" fontId="0" fillId="18" borderId="40" xfId="0" applyFill="1" applyBorder="1" applyAlignment="1">
      <alignment horizontal="center"/>
    </xf>
    <xf numFmtId="0" fontId="0" fillId="18" borderId="40" xfId="0" applyFill="1" applyBorder="1"/>
    <xf numFmtId="0" fontId="0" fillId="8" borderId="77" xfId="0" applyFill="1" applyBorder="1"/>
    <xf numFmtId="0" fontId="0" fillId="8" borderId="78" xfId="0" applyFill="1" applyBorder="1"/>
    <xf numFmtId="0" fontId="0" fillId="8" borderId="79"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8" fontId="0" fillId="0" borderId="47" xfId="0" applyNumberFormat="1" applyBorder="1" applyAlignment="1">
      <alignment horizontal="center" vertical="center"/>
    </xf>
    <xf numFmtId="178" fontId="0" fillId="0" borderId="14" xfId="0" applyNumberFormat="1" applyBorder="1" applyAlignment="1">
      <alignment horizontal="center" vertical="center"/>
    </xf>
    <xf numFmtId="179" fontId="24" fillId="0" borderId="39" xfId="0" applyNumberFormat="1" applyFont="1" applyBorder="1" applyAlignment="1">
      <alignment horizontal="center" vertical="center"/>
    </xf>
    <xf numFmtId="0" fontId="0" fillId="0" borderId="40" xfId="0" applyBorder="1" applyAlignment="1">
      <alignment horizontal="center" vertical="center"/>
    </xf>
    <xf numFmtId="178" fontId="0" fillId="0" borderId="38" xfId="0" applyNumberFormat="1" applyBorder="1" applyAlignment="1">
      <alignment horizontal="center" vertical="center"/>
    </xf>
    <xf numFmtId="178" fontId="0" fillId="0" borderId="77" xfId="0" applyNumberFormat="1" applyBorder="1" applyAlignment="1">
      <alignment horizontal="center" vertical="center"/>
    </xf>
    <xf numFmtId="178" fontId="0" fillId="0" borderId="67" xfId="0" applyNumberFormat="1" applyBorder="1" applyAlignment="1">
      <alignment horizontal="center" vertical="center"/>
    </xf>
    <xf numFmtId="178" fontId="0" fillId="0" borderId="42" xfId="0" applyNumberFormat="1" applyBorder="1" applyAlignment="1">
      <alignment horizontal="center" vertical="center"/>
    </xf>
    <xf numFmtId="178" fontId="0" fillId="6" borderId="68" xfId="0" applyNumberFormat="1" applyFill="1" applyBorder="1" applyAlignment="1" applyProtection="1">
      <alignment horizontal="center" vertical="center"/>
      <protection locked="0"/>
    </xf>
    <xf numFmtId="178"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0" xfId="0" applyFill="1" applyBorder="1"/>
    <xf numFmtId="0" fontId="0" fillId="8" borderId="10" xfId="0" applyFill="1" applyBorder="1"/>
    <xf numFmtId="178" fontId="17" fillId="8" borderId="80"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0"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1" fontId="8" fillId="8" borderId="47" xfId="0" applyNumberFormat="1" applyFont="1" applyFill="1" applyBorder="1" applyAlignment="1">
      <alignment horizontal="center"/>
    </xf>
    <xf numFmtId="181" fontId="8" fillId="8" borderId="30"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0"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2"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3" fontId="24" fillId="8" borderId="34" xfId="0" applyNumberFormat="1" applyFont="1" applyFill="1" applyBorder="1" applyAlignment="1">
      <alignment horizontal="center" vertical="center" wrapText="1"/>
    </xf>
    <xf numFmtId="171" fontId="0" fillId="0" borderId="38" xfId="48" applyFont="1" applyFill="1" applyBorder="1" applyAlignment="1" applyProtection="1">
      <alignment vertical="center" shrinkToFit="1"/>
    </xf>
    <xf numFmtId="171" fontId="0" fillId="0" borderId="67" xfId="48" applyFont="1" applyFill="1" applyBorder="1" applyAlignment="1" applyProtection="1">
      <alignment vertical="center" shrinkToFit="1"/>
    </xf>
    <xf numFmtId="171" fontId="0" fillId="0" borderId="39" xfId="48" applyFont="1" applyFill="1" applyBorder="1" applyAlignment="1" applyProtection="1">
      <alignment horizontal="center" vertical="center" shrinkToFit="1"/>
    </xf>
    <xf numFmtId="171" fontId="0" fillId="0" borderId="40" xfId="48" applyFont="1" applyFill="1" applyBorder="1" applyAlignment="1" applyProtection="1">
      <alignment horizontal="center" vertical="center" shrinkToFit="1"/>
    </xf>
    <xf numFmtId="171" fontId="0" fillId="6" borderId="39" xfId="48" applyFont="1" applyFill="1" applyBorder="1" applyAlignment="1" applyProtection="1">
      <protection locked="0"/>
    </xf>
    <xf numFmtId="171" fontId="0" fillId="6" borderId="41" xfId="48" applyFont="1" applyFill="1" applyBorder="1" applyAlignment="1" applyProtection="1">
      <protection locked="0"/>
    </xf>
    <xf numFmtId="165" fontId="0" fillId="0" borderId="40" xfId="0" applyNumberFormat="1" applyBorder="1"/>
    <xf numFmtId="171" fontId="24" fillId="17" borderId="14" xfId="48" applyFont="1" applyFill="1" applyBorder="1" applyAlignment="1" applyProtection="1">
      <alignment horizontal="center" vertical="center"/>
    </xf>
    <xf numFmtId="171"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2" xfId="0" applyFill="1" applyBorder="1"/>
    <xf numFmtId="0" fontId="0" fillId="17" borderId="81"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4"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8"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7" xfId="0" applyBorder="1" applyAlignment="1">
      <alignment horizontal="center" vertical="center"/>
    </xf>
    <xf numFmtId="178" fontId="0" fillId="0" borderId="0" xfId="0" applyNumberFormat="1" applyAlignment="1">
      <alignment horizontal="center" vertical="center"/>
    </xf>
    <xf numFmtId="10" fontId="0" fillId="0" borderId="67" xfId="0" applyNumberFormat="1" applyBorder="1" applyAlignment="1">
      <alignment horizontal="center" vertical="center"/>
    </xf>
    <xf numFmtId="0" fontId="0" fillId="0" borderId="33" xfId="0" applyBorder="1" applyAlignment="1">
      <alignment horizontal="center" vertical="center" wrapText="1"/>
    </xf>
    <xf numFmtId="181" fontId="8" fillId="8" borderId="82" xfId="0" applyNumberFormat="1" applyFont="1" applyFill="1" applyBorder="1" applyAlignment="1">
      <alignment horizontal="center"/>
    </xf>
    <xf numFmtId="181" fontId="8" fillId="8" borderId="83" xfId="0" applyNumberFormat="1" applyFont="1" applyFill="1" applyBorder="1" applyAlignment="1">
      <alignment horizontal="center"/>
    </xf>
    <xf numFmtId="181" fontId="8" fillId="8" borderId="64" xfId="0" applyNumberFormat="1" applyFont="1" applyFill="1" applyBorder="1" applyAlignment="1">
      <alignment horizontal="center"/>
    </xf>
    <xf numFmtId="181" fontId="8" fillId="8" borderId="65"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2" xfId="0" applyNumberFormat="1" applyFill="1" applyBorder="1" applyAlignment="1">
      <alignment horizontal="center" vertical="center"/>
    </xf>
    <xf numFmtId="178" fontId="0" fillId="8" borderId="38" xfId="0" applyNumberFormat="1" applyFill="1" applyBorder="1" applyAlignment="1">
      <alignment horizontal="center" vertical="center"/>
    </xf>
    <xf numFmtId="178" fontId="0" fillId="8" borderId="77" xfId="0" applyNumberFormat="1" applyFill="1" applyBorder="1" applyAlignment="1">
      <alignment horizontal="center" vertical="center"/>
    </xf>
    <xf numFmtId="178" fontId="0" fillId="8" borderId="67" xfId="0" applyNumberFormat="1" applyFill="1" applyBorder="1" applyAlignment="1">
      <alignment horizontal="center" vertical="center"/>
    </xf>
    <xf numFmtId="0" fontId="0" fillId="18" borderId="82" xfId="0" applyFill="1" applyBorder="1" applyAlignment="1">
      <alignment horizontal="right"/>
    </xf>
    <xf numFmtId="178" fontId="55" fillId="0" borderId="40" xfId="0" applyNumberFormat="1" applyFont="1" applyBorder="1"/>
    <xf numFmtId="178" fontId="0" fillId="0" borderId="84" xfId="0" applyNumberFormat="1" applyBorder="1" applyAlignment="1">
      <alignment horizontal="center" vertical="center"/>
    </xf>
    <xf numFmtId="178" fontId="0" fillId="0" borderId="59" xfId="0" applyNumberFormat="1" applyBorder="1" applyAlignment="1">
      <alignment horizontal="center" vertical="center"/>
    </xf>
    <xf numFmtId="178" fontId="0" fillId="0" borderId="60" xfId="0" applyNumberFormat="1" applyBorder="1" applyAlignment="1">
      <alignment horizontal="center" vertical="center"/>
    </xf>
    <xf numFmtId="178" fontId="0" fillId="0" borderId="61" xfId="0" applyNumberFormat="1" applyBorder="1" applyAlignment="1">
      <alignment horizontal="center" vertical="center"/>
    </xf>
    <xf numFmtId="0" fontId="0" fillId="18" borderId="85" xfId="0" applyFill="1" applyBorder="1" applyAlignment="1">
      <alignment horizontal="right"/>
    </xf>
    <xf numFmtId="178" fontId="17" fillId="8" borderId="32" xfId="0" applyNumberFormat="1" applyFont="1" applyFill="1" applyBorder="1" applyAlignment="1">
      <alignment horizontal="center" vertical="center"/>
    </xf>
    <xf numFmtId="178" fontId="17" fillId="8" borderId="13" xfId="0" applyNumberFormat="1" applyFont="1" applyFill="1" applyBorder="1" applyAlignment="1">
      <alignment horizontal="center" vertical="center"/>
    </xf>
    <xf numFmtId="178" fontId="17" fillId="8" borderId="45" xfId="0" applyNumberFormat="1" applyFont="1" applyFill="1" applyBorder="1" applyAlignment="1">
      <alignment horizontal="center" vertical="center"/>
    </xf>
    <xf numFmtId="178" fontId="17" fillId="8" borderId="46"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40" xfId="48" applyNumberFormat="1" applyFont="1" applyFill="1" applyBorder="1" applyAlignment="1" applyProtection="1">
      <alignment vertical="top" shrinkToFit="1"/>
    </xf>
    <xf numFmtId="180" fontId="24" fillId="0" borderId="69" xfId="48" applyNumberFormat="1" applyFont="1" applyFill="1" applyBorder="1" applyAlignment="1" applyProtection="1">
      <alignment horizontal="right" vertical="top" shrinkToFit="1"/>
    </xf>
    <xf numFmtId="10" fontId="24" fillId="0" borderId="69"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7" xfId="0" applyBorder="1"/>
    <xf numFmtId="0" fontId="0" fillId="0" borderId="88" xfId="0" applyBorder="1"/>
    <xf numFmtId="0" fontId="0" fillId="0" borderId="89" xfId="0" applyBorder="1"/>
    <xf numFmtId="0" fontId="0" fillId="0" borderId="90" xfId="0" applyBorder="1"/>
    <xf numFmtId="0" fontId="24" fillId="0" borderId="0" xfId="0" applyFont="1" applyAlignment="1">
      <alignment vertical="center"/>
    </xf>
    <xf numFmtId="0" fontId="0" fillId="0" borderId="91" xfId="0" applyBorder="1"/>
    <xf numFmtId="0" fontId="0" fillId="0" borderId="91" xfId="0" applyBorder="1" applyAlignment="1">
      <alignment vertical="center"/>
    </xf>
    <xf numFmtId="0" fontId="0" fillId="0" borderId="92" xfId="0" applyBorder="1"/>
    <xf numFmtId="0" fontId="0" fillId="0" borderId="93" xfId="0" applyBorder="1"/>
    <xf numFmtId="0" fontId="0" fillId="0" borderId="94"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1"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1"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1" fontId="0" fillId="6" borderId="42" xfId="48" applyFont="1" applyFill="1" applyBorder="1" applyAlignment="1" applyProtection="1">
      <alignment vertical="center" wrapText="1"/>
      <protection locked="0"/>
    </xf>
    <xf numFmtId="0" fontId="46" fillId="23" borderId="45" xfId="34" applyFont="1" applyFill="1" applyBorder="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5" fontId="0" fillId="22" borderId="45" xfId="49" applyFont="1" applyFill="1" applyBorder="1" applyAlignment="1" applyProtection="1">
      <alignment horizontal="center"/>
    </xf>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1"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9" xfId="48" applyFont="1" applyFill="1" applyBorder="1" applyAlignment="1" applyProtection="1">
      <alignment vertical="center" wrapText="1"/>
      <protection locked="0"/>
    </xf>
    <xf numFmtId="10" fontId="24" fillId="17" borderId="72" xfId="48" applyNumberFormat="1" applyFont="1" applyFill="1" applyBorder="1" applyAlignment="1" applyProtection="1">
      <alignment horizontal="center" vertical="center"/>
    </xf>
    <xf numFmtId="171" fontId="24" fillId="17" borderId="72" xfId="48" applyFont="1" applyFill="1" applyBorder="1" applyAlignment="1" applyProtection="1">
      <alignment horizontal="center" vertical="center"/>
    </xf>
    <xf numFmtId="10" fontId="24" fillId="17" borderId="73"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6" xfId="0" applyNumberFormat="1" applyFill="1" applyBorder="1" applyProtection="1">
      <protection locked="0"/>
    </xf>
    <xf numFmtId="4" fontId="0" fillId="6" borderId="72" xfId="0" applyNumberFormat="1" applyFill="1" applyBorder="1" applyProtection="1">
      <protection locked="0"/>
    </xf>
    <xf numFmtId="4" fontId="0" fillId="6" borderId="73" xfId="0" applyNumberFormat="1" applyFill="1" applyBorder="1" applyProtection="1">
      <protection locked="0"/>
    </xf>
    <xf numFmtId="0" fontId="0" fillId="0" borderId="95" xfId="0" applyBorder="1" applyAlignment="1">
      <alignment horizontal="center"/>
    </xf>
    <xf numFmtId="0" fontId="0" fillId="0" borderId="96" xfId="0" applyBorder="1" applyAlignment="1">
      <alignment horizontal="center"/>
    </xf>
    <xf numFmtId="0" fontId="0" fillId="0" borderId="97" xfId="0" applyBorder="1" applyAlignment="1">
      <alignment horizontal="center"/>
    </xf>
    <xf numFmtId="0" fontId="24" fillId="0" borderId="62" xfId="0" applyFont="1" applyBorder="1"/>
    <xf numFmtId="0" fontId="0" fillId="6" borderId="37" xfId="0" applyFill="1" applyBorder="1" applyAlignment="1" applyProtection="1">
      <alignment horizontal="center" textRotation="90" wrapText="1"/>
      <protection locked="0"/>
    </xf>
    <xf numFmtId="171" fontId="0" fillId="0" borderId="37" xfId="48" applyFont="1" applyFill="1" applyBorder="1" applyAlignment="1" applyProtection="1">
      <alignment vertical="center" shrinkToFit="1"/>
    </xf>
    <xf numFmtId="185"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1" fontId="24" fillId="17" borderId="30" xfId="48" applyFont="1" applyFill="1" applyBorder="1" applyAlignment="1" applyProtection="1">
      <alignment horizontal="center" vertical="center"/>
    </xf>
    <xf numFmtId="171"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6" fontId="0" fillId="0" borderId="30" xfId="0" applyNumberFormat="1" applyBorder="1" applyAlignment="1">
      <alignment horizontal="left"/>
    </xf>
    <xf numFmtId="0" fontId="17" fillId="0" borderId="93" xfId="33" applyFont="1" applyBorder="1" applyAlignment="1">
      <alignment vertical="center"/>
    </xf>
    <xf numFmtId="0" fontId="0" fillId="0" borderId="93" xfId="0" applyBorder="1" applyAlignment="1">
      <alignment horizontal="center"/>
    </xf>
    <xf numFmtId="0" fontId="46" fillId="0" borderId="93" xfId="34" applyFont="1" applyBorder="1" applyAlignment="1">
      <alignment horizontal="center"/>
    </xf>
    <xf numFmtId="0" fontId="0" fillId="0" borderId="41" xfId="0" applyBorder="1" applyAlignment="1">
      <alignment horizontal="center" vertical="center" wrapText="1"/>
    </xf>
    <xf numFmtId="165" fontId="0" fillId="6" borderId="40" xfId="0" applyNumberFormat="1" applyFill="1" applyBorder="1" applyAlignment="1" applyProtection="1">
      <alignment horizontal="center" vertical="center"/>
      <protection locked="0"/>
    </xf>
    <xf numFmtId="0" fontId="0" fillId="6" borderId="84" xfId="0" applyFill="1" applyBorder="1" applyAlignment="1" applyProtection="1">
      <alignment horizontal="left" vertical="center" wrapText="1"/>
      <protection locked="0"/>
    </xf>
    <xf numFmtId="49" fontId="0" fillId="6" borderId="68" xfId="0" applyNumberFormat="1" applyFill="1" applyBorder="1" applyAlignment="1" applyProtection="1">
      <alignment horizontal="center" vertical="center" wrapText="1"/>
      <protection locked="0"/>
    </xf>
    <xf numFmtId="49" fontId="0" fillId="16" borderId="98"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99" xfId="0" applyFont="1" applyBorder="1"/>
    <xf numFmtId="0" fontId="27" fillId="0" borderId="88" xfId="0" applyFont="1" applyBorder="1" applyAlignment="1">
      <alignment horizontal="left" indent="1"/>
    </xf>
    <xf numFmtId="171" fontId="0" fillId="0" borderId="41" xfId="48" applyFont="1" applyFill="1" applyBorder="1" applyAlignment="1" applyProtection="1">
      <alignment vertical="center" shrinkToFit="1"/>
    </xf>
    <xf numFmtId="171" fontId="24" fillId="17" borderId="69" xfId="48" applyFont="1" applyFill="1" applyBorder="1" applyAlignment="1" applyProtection="1">
      <alignment horizontal="center" vertical="center" shrinkToFit="1"/>
    </xf>
    <xf numFmtId="171" fontId="24" fillId="17" borderId="73" xfId="48" applyFont="1" applyFill="1" applyBorder="1" applyAlignment="1" applyProtection="1">
      <alignment horizontal="center" vertical="center"/>
    </xf>
    <xf numFmtId="0" fontId="0" fillId="16" borderId="41" xfId="0" applyFill="1" applyBorder="1" applyAlignment="1" applyProtection="1">
      <alignment shrinkToFit="1"/>
      <protection locked="0"/>
    </xf>
    <xf numFmtId="0" fontId="0" fillId="0" borderId="100" xfId="0" applyBorder="1" applyAlignment="1">
      <alignment vertical="center"/>
    </xf>
    <xf numFmtId="0" fontId="0" fillId="16" borderId="101" xfId="0" applyFill="1" applyBorder="1" applyAlignment="1" applyProtection="1">
      <alignment vertical="center"/>
      <protection locked="0"/>
    </xf>
    <xf numFmtId="43" fontId="0" fillId="0" borderId="0" xfId="0" applyNumberFormat="1"/>
    <xf numFmtId="0" fontId="12" fillId="0" borderId="93" xfId="0" applyFont="1" applyBorder="1" applyAlignment="1">
      <alignment horizontal="left" indent="1"/>
    </xf>
    <xf numFmtId="0" fontId="28" fillId="0" borderId="89" xfId="0" applyFont="1" applyBorder="1"/>
    <xf numFmtId="0" fontId="57" fillId="25" borderId="86" xfId="30" applyFont="1" applyFill="1" applyBorder="1" applyAlignment="1">
      <alignment horizontal="center" vertical="center"/>
    </xf>
    <xf numFmtId="0" fontId="17" fillId="25" borderId="86" xfId="30" applyFont="1" applyFill="1" applyBorder="1" applyAlignment="1">
      <alignment horizontal="center" vertical="center"/>
    </xf>
    <xf numFmtId="0" fontId="23" fillId="25" borderId="86" xfId="30" applyFont="1" applyFill="1" applyBorder="1" applyAlignment="1">
      <alignment horizontal="center" vertical="center"/>
    </xf>
    <xf numFmtId="0" fontId="0" fillId="26" borderId="0" xfId="0" applyFill="1"/>
    <xf numFmtId="0" fontId="24" fillId="25" borderId="86"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1" xfId="0" applyFont="1" applyBorder="1" applyAlignment="1">
      <alignment horizontal="center" wrapText="1"/>
    </xf>
    <xf numFmtId="0" fontId="12" fillId="20" borderId="106" xfId="0" applyFont="1" applyFill="1" applyBorder="1" applyAlignment="1">
      <alignment horizontal="center" vertical="center"/>
    </xf>
    <xf numFmtId="0" fontId="49" fillId="0" borderId="108"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5" fillId="0" borderId="0" xfId="0" applyFont="1"/>
    <xf numFmtId="0" fontId="0" fillId="0" borderId="97" xfId="0" applyBorder="1" applyAlignment="1">
      <alignment horizontal="center" wrapText="1"/>
    </xf>
    <xf numFmtId="167" fontId="0" fillId="0" borderId="93" xfId="0" applyNumberFormat="1" applyBorder="1"/>
    <xf numFmtId="186" fontId="0" fillId="0" borderId="93" xfId="0" applyNumberFormat="1" applyBorder="1" applyAlignment="1">
      <alignment horizontal="left"/>
    </xf>
    <xf numFmtId="0" fontId="0" fillId="18" borderId="105" xfId="0" applyFill="1" applyBorder="1" applyAlignment="1">
      <alignment horizontal="center"/>
    </xf>
    <xf numFmtId="0" fontId="12" fillId="0" borderId="97" xfId="0" applyFont="1" applyBorder="1" applyAlignment="1">
      <alignment horizontal="center"/>
    </xf>
    <xf numFmtId="0" fontId="46" fillId="6" borderId="32"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88"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3" xfId="0" applyFont="1" applyBorder="1" applyAlignment="1">
      <alignment horizontal="left" wrapText="1"/>
    </xf>
    <xf numFmtId="0" fontId="0" fillId="0" borderId="105" xfId="0" applyBorder="1" applyAlignment="1">
      <alignment horizontal="center" wrapText="1"/>
    </xf>
    <xf numFmtId="0" fontId="0" fillId="0" borderId="30" xfId="33" applyFont="1" applyBorder="1" applyAlignment="1">
      <alignment horizontal="left" vertical="top" wrapText="1"/>
    </xf>
    <xf numFmtId="171" fontId="56" fillId="18" borderId="105" xfId="48" applyFill="1" applyBorder="1" applyAlignment="1" applyProtection="1">
      <alignment horizontal="left" vertical="center" shrinkToFit="1"/>
    </xf>
    <xf numFmtId="171" fontId="56" fillId="0" borderId="105" xfId="48" applyBorder="1" applyAlignment="1" applyProtection="1">
      <alignment shrinkToFit="1"/>
    </xf>
    <xf numFmtId="0" fontId="68"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6" xfId="30" applyFont="1" applyFill="1" applyBorder="1" applyAlignment="1">
      <alignment horizontal="center" vertical="center"/>
    </xf>
    <xf numFmtId="0" fontId="65"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8" xfId="0" applyNumberFormat="1" applyFill="1" applyBorder="1" applyAlignment="1" applyProtection="1">
      <alignment horizontal="center" vertical="center"/>
      <protection locked="0"/>
    </xf>
    <xf numFmtId="0" fontId="0" fillId="0" borderId="40" xfId="0" applyBorder="1" applyAlignment="1">
      <alignment horizontal="left"/>
    </xf>
    <xf numFmtId="0" fontId="69" fillId="27" borderId="0" xfId="50" applyFont="1" applyFill="1" applyAlignment="1">
      <alignment horizontal="center"/>
    </xf>
    <xf numFmtId="0" fontId="70" fillId="0" borderId="0" xfId="50"/>
    <xf numFmtId="49" fontId="69" fillId="27" borderId="0" xfId="50" applyNumberFormat="1" applyFont="1" applyFill="1" applyAlignment="1">
      <alignment horizontal="center"/>
    </xf>
    <xf numFmtId="49" fontId="70" fillId="0" borderId="0" xfId="50" applyNumberFormat="1"/>
    <xf numFmtId="0" fontId="24" fillId="0" borderId="108" xfId="0" applyFont="1" applyBorder="1"/>
    <xf numFmtId="0" fontId="24" fillId="0" borderId="110" xfId="0" applyFont="1" applyBorder="1"/>
    <xf numFmtId="0" fontId="24" fillId="0" borderId="0" xfId="0" applyFont="1" applyAlignment="1">
      <alignment horizontal="left"/>
    </xf>
    <xf numFmtId="4" fontId="0" fillId="6" borderId="48" xfId="0" applyNumberFormat="1" applyFill="1" applyBorder="1" applyAlignment="1" applyProtection="1">
      <alignment horizontal="center" textRotation="90" wrapText="1"/>
      <protection locked="0"/>
    </xf>
    <xf numFmtId="0" fontId="0" fillId="0" borderId="105" xfId="0" applyBorder="1" applyAlignment="1">
      <alignment horizontal="center"/>
    </xf>
    <xf numFmtId="0" fontId="71"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6" xfId="49" applyFont="1" applyFill="1" applyBorder="1" applyAlignment="1" applyProtection="1">
      <alignment horizontal="center"/>
    </xf>
    <xf numFmtId="165" fontId="24" fillId="8" borderId="77" xfId="49" applyFont="1" applyFill="1" applyBorder="1" applyAlignment="1" applyProtection="1">
      <alignment horizontal="right"/>
    </xf>
    <xf numFmtId="165" fontId="56" fillId="0" borderId="117" xfId="49" applyFill="1" applyBorder="1" applyAlignment="1" applyProtection="1">
      <alignment horizontal="right"/>
    </xf>
    <xf numFmtId="10" fontId="0" fillId="29" borderId="54" xfId="38" applyNumberFormat="1" applyFont="1" applyFill="1" applyBorder="1" applyAlignment="1" applyProtection="1"/>
    <xf numFmtId="171" fontId="56" fillId="29" borderId="40" xfId="48" applyFill="1" applyBorder="1" applyAlignment="1" applyProtection="1">
      <alignment shrinkToFit="1"/>
    </xf>
    <xf numFmtId="165" fontId="24" fillId="29" borderId="69" xfId="49" applyFont="1" applyFill="1" applyBorder="1" applyAlignment="1" applyProtection="1">
      <alignment shrinkToFit="1"/>
    </xf>
    <xf numFmtId="171" fontId="24" fillId="29" borderId="98" xfId="48" applyFont="1" applyFill="1" applyBorder="1" applyAlignment="1" applyProtection="1">
      <alignment shrinkToFit="1"/>
    </xf>
    <xf numFmtId="10" fontId="56" fillId="0" borderId="118" xfId="37" applyNumberFormat="1" applyFill="1" applyBorder="1" applyAlignment="1" applyProtection="1">
      <alignment shrinkToFit="1"/>
    </xf>
    <xf numFmtId="0" fontId="46" fillId="0" borderId="119" xfId="34" applyFont="1" applyBorder="1" applyAlignment="1">
      <alignment horizontal="center"/>
    </xf>
    <xf numFmtId="0" fontId="46" fillId="0" borderId="90" xfId="34" applyFont="1" applyBorder="1"/>
    <xf numFmtId="0" fontId="72" fillId="0" borderId="0" xfId="34" applyFont="1"/>
    <xf numFmtId="11" fontId="46" fillId="0" borderId="0" xfId="34" applyNumberFormat="1" applyFont="1" applyAlignment="1">
      <alignment horizontal="center"/>
    </xf>
    <xf numFmtId="0" fontId="49" fillId="0" borderId="121" xfId="34" applyFont="1" applyBorder="1" applyAlignment="1">
      <alignment horizontal="center"/>
    </xf>
    <xf numFmtId="174" fontId="49" fillId="0" borderId="122" xfId="34" applyNumberFormat="1" applyFont="1" applyBorder="1" applyAlignment="1">
      <alignment horizontal="center"/>
    </xf>
    <xf numFmtId="10" fontId="0" fillId="29" borderId="123" xfId="38" applyNumberFormat="1" applyFont="1" applyFill="1" applyBorder="1" applyAlignment="1" applyProtection="1"/>
    <xf numFmtId="171" fontId="56" fillId="0" borderId="78" xfId="48" applyFill="1" applyBorder="1" applyAlignment="1" applyProtection="1">
      <alignment shrinkToFit="1"/>
    </xf>
    <xf numFmtId="171" fontId="56" fillId="29" borderId="78" xfId="48" applyFill="1" applyBorder="1" applyAlignment="1" applyProtection="1">
      <alignment shrinkToFit="1"/>
    </xf>
    <xf numFmtId="171" fontId="56" fillId="0" borderId="124" xfId="48" applyFill="1" applyBorder="1" applyAlignment="1" applyProtection="1">
      <alignment shrinkToFit="1"/>
    </xf>
    <xf numFmtId="165" fontId="24" fillId="29" borderId="125" xfId="49" applyFont="1" applyFill="1" applyBorder="1" applyAlignment="1" applyProtection="1">
      <alignment shrinkToFit="1"/>
    </xf>
    <xf numFmtId="171" fontId="24" fillId="29" borderId="60" xfId="48" applyFont="1" applyFill="1" applyBorder="1" applyAlignment="1" applyProtection="1">
      <alignment shrinkToFit="1"/>
    </xf>
    <xf numFmtId="10" fontId="56" fillId="0" borderId="126"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14" xfId="0" applyNumberFormat="1" applyFont="1" applyFill="1" applyBorder="1"/>
    <xf numFmtId="171" fontId="24" fillId="30" borderId="110" xfId="0" applyNumberFormat="1" applyFont="1" applyFill="1" applyBorder="1"/>
    <xf numFmtId="0" fontId="0" fillId="18" borderId="114" xfId="0" applyFill="1" applyBorder="1" applyAlignment="1">
      <alignment horizontal="center"/>
    </xf>
    <xf numFmtId="10" fontId="56" fillId="0" borderId="0" xfId="37" applyNumberFormat="1"/>
    <xf numFmtId="0" fontId="12" fillId="0" borderId="13" xfId="0" applyFont="1" applyBorder="1"/>
    <xf numFmtId="0" fontId="12" fillId="0" borderId="11" xfId="0" applyFont="1" applyBorder="1" applyAlignment="1">
      <alignment horizontal="center"/>
    </xf>
    <xf numFmtId="0" fontId="12" fillId="0" borderId="114" xfId="0" applyFont="1" applyBorder="1" applyAlignment="1">
      <alignment horizontal="center"/>
    </xf>
    <xf numFmtId="0" fontId="46" fillId="31" borderId="32" xfId="0" applyFont="1" applyFill="1" applyBorder="1" applyAlignment="1">
      <alignment horizontal="center" vertical="center"/>
    </xf>
    <xf numFmtId="0" fontId="46" fillId="31" borderId="13" xfId="0" applyFont="1" applyFill="1" applyBorder="1" applyAlignment="1">
      <alignment horizontal="left" vertical="center"/>
    </xf>
    <xf numFmtId="171" fontId="56" fillId="31" borderId="114" xfId="48" applyFill="1" applyBorder="1" applyAlignment="1" applyProtection="1">
      <alignment horizontal="left" vertical="center" shrinkToFit="1"/>
    </xf>
    <xf numFmtId="171" fontId="56" fillId="31" borderId="29" xfId="48" applyFill="1" applyBorder="1" applyAlignment="1" applyProtection="1"/>
    <xf numFmtId="0" fontId="73" fillId="0" borderId="0" xfId="0" applyFont="1" applyAlignment="1">
      <alignment horizontal="left"/>
    </xf>
    <xf numFmtId="0" fontId="0" fillId="0" borderId="128" xfId="0" applyBorder="1"/>
    <xf numFmtId="0" fontId="0" fillId="0" borderId="129" xfId="0" applyBorder="1"/>
    <xf numFmtId="0" fontId="49" fillId="32" borderId="108" xfId="0" applyFont="1" applyFill="1" applyBorder="1" applyAlignment="1">
      <alignment horizontal="center"/>
    </xf>
    <xf numFmtId="0" fontId="12" fillId="32" borderId="130" xfId="0" applyFont="1" applyFill="1" applyBorder="1" applyAlignment="1">
      <alignment horizontal="right" vertical="center"/>
    </xf>
    <xf numFmtId="1" fontId="0" fillId="6" borderId="40" xfId="0" applyNumberFormat="1" applyFill="1" applyBorder="1" applyAlignment="1" applyProtection="1">
      <alignment horizontal="center" vertical="center"/>
      <protection locked="0"/>
    </xf>
    <xf numFmtId="0" fontId="74" fillId="0" borderId="0" xfId="0" applyFont="1"/>
    <xf numFmtId="0" fontId="75"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3" xfId="0" applyBorder="1" applyProtection="1">
      <protection locked="0"/>
    </xf>
    <xf numFmtId="1" fontId="0" fillId="0" borderId="92" xfId="0" applyNumberFormat="1" applyBorder="1" applyAlignment="1">
      <alignment vertical="top"/>
    </xf>
    <xf numFmtId="10" fontId="65" fillId="0" borderId="0" xfId="37" applyNumberFormat="1" applyFont="1" applyAlignment="1">
      <alignment horizontal="left"/>
    </xf>
    <xf numFmtId="0" fontId="76" fillId="0" borderId="0" xfId="0" applyFont="1"/>
    <xf numFmtId="0" fontId="78" fillId="0" borderId="0" xfId="0" applyFont="1"/>
    <xf numFmtId="0" fontId="76" fillId="0" borderId="0" xfId="0" applyFont="1" applyAlignment="1">
      <alignment vertical="center"/>
    </xf>
    <xf numFmtId="0" fontId="22" fillId="0" borderId="0" xfId="0" applyFont="1" applyAlignment="1">
      <alignment vertical="center"/>
    </xf>
    <xf numFmtId="0" fontId="78" fillId="0" borderId="0" xfId="0" applyFont="1" applyAlignment="1">
      <alignment horizontal="center"/>
    </xf>
    <xf numFmtId="0" fontId="71" fillId="0" borderId="0" xfId="0" applyFont="1" applyAlignment="1">
      <alignment horizontal="center" vertical="center"/>
    </xf>
    <xf numFmtId="0" fontId="79" fillId="17" borderId="32" xfId="0" applyFont="1" applyFill="1" applyBorder="1" applyAlignment="1">
      <alignment horizontal="center" vertical="center"/>
    </xf>
    <xf numFmtId="0" fontId="0" fillId="21" borderId="14" xfId="0" applyFill="1" applyBorder="1" applyAlignment="1">
      <alignment horizontal="left"/>
    </xf>
    <xf numFmtId="0" fontId="0" fillId="16" borderId="114" xfId="48" applyNumberFormat="1" applyFont="1" applyFill="1" applyBorder="1" applyAlignment="1" applyProtection="1">
      <alignment horizontal="left" vertical="center"/>
      <protection locked="0"/>
    </xf>
    <xf numFmtId="0" fontId="24" fillId="17" borderId="114" xfId="0" applyFont="1" applyFill="1" applyBorder="1" applyAlignment="1">
      <alignment horizontal="left" vertical="center"/>
    </xf>
    <xf numFmtId="0" fontId="24" fillId="0" borderId="30" xfId="0" applyFont="1" applyBorder="1" applyAlignment="1">
      <alignment horizontal="center" vertical="center" wrapText="1"/>
    </xf>
    <xf numFmtId="171" fontId="77" fillId="0" borderId="105" xfId="48" applyFont="1" applyBorder="1" applyAlignment="1" applyProtection="1">
      <alignment shrinkToFit="1"/>
    </xf>
    <xf numFmtId="0" fontId="77" fillId="0" borderId="0" xfId="0" applyFont="1"/>
    <xf numFmtId="0" fontId="78" fillId="0" borderId="0" xfId="0" applyFont="1" applyAlignment="1">
      <alignment vertical="center"/>
    </xf>
    <xf numFmtId="0" fontId="76" fillId="0" borderId="0" xfId="0" applyFont="1" applyAlignment="1">
      <alignment horizontal="right" vertical="center"/>
    </xf>
    <xf numFmtId="0" fontId="24" fillId="0" borderId="30" xfId="0" applyFont="1" applyBorder="1" applyAlignment="1">
      <alignment horizontal="right" vertical="center" wrapText="1"/>
    </xf>
    <xf numFmtId="0" fontId="80" fillId="0" borderId="0" xfId="0" applyFont="1" applyAlignment="1">
      <alignment vertical="top"/>
    </xf>
    <xf numFmtId="0" fontId="20" fillId="0" borderId="30" xfId="0" applyFont="1" applyBorder="1" applyAlignment="1">
      <alignment horizontal="center" vertical="center" wrapText="1"/>
    </xf>
    <xf numFmtId="0" fontId="77" fillId="8" borderId="74" xfId="0" applyFont="1" applyFill="1" applyBorder="1"/>
    <xf numFmtId="184" fontId="77" fillId="0" borderId="0" xfId="0" applyNumberFormat="1" applyFont="1"/>
    <xf numFmtId="0" fontId="80" fillId="0" borderId="0" xfId="0" applyFont="1"/>
    <xf numFmtId="178" fontId="0" fillId="6" borderId="68"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178" fontId="0" fillId="6" borderId="44" xfId="0" applyNumberFormat="1" applyFill="1" applyBorder="1" applyAlignment="1" applyProtection="1">
      <alignment horizontal="right" vertical="center"/>
      <protection locked="0"/>
    </xf>
    <xf numFmtId="0" fontId="77" fillId="0" borderId="0" xfId="0" applyFont="1" applyAlignment="1">
      <alignment horizontal="left"/>
    </xf>
    <xf numFmtId="165" fontId="77" fillId="0" borderId="0" xfId="49" applyFont="1" applyFill="1" applyBorder="1" applyAlignment="1" applyProtection="1">
      <alignment horizontal="right"/>
    </xf>
    <xf numFmtId="0" fontId="77" fillId="0" borderId="0" xfId="0" applyFont="1" applyAlignment="1">
      <alignment horizontal="right"/>
    </xf>
    <xf numFmtId="0" fontId="76" fillId="0" borderId="30" xfId="33" applyFont="1" applyBorder="1"/>
    <xf numFmtId="0" fontId="0" fillId="0" borderId="0" xfId="0" quotePrefix="1" applyAlignment="1">
      <alignment horizontal="left" vertical="top"/>
    </xf>
    <xf numFmtId="10" fontId="65" fillId="0" borderId="120" xfId="38" applyNumberFormat="1" applyFont="1" applyFill="1" applyBorder="1" applyAlignment="1" applyProtection="1">
      <alignment horizontal="center"/>
      <protection locked="0"/>
    </xf>
    <xf numFmtId="49" fontId="56" fillId="0" borderId="131" xfId="50" applyNumberFormat="1" applyFont="1" applyBorder="1" applyAlignment="1">
      <alignment horizontal="center" vertical="center" wrapText="1"/>
    </xf>
    <xf numFmtId="49" fontId="56" fillId="0" borderId="131" xfId="50" quotePrefix="1" applyNumberFormat="1" applyFont="1" applyBorder="1" applyAlignment="1">
      <alignment horizontal="center" vertical="center" wrapText="1"/>
    </xf>
    <xf numFmtId="4" fontId="56" fillId="28" borderId="131" xfId="50" applyNumberFormat="1" applyFont="1" applyFill="1" applyBorder="1" applyAlignment="1">
      <alignment horizontal="center" vertical="center"/>
    </xf>
    <xf numFmtId="189" fontId="56" fillId="0" borderId="131" xfId="50" applyNumberFormat="1" applyFont="1" applyBorder="1" applyAlignment="1">
      <alignment horizontal="center" vertical="center"/>
    </xf>
    <xf numFmtId="10" fontId="56" fillId="0" borderId="131" xfId="37" applyNumberFormat="1" applyBorder="1" applyAlignment="1">
      <alignment horizontal="center" vertical="center"/>
    </xf>
    <xf numFmtId="189" fontId="56" fillId="28" borderId="131" xfId="50" applyNumberFormat="1" applyFont="1" applyFill="1" applyBorder="1" applyAlignment="1">
      <alignment horizontal="center" vertical="center"/>
    </xf>
    <xf numFmtId="1" fontId="56" fillId="0" borderId="131" xfId="50" applyNumberFormat="1" applyFont="1" applyBorder="1" applyAlignment="1">
      <alignment horizontal="center" vertical="center" wrapText="1"/>
    </xf>
    <xf numFmtId="4" fontId="56" fillId="0" borderId="131" xfId="50" applyNumberFormat="1" applyFont="1" applyBorder="1" applyAlignment="1">
      <alignment horizontal="center" vertical="center"/>
    </xf>
    <xf numFmtId="0" fontId="56" fillId="0" borderId="133" xfId="50" applyFont="1" applyBorder="1" applyAlignment="1">
      <alignment horizontal="center" vertical="center" wrapText="1"/>
    </xf>
    <xf numFmtId="0" fontId="56" fillId="0" borderId="132" xfId="50" applyFont="1" applyBorder="1" applyAlignment="1">
      <alignment horizontal="center" vertical="center" wrapText="1"/>
    </xf>
    <xf numFmtId="2" fontId="56" fillId="0" borderId="131" xfId="50" applyNumberFormat="1" applyFont="1" applyBorder="1" applyAlignment="1">
      <alignment horizontal="center" vertical="center"/>
    </xf>
    <xf numFmtId="189" fontId="56" fillId="28" borderId="131" xfId="50" applyNumberFormat="1" applyFont="1" applyFill="1" applyBorder="1" applyAlignment="1">
      <alignment horizontal="center" vertical="center" wrapText="1"/>
    </xf>
    <xf numFmtId="0" fontId="76" fillId="0" borderId="0" xfId="0" applyFont="1" applyAlignment="1">
      <alignment horizontal="left" vertical="center"/>
    </xf>
    <xf numFmtId="0" fontId="56" fillId="0" borderId="136" xfId="50" applyFont="1" applyBorder="1" applyAlignment="1">
      <alignment horizontal="center" vertical="center" wrapText="1"/>
    </xf>
    <xf numFmtId="0" fontId="56" fillId="0" borderId="137" xfId="50" applyFont="1" applyBorder="1" applyAlignment="1">
      <alignment horizontal="center" vertical="center" wrapText="1"/>
    </xf>
    <xf numFmtId="2" fontId="56" fillId="0" borderId="137" xfId="50" applyNumberFormat="1" applyFont="1" applyBorder="1" applyAlignment="1">
      <alignment horizontal="center" vertical="center"/>
    </xf>
    <xf numFmtId="0" fontId="28" fillId="0" borderId="88" xfId="0" applyFont="1" applyBorder="1"/>
    <xf numFmtId="0" fontId="0" fillId="0" borderId="31" xfId="0" applyBorder="1" applyAlignment="1">
      <alignment horizontal="center"/>
    </xf>
    <xf numFmtId="0" fontId="24" fillId="0" borderId="14" xfId="0" applyFont="1" applyBorder="1" applyAlignment="1">
      <alignment horizontal="center"/>
    </xf>
    <xf numFmtId="0" fontId="46" fillId="0" borderId="14" xfId="34" applyFont="1" applyBorder="1" applyAlignment="1">
      <alignment horizontal="left"/>
    </xf>
    <xf numFmtId="0" fontId="46" fillId="0" borderId="47" xfId="34" applyFont="1" applyBorder="1" applyAlignment="1">
      <alignment horizontal="left"/>
    </xf>
    <xf numFmtId="173" fontId="24" fillId="0" borderId="32" xfId="48" applyNumberFormat="1" applyFont="1" applyFill="1" applyBorder="1" applyAlignment="1" applyProtection="1">
      <alignment horizontal="center" vertical="center"/>
    </xf>
    <xf numFmtId="165" fontId="0" fillId="0" borderId="14" xfId="49" applyFont="1" applyFill="1" applyBorder="1" applyAlignment="1" applyProtection="1">
      <alignment horizontal="left"/>
    </xf>
    <xf numFmtId="0" fontId="22" fillId="0" borderId="30" xfId="34" applyFont="1" applyBorder="1" applyAlignment="1">
      <alignment horizontal="center" vertic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186" fontId="0" fillId="0" borderId="30" xfId="0" applyNumberFormat="1" applyBorder="1" applyAlignment="1">
      <alignment horizontal="left"/>
    </xf>
    <xf numFmtId="167" fontId="0" fillId="0" borderId="30" xfId="0" applyNumberFormat="1" applyBorder="1" applyAlignment="1">
      <alignment horizontal="left"/>
    </xf>
    <xf numFmtId="0" fontId="0" fillId="16" borderId="111" xfId="0" applyFill="1" applyBorder="1" applyAlignment="1" applyProtection="1">
      <alignment horizontal="left" vertical="center"/>
      <protection locked="0"/>
    </xf>
    <xf numFmtId="0" fontId="0" fillId="16" borderId="115" xfId="0" applyFill="1" applyBorder="1" applyAlignment="1" applyProtection="1">
      <alignment horizontal="left" vertical="center"/>
      <protection locked="0"/>
    </xf>
    <xf numFmtId="0" fontId="0" fillId="16" borderId="112" xfId="0" applyFill="1" applyBorder="1" applyAlignment="1" applyProtection="1">
      <alignment horizontal="left" vertical="center"/>
      <protection locked="0"/>
    </xf>
    <xf numFmtId="165" fontId="24" fillId="0" borderId="46" xfId="49" applyFont="1" applyFill="1" applyBorder="1" applyAlignment="1" applyProtection="1">
      <alignment horizontal="center" vertical="center" wrapText="1"/>
    </xf>
    <xf numFmtId="0" fontId="39" fillId="0" borderId="0" xfId="0" applyFont="1" applyAlignment="1">
      <alignment horizontal="center" textRotation="90"/>
    </xf>
    <xf numFmtId="0" fontId="46" fillId="0" borderId="0" xfId="34" applyFont="1" applyAlignment="1">
      <alignment horizontal="center" wrapText="1"/>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2" xfId="0" applyFont="1" applyBorder="1" applyAlignment="1">
      <alignment horizontal="center" vertical="center"/>
    </xf>
    <xf numFmtId="0" fontId="24" fillId="0" borderId="46" xfId="0" applyFont="1" applyBorder="1" applyAlignment="1">
      <alignment horizontal="center"/>
    </xf>
    <xf numFmtId="0" fontId="0" fillId="0" borderId="10" xfId="33" applyFont="1" applyBorder="1" applyAlignment="1">
      <alignment horizontal="left" vertical="center"/>
    </xf>
    <xf numFmtId="0" fontId="8"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7" fontId="0" fillId="0" borderId="30" xfId="33" applyNumberFormat="1" applyFont="1" applyBorder="1" applyAlignment="1">
      <alignment horizontal="left"/>
    </xf>
    <xf numFmtId="186"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2" xfId="33" applyFont="1" applyBorder="1" applyAlignment="1">
      <alignment horizontal="center" vertical="center" wrapText="1"/>
    </xf>
    <xf numFmtId="4" fontId="30" fillId="0" borderId="13" xfId="33" applyNumberFormat="1" applyFont="1" applyBorder="1" applyAlignment="1">
      <alignment horizontal="center" vertical="center"/>
    </xf>
    <xf numFmtId="4" fontId="30" fillId="0" borderId="45" xfId="33" applyNumberFormat="1" applyFont="1" applyBorder="1" applyAlignment="1">
      <alignment horizontal="center" vertical="center"/>
    </xf>
    <xf numFmtId="4" fontId="30" fillId="0" borderId="46" xfId="33" applyNumberFormat="1" applyFont="1" applyBorder="1" applyAlignment="1">
      <alignment horizontal="center" vertical="center"/>
    </xf>
    <xf numFmtId="4" fontId="17" fillId="0" borderId="32" xfId="33" applyNumberFormat="1" applyFont="1" applyBorder="1" applyAlignment="1">
      <alignment horizontal="center"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2" xfId="33" applyFont="1" applyBorder="1" applyAlignment="1">
      <alignment horizontal="center" vertical="center"/>
    </xf>
    <xf numFmtId="0" fontId="17" fillId="0" borderId="32" xfId="33" applyFont="1" applyBorder="1" applyAlignment="1">
      <alignment horizontal="center" vertical="center"/>
    </xf>
    <xf numFmtId="0" fontId="24" fillId="0" borderId="31" xfId="35" applyFont="1" applyBorder="1" applyAlignment="1">
      <alignment horizontal="left" vertical="top"/>
    </xf>
    <xf numFmtId="164" fontId="8" fillId="16" borderId="14" xfId="32" applyFont="1" applyFill="1" applyBorder="1" applyAlignment="1" applyProtection="1">
      <alignment horizontal="left"/>
      <protection locked="0"/>
    </xf>
    <xf numFmtId="0" fontId="23" fillId="0" borderId="32" xfId="33" applyFont="1" applyBorder="1" applyAlignment="1">
      <alignment horizontal="center"/>
    </xf>
    <xf numFmtId="4" fontId="30" fillId="0" borderId="32" xfId="33" applyNumberFormat="1" applyFont="1" applyBorder="1" applyAlignment="1">
      <alignment horizontal="center" vertical="center"/>
    </xf>
    <xf numFmtId="0" fontId="0" fillId="0" borderId="14" xfId="33" applyFont="1" applyBorder="1" applyAlignment="1">
      <alignment horizontal="left" vertical="top" wrapText="1"/>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0" fillId="0" borderId="32" xfId="0" applyBorder="1" applyAlignment="1">
      <alignment horizontal="center"/>
    </xf>
    <xf numFmtId="0" fontId="24" fillId="0" borderId="33" xfId="35" applyFont="1" applyBorder="1" applyAlignment="1">
      <alignment horizontal="left" vertical="top"/>
    </xf>
    <xf numFmtId="0" fontId="62"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7" xfId="33" applyFont="1" applyBorder="1" applyAlignment="1">
      <alignment horizontal="left" vertical="top" wrapText="1"/>
    </xf>
    <xf numFmtId="186" fontId="0" fillId="0" borderId="0" xfId="0" applyNumberFormat="1" applyAlignment="1">
      <alignment horizontal="left"/>
    </xf>
    <xf numFmtId="0" fontId="24" fillId="17" borderId="134" xfId="0" applyFont="1" applyFill="1" applyBorder="1" applyAlignment="1">
      <alignment horizontal="left" vertical="center" wrapText="1"/>
    </xf>
    <xf numFmtId="0" fontId="24" fillId="17" borderId="135"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0" fontId="0" fillId="0" borderId="32" xfId="0" applyBorder="1" applyAlignment="1">
      <alignment horizontal="left" wrapText="1"/>
    </xf>
    <xf numFmtId="0" fontId="46" fillId="0" borderId="104" xfId="34" applyFont="1" applyBorder="1" applyAlignment="1">
      <alignment horizontal="left"/>
    </xf>
    <xf numFmtId="0" fontId="46" fillId="0" borderId="93" xfId="34" applyFont="1" applyBorder="1" applyAlignment="1">
      <alignment horizontal="left"/>
    </xf>
    <xf numFmtId="0" fontId="46" fillId="0" borderId="113" xfId="34" applyFont="1" applyBorder="1" applyAlignment="1">
      <alignment horizontal="left"/>
    </xf>
    <xf numFmtId="0" fontId="1" fillId="0" borderId="114"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90" xfId="0" applyFont="1" applyBorder="1" applyAlignment="1">
      <alignment horizontal="center" vertical="center" wrapText="1"/>
    </xf>
    <xf numFmtId="0" fontId="1" fillId="0" borderId="92" xfId="0" applyFont="1" applyBorder="1" applyAlignment="1">
      <alignment horizontal="center" vertical="center" wrapText="1"/>
    </xf>
    <xf numFmtId="0" fontId="31" fillId="0" borderId="0" xfId="0" applyFont="1" applyAlignment="1">
      <alignment horizontal="center" vertical="top" wrapText="1"/>
    </xf>
    <xf numFmtId="0" fontId="24" fillId="17" borderId="32"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10" fontId="56" fillId="32" borderId="108" xfId="37" applyNumberFormat="1" applyFill="1" applyBorder="1" applyAlignment="1" applyProtection="1">
      <alignment horizontal="center" shrinkToFit="1"/>
    </xf>
    <xf numFmtId="10" fontId="56" fillId="32" borderId="110" xfId="37" applyNumberFormat="1" applyFill="1" applyBorder="1" applyAlignment="1" applyProtection="1">
      <alignment horizontal="center" shrinkToFit="1"/>
    </xf>
    <xf numFmtId="10" fontId="46" fillId="32" borderId="105" xfId="37" applyNumberFormat="1" applyFont="1" applyFill="1" applyBorder="1" applyAlignment="1" applyProtection="1">
      <alignment horizontal="center"/>
    </xf>
    <xf numFmtId="171" fontId="56" fillId="0" borderId="108" xfId="48" applyBorder="1" applyAlignment="1" applyProtection="1">
      <alignment horizontal="center" shrinkToFit="1"/>
    </xf>
    <xf numFmtId="171" fontId="56" fillId="0" borderId="110" xfId="48" applyBorder="1" applyAlignment="1" applyProtection="1">
      <alignment horizontal="center" shrinkToFit="1"/>
    </xf>
    <xf numFmtId="188" fontId="46" fillId="0" borderId="108" xfId="48" applyNumberFormat="1" applyFont="1" applyBorder="1" applyAlignment="1" applyProtection="1">
      <alignment horizontal="center" shrinkToFit="1"/>
    </xf>
    <xf numFmtId="188" fontId="46" fillId="0" borderId="110" xfId="48" applyNumberFormat="1" applyFont="1" applyBorder="1" applyAlignment="1" applyProtection="1">
      <alignment horizontal="center" shrinkToFit="1"/>
    </xf>
    <xf numFmtId="0" fontId="12" fillId="0" borderId="107" xfId="0" applyFont="1" applyBorder="1" applyAlignment="1">
      <alignment horizontal="right" vertical="center"/>
    </xf>
    <xf numFmtId="0" fontId="12" fillId="0" borderId="127" xfId="0" applyFont="1" applyBorder="1" applyAlignment="1">
      <alignment horizontal="right" vertical="center"/>
    </xf>
    <xf numFmtId="10" fontId="46" fillId="32" borderId="108" xfId="37" applyNumberFormat="1" applyFont="1" applyFill="1" applyBorder="1" applyAlignment="1" applyProtection="1">
      <alignment horizontal="center"/>
    </xf>
    <xf numFmtId="10" fontId="46" fillId="32" borderId="110" xfId="37" applyNumberFormat="1" applyFont="1" applyFill="1" applyBorder="1" applyAlignment="1" applyProtection="1">
      <alignment horizontal="center"/>
    </xf>
    <xf numFmtId="171" fontId="56" fillId="0" borderId="105" xfId="48" applyBorder="1" applyAlignment="1" applyProtection="1">
      <alignment horizontal="center" shrinkToFit="1"/>
    </xf>
    <xf numFmtId="187" fontId="49" fillId="20" borderId="105" xfId="37" applyNumberFormat="1" applyFont="1" applyFill="1" applyBorder="1" applyAlignment="1" applyProtection="1">
      <alignment horizontal="center"/>
    </xf>
    <xf numFmtId="0" fontId="12" fillId="0" borderId="109" xfId="0" applyFont="1" applyBorder="1" applyAlignment="1">
      <alignment horizontal="right" vertical="center"/>
    </xf>
    <xf numFmtId="188" fontId="46" fillId="0" borderId="105" xfId="48" applyNumberFormat="1" applyFont="1" applyBorder="1" applyAlignment="1" applyProtection="1">
      <alignment horizontal="center" shrinkToFit="1"/>
    </xf>
    <xf numFmtId="186" fontId="66" fillId="0" borderId="30" xfId="0" applyNumberFormat="1" applyFont="1" applyBorder="1" applyAlignment="1">
      <alignment horizontal="left"/>
    </xf>
    <xf numFmtId="0" fontId="0" fillId="0" borderId="92" xfId="0" applyBorder="1" applyAlignment="1">
      <alignment horizontal="center" wrapText="1"/>
    </xf>
    <xf numFmtId="0" fontId="0" fillId="0" borderId="93" xfId="0" applyBorder="1" applyAlignment="1">
      <alignment horizontal="center" wrapText="1"/>
    </xf>
    <xf numFmtId="0" fontId="0" fillId="0" borderId="94" xfId="0" applyBorder="1" applyAlignment="1">
      <alignment horizontal="center" wrapText="1"/>
    </xf>
    <xf numFmtId="0" fontId="46" fillId="0" borderId="94" xfId="34" applyFont="1" applyBorder="1" applyAlignment="1">
      <alignment horizontal="left"/>
    </xf>
    <xf numFmtId="0" fontId="24" fillId="8" borderId="1" xfId="0" applyFont="1" applyFill="1" applyBorder="1" applyAlignment="1">
      <alignment horizontal="center" wrapText="1"/>
    </xf>
    <xf numFmtId="0" fontId="24" fillId="0" borderId="0" xfId="0" applyFont="1" applyAlignment="1">
      <alignment horizontal="center" wrapText="1"/>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0" fontId="0" fillId="0" borderId="40" xfId="0" applyBorder="1" applyAlignment="1">
      <alignment horizontal="left"/>
    </xf>
    <xf numFmtId="10" fontId="56" fillId="0" borderId="31"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77" fontId="56" fillId="0" borderId="14" xfId="48" applyNumberFormat="1" applyFill="1" applyBorder="1" applyAlignment="1" applyProtection="1">
      <alignment horizontal="center" shrinkToFit="1"/>
    </xf>
    <xf numFmtId="177" fontId="56" fillId="0" borderId="30" xfId="48" applyNumberFormat="1" applyFill="1" applyBorder="1" applyAlignment="1" applyProtection="1">
      <alignment horizontal="center" shrinkToFit="1"/>
    </xf>
    <xf numFmtId="14" fontId="0" fillId="6" borderId="48" xfId="0" applyNumberFormat="1" applyFill="1" applyBorder="1" applyAlignment="1" applyProtection="1">
      <alignment horizontal="center"/>
      <protection locked="0"/>
    </xf>
    <xf numFmtId="176" fontId="24" fillId="8" borderId="32" xfId="0" applyNumberFormat="1" applyFont="1" applyFill="1" applyBorder="1" applyAlignment="1">
      <alignment horizontal="center" shrinkToFit="1"/>
    </xf>
    <xf numFmtId="0" fontId="24" fillId="0" borderId="32" xfId="0" applyFont="1" applyBorder="1" applyAlignment="1">
      <alignment horizontal="right" vertical="center"/>
    </xf>
    <xf numFmtId="177" fontId="56" fillId="0" borderId="47"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0" fillId="0" borderId="0" xfId="0" applyAlignment="1">
      <alignment horizontal="center"/>
    </xf>
    <xf numFmtId="10" fontId="56" fillId="0" borderId="34" xfId="37" applyNumberFormat="1" applyFill="1" applyBorder="1" applyAlignment="1" applyProtection="1">
      <alignment horizontal="center"/>
    </xf>
    <xf numFmtId="0" fontId="60" fillId="0" borderId="103" xfId="0" applyFont="1" applyBorder="1" applyAlignment="1">
      <alignment horizontal="center" vertical="top" wrapText="1"/>
    </xf>
    <xf numFmtId="0" fontId="49" fillId="0" borderId="31" xfId="34" applyFont="1" applyBorder="1" applyAlignment="1">
      <alignment horizontal="center"/>
    </xf>
    <xf numFmtId="0" fontId="46" fillId="0" borderId="14" xfId="34" applyFont="1" applyBorder="1" applyAlignment="1">
      <alignment horizontal="center"/>
    </xf>
    <xf numFmtId="10" fontId="23" fillId="0" borderId="14" xfId="37" applyNumberFormat="1" applyFont="1" applyFill="1" applyBorder="1" applyAlignment="1" applyProtection="1">
      <alignment horizontal="center"/>
    </xf>
    <xf numFmtId="0" fontId="23" fillId="6" borderId="14" xfId="0" applyFont="1" applyFill="1" applyBorder="1" applyAlignment="1" applyProtection="1">
      <alignment horizontal="center"/>
      <protection locked="0"/>
    </xf>
    <xf numFmtId="0" fontId="23" fillId="0" borderId="14" xfId="0" applyFont="1" applyBorder="1" applyAlignment="1">
      <alignment horizontal="center"/>
    </xf>
    <xf numFmtId="10" fontId="56" fillId="0" borderId="10" xfId="37" applyNumberFormat="1" applyFill="1" applyBorder="1" applyAlignment="1" applyProtection="1">
      <alignment horizontal="center"/>
    </xf>
    <xf numFmtId="0" fontId="0" fillId="18" borderId="40" xfId="0" applyFill="1" applyBorder="1"/>
    <xf numFmtId="10" fontId="56" fillId="0" borderId="80" xfId="37" applyNumberFormat="1" applyFill="1" applyBorder="1" applyAlignment="1" applyProtection="1">
      <alignment horizontal="center"/>
    </xf>
    <xf numFmtId="0" fontId="24" fillId="8" borderId="32" xfId="0" applyFont="1" applyFill="1" applyBorder="1" applyAlignment="1">
      <alignment horizontal="center"/>
    </xf>
    <xf numFmtId="14" fontId="0" fillId="6" borderId="37" xfId="0" applyNumberFormat="1" applyFill="1" applyBorder="1" applyAlignment="1" applyProtection="1">
      <alignment horizontal="center"/>
      <protection locked="0"/>
    </xf>
    <xf numFmtId="14" fontId="0" fillId="6" borderId="49"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0" fontId="0" fillId="0" borderId="0" xfId="0" applyAlignment="1">
      <alignment horizontal="left" wrapText="1"/>
    </xf>
    <xf numFmtId="171"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23" fillId="6" borderId="33" xfId="0" applyFont="1" applyFill="1" applyBorder="1" applyAlignment="1">
      <alignment horizontal="left"/>
    </xf>
    <xf numFmtId="0" fontId="31" fillId="0" borderId="0" xfId="0" applyFont="1" applyAlignment="1">
      <alignment horizontal="center" vertical="center" wrapText="1"/>
    </xf>
    <xf numFmtId="0" fontId="0" fillId="0" borderId="14" xfId="0" applyBorder="1" applyAlignment="1">
      <alignment horizontal="center"/>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2" xfId="0" applyFill="1" applyBorder="1" applyAlignment="1">
      <alignment horizontal="center" vertical="center"/>
    </xf>
    <xf numFmtId="0" fontId="0" fillId="8" borderId="65"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7" xfId="0" applyBorder="1" applyAlignment="1">
      <alignment horizontal="center" vertical="center"/>
    </xf>
    <xf numFmtId="0" fontId="0" fillId="8" borderId="42" xfId="0" applyFill="1" applyBorder="1" applyAlignment="1">
      <alignment horizontal="center" vertical="center"/>
    </xf>
    <xf numFmtId="0" fontId="0" fillId="8" borderId="67" xfId="0" applyFill="1" applyBorder="1" applyAlignment="1">
      <alignment horizontal="center" vertical="center"/>
    </xf>
    <xf numFmtId="0" fontId="0" fillId="0" borderId="85" xfId="0" applyBorder="1" applyAlignment="1">
      <alignment horizontal="center" vertical="center"/>
    </xf>
    <xf numFmtId="0" fontId="0" fillId="0" borderId="71"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2" xfId="0" applyFont="1" applyBorder="1" applyAlignment="1">
      <alignment horizontal="center"/>
    </xf>
    <xf numFmtId="0" fontId="24" fillId="0" borderId="62" xfId="0" applyFont="1" applyBorder="1" applyAlignment="1">
      <alignment horizontal="center"/>
    </xf>
    <xf numFmtId="0" fontId="24" fillId="0" borderId="32" xfId="0" applyFont="1" applyBorder="1" applyAlignment="1">
      <alignment horizontal="center" vertical="center"/>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4" fontId="24"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0" fontId="24" fillId="0" borderId="41" xfId="48" applyNumberFormat="1" applyFont="1" applyFill="1" applyBorder="1" applyAlignment="1" applyProtection="1">
      <alignment vertical="top" shrinkToFit="1"/>
    </xf>
    <xf numFmtId="0" fontId="0" fillId="0" borderId="72" xfId="33" applyFont="1" applyBorder="1" applyAlignment="1">
      <alignment horizontal="right"/>
    </xf>
    <xf numFmtId="10" fontId="24" fillId="0" borderId="73"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6"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43">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theme="0"/>
      </font>
      <border>
        <left/>
        <right/>
      </border>
    </dxf>
    <dxf>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i val="0"/>
        <color rgb="FFFF0000"/>
      </font>
    </dxf>
    <dxf>
      <font>
        <color theme="0" tint="-0.14996795556505021"/>
      </font>
    </dxf>
    <dxf>
      <font>
        <color theme="0"/>
      </font>
    </dxf>
    <dxf>
      <font>
        <color theme="0" tint="-0.14996795556505021"/>
      </font>
    </dxf>
    <dxf>
      <font>
        <color theme="0"/>
      </font>
    </dxf>
    <dxf>
      <font>
        <color theme="0" tint="-0.14996795556505021"/>
      </font>
    </dxf>
    <dxf>
      <font>
        <color theme="0" tint="-0.24994659260841701"/>
      </font>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81075"/>
              <a:ext cx="1257300" cy="493395"/>
              <a:chOff x="523876" y="971524"/>
              <a:chExt cx="1257300" cy="485776"/>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4"/>
                <a:ext cx="1257300" cy="485776"/>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81075"/>
              <a:ext cx="1230630" cy="493395"/>
              <a:chOff x="1790699" y="971518"/>
              <a:chExt cx="1304925" cy="485776"/>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9" y="971518"/>
                <a:ext cx="1304925" cy="485776"/>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66675</xdr:rowOff>
        </xdr:from>
        <xdr:to>
          <xdr:col>19</xdr:col>
          <xdr:colOff>895350</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66675</xdr:rowOff>
        </xdr:from>
        <xdr:to>
          <xdr:col>20</xdr:col>
          <xdr:colOff>876300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66675</xdr:rowOff>
        </xdr:from>
        <xdr:to>
          <xdr:col>21</xdr:col>
          <xdr:colOff>704850</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66675</xdr:rowOff>
        </xdr:from>
        <xdr:to>
          <xdr:col>22</xdr:col>
          <xdr:colOff>790575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47625</xdr:rowOff>
        </xdr:from>
        <xdr:to>
          <xdr:col>23</xdr:col>
          <xdr:colOff>876300</xdr:colOff>
          <xdr:row>10</xdr:row>
          <xdr:rowOff>133350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26"/>
  <sheetViews>
    <sheetView showGridLines="0" zoomScaleNormal="100" workbookViewId="0">
      <pane ySplit="3" topLeftCell="A4" activePane="bottomLeft" state="frozen"/>
      <selection pane="bottomLeft"/>
    </sheetView>
  </sheetViews>
  <sheetFormatPr defaultRowHeight="12.75" x14ac:dyDescent="0.2"/>
  <cols>
    <col min="1" max="1" width="8.7109375" customWidth="1"/>
    <col min="2" max="2" width="5.7109375" customWidth="1"/>
    <col min="3" max="3" width="3.7109375" customWidth="1"/>
    <col min="4" max="4" width="130.7109375" customWidth="1"/>
  </cols>
  <sheetData>
    <row r="3" spans="1:4" ht="36.950000000000003" customHeight="1" x14ac:dyDescent="0.35">
      <c r="B3" s="42" t="s">
        <v>133</v>
      </c>
    </row>
    <row r="5" spans="1:4" ht="18.75" x14ac:dyDescent="0.3">
      <c r="A5" s="43"/>
      <c r="B5" s="44"/>
      <c r="C5" s="44"/>
      <c r="D5" s="45"/>
    </row>
    <row r="6" spans="1:4" ht="18.75" x14ac:dyDescent="0.3">
      <c r="A6" s="46" t="s">
        <v>470</v>
      </c>
      <c r="B6" s="47"/>
      <c r="C6" s="47"/>
      <c r="D6" s="3"/>
    </row>
    <row r="7" spans="1:4" ht="15" x14ac:dyDescent="0.25">
      <c r="A7" s="4"/>
      <c r="B7" s="48" t="s">
        <v>134</v>
      </c>
      <c r="C7" s="48"/>
      <c r="D7" s="3"/>
    </row>
    <row r="8" spans="1:4" ht="15" x14ac:dyDescent="0.25">
      <c r="A8" s="4"/>
      <c r="B8" s="48"/>
      <c r="C8" s="49" t="str">
        <f>IF(D8&lt;&gt;"","▪","")</f>
        <v>▪</v>
      </c>
      <c r="D8" s="535" t="s">
        <v>135</v>
      </c>
    </row>
    <row r="9" spans="1:4" ht="15" x14ac:dyDescent="0.25">
      <c r="A9" s="4"/>
      <c r="B9" s="48"/>
      <c r="C9" s="49" t="str">
        <f>IF(D9&lt;&gt;"","▪","")</f>
        <v/>
      </c>
      <c r="D9" s="535"/>
    </row>
    <row r="10" spans="1:4" ht="18.75" x14ac:dyDescent="0.3">
      <c r="A10" s="502" t="s">
        <v>469</v>
      </c>
      <c r="B10" s="503"/>
      <c r="C10" s="503"/>
      <c r="D10" s="536"/>
    </row>
    <row r="11" spans="1:4" ht="15" x14ac:dyDescent="0.25">
      <c r="A11" s="4"/>
      <c r="B11" s="48" t="s">
        <v>134</v>
      </c>
      <c r="C11" s="48"/>
      <c r="D11" s="535"/>
    </row>
    <row r="12" spans="1:4" ht="15" x14ac:dyDescent="0.25">
      <c r="A12" s="4"/>
      <c r="B12" s="48"/>
      <c r="C12" s="49" t="str">
        <f>IF(D12&lt;&gt;"","▪","")</f>
        <v>▪</v>
      </c>
      <c r="D12" s="535" t="s">
        <v>401</v>
      </c>
    </row>
    <row r="13" spans="1:4" ht="15" x14ac:dyDescent="0.25">
      <c r="A13" s="4"/>
      <c r="B13" s="48" t="s">
        <v>399</v>
      </c>
      <c r="C13" s="48"/>
      <c r="D13" s="535"/>
    </row>
    <row r="14" spans="1:4" ht="15" x14ac:dyDescent="0.25">
      <c r="A14" s="432"/>
      <c r="B14" s="48"/>
      <c r="C14" s="49" t="str">
        <f>IF(D14&lt;&gt;"","▪","")</f>
        <v>▪</v>
      </c>
      <c r="D14" s="535" t="s">
        <v>402</v>
      </c>
    </row>
    <row r="15" spans="1:4" ht="15" x14ac:dyDescent="0.2">
      <c r="A15" s="432"/>
      <c r="C15" s="49" t="str">
        <f>IF(D15&lt;&gt;"","▪","")</f>
        <v>▪</v>
      </c>
      <c r="D15" s="535" t="s">
        <v>403</v>
      </c>
    </row>
    <row r="16" spans="1:4" x14ac:dyDescent="0.2">
      <c r="A16" s="436"/>
      <c r="D16" s="87"/>
    </row>
    <row r="17" spans="1:4" ht="18.75" x14ac:dyDescent="0.3">
      <c r="A17" s="502" t="s">
        <v>468</v>
      </c>
      <c r="B17" s="503"/>
      <c r="C17" s="503"/>
      <c r="D17" s="536"/>
    </row>
    <row r="18" spans="1:4" ht="15" x14ac:dyDescent="0.25">
      <c r="A18" s="4"/>
      <c r="B18" s="48" t="s">
        <v>134</v>
      </c>
      <c r="C18" s="48"/>
      <c r="D18" s="535"/>
    </row>
    <row r="19" spans="1:4" ht="15" x14ac:dyDescent="0.25">
      <c r="A19" s="4"/>
      <c r="B19" s="48"/>
      <c r="C19" s="49" t="str">
        <f>IF(D19&lt;&gt;"","▪","")</f>
        <v>▪</v>
      </c>
      <c r="D19" s="535" t="s">
        <v>401</v>
      </c>
    </row>
    <row r="20" spans="1:4" ht="15" x14ac:dyDescent="0.25">
      <c r="A20" s="4"/>
      <c r="B20" s="48"/>
      <c r="C20" s="49" t="str">
        <f>IF(D20&lt;&gt;"","▪","")</f>
        <v>▪</v>
      </c>
      <c r="D20" s="535" t="s">
        <v>413</v>
      </c>
    </row>
    <row r="21" spans="1:4" ht="15" x14ac:dyDescent="0.25">
      <c r="A21" s="432"/>
      <c r="B21" s="48" t="s">
        <v>411</v>
      </c>
      <c r="C21" s="48"/>
      <c r="D21" s="535"/>
    </row>
    <row r="22" spans="1:4" ht="15" x14ac:dyDescent="0.25">
      <c r="A22" s="432"/>
      <c r="B22" s="48"/>
      <c r="C22" s="49" t="str">
        <f>IF(D22&lt;&gt;"","▪","")</f>
        <v>▪</v>
      </c>
      <c r="D22" s="535" t="s">
        <v>412</v>
      </c>
    </row>
    <row r="23" spans="1:4" ht="15" x14ac:dyDescent="0.25">
      <c r="A23" s="432"/>
      <c r="B23" s="48" t="s">
        <v>405</v>
      </c>
      <c r="C23" s="48"/>
      <c r="D23" s="535"/>
    </row>
    <row r="24" spans="1:4" ht="15" x14ac:dyDescent="0.25">
      <c r="A24" s="432"/>
      <c r="B24" s="48"/>
      <c r="C24" s="49" t="str">
        <f>IF(D24&lt;&gt;"","▪","")</f>
        <v>▪</v>
      </c>
      <c r="D24" s="535" t="s">
        <v>409</v>
      </c>
    </row>
    <row r="25" spans="1:4" ht="15" x14ac:dyDescent="0.25">
      <c r="A25" s="432"/>
      <c r="B25" s="48" t="s">
        <v>406</v>
      </c>
      <c r="C25" s="48"/>
      <c r="D25" s="535"/>
    </row>
    <row r="26" spans="1:4" ht="15" x14ac:dyDescent="0.25">
      <c r="A26" s="432"/>
      <c r="B26" s="48"/>
      <c r="C26" s="49" t="str">
        <f>IF(D26&lt;&gt;"","▪","")</f>
        <v>▪</v>
      </c>
      <c r="D26" s="535" t="s">
        <v>408</v>
      </c>
    </row>
    <row r="27" spans="1:4" ht="15" x14ac:dyDescent="0.25">
      <c r="A27" s="432"/>
      <c r="B27" s="48" t="s">
        <v>410</v>
      </c>
      <c r="C27" s="48"/>
      <c r="D27" s="535"/>
    </row>
    <row r="28" spans="1:4" ht="15" x14ac:dyDescent="0.25">
      <c r="A28" s="432"/>
      <c r="B28" s="48"/>
      <c r="C28" s="49" t="str">
        <f>IF(D28&lt;&gt;"","▪","")</f>
        <v>▪</v>
      </c>
      <c r="D28" s="535" t="s">
        <v>407</v>
      </c>
    </row>
    <row r="29" spans="1:4" x14ac:dyDescent="0.2">
      <c r="A29" s="436"/>
      <c r="D29" s="87"/>
    </row>
    <row r="30" spans="1:4" ht="18.75" x14ac:dyDescent="0.3">
      <c r="A30" s="502" t="s">
        <v>467</v>
      </c>
      <c r="B30" s="503"/>
      <c r="C30" s="503"/>
      <c r="D30" s="536"/>
    </row>
    <row r="31" spans="1:4" ht="15" x14ac:dyDescent="0.25">
      <c r="A31" s="4"/>
      <c r="B31" s="48" t="s">
        <v>134</v>
      </c>
      <c r="C31" s="48"/>
      <c r="D31" s="535"/>
    </row>
    <row r="32" spans="1:4" ht="15" x14ac:dyDescent="0.25">
      <c r="A32" s="4"/>
      <c r="B32" s="48"/>
      <c r="C32" s="49" t="str">
        <f>IF(D32&lt;&gt;"","▪","")</f>
        <v>▪</v>
      </c>
      <c r="D32" s="535" t="s">
        <v>413</v>
      </c>
    </row>
    <row r="33" spans="1:5" ht="15" x14ac:dyDescent="0.25">
      <c r="A33" s="4"/>
      <c r="B33" s="48" t="s">
        <v>414</v>
      </c>
      <c r="C33" s="49"/>
      <c r="D33" s="535"/>
    </row>
    <row r="34" spans="1:5" ht="15" x14ac:dyDescent="0.25">
      <c r="A34" s="4"/>
      <c r="B34" s="48"/>
      <c r="C34" s="49" t="str">
        <f>IF(D34&lt;&gt;"","▪","")</f>
        <v>▪</v>
      </c>
      <c r="D34" s="535" t="s">
        <v>415</v>
      </c>
    </row>
    <row r="35" spans="1:5" ht="15" x14ac:dyDescent="0.25">
      <c r="A35" s="4"/>
      <c r="B35" s="48"/>
      <c r="C35" s="48"/>
      <c r="D35" s="537"/>
      <c r="E35" s="48"/>
    </row>
    <row r="36" spans="1:5" x14ac:dyDescent="0.2">
      <c r="A36" s="436"/>
      <c r="D36" s="87"/>
    </row>
    <row r="37" spans="1:5" ht="18.75" x14ac:dyDescent="0.3">
      <c r="A37" s="502" t="s">
        <v>466</v>
      </c>
      <c r="B37" s="503"/>
      <c r="C37" s="503"/>
      <c r="D37" s="536"/>
    </row>
    <row r="38" spans="1:5" ht="15" x14ac:dyDescent="0.25">
      <c r="A38" s="4"/>
      <c r="B38" s="48" t="s">
        <v>210</v>
      </c>
      <c r="C38" s="48"/>
      <c r="D38" s="535"/>
    </row>
    <row r="39" spans="1:5" ht="15" x14ac:dyDescent="0.25">
      <c r="A39" s="4"/>
      <c r="B39" s="48"/>
      <c r="C39" s="49" t="str">
        <f>IF(D39&lt;&gt;"","▪","")</f>
        <v>▪</v>
      </c>
      <c r="D39" s="535" t="s">
        <v>416</v>
      </c>
    </row>
    <row r="40" spans="1:5" ht="15" x14ac:dyDescent="0.25">
      <c r="A40" s="4"/>
      <c r="B40" s="48" t="s">
        <v>405</v>
      </c>
      <c r="C40" s="48"/>
      <c r="D40" s="535"/>
    </row>
    <row r="41" spans="1:5" ht="15" x14ac:dyDescent="0.25">
      <c r="A41" s="4"/>
      <c r="B41" s="48"/>
      <c r="C41" s="49" t="str">
        <f>IF(D41&lt;&gt;"","▪","")</f>
        <v>▪</v>
      </c>
      <c r="D41" s="535" t="s">
        <v>417</v>
      </c>
    </row>
    <row r="42" spans="1:5" ht="15" x14ac:dyDescent="0.25">
      <c r="A42" s="4"/>
      <c r="B42" s="48" t="s">
        <v>406</v>
      </c>
      <c r="C42" s="48"/>
      <c r="D42" s="535"/>
      <c r="E42" s="48"/>
    </row>
    <row r="43" spans="1:5" ht="15" x14ac:dyDescent="0.25">
      <c r="A43" s="4"/>
      <c r="B43" s="48"/>
      <c r="C43" s="49" t="str">
        <f>IF(D43&lt;&gt;"","▪","")</f>
        <v>▪</v>
      </c>
      <c r="D43" s="535" t="s">
        <v>418</v>
      </c>
    </row>
    <row r="44" spans="1:5" ht="15" x14ac:dyDescent="0.25">
      <c r="A44" s="4"/>
      <c r="B44" s="48"/>
      <c r="C44" s="48"/>
      <c r="D44" s="537"/>
    </row>
    <row r="45" spans="1:5" ht="18.75" x14ac:dyDescent="0.3">
      <c r="A45" s="502" t="s">
        <v>465</v>
      </c>
      <c r="B45" s="503"/>
      <c r="C45" s="503"/>
      <c r="D45" s="536"/>
    </row>
    <row r="46" spans="1:5" ht="15" x14ac:dyDescent="0.25">
      <c r="A46" s="4"/>
      <c r="B46" s="48" t="s">
        <v>134</v>
      </c>
      <c r="C46" s="48"/>
      <c r="D46" s="535"/>
    </row>
    <row r="47" spans="1:5" ht="15" x14ac:dyDescent="0.25">
      <c r="A47" s="4"/>
      <c r="B47" s="48"/>
      <c r="C47" s="49" t="str">
        <f>IF(D47&lt;&gt;"","▪","")</f>
        <v>▪</v>
      </c>
      <c r="D47" s="535" t="s">
        <v>419</v>
      </c>
    </row>
    <row r="48" spans="1:5" ht="15" x14ac:dyDescent="0.25">
      <c r="A48" s="4"/>
      <c r="B48" s="48"/>
      <c r="C48" s="48"/>
      <c r="D48" s="537"/>
    </row>
    <row r="49" spans="1:4" ht="18.75" x14ac:dyDescent="0.3">
      <c r="A49" s="502" t="s">
        <v>464</v>
      </c>
      <c r="B49" s="503"/>
      <c r="C49" s="503"/>
      <c r="D49" s="536"/>
    </row>
    <row r="50" spans="1:4" ht="15" x14ac:dyDescent="0.25">
      <c r="A50" s="4"/>
      <c r="B50" s="48" t="s">
        <v>134</v>
      </c>
      <c r="C50" s="48"/>
      <c r="D50" s="535"/>
    </row>
    <row r="51" spans="1:4" ht="15" x14ac:dyDescent="0.25">
      <c r="A51" s="4"/>
      <c r="B51" s="48"/>
      <c r="C51" s="49" t="str">
        <f>IF(D51&lt;&gt;"","▪","")</f>
        <v>▪</v>
      </c>
      <c r="D51" s="535" t="s">
        <v>423</v>
      </c>
    </row>
    <row r="52" spans="1:4" ht="15" x14ac:dyDescent="0.25">
      <c r="A52" s="4"/>
      <c r="B52" s="48"/>
      <c r="C52" s="49" t="str">
        <f>IF(D52&lt;&gt;"","▪","")</f>
        <v>▪</v>
      </c>
      <c r="D52" s="535" t="s">
        <v>424</v>
      </c>
    </row>
    <row r="53" spans="1:4" ht="15" x14ac:dyDescent="0.25">
      <c r="A53" s="4"/>
      <c r="B53" s="48"/>
      <c r="C53" s="48"/>
      <c r="D53" s="537"/>
    </row>
    <row r="54" spans="1:4" ht="18.75" x14ac:dyDescent="0.3">
      <c r="A54" s="512" t="s">
        <v>463</v>
      </c>
      <c r="B54" s="503"/>
      <c r="C54" s="503"/>
      <c r="D54" s="536"/>
    </row>
    <row r="55" spans="1:4" ht="15" x14ac:dyDescent="0.25">
      <c r="A55" s="432"/>
      <c r="B55" s="48" t="s">
        <v>134</v>
      </c>
      <c r="C55" s="48"/>
      <c r="D55" s="535"/>
    </row>
    <row r="56" spans="1:4" ht="15" x14ac:dyDescent="0.25">
      <c r="A56" s="432"/>
      <c r="B56" s="48"/>
      <c r="C56" s="49" t="str">
        <f t="shared" ref="C56" si="0">IF(D56&lt;&gt;"","▪","")</f>
        <v>▪</v>
      </c>
      <c r="D56" s="535" t="s">
        <v>458</v>
      </c>
    </row>
    <row r="57" spans="1:4" ht="30" customHeight="1" x14ac:dyDescent="0.25">
      <c r="A57" s="432"/>
      <c r="B57" s="48"/>
      <c r="C57" s="49" t="str">
        <f t="shared" ref="C57:C62" si="1">IF(D57&lt;&gt;"","▪","")</f>
        <v>▪</v>
      </c>
      <c r="D57" s="535" t="s">
        <v>446</v>
      </c>
    </row>
    <row r="58" spans="1:4" ht="30" customHeight="1" x14ac:dyDescent="0.25">
      <c r="A58" s="432"/>
      <c r="B58" s="48"/>
      <c r="C58" s="49" t="str">
        <f t="shared" si="1"/>
        <v>▪</v>
      </c>
      <c r="D58" s="535" t="s">
        <v>428</v>
      </c>
    </row>
    <row r="59" spans="1:4" ht="30" customHeight="1" x14ac:dyDescent="0.25">
      <c r="A59" s="432"/>
      <c r="B59" s="48"/>
      <c r="C59" s="49" t="str">
        <f t="shared" si="1"/>
        <v>▪</v>
      </c>
      <c r="D59" s="535" t="s">
        <v>429</v>
      </c>
    </row>
    <row r="60" spans="1:4" ht="25.5" x14ac:dyDescent="0.25">
      <c r="A60" s="432"/>
      <c r="B60" s="48"/>
      <c r="C60" s="49" t="str">
        <f t="shared" si="1"/>
        <v>▪</v>
      </c>
      <c r="D60" s="535" t="s">
        <v>457</v>
      </c>
    </row>
    <row r="61" spans="1:4" ht="15" x14ac:dyDescent="0.25">
      <c r="A61" s="432"/>
      <c r="B61" s="48"/>
      <c r="C61" s="49" t="str">
        <f t="shared" si="1"/>
        <v>▪</v>
      </c>
      <c r="D61" s="535" t="s">
        <v>439</v>
      </c>
    </row>
    <row r="62" spans="1:4" ht="30" customHeight="1" x14ac:dyDescent="0.25">
      <c r="A62" s="432"/>
      <c r="B62" s="48"/>
      <c r="C62" s="49" t="str">
        <f t="shared" si="1"/>
        <v>▪</v>
      </c>
      <c r="D62" s="535" t="s">
        <v>430</v>
      </c>
    </row>
    <row r="63" spans="1:4" ht="15" x14ac:dyDescent="0.25">
      <c r="A63" s="432"/>
      <c r="B63" s="48" t="s">
        <v>431</v>
      </c>
      <c r="C63" s="48"/>
      <c r="D63" s="535"/>
    </row>
    <row r="64" spans="1:4" ht="15" x14ac:dyDescent="0.25">
      <c r="A64" s="432"/>
      <c r="B64" s="48"/>
      <c r="C64" s="49" t="str">
        <f>IF(D64&lt;&gt;"","▪","")</f>
        <v>▪</v>
      </c>
      <c r="D64" s="535" t="s">
        <v>454</v>
      </c>
    </row>
    <row r="65" spans="1:4" ht="15" x14ac:dyDescent="0.25">
      <c r="A65" s="432"/>
      <c r="B65" s="48"/>
      <c r="C65" s="49" t="str">
        <f>IF(D65&lt;&gt;"","▪","")</f>
        <v>▪</v>
      </c>
      <c r="D65" s="535" t="s">
        <v>453</v>
      </c>
    </row>
    <row r="66" spans="1:4" ht="15" x14ac:dyDescent="0.25">
      <c r="A66" s="432"/>
      <c r="B66" s="48"/>
      <c r="C66" s="49"/>
      <c r="D66" s="538" t="s">
        <v>432</v>
      </c>
    </row>
    <row r="67" spans="1:4" ht="15" x14ac:dyDescent="0.25">
      <c r="A67" s="432"/>
      <c r="B67" s="48"/>
      <c r="C67" s="49" t="str">
        <f>IF(D67&lt;&gt;"","▪","")</f>
        <v>▪</v>
      </c>
      <c r="D67" s="535" t="s">
        <v>433</v>
      </c>
    </row>
    <row r="68" spans="1:4" ht="15" x14ac:dyDescent="0.25">
      <c r="A68" s="432"/>
      <c r="B68" s="48"/>
      <c r="C68" s="49"/>
      <c r="D68" s="538" t="s">
        <v>434</v>
      </c>
    </row>
    <row r="69" spans="1:4" ht="15" x14ac:dyDescent="0.25">
      <c r="A69" s="432"/>
      <c r="B69" s="48"/>
      <c r="C69" s="49" t="str">
        <f>IF(D69&lt;&gt;"","▪","")</f>
        <v>▪</v>
      </c>
      <c r="D69" s="535" t="s">
        <v>460</v>
      </c>
    </row>
    <row r="70" spans="1:4" ht="15" x14ac:dyDescent="0.25">
      <c r="A70" s="432"/>
      <c r="B70" s="48"/>
      <c r="C70" s="49" t="str">
        <f>IF(D70&lt;&gt;"","▪","")</f>
        <v>▪</v>
      </c>
      <c r="D70" s="535" t="s">
        <v>461</v>
      </c>
    </row>
    <row r="71" spans="1:4" ht="15" x14ac:dyDescent="0.25">
      <c r="A71" s="432"/>
      <c r="B71" s="48" t="s">
        <v>210</v>
      </c>
      <c r="C71" s="48"/>
      <c r="D71" s="535"/>
    </row>
    <row r="72" spans="1:4" ht="15" x14ac:dyDescent="0.25">
      <c r="A72" s="432"/>
      <c r="B72" s="48"/>
      <c r="C72" s="49" t="str">
        <f>IF(D72&lt;&gt;"","▪","")</f>
        <v>▪</v>
      </c>
      <c r="D72" s="535" t="s">
        <v>438</v>
      </c>
    </row>
    <row r="73" spans="1:4" ht="15" x14ac:dyDescent="0.25">
      <c r="A73" s="432"/>
      <c r="B73" s="48" t="s">
        <v>435</v>
      </c>
      <c r="C73" s="48"/>
      <c r="D73" s="535"/>
    </row>
    <row r="74" spans="1:4" ht="15" x14ac:dyDescent="0.25">
      <c r="A74" s="432"/>
      <c r="B74" s="48"/>
      <c r="C74" s="49" t="str">
        <f>IF(D74&lt;&gt;"","▪","")</f>
        <v>▪</v>
      </c>
      <c r="D74" s="535" t="s">
        <v>451</v>
      </c>
    </row>
    <row r="75" spans="1:4" ht="15" x14ac:dyDescent="0.25">
      <c r="A75" s="432"/>
      <c r="B75" s="48"/>
      <c r="C75" s="49" t="str">
        <f>IF(D75&lt;&gt;"","▪","")</f>
        <v>▪</v>
      </c>
      <c r="D75" s="535" t="s">
        <v>452</v>
      </c>
    </row>
    <row r="76" spans="1:4" ht="15" x14ac:dyDescent="0.25">
      <c r="A76" s="432"/>
      <c r="B76" s="48"/>
      <c r="C76" s="49" t="str">
        <f>IF(D76&lt;&gt;"","▪","")</f>
        <v>▪</v>
      </c>
      <c r="D76" s="535" t="s">
        <v>449</v>
      </c>
    </row>
    <row r="77" spans="1:4" ht="15" x14ac:dyDescent="0.25">
      <c r="A77" s="432"/>
      <c r="B77" s="48"/>
      <c r="C77" s="49" t="str">
        <f>IF(D77&lt;&gt;"","▪","")</f>
        <v>▪</v>
      </c>
      <c r="D77" s="535" t="s">
        <v>448</v>
      </c>
    </row>
    <row r="78" spans="1:4" ht="15" x14ac:dyDescent="0.25">
      <c r="A78" s="432"/>
      <c r="B78" s="48" t="s">
        <v>436</v>
      </c>
      <c r="C78" s="48"/>
      <c r="D78" s="535"/>
    </row>
    <row r="79" spans="1:4" ht="15" x14ac:dyDescent="0.25">
      <c r="A79" s="432"/>
      <c r="B79" s="48"/>
      <c r="C79" s="49" t="str">
        <f>IF(D79&lt;&gt;"","▪","")</f>
        <v>▪</v>
      </c>
      <c r="D79" s="535" t="s">
        <v>451</v>
      </c>
    </row>
    <row r="80" spans="1:4" ht="15" x14ac:dyDescent="0.25">
      <c r="A80" s="432"/>
      <c r="B80" s="48"/>
      <c r="C80" s="49" t="str">
        <f>IF(D80&lt;&gt;"","▪","")</f>
        <v>▪</v>
      </c>
      <c r="D80" s="535" t="s">
        <v>450</v>
      </c>
    </row>
    <row r="81" spans="1:4" ht="15" x14ac:dyDescent="0.25">
      <c r="A81" s="432"/>
      <c r="B81" s="48"/>
      <c r="C81" s="49" t="str">
        <f>IF(D81&lt;&gt;"","▪","")</f>
        <v>▪</v>
      </c>
      <c r="D81" s="535" t="s">
        <v>449</v>
      </c>
    </row>
    <row r="82" spans="1:4" ht="15" x14ac:dyDescent="0.25">
      <c r="A82" s="432"/>
      <c r="B82" s="48"/>
      <c r="C82" s="49" t="str">
        <f>IF(D82&lt;&gt;"","▪","")</f>
        <v>▪</v>
      </c>
      <c r="D82" s="535" t="s">
        <v>448</v>
      </c>
    </row>
    <row r="83" spans="1:4" ht="15" x14ac:dyDescent="0.25">
      <c r="A83" s="432"/>
      <c r="B83" s="48" t="s">
        <v>410</v>
      </c>
      <c r="C83" s="48"/>
      <c r="D83" s="535"/>
    </row>
    <row r="84" spans="1:4" ht="20.100000000000001" customHeight="1" x14ac:dyDescent="0.25">
      <c r="A84" s="432"/>
      <c r="B84" s="48"/>
      <c r="C84" s="49" t="str">
        <f>IF(D84&lt;&gt;"","▪","")</f>
        <v>▪</v>
      </c>
      <c r="D84" s="535" t="s">
        <v>459</v>
      </c>
    </row>
    <row r="85" spans="1:4" ht="15" x14ac:dyDescent="0.25">
      <c r="A85" s="432"/>
      <c r="B85" s="48" t="s">
        <v>437</v>
      </c>
      <c r="C85" s="48"/>
      <c r="D85" s="535"/>
    </row>
    <row r="86" spans="1:4" ht="20.100000000000001" customHeight="1" x14ac:dyDescent="0.25">
      <c r="A86" s="432"/>
      <c r="B86" s="48"/>
      <c r="C86" s="49" t="str">
        <f>IF(D86&lt;&gt;"","▪","")</f>
        <v>▪</v>
      </c>
      <c r="D86" s="535" t="s">
        <v>447</v>
      </c>
    </row>
    <row r="87" spans="1:4" ht="15" x14ac:dyDescent="0.25">
      <c r="A87" s="436"/>
      <c r="B87" s="511"/>
      <c r="C87" s="511"/>
      <c r="D87" s="539"/>
    </row>
    <row r="88" spans="1:4" ht="18.75" x14ac:dyDescent="0.3">
      <c r="A88" s="502" t="s">
        <v>462</v>
      </c>
      <c r="B88" s="503"/>
      <c r="C88" s="503"/>
      <c r="D88" s="536"/>
    </row>
    <row r="89" spans="1:4" ht="15" x14ac:dyDescent="0.25">
      <c r="A89" s="4"/>
      <c r="B89" s="48" t="s">
        <v>134</v>
      </c>
      <c r="C89" s="48"/>
      <c r="D89" s="535"/>
    </row>
    <row r="90" spans="1:4" ht="15" x14ac:dyDescent="0.25">
      <c r="A90" s="4"/>
      <c r="B90" s="48"/>
      <c r="C90" s="49" t="str">
        <f>IF(D90&lt;&gt;"","▪","")</f>
        <v>▪</v>
      </c>
      <c r="D90" s="535" t="s">
        <v>913</v>
      </c>
    </row>
    <row r="91" spans="1:4" ht="15" x14ac:dyDescent="0.25">
      <c r="A91" s="4"/>
      <c r="B91" s="48" t="s">
        <v>431</v>
      </c>
      <c r="C91" s="48"/>
      <c r="D91" s="535"/>
    </row>
    <row r="92" spans="1:4" ht="15" x14ac:dyDescent="0.25">
      <c r="A92" s="4"/>
      <c r="B92" s="48"/>
      <c r="C92" s="49" t="str">
        <f>IF(D92&lt;&gt;"","▪","")</f>
        <v>▪</v>
      </c>
      <c r="D92" s="535" t="s">
        <v>924</v>
      </c>
    </row>
    <row r="93" spans="1:4" ht="38.25" x14ac:dyDescent="0.25">
      <c r="A93" s="4"/>
      <c r="B93" s="48"/>
      <c r="C93" s="49" t="str">
        <f>IF(D93&lt;&gt;"","▪","")</f>
        <v>▪</v>
      </c>
      <c r="D93" s="535" t="s">
        <v>926</v>
      </c>
    </row>
    <row r="94" spans="1:4" ht="25.5" x14ac:dyDescent="0.25">
      <c r="A94" s="4"/>
      <c r="B94" s="48"/>
      <c r="C94" s="49" t="str">
        <f>IF(D94&lt;&gt;"","▪","")</f>
        <v>▪</v>
      </c>
      <c r="D94" s="535" t="s">
        <v>927</v>
      </c>
    </row>
    <row r="95" spans="1:4" ht="15" x14ac:dyDescent="0.25">
      <c r="A95" s="4"/>
      <c r="B95" s="48" t="s">
        <v>210</v>
      </c>
      <c r="C95" s="48"/>
      <c r="D95" s="535"/>
    </row>
    <row r="96" spans="1:4" ht="15" x14ac:dyDescent="0.25">
      <c r="A96" s="4"/>
      <c r="B96" s="48"/>
      <c r="C96" s="49" t="str">
        <f>IF(D96&lt;&gt;"","▪","")</f>
        <v>▪</v>
      </c>
      <c r="D96" s="535" t="s">
        <v>907</v>
      </c>
    </row>
    <row r="97" spans="1:4" ht="15" x14ac:dyDescent="0.25">
      <c r="A97" s="4"/>
      <c r="B97" s="48" t="s">
        <v>411</v>
      </c>
      <c r="C97" s="48"/>
      <c r="D97" s="535"/>
    </row>
    <row r="98" spans="1:4" ht="15" x14ac:dyDescent="0.25">
      <c r="A98" s="4"/>
      <c r="B98" s="48"/>
      <c r="C98" s="49" t="str">
        <f>IF(D98&lt;&gt;"","▪","")</f>
        <v>▪</v>
      </c>
      <c r="D98" s="535" t="s">
        <v>922</v>
      </c>
    </row>
    <row r="99" spans="1:4" ht="15" x14ac:dyDescent="0.25">
      <c r="A99" s="432"/>
      <c r="B99" s="48" t="s">
        <v>435</v>
      </c>
      <c r="C99" s="48"/>
      <c r="D99" s="535"/>
    </row>
    <row r="100" spans="1:4" ht="25.5" x14ac:dyDescent="0.25">
      <c r="A100" s="432"/>
      <c r="B100" s="48"/>
      <c r="C100" s="49" t="str">
        <f>IF(D100&lt;&gt;"","▪","")</f>
        <v>▪</v>
      </c>
      <c r="D100" s="535" t="s">
        <v>923</v>
      </c>
    </row>
    <row r="101" spans="1:4" ht="15" x14ac:dyDescent="0.25">
      <c r="A101" s="432"/>
      <c r="B101" s="48"/>
      <c r="C101" s="49" t="str">
        <f>IF(D101&lt;&gt;"","▪","")</f>
        <v>▪</v>
      </c>
      <c r="D101" s="535" t="s">
        <v>914</v>
      </c>
    </row>
    <row r="102" spans="1:4" ht="15" x14ac:dyDescent="0.25">
      <c r="A102" s="432"/>
      <c r="B102" s="48" t="s">
        <v>414</v>
      </c>
      <c r="C102" s="48"/>
      <c r="D102" s="535"/>
    </row>
    <row r="103" spans="1:4" ht="15" x14ac:dyDescent="0.25">
      <c r="A103" s="432"/>
      <c r="B103" s="48"/>
      <c r="C103" s="49" t="str">
        <f>IF(D103&lt;&gt;"","▪","")</f>
        <v>▪</v>
      </c>
      <c r="D103" s="535" t="s">
        <v>915</v>
      </c>
    </row>
    <row r="104" spans="1:4" ht="15" x14ac:dyDescent="0.25">
      <c r="A104" s="4"/>
      <c r="B104" s="48" t="s">
        <v>436</v>
      </c>
      <c r="C104" s="48"/>
      <c r="D104" s="535"/>
    </row>
    <row r="105" spans="1:4" ht="15" x14ac:dyDescent="0.25">
      <c r="A105" s="4"/>
      <c r="B105" s="48"/>
      <c r="C105" s="49" t="str">
        <f>IF(D105&lt;&gt;"","▪","")</f>
        <v>▪</v>
      </c>
      <c r="D105" s="535" t="s">
        <v>918</v>
      </c>
    </row>
    <row r="106" spans="1:4" ht="15" x14ac:dyDescent="0.25">
      <c r="A106" s="4"/>
      <c r="B106" s="48"/>
      <c r="C106" s="49" t="str">
        <f>IF(D106&lt;&gt;"","▪","")</f>
        <v>▪</v>
      </c>
      <c r="D106" s="535" t="s">
        <v>916</v>
      </c>
    </row>
    <row r="107" spans="1:4" ht="15" x14ac:dyDescent="0.25">
      <c r="A107" s="4"/>
      <c r="B107" s="48" t="s">
        <v>471</v>
      </c>
      <c r="C107" s="48"/>
      <c r="D107" s="535"/>
    </row>
    <row r="108" spans="1:4" ht="15" x14ac:dyDescent="0.25">
      <c r="A108" s="4"/>
      <c r="B108" s="48"/>
      <c r="C108" s="49" t="str">
        <f>IF(D108&lt;&gt;"","▪","")</f>
        <v>▪</v>
      </c>
      <c r="D108" s="535" t="s">
        <v>472</v>
      </c>
    </row>
    <row r="109" spans="1:4" ht="15" x14ac:dyDescent="0.25">
      <c r="A109" s="4"/>
      <c r="B109" s="48"/>
      <c r="C109" s="49" t="str">
        <f>IF(D109&lt;&gt;"","▪","")</f>
        <v>▪</v>
      </c>
      <c r="D109" s="535" t="s">
        <v>917</v>
      </c>
    </row>
    <row r="110" spans="1:4" ht="15" x14ac:dyDescent="0.25">
      <c r="A110" s="4"/>
      <c r="B110" s="48"/>
      <c r="C110" s="49" t="str">
        <f>IF(D110&lt;&gt;"","▪","")</f>
        <v>▪</v>
      </c>
      <c r="D110" s="535" t="s">
        <v>919</v>
      </c>
    </row>
    <row r="111" spans="1:4" ht="15" x14ac:dyDescent="0.25">
      <c r="A111" s="4"/>
      <c r="B111" s="48" t="s">
        <v>410</v>
      </c>
      <c r="C111" s="48"/>
      <c r="D111" s="535"/>
    </row>
    <row r="112" spans="1:4" ht="15" x14ac:dyDescent="0.25">
      <c r="A112" s="4"/>
      <c r="B112" s="48"/>
      <c r="C112" s="49" t="str">
        <f>IF(D112&lt;&gt;"","▪","")</f>
        <v>▪</v>
      </c>
      <c r="D112" s="535" t="s">
        <v>473</v>
      </c>
    </row>
    <row r="113" spans="1:4" ht="15" x14ac:dyDescent="0.25">
      <c r="A113" s="4"/>
      <c r="B113" s="48" t="s">
        <v>358</v>
      </c>
      <c r="C113" s="48"/>
      <c r="D113" s="535"/>
    </row>
    <row r="114" spans="1:4" ht="15" x14ac:dyDescent="0.25">
      <c r="A114" s="4"/>
      <c r="B114" s="48"/>
      <c r="C114" s="49" t="str">
        <f>IF(D114&lt;&gt;"","▪","")</f>
        <v>▪</v>
      </c>
      <c r="D114" s="535" t="s">
        <v>920</v>
      </c>
    </row>
    <row r="115" spans="1:4" ht="15" x14ac:dyDescent="0.25">
      <c r="A115" s="4"/>
      <c r="B115" s="48" t="s">
        <v>4</v>
      </c>
      <c r="C115" s="48"/>
      <c r="D115" s="535"/>
    </row>
    <row r="116" spans="1:4" ht="15" x14ac:dyDescent="0.25">
      <c r="A116" s="4"/>
      <c r="B116" s="48"/>
      <c r="C116" s="49" t="str">
        <f>IF(D116&lt;&gt;"","▪","")</f>
        <v>▪</v>
      </c>
      <c r="D116" s="535" t="s">
        <v>921</v>
      </c>
    </row>
    <row r="117" spans="1:4" ht="15" x14ac:dyDescent="0.25">
      <c r="A117" s="436"/>
      <c r="B117" s="511"/>
      <c r="C117" s="511"/>
      <c r="D117" s="539"/>
    </row>
    <row r="118" spans="1:4" ht="18.75" x14ac:dyDescent="0.3">
      <c r="A118" s="502" t="s">
        <v>928</v>
      </c>
      <c r="B118" s="503"/>
      <c r="C118" s="503"/>
      <c r="D118" s="536"/>
    </row>
    <row r="119" spans="1:4" ht="15" x14ac:dyDescent="0.25">
      <c r="A119" s="4"/>
      <c r="B119" s="48" t="s">
        <v>431</v>
      </c>
      <c r="C119" s="48"/>
      <c r="D119" s="535"/>
    </row>
    <row r="120" spans="1:4" ht="25.5" x14ac:dyDescent="0.25">
      <c r="A120" s="4"/>
      <c r="B120" s="48"/>
      <c r="C120" s="49" t="str">
        <f>IF(D120&lt;&gt;"","▪","")</f>
        <v>▪</v>
      </c>
      <c r="D120" s="535" t="s">
        <v>932</v>
      </c>
    </row>
    <row r="121" spans="1:4" ht="15" x14ac:dyDescent="0.25">
      <c r="A121" s="4"/>
      <c r="B121" s="48" t="s">
        <v>411</v>
      </c>
      <c r="C121" s="48"/>
      <c r="D121" s="535"/>
    </row>
    <row r="122" spans="1:4" ht="15" x14ac:dyDescent="0.25">
      <c r="A122" s="4"/>
      <c r="B122" s="48"/>
      <c r="C122" s="49" t="str">
        <f>IF(D122&lt;&gt;"","▪","")</f>
        <v>▪</v>
      </c>
      <c r="D122" s="535" t="s">
        <v>933</v>
      </c>
    </row>
    <row r="123" spans="1:4" ht="15" x14ac:dyDescent="0.25">
      <c r="A123" s="4"/>
      <c r="B123" s="48" t="s">
        <v>210</v>
      </c>
      <c r="C123" s="48"/>
      <c r="D123" s="535"/>
    </row>
    <row r="124" spans="1:4" ht="15" x14ac:dyDescent="0.25">
      <c r="A124" s="4"/>
      <c r="B124" s="48"/>
      <c r="C124" s="49" t="str">
        <f>IF(D124&lt;&gt;"","▪","")</f>
        <v>▪</v>
      </c>
      <c r="D124" s="535" t="s">
        <v>931</v>
      </c>
    </row>
    <row r="125" spans="1:4" ht="15" x14ac:dyDescent="0.25">
      <c r="A125" s="436"/>
      <c r="B125" s="511"/>
      <c r="C125" s="511"/>
      <c r="D125" s="539"/>
    </row>
    <row r="126" spans="1:4" ht="18.75" x14ac:dyDescent="0.3">
      <c r="A126" s="662"/>
      <c r="B126" s="503"/>
      <c r="C126" s="503"/>
      <c r="D126" s="536"/>
    </row>
  </sheetData>
  <sheetProtection algorithmName="SHA-512" hashValue="ruFfwhRGdNKtJs3Gwuq3KY27sEoFcx+0L7ugIaSShY2qYf4DvMOHZcsLBnCmzOLYtVjdDLRiqH8zXGd6Ie6YDQ==" saltValue="lFhr5qib1+QMsbLRiH7Yc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&amp;LPMv3.09&amp;R&amp;P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20"/>
      <c r="B1" s="420"/>
      <c r="C1" s="420"/>
      <c r="D1" s="420"/>
      <c r="E1" s="420"/>
      <c r="F1" s="420"/>
      <c r="G1" s="420"/>
      <c r="H1" s="420"/>
      <c r="I1" s="420"/>
      <c r="J1" s="526" t="s">
        <v>0</v>
      </c>
      <c r="K1" s="550" t="b">
        <v>1</v>
      </c>
    </row>
    <row r="2" spans="1:15" ht="22.7" customHeight="1" x14ac:dyDescent="0.2">
      <c r="A2" s="420"/>
      <c r="B2" s="422"/>
      <c r="C2" s="422"/>
      <c r="D2" s="422"/>
      <c r="E2" s="683" t="str">
        <f>CHOOSE(MATCH(Objeto,{"PM","PO"}),"PLANILHA MÚLTIPLA ","PLANILHA ORÇAMENTÁRIA ")&amp; Versao</f>
        <v>PLANILHA MÚLTIPLA v3.09</v>
      </c>
      <c r="F2" s="683"/>
      <c r="G2" s="683"/>
      <c r="H2" s="424"/>
      <c r="I2" s="422"/>
      <c r="J2" s="526" t="s">
        <v>930</v>
      </c>
      <c r="K2" s="550" t="b">
        <v>1</v>
      </c>
    </row>
    <row r="3" spans="1:15" ht="22.7" customHeight="1" x14ac:dyDescent="0.2">
      <c r="A3" s="420"/>
      <c r="B3" s="422"/>
      <c r="C3" s="422"/>
      <c r="D3" s="422"/>
      <c r="E3" s="683"/>
      <c r="F3" s="683"/>
      <c r="G3" s="683"/>
      <c r="H3" s="424"/>
      <c r="I3" s="422"/>
      <c r="O3" s="425">
        <v>1</v>
      </c>
    </row>
    <row r="4" spans="1:15" ht="17.25" customHeight="1" x14ac:dyDescent="0.2">
      <c r="A4" s="420"/>
      <c r="B4" s="422"/>
      <c r="C4" s="422"/>
      <c r="D4" s="422"/>
      <c r="E4" s="422"/>
      <c r="F4" s="423"/>
      <c r="G4" s="424"/>
      <c r="H4" s="424"/>
      <c r="I4" s="422"/>
      <c r="O4" s="425">
        <v>1</v>
      </c>
    </row>
    <row r="5" spans="1:15" ht="17.25" customHeight="1" thickBot="1" x14ac:dyDescent="0.25">
      <c r="A5" s="420"/>
      <c r="B5" s="422"/>
      <c r="C5" s="422"/>
      <c r="D5" s="422"/>
      <c r="E5" s="422"/>
      <c r="F5" s="423"/>
      <c r="G5" s="424"/>
      <c r="H5" s="424"/>
      <c r="I5" s="422"/>
      <c r="J5" s="437" t="s">
        <v>395</v>
      </c>
    </row>
    <row r="6" spans="1:15" ht="21" customHeight="1" thickBot="1" x14ac:dyDescent="0.25">
      <c r="A6" s="420"/>
      <c r="B6" s="420"/>
      <c r="C6" s="420"/>
      <c r="D6" s="420"/>
      <c r="E6" s="549" t="s">
        <v>389</v>
      </c>
      <c r="F6" s="421"/>
      <c r="G6" s="549" t="s">
        <v>390</v>
      </c>
      <c r="H6" s="420"/>
      <c r="I6" s="420"/>
      <c r="J6" s="437" t="s">
        <v>1</v>
      </c>
    </row>
    <row r="7" spans="1:15" x14ac:dyDescent="0.2">
      <c r="A7" s="420"/>
      <c r="B7" s="420"/>
      <c r="C7" s="420"/>
      <c r="D7" s="420"/>
      <c r="E7" s="420"/>
      <c r="F7" s="420"/>
      <c r="G7" s="420"/>
      <c r="H7" s="420"/>
      <c r="I7" s="420"/>
      <c r="J7" s="437" t="s">
        <v>358</v>
      </c>
      <c r="K7" s="427"/>
      <c r="L7" s="428"/>
      <c r="M7" s="428"/>
      <c r="N7" s="429"/>
    </row>
    <row r="8" spans="1:15" ht="21" customHeight="1" x14ac:dyDescent="0.2">
      <c r="A8" s="422"/>
      <c r="B8" s="682" t="str">
        <f>IF($O$3&lt;&gt;2,"DOCUMENTAÇÃO DA PROPOSTA","PROPOSTA: Para visualizar/preencher esta seção, altere o TIPO DE ORÇAMENTO para 'Proposto'")</f>
        <v>DOCUMENTAÇÃO DA PROPOSTA</v>
      </c>
      <c r="C8" s="682"/>
      <c r="D8" s="682"/>
      <c r="E8" s="682"/>
      <c r="F8" s="682"/>
      <c r="G8" s="682"/>
      <c r="H8" s="682"/>
      <c r="I8" s="420"/>
      <c r="J8" s="437" t="s">
        <v>4</v>
      </c>
      <c r="K8" s="430"/>
      <c r="L8" s="431" t="s">
        <v>391</v>
      </c>
      <c r="M8" s="431"/>
      <c r="N8" s="432"/>
    </row>
    <row r="9" spans="1:15" ht="13.5" thickBot="1" x14ac:dyDescent="0.25">
      <c r="A9" s="420"/>
      <c r="B9" s="420"/>
      <c r="C9" s="420"/>
      <c r="D9" s="420"/>
      <c r="E9" s="420"/>
      <c r="F9" s="420"/>
      <c r="G9" s="420"/>
      <c r="H9" s="420"/>
      <c r="I9" s="420"/>
      <c r="K9" s="430"/>
      <c r="L9" t="s">
        <v>393</v>
      </c>
      <c r="N9" s="432"/>
    </row>
    <row r="10" spans="1:15" ht="21" customHeight="1" thickBot="1" x14ac:dyDescent="0.25">
      <c r="A10" s="420"/>
      <c r="B10" s="420"/>
      <c r="C10" s="513" t="str">
        <f>IF(TIPOORCAMENTO&lt;&gt;"Proposto","","                    BDI                    ")</f>
        <v xml:space="preserve">                    BDI                    </v>
      </c>
      <c r="D10" s="421"/>
      <c r="E10" s="513" t="str">
        <f>IF(TIPOORCAMENTO&lt;&gt;"Proposto","","             ORÇAMENTO             ")</f>
        <v xml:space="preserve">             ORÇAMENTO             </v>
      </c>
      <c r="F10" s="421"/>
      <c r="G10" s="515" t="str">
        <f>IF(TIPOORCAMENTO&lt;&gt;"Proposto","","MEMÓRIA DE CÁLCULO / PLQ")</f>
        <v>MEMÓRIA DE CÁLCULO / PLQ</v>
      </c>
      <c r="H10" s="420"/>
      <c r="I10" s="420"/>
      <c r="K10" s="430"/>
      <c r="L10" s="5"/>
      <c r="M10" s="3"/>
      <c r="N10" s="433" t="s">
        <v>2</v>
      </c>
    </row>
    <row r="11" spans="1:15" ht="13.5" thickBot="1" x14ac:dyDescent="0.25">
      <c r="A11" s="420"/>
      <c r="B11" s="420"/>
      <c r="C11" s="421"/>
      <c r="D11" s="421"/>
      <c r="E11" s="421"/>
      <c r="F11" s="421"/>
      <c r="G11" s="421"/>
      <c r="H11" s="420"/>
      <c r="I11" s="420"/>
      <c r="K11" s="430"/>
      <c r="N11" s="432"/>
    </row>
    <row r="12" spans="1:15" ht="21" customHeight="1" thickBot="1" x14ac:dyDescent="0.25">
      <c r="A12" s="420"/>
      <c r="B12" s="420"/>
      <c r="C12" s="513" t="str">
        <f>IF(TIPOORCAMENTO&lt;&gt;"Proposto","","                    QCI                    ")</f>
        <v xml:space="preserve">                    QCI                    </v>
      </c>
      <c r="D12" s="421"/>
      <c r="E12" s="514" t="str">
        <f>IF(TIPOORCAMENTO&lt;&gt;"Proposto","","CRONOGRAMA FÍSICO-FINANCEIRO")</f>
        <v>CRONOGRAMA FÍSICO-FINANCEIRO</v>
      </c>
      <c r="F12" s="421"/>
      <c r="G12" s="421"/>
      <c r="H12" s="420"/>
      <c r="I12" s="420"/>
      <c r="K12" s="430"/>
      <c r="L12" s="6"/>
      <c r="M12" s="3"/>
      <c r="N12" s="433" t="s">
        <v>3</v>
      </c>
    </row>
    <row r="13" spans="1:15" x14ac:dyDescent="0.2">
      <c r="A13" s="420"/>
      <c r="B13" s="420"/>
      <c r="C13" s="420"/>
      <c r="D13" s="420"/>
      <c r="E13" s="420"/>
      <c r="F13" s="420"/>
      <c r="G13" s="420"/>
      <c r="H13" s="420"/>
      <c r="I13" s="420"/>
      <c r="K13" s="430"/>
      <c r="N13" s="432"/>
    </row>
    <row r="14" spans="1:15" x14ac:dyDescent="0.2">
      <c r="A14" s="420"/>
      <c r="B14" s="420"/>
      <c r="C14" s="420"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20"/>
      <c r="E14" s="420"/>
      <c r="F14" s="420"/>
      <c r="G14" s="420"/>
      <c r="H14" s="420"/>
      <c r="I14" s="420"/>
      <c r="K14" s="430"/>
      <c r="N14" s="432"/>
    </row>
    <row r="15" spans="1:15" x14ac:dyDescent="0.2">
      <c r="A15" s="420"/>
      <c r="B15" s="420"/>
      <c r="C15" s="420"/>
      <c r="D15" s="420"/>
      <c r="E15" s="420"/>
      <c r="F15" s="420"/>
      <c r="G15" s="420"/>
      <c r="H15" s="420"/>
      <c r="I15" s="420"/>
      <c r="K15" s="430"/>
      <c r="L15" t="s">
        <v>394</v>
      </c>
      <c r="N15" s="432"/>
    </row>
    <row r="16" spans="1:15" ht="21" customHeight="1" x14ac:dyDescent="0.2">
      <c r="A16" s="420"/>
      <c r="B16" s="682" t="str">
        <f>IF($O$3&lt;&gt;2,"PÓS-LICITADO: Para visualizar/preencher esta seção, altere o TIPO DE ORÇAMENTO para 'Licitado'","RESULTADO DO PROCESSO LICITATÓRIO")</f>
        <v>PÓS-LICITADO: Para visualizar/preencher esta seção, altere o TIPO DE ORÇAMENTO para 'Licitado'</v>
      </c>
      <c r="C16" s="682"/>
      <c r="D16" s="682"/>
      <c r="E16" s="682"/>
      <c r="F16" s="682"/>
      <c r="G16" s="682"/>
      <c r="H16" s="682"/>
      <c r="I16" s="420"/>
      <c r="K16" s="430"/>
      <c r="L16" s="516"/>
      <c r="M16" s="3"/>
      <c r="N16" s="433" t="s">
        <v>440</v>
      </c>
    </row>
    <row r="17" spans="1:14" ht="13.5" thickBot="1" x14ac:dyDescent="0.25">
      <c r="A17" s="420"/>
      <c r="B17" s="420"/>
      <c r="C17" s="420"/>
      <c r="D17" s="420"/>
      <c r="E17" s="420"/>
      <c r="F17" s="420"/>
      <c r="G17" s="420"/>
      <c r="H17" s="420"/>
      <c r="I17" s="420"/>
      <c r="K17" s="430"/>
      <c r="N17" s="432"/>
    </row>
    <row r="18" spans="1:14" ht="21" customHeight="1" thickBot="1" x14ac:dyDescent="0.25">
      <c r="A18" s="420"/>
      <c r="B18" s="420"/>
      <c r="C18" s="513" t="str">
        <f>IF(TIPOORCAMENTO&lt;&gt;"Licitado","","             ORÇAMENTO             ")</f>
        <v/>
      </c>
      <c r="D18" s="421"/>
      <c r="E18" s="513" t="str">
        <f>IF(TIPOORCAMENTO&lt;&gt;"Licitado","","                    QCI                    ")</f>
        <v/>
      </c>
      <c r="F18" s="421"/>
      <c r="G18" s="514" t="str">
        <f>IF(TIPOORCAMENTO&lt;&gt;"Licitado","","CRONOGRAMA FÍSICO-FINANCEIRO")</f>
        <v/>
      </c>
      <c r="H18" s="420"/>
      <c r="I18" s="420"/>
      <c r="K18" s="430"/>
      <c r="L18" s="426"/>
      <c r="M18" s="3"/>
      <c r="N18" s="433" t="s">
        <v>392</v>
      </c>
    </row>
    <row r="19" spans="1:14" x14ac:dyDescent="0.2">
      <c r="A19" s="420"/>
      <c r="B19" s="420"/>
      <c r="C19" s="420"/>
      <c r="D19" s="420"/>
      <c r="E19" s="420"/>
      <c r="F19" s="420"/>
      <c r="G19" s="420"/>
      <c r="H19" s="420"/>
      <c r="I19" s="420"/>
      <c r="K19" s="434"/>
      <c r="L19" s="435"/>
      <c r="M19" s="435"/>
      <c r="N19" s="436"/>
    </row>
    <row r="20" spans="1:14" ht="21" customHeight="1" x14ac:dyDescent="0.2">
      <c r="A20" s="422"/>
      <c r="B20" s="682" t="str">
        <f>IF($O$3&lt;&gt;2,"ACOMPANHAMENTO: Para visualizar/preencher esta seção, altere o TIPO DE ORÇAMENTO para 'Licitado'","ACOMPANHAMENTO DO EMPREENDIMENTO")</f>
        <v>ACOMPANHAMENTO: Para visualizar/preencher esta seção, altere o TIPO DE ORÇAMENTO para 'Licitado'</v>
      </c>
      <c r="C20" s="682"/>
      <c r="D20" s="682"/>
      <c r="E20" s="682"/>
      <c r="F20" s="682"/>
      <c r="G20" s="682"/>
      <c r="H20" s="682"/>
      <c r="I20" s="420"/>
    </row>
    <row r="21" spans="1:14" ht="13.5" thickBot="1" x14ac:dyDescent="0.25">
      <c r="A21" s="420"/>
      <c r="B21" s="420"/>
      <c r="C21" s="420"/>
      <c r="D21" s="420"/>
      <c r="E21" s="420"/>
      <c r="F21" s="420"/>
      <c r="G21" s="420"/>
      <c r="H21" s="420"/>
      <c r="I21" s="420"/>
    </row>
    <row r="22" spans="1:14" ht="21" customHeight="1" thickBot="1" x14ac:dyDescent="0.25">
      <c r="A22" s="420"/>
      <c r="B22" s="420"/>
      <c r="C22" s="517" t="str">
        <f>IF(OR(TIPOORCAMENTO&lt;&gt;"Licitado",ACOMPANHAMENTO&lt;&gt;"PLE"),"","PLAN. DE LEVANT. DE EVENTOS - PLE")</f>
        <v/>
      </c>
      <c r="D22" s="421"/>
      <c r="E22" s="513" t="str">
        <f>IF(TIPOORCAMENTO&lt;&gt;"Licitado","","                    RRE                    ")</f>
        <v/>
      </c>
      <c r="F22" s="421"/>
      <c r="G22" s="515" t="str">
        <f>IF(OR(TIPOORCAMENTO&lt;&gt;"Licitado",ACOMPANHAMENTO&lt;&gt;"BM"),"","  BOLETIM DE MEDIÇÃO - BM  ")</f>
        <v/>
      </c>
      <c r="H22" s="420"/>
      <c r="I22" s="420"/>
    </row>
    <row r="23" spans="1:14" ht="13.5" thickBot="1" x14ac:dyDescent="0.25">
      <c r="A23" s="420"/>
      <c r="B23" s="420"/>
      <c r="C23" s="421"/>
      <c r="D23" s="421"/>
      <c r="E23" s="421"/>
      <c r="F23" s="421"/>
      <c r="G23" s="421"/>
      <c r="H23" s="420"/>
      <c r="I23" s="420"/>
    </row>
    <row r="24" spans="1:14" ht="21" customHeight="1" thickBot="1" x14ac:dyDescent="0.25">
      <c r="A24" s="420"/>
      <c r="B24" s="420"/>
      <c r="C24" s="421"/>
      <c r="D24" s="421"/>
      <c r="E24" s="517" t="str">
        <f>IF(TIPOORCAMENTO&lt;&gt;"Licitado","","OF. DE SOLICITAÇÃO DE DESBLOQUEIO")</f>
        <v/>
      </c>
      <c r="F24" s="421"/>
      <c r="G24" s="421"/>
      <c r="H24" s="420"/>
      <c r="I24" s="420"/>
    </row>
    <row r="25" spans="1:14" x14ac:dyDescent="0.2">
      <c r="A25" s="420"/>
      <c r="B25" s="420"/>
      <c r="C25" s="420"/>
      <c r="D25" s="420"/>
      <c r="E25" s="420"/>
      <c r="F25" s="420"/>
      <c r="G25" s="420"/>
      <c r="H25" s="420"/>
      <c r="I25" s="420"/>
    </row>
  </sheetData>
  <sheetProtection algorithmName="SHA-512" hashValue="aCz8y4g9brElfe3OPFilJ6AJiY9j9dsBbsbZb67VmtCdxTiXxmJSj+6X7GzWgT8GeszX3GsPhVTIq4BwylWgaw==" saltValue="dxGhztGtiNaQ/UqUFPyWcg==" spinCount="100000" sheet="1" objects="1" scenarios="1" autoFilter="0"/>
  <mergeCells count="4">
    <mergeCell ref="B20:H20"/>
    <mergeCell ref="B8:H8"/>
    <mergeCell ref="E2:G3"/>
    <mergeCell ref="B16:H16"/>
  </mergeCells>
  <phoneticPr fontId="38" type="noConversion"/>
  <conditionalFormatting sqref="C10:G14">
    <cfRule type="expression" dxfId="442" priority="70" stopIfTrue="1">
      <formula>TIPOORCAMENTO="Licitado"</formula>
    </cfRule>
  </conditionalFormatting>
  <conditionalFormatting sqref="C18:G18 E22:E24">
    <cfRule type="expression" dxfId="441" priority="71" stopIfTrue="1">
      <formula>TIPOORCAMENTO&lt;&gt;"Licitado"</formula>
    </cfRule>
  </conditionalFormatting>
  <conditionalFormatting sqref="C22">
    <cfRule type="expression" dxfId="440" priority="73" stopIfTrue="1">
      <formula>OR(TIPOORCAMENTO&lt;&gt;"Licitado",ACOMPANHAMENTO&lt;&gt;"PLE")</formula>
    </cfRule>
  </conditionalFormatting>
  <conditionalFormatting sqref="G22">
    <cfRule type="expression" dxfId="439" priority="74" stopIfTrue="1">
      <formula>OR(TIPOORCAMENTO&lt;&gt;"Licitado",ACOMPANHAMENTO&lt;&gt;"BM")</formula>
    </cfRule>
  </conditionalFormatting>
  <conditionalFormatting sqref="B16:H16 B20:H20">
    <cfRule type="expression" dxfId="438" priority="599" stopIfTrue="1">
      <formula>$O$3&lt;&gt;2</formula>
    </cfRule>
  </conditionalFormatting>
  <conditionalFormatting sqref="B8:H8">
    <cfRule type="expression" dxfId="437"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&amp;LPMv3.09&amp;R&amp;P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S222"/>
  <sheetViews>
    <sheetView showGridLines="0" zoomScaleNormal="100" workbookViewId="0">
      <pane ySplit="2" topLeftCell="A3" activePane="bottomLeft" state="frozen"/>
      <selection pane="bottomLeft"/>
    </sheetView>
  </sheetViews>
  <sheetFormatPr defaultRowHeight="12.75" x14ac:dyDescent="0.2"/>
  <cols>
    <col min="1" max="1" width="10.7109375" customWidth="1"/>
    <col min="2" max="2" width="42.7109375" style="3" customWidth="1"/>
    <col min="3" max="3" width="53.28515625" style="3" customWidth="1"/>
    <col min="4" max="4" width="80.7109375" customWidth="1"/>
    <col min="5" max="5" width="9.140625" customWidth="1"/>
    <col min="6" max="6" width="9.140625" hidden="1" customWidth="1"/>
    <col min="7" max="7" width="14.28515625" hidden="1" customWidth="1"/>
    <col min="8" max="10" width="9.140625" hidden="1" customWidth="1"/>
    <col min="11" max="11" width="9.140625" style="7" hidden="1" customWidth="1"/>
    <col min="12" max="43" width="9.140625" hidden="1" customWidth="1"/>
    <col min="44" max="44" width="15.7109375" hidden="1" customWidth="1"/>
    <col min="45" max="45" width="9.140625" hidden="1" customWidth="1"/>
  </cols>
  <sheetData>
    <row r="1" spans="2:44" ht="15.95" customHeight="1" x14ac:dyDescent="0.25">
      <c r="B1" s="8" t="s">
        <v>5</v>
      </c>
      <c r="C1" s="618"/>
      <c r="D1" s="564"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9"/>
      <c r="I1" s="685" t="s">
        <v>6</v>
      </c>
      <c r="J1" s="685"/>
      <c r="K1" s="685"/>
      <c r="L1" s="685"/>
      <c r="M1" s="685"/>
      <c r="N1" s="685"/>
      <c r="O1" s="685"/>
      <c r="P1" s="685"/>
      <c r="Q1" s="685"/>
      <c r="R1" s="685"/>
      <c r="S1" s="685"/>
      <c r="T1" s="685"/>
      <c r="U1" s="685"/>
      <c r="V1" s="685"/>
      <c r="W1" s="685"/>
      <c r="X1" s="685"/>
      <c r="Y1" s="685"/>
      <c r="Z1" s="685"/>
      <c r="AA1" s="685"/>
      <c r="AB1" s="685"/>
      <c r="AC1" s="685"/>
      <c r="AD1" s="685"/>
      <c r="AE1" s="685"/>
      <c r="AF1" s="685"/>
      <c r="AG1" s="685"/>
      <c r="AH1" s="685"/>
      <c r="AI1" s="685"/>
      <c r="AJ1" s="685"/>
      <c r="AK1" s="685"/>
      <c r="AL1" s="685"/>
      <c r="AM1" s="685"/>
      <c r="AN1" s="685"/>
      <c r="AO1" s="685"/>
      <c r="AQ1" s="559" t="s">
        <v>504</v>
      </c>
      <c r="AR1" s="560"/>
    </row>
    <row r="2" spans="2:44" ht="12.75" customHeight="1" thickBot="1" x14ac:dyDescent="0.25">
      <c r="B2" s="8"/>
      <c r="G2" s="10" t="s">
        <v>7</v>
      </c>
      <c r="H2" s="11" t="s">
        <v>8</v>
      </c>
      <c r="I2" s="12">
        <f>COUNTA(H:H)-1</f>
        <v>3</v>
      </c>
      <c r="J2" s="11" t="s">
        <v>9</v>
      </c>
      <c r="K2" s="12">
        <f>COUNTA(J:J)-1</f>
        <v>6</v>
      </c>
      <c r="L2" s="11" t="s">
        <v>10</v>
      </c>
      <c r="M2" s="12">
        <f>COUNTA(L:L)-1</f>
        <v>6</v>
      </c>
      <c r="N2" s="11" t="s">
        <v>11</v>
      </c>
      <c r="O2" s="12">
        <f>COUNTA(N:N)-1</f>
        <v>6</v>
      </c>
      <c r="P2" s="11" t="s">
        <v>12</v>
      </c>
      <c r="Q2" s="12">
        <f>COUNTA(P:P)-1</f>
        <v>11</v>
      </c>
      <c r="R2" s="11" t="s">
        <v>13</v>
      </c>
      <c r="S2" s="12">
        <f>COUNTA(R:R)-1</f>
        <v>8</v>
      </c>
      <c r="T2" s="11" t="s">
        <v>14</v>
      </c>
      <c r="U2" s="12">
        <f>COUNTA(T:T)-1</f>
        <v>4</v>
      </c>
      <c r="V2" s="11" t="s">
        <v>15</v>
      </c>
      <c r="W2" s="12">
        <f>COUNTA(V:V)-1</f>
        <v>6</v>
      </c>
      <c r="X2" s="11" t="s">
        <v>16</v>
      </c>
      <c r="Y2" s="12">
        <f>COUNTA(X:X)-1</f>
        <v>2</v>
      </c>
      <c r="Z2" s="11" t="s">
        <v>17</v>
      </c>
      <c r="AA2" s="12">
        <f>COUNTA(Z:Z)-1</f>
        <v>2</v>
      </c>
      <c r="AB2" s="11" t="s">
        <v>18</v>
      </c>
      <c r="AC2" s="12">
        <f>COUNTA(AB:AB)-1</f>
        <v>2</v>
      </c>
      <c r="AD2" s="11" t="s">
        <v>19</v>
      </c>
      <c r="AE2" s="12">
        <f>COUNTA(AD:AD)-1</f>
        <v>1</v>
      </c>
      <c r="AF2" s="11" t="s">
        <v>20</v>
      </c>
      <c r="AG2" s="12">
        <f>COUNTA(AF:AF)-1</f>
        <v>1</v>
      </c>
      <c r="AH2" s="11" t="s">
        <v>21</v>
      </c>
      <c r="AI2" s="12">
        <f>COUNTA(AH:AH)-1</f>
        <v>1</v>
      </c>
      <c r="AJ2" s="11" t="s">
        <v>22</v>
      </c>
      <c r="AK2" s="12">
        <f>COUNTA(AJ:AJ)-1</f>
        <v>3</v>
      </c>
      <c r="AL2" s="11" t="s">
        <v>23</v>
      </c>
      <c r="AM2" s="12">
        <f>COUNTA(AL:AL)-1</f>
        <v>1</v>
      </c>
      <c r="AN2" s="11" t="s">
        <v>24</v>
      </c>
      <c r="AO2" s="12">
        <f>COUNTA(AN:AN)-1</f>
        <v>4</v>
      </c>
      <c r="AQ2" s="561" t="s">
        <v>505</v>
      </c>
      <c r="AR2" s="85" t="s">
        <v>232</v>
      </c>
    </row>
    <row r="3" spans="2:44" ht="15.75" thickBot="1" x14ac:dyDescent="0.3">
      <c r="B3" s="684" t="s">
        <v>25</v>
      </c>
      <c r="C3" s="684"/>
      <c r="D3" s="616" t="str">
        <f ca="1">IF(COUNTIF(D4:D13,"◄")=0,"","Falta preencher a linha "&amp;MATCH("◄",D4:D13,0)+ROW(D3))</f>
        <v/>
      </c>
      <c r="G3" s="13" t="s">
        <v>8</v>
      </c>
      <c r="H3" t="s">
        <v>26</v>
      </c>
      <c r="I3" s="7" t="s">
        <v>27</v>
      </c>
      <c r="J3" s="13" t="s">
        <v>28</v>
      </c>
      <c r="K3" s="7" t="s">
        <v>29</v>
      </c>
      <c r="L3" t="s">
        <v>30</v>
      </c>
      <c r="M3" s="7" t="s">
        <v>29</v>
      </c>
      <c r="N3" t="s">
        <v>31</v>
      </c>
      <c r="O3" s="7" t="s">
        <v>32</v>
      </c>
      <c r="P3" t="s">
        <v>33</v>
      </c>
      <c r="Q3" s="7" t="s">
        <v>34</v>
      </c>
      <c r="R3" t="s">
        <v>35</v>
      </c>
      <c r="S3" s="7" t="s">
        <v>27</v>
      </c>
      <c r="T3" t="s">
        <v>36</v>
      </c>
      <c r="U3" s="7" t="s">
        <v>27</v>
      </c>
      <c r="V3" t="s">
        <v>37</v>
      </c>
      <c r="W3" s="7" t="s">
        <v>27</v>
      </c>
      <c r="X3" t="s">
        <v>38</v>
      </c>
      <c r="Y3" s="7" t="s">
        <v>29</v>
      </c>
      <c r="Z3" t="s">
        <v>39</v>
      </c>
      <c r="AA3" s="7" t="s">
        <v>29</v>
      </c>
      <c r="AB3" t="s">
        <v>18</v>
      </c>
      <c r="AC3" s="7" t="s">
        <v>29</v>
      </c>
      <c r="AD3" t="s">
        <v>19</v>
      </c>
      <c r="AE3" s="7" t="s">
        <v>27</v>
      </c>
      <c r="AF3" t="s">
        <v>20</v>
      </c>
      <c r="AG3" s="7" t="s">
        <v>27</v>
      </c>
      <c r="AH3" t="s">
        <v>21</v>
      </c>
      <c r="AI3" s="7" t="s">
        <v>27</v>
      </c>
      <c r="AJ3" t="s">
        <v>40</v>
      </c>
      <c r="AK3" s="7" t="s">
        <v>27</v>
      </c>
      <c r="AL3" t="s">
        <v>23</v>
      </c>
      <c r="AM3" s="7" t="s">
        <v>41</v>
      </c>
      <c r="AN3" t="s">
        <v>42</v>
      </c>
      <c r="AO3" s="7" t="s">
        <v>43</v>
      </c>
      <c r="AQ3" t="s">
        <v>41</v>
      </c>
      <c r="AR3" t="s">
        <v>41</v>
      </c>
    </row>
    <row r="4" spans="2:44" x14ac:dyDescent="0.2">
      <c r="B4" s="14" t="s">
        <v>44</v>
      </c>
      <c r="C4" s="15" t="s">
        <v>935</v>
      </c>
      <c r="D4" s="617" t="str">
        <f ca="1">IF(OR(OFFSET(D4,0,-1)="",OFFSET(D4,0,-1)="(SELECIONAR)"),"◄","")</f>
        <v/>
      </c>
      <c r="G4" s="13" t="s">
        <v>9</v>
      </c>
      <c r="H4" t="s">
        <v>45</v>
      </c>
      <c r="I4" s="7" t="s">
        <v>27</v>
      </c>
      <c r="J4" t="s">
        <v>46</v>
      </c>
      <c r="K4" s="7" t="s">
        <v>29</v>
      </c>
      <c r="L4" t="s">
        <v>47</v>
      </c>
      <c r="M4" s="7" t="s">
        <v>29</v>
      </c>
      <c r="N4" t="s">
        <v>48</v>
      </c>
      <c r="O4" s="7" t="s">
        <v>32</v>
      </c>
      <c r="P4" t="s">
        <v>49</v>
      </c>
      <c r="Q4" s="7" t="s">
        <v>34</v>
      </c>
      <c r="R4" t="s">
        <v>50</v>
      </c>
      <c r="S4" s="7" t="s">
        <v>32</v>
      </c>
      <c r="T4" t="s">
        <v>51</v>
      </c>
      <c r="U4" s="7" t="s">
        <v>27</v>
      </c>
      <c r="V4" t="s">
        <v>52</v>
      </c>
      <c r="W4" s="7" t="s">
        <v>53</v>
      </c>
      <c r="X4" t="s">
        <v>54</v>
      </c>
      <c r="Y4" s="7" t="s">
        <v>29</v>
      </c>
      <c r="Z4" t="s">
        <v>55</v>
      </c>
      <c r="AA4" s="7" t="s">
        <v>29</v>
      </c>
      <c r="AB4" t="s">
        <v>56</v>
      </c>
      <c r="AC4" s="7" t="s">
        <v>29</v>
      </c>
      <c r="AE4" s="7"/>
      <c r="AG4" s="7"/>
      <c r="AI4" s="7"/>
      <c r="AJ4" t="s">
        <v>57</v>
      </c>
      <c r="AK4" s="7" t="s">
        <v>27</v>
      </c>
      <c r="AN4" t="s">
        <v>58</v>
      </c>
      <c r="AO4" s="7" t="s">
        <v>43</v>
      </c>
      <c r="AQ4" t="s">
        <v>691</v>
      </c>
      <c r="AR4" t="s">
        <v>692</v>
      </c>
    </row>
    <row r="5" spans="2:44" x14ac:dyDescent="0.2">
      <c r="B5" s="16" t="s">
        <v>59</v>
      </c>
      <c r="C5" s="17" t="s">
        <v>947</v>
      </c>
      <c r="D5" s="617" t="str">
        <f t="shared" ref="D5:D11" ca="1" si="0">IF(OFFSET(D5,0,-1)="","◄","")</f>
        <v/>
      </c>
      <c r="G5" s="13" t="s">
        <v>10</v>
      </c>
      <c r="H5" t="s">
        <v>60</v>
      </c>
      <c r="I5" s="7" t="s">
        <v>27</v>
      </c>
      <c r="J5" t="s">
        <v>61</v>
      </c>
      <c r="K5" s="7" t="s">
        <v>29</v>
      </c>
      <c r="L5" t="s">
        <v>62</v>
      </c>
      <c r="M5" s="7" t="s">
        <v>32</v>
      </c>
      <c r="N5" t="s">
        <v>63</v>
      </c>
      <c r="O5" s="7" t="s">
        <v>32</v>
      </c>
      <c r="P5" t="s">
        <v>64</v>
      </c>
      <c r="Q5" s="7" t="s">
        <v>34</v>
      </c>
      <c r="R5" t="s">
        <v>65</v>
      </c>
      <c r="S5" s="7" t="s">
        <v>32</v>
      </c>
      <c r="T5" t="s">
        <v>66</v>
      </c>
      <c r="U5" s="7" t="s">
        <v>32</v>
      </c>
      <c r="V5" t="s">
        <v>67</v>
      </c>
      <c r="W5" s="7" t="s">
        <v>53</v>
      </c>
      <c r="Y5" s="7"/>
      <c r="AA5" s="7"/>
      <c r="AC5" s="7"/>
      <c r="AE5" s="7"/>
      <c r="AG5" s="7"/>
      <c r="AI5" s="7"/>
      <c r="AJ5" t="s">
        <v>68</v>
      </c>
      <c r="AK5" s="7" t="s">
        <v>27</v>
      </c>
      <c r="AN5" t="s">
        <v>69</v>
      </c>
      <c r="AO5" s="7" t="s">
        <v>43</v>
      </c>
      <c r="AQ5" t="s">
        <v>828</v>
      </c>
      <c r="AR5" t="s">
        <v>829</v>
      </c>
    </row>
    <row r="6" spans="2:44" x14ac:dyDescent="0.2">
      <c r="B6" s="16" t="s">
        <v>70</v>
      </c>
      <c r="C6" s="17" t="s">
        <v>952</v>
      </c>
      <c r="D6" s="617" t="str">
        <f t="shared" ca="1" si="0"/>
        <v/>
      </c>
      <c r="G6" s="13" t="s">
        <v>11</v>
      </c>
      <c r="J6" t="s">
        <v>71</v>
      </c>
      <c r="K6" s="7" t="s">
        <v>29</v>
      </c>
      <c r="L6" t="s">
        <v>72</v>
      </c>
      <c r="M6" s="7" t="s">
        <v>29</v>
      </c>
      <c r="N6" t="s">
        <v>73</v>
      </c>
      <c r="O6" s="7" t="s">
        <v>29</v>
      </c>
      <c r="P6" t="s">
        <v>74</v>
      </c>
      <c r="Q6" s="7" t="s">
        <v>32</v>
      </c>
      <c r="R6" t="s">
        <v>75</v>
      </c>
      <c r="S6" s="7" t="s">
        <v>32</v>
      </c>
      <c r="T6" t="s">
        <v>76</v>
      </c>
      <c r="U6" s="7" t="s">
        <v>32</v>
      </c>
      <c r="V6" t="s">
        <v>77</v>
      </c>
      <c r="W6" s="7" t="s">
        <v>27</v>
      </c>
      <c r="AN6" t="s">
        <v>78</v>
      </c>
      <c r="AO6" s="7" t="s">
        <v>43</v>
      </c>
      <c r="AQ6" t="s">
        <v>531</v>
      </c>
      <c r="AR6" t="s">
        <v>532</v>
      </c>
    </row>
    <row r="7" spans="2:44" x14ac:dyDescent="0.2">
      <c r="B7" s="18" t="s">
        <v>79</v>
      </c>
      <c r="C7" s="19" t="s">
        <v>947</v>
      </c>
      <c r="D7" s="617" t="str">
        <f t="shared" ca="1" si="0"/>
        <v/>
      </c>
      <c r="G7" s="13" t="s">
        <v>12</v>
      </c>
      <c r="J7" t="s">
        <v>80</v>
      </c>
      <c r="K7" s="7" t="s">
        <v>29</v>
      </c>
      <c r="L7" t="s">
        <v>81</v>
      </c>
      <c r="M7" s="7" t="s">
        <v>29</v>
      </c>
      <c r="N7" t="s">
        <v>82</v>
      </c>
      <c r="O7" s="7" t="s">
        <v>53</v>
      </c>
      <c r="P7" t="s">
        <v>83</v>
      </c>
      <c r="Q7" s="7" t="s">
        <v>34</v>
      </c>
      <c r="R7" t="s">
        <v>84</v>
      </c>
      <c r="S7" s="7" t="s">
        <v>34</v>
      </c>
      <c r="V7" t="s">
        <v>85</v>
      </c>
      <c r="W7" s="7" t="s">
        <v>27</v>
      </c>
      <c r="AQ7" t="s">
        <v>533</v>
      </c>
      <c r="AR7" t="s">
        <v>534</v>
      </c>
    </row>
    <row r="8" spans="2:44" x14ac:dyDescent="0.2">
      <c r="B8" s="18" t="s">
        <v>421</v>
      </c>
      <c r="C8" s="19" t="s">
        <v>947</v>
      </c>
      <c r="D8" s="617" t="str">
        <f ca="1">IF(AND(Import.TipoArredondamento="TransfereGOV",OFFSET(D8,0,-1)=""),"◄","")</f>
        <v/>
      </c>
      <c r="G8" s="13" t="s">
        <v>13</v>
      </c>
      <c r="J8" t="s">
        <v>86</v>
      </c>
      <c r="K8" s="7" t="s">
        <v>29</v>
      </c>
      <c r="L8" t="s">
        <v>87</v>
      </c>
      <c r="M8" s="7" t="s">
        <v>29</v>
      </c>
      <c r="N8" t="s">
        <v>88</v>
      </c>
      <c r="O8" s="7" t="s">
        <v>34</v>
      </c>
      <c r="P8" t="s">
        <v>89</v>
      </c>
      <c r="Q8" s="7" t="s">
        <v>34</v>
      </c>
      <c r="R8" t="s">
        <v>90</v>
      </c>
      <c r="S8" s="7" t="s">
        <v>34</v>
      </c>
      <c r="V8" t="s">
        <v>91</v>
      </c>
      <c r="W8" s="7" t="s">
        <v>29</v>
      </c>
      <c r="AQ8" t="s">
        <v>535</v>
      </c>
      <c r="AR8" t="s">
        <v>536</v>
      </c>
    </row>
    <row r="9" spans="2:44" x14ac:dyDescent="0.2">
      <c r="B9" s="18" t="str">
        <f>IF(C4="FGTS","Valor de Financiamento Contratado (R$):","Valor do Repasse Contratado (R$):")</f>
        <v>Valor do Repasse Contratado (R$):</v>
      </c>
      <c r="C9" s="20">
        <v>0</v>
      </c>
      <c r="D9" s="617" t="str">
        <f t="shared" ca="1" si="0"/>
        <v/>
      </c>
      <c r="G9" s="13" t="s">
        <v>14</v>
      </c>
      <c r="P9" t="s">
        <v>92</v>
      </c>
      <c r="Q9" s="7" t="s">
        <v>32</v>
      </c>
      <c r="R9" t="s">
        <v>93</v>
      </c>
      <c r="S9" s="7" t="s">
        <v>34</v>
      </c>
      <c r="AQ9" t="s">
        <v>537</v>
      </c>
      <c r="AR9" t="s">
        <v>538</v>
      </c>
    </row>
    <row r="10" spans="2:44" x14ac:dyDescent="0.2">
      <c r="B10" s="18" t="s">
        <v>94</v>
      </c>
      <c r="C10" s="20">
        <v>0</v>
      </c>
      <c r="D10" s="617" t="str">
        <f t="shared" ca="1" si="0"/>
        <v/>
      </c>
      <c r="G10" s="13" t="s">
        <v>15</v>
      </c>
      <c r="P10" t="s">
        <v>95</v>
      </c>
      <c r="Q10" s="7" t="s">
        <v>53</v>
      </c>
      <c r="R10" t="s">
        <v>96</v>
      </c>
      <c r="S10" s="7" t="s">
        <v>27</v>
      </c>
      <c r="AQ10" t="s">
        <v>539</v>
      </c>
      <c r="AR10" t="s">
        <v>540</v>
      </c>
    </row>
    <row r="11" spans="2:44" x14ac:dyDescent="0.2">
      <c r="B11" s="18" t="s">
        <v>97</v>
      </c>
      <c r="C11" s="21">
        <v>0</v>
      </c>
      <c r="D11" s="617" t="str">
        <f t="shared" ca="1" si="0"/>
        <v/>
      </c>
      <c r="G11" s="13" t="s">
        <v>16</v>
      </c>
      <c r="P11" t="s">
        <v>98</v>
      </c>
      <c r="Q11" s="7" t="s">
        <v>32</v>
      </c>
      <c r="AQ11" t="s">
        <v>541</v>
      </c>
      <c r="AR11" t="s">
        <v>542</v>
      </c>
    </row>
    <row r="12" spans="2:44" x14ac:dyDescent="0.2">
      <c r="B12" s="18" t="s">
        <v>99</v>
      </c>
      <c r="C12" s="20"/>
      <c r="G12" s="13" t="s">
        <v>17</v>
      </c>
      <c r="P12" t="s">
        <v>35</v>
      </c>
      <c r="Q12" s="7" t="s">
        <v>27</v>
      </c>
      <c r="AQ12" t="s">
        <v>543</v>
      </c>
      <c r="AR12" t="s">
        <v>544</v>
      </c>
    </row>
    <row r="13" spans="2:44" ht="13.5" thickBot="1" x14ac:dyDescent="0.25">
      <c r="B13" s="22" t="s">
        <v>100</v>
      </c>
      <c r="C13" s="23"/>
      <c r="G13" s="13" t="s">
        <v>18</v>
      </c>
      <c r="P13" t="s">
        <v>101</v>
      </c>
      <c r="Q13" s="7" t="s">
        <v>32</v>
      </c>
      <c r="AQ13" t="s">
        <v>545</v>
      </c>
      <c r="AR13" t="s">
        <v>546</v>
      </c>
    </row>
    <row r="14" spans="2:44" ht="13.5" thickBot="1" x14ac:dyDescent="0.25">
      <c r="C14" s="24"/>
      <c r="G14" s="13" t="s">
        <v>19</v>
      </c>
      <c r="AQ14" t="s">
        <v>547</v>
      </c>
      <c r="AR14" t="s">
        <v>548</v>
      </c>
    </row>
    <row r="15" spans="2:44" ht="15.75" thickBot="1" x14ac:dyDescent="0.3">
      <c r="B15" s="684" t="s">
        <v>102</v>
      </c>
      <c r="C15" s="684"/>
      <c r="D15" s="616" t="str">
        <f ca="1">IF(COUNTIF(D16:D19,"◄")=0,"","Falta preencher a linha "&amp;MATCH("◄",D16:D19,0)+ROW(D15))</f>
        <v/>
      </c>
      <c r="G15" s="13" t="s">
        <v>20</v>
      </c>
      <c r="AQ15" t="s">
        <v>549</v>
      </c>
      <c r="AR15" t="s">
        <v>550</v>
      </c>
    </row>
    <row r="16" spans="2:44" x14ac:dyDescent="0.2">
      <c r="B16" s="25" t="s">
        <v>103</v>
      </c>
      <c r="C16" s="26" t="s">
        <v>953</v>
      </c>
      <c r="D16" s="617" t="str">
        <f t="shared" ref="D16:D19" ca="1" si="1">IF(OFFSET(D16,0,-1)="","◄","")</f>
        <v/>
      </c>
      <c r="G16" s="13" t="s">
        <v>21</v>
      </c>
      <c r="AQ16" t="s">
        <v>551</v>
      </c>
      <c r="AR16" t="s">
        <v>552</v>
      </c>
    </row>
    <row r="17" spans="2:44" x14ac:dyDescent="0.2">
      <c r="B17" s="18" t="s">
        <v>104</v>
      </c>
      <c r="C17" s="27" t="s">
        <v>953</v>
      </c>
      <c r="D17" s="617" t="str">
        <f t="shared" ca="1" si="1"/>
        <v/>
      </c>
      <c r="G17" s="13" t="s">
        <v>22</v>
      </c>
      <c r="AQ17" t="s">
        <v>553</v>
      </c>
      <c r="AR17" t="s">
        <v>554</v>
      </c>
    </row>
    <row r="18" spans="2:44" x14ac:dyDescent="0.2">
      <c r="B18" s="18" t="s">
        <v>105</v>
      </c>
      <c r="C18" s="28" t="s">
        <v>934</v>
      </c>
      <c r="D18" s="617" t="str">
        <f ca="1">IF(OR(OFFSET(D18,0,-1)="",OFFSET(D18,0,-1)="(SELECIONAR)"),"◄","")</f>
        <v/>
      </c>
      <c r="G18" s="13" t="s">
        <v>23</v>
      </c>
      <c r="AQ18" t="s">
        <v>555</v>
      </c>
      <c r="AR18" t="s">
        <v>556</v>
      </c>
    </row>
    <row r="19" spans="2:44" ht="13.5" thickBot="1" x14ac:dyDescent="0.25">
      <c r="B19" s="29" t="s">
        <v>106</v>
      </c>
      <c r="C19" s="30">
        <v>46113</v>
      </c>
      <c r="D19" s="617" t="str">
        <f t="shared" ca="1" si="1"/>
        <v/>
      </c>
      <c r="G19" s="13" t="s">
        <v>24</v>
      </c>
      <c r="AQ19" t="s">
        <v>559</v>
      </c>
      <c r="AR19" t="s">
        <v>560</v>
      </c>
    </row>
    <row r="20" spans="2:44" ht="13.5" thickBot="1" x14ac:dyDescent="0.25">
      <c r="C20" s="31"/>
      <c r="G20" s="13"/>
      <c r="AQ20" t="s">
        <v>557</v>
      </c>
      <c r="AR20" t="s">
        <v>558</v>
      </c>
    </row>
    <row r="21" spans="2:44" ht="15.75" thickBot="1" x14ac:dyDescent="0.3">
      <c r="B21" s="684" t="s">
        <v>107</v>
      </c>
      <c r="C21" s="684"/>
      <c r="D21" s="616" t="str">
        <f ca="1">IF(COUNTIF(D22:D25,"◄")=0,"","Falta preencher a linha "&amp;MATCH("◄",D22:D25,0)+ROW(D21))</f>
        <v/>
      </c>
      <c r="G21" s="13"/>
      <c r="AQ21" t="s">
        <v>561</v>
      </c>
      <c r="AR21" t="s">
        <v>562</v>
      </c>
    </row>
    <row r="22" spans="2:44" x14ac:dyDescent="0.2">
      <c r="B22" s="16" t="s">
        <v>108</v>
      </c>
      <c r="C22" s="32" t="s">
        <v>948</v>
      </c>
      <c r="D22" s="617" t="str">
        <f t="shared" ref="D22:D24" ca="1" si="2">IF(OFFSET(D22,0,-1)="","◄","")</f>
        <v/>
      </c>
      <c r="AQ22" t="s">
        <v>563</v>
      </c>
      <c r="AR22" t="s">
        <v>564</v>
      </c>
    </row>
    <row r="23" spans="2:44" x14ac:dyDescent="0.2">
      <c r="B23" s="18" t="s">
        <v>109</v>
      </c>
      <c r="C23" s="19" t="s">
        <v>949</v>
      </c>
      <c r="D23" s="617" t="str">
        <f t="shared" ca="1" si="2"/>
        <v/>
      </c>
      <c r="AQ23" t="s">
        <v>565</v>
      </c>
      <c r="AR23" t="s">
        <v>566</v>
      </c>
    </row>
    <row r="24" spans="2:44" x14ac:dyDescent="0.2">
      <c r="B24" s="18" t="s">
        <v>110</v>
      </c>
      <c r="C24" s="19" t="s">
        <v>954</v>
      </c>
      <c r="D24" s="617" t="str">
        <f t="shared" ca="1" si="2"/>
        <v/>
      </c>
      <c r="AQ24" t="s">
        <v>567</v>
      </c>
      <c r="AR24" t="s">
        <v>568</v>
      </c>
    </row>
    <row r="25" spans="2:44" ht="13.5" thickBot="1" x14ac:dyDescent="0.25">
      <c r="B25" s="22" t="s">
        <v>111</v>
      </c>
      <c r="C25" s="33">
        <f ca="1">TODAY()</f>
        <v>46189</v>
      </c>
      <c r="D25" s="617" t="s">
        <v>908</v>
      </c>
      <c r="AQ25" t="s">
        <v>569</v>
      </c>
      <c r="AR25" t="s">
        <v>570</v>
      </c>
    </row>
    <row r="26" spans="2:44" ht="13.5" thickBot="1" x14ac:dyDescent="0.25">
      <c r="AQ26" t="s">
        <v>571</v>
      </c>
      <c r="AR26" t="s">
        <v>572</v>
      </c>
    </row>
    <row r="27" spans="2:44" ht="15.75" thickBot="1" x14ac:dyDescent="0.3">
      <c r="B27" s="684" t="s">
        <v>112</v>
      </c>
      <c r="C27" s="684"/>
      <c r="D27" s="616" t="str">
        <f ca="1">IF(COUNTIF(D28:D29,"◄")=0,"","Falta preencher a linha "&amp;MATCH("◄",D28:D29,0)+ROW(D27))</f>
        <v/>
      </c>
      <c r="AQ27" t="s">
        <v>573</v>
      </c>
      <c r="AR27" t="s">
        <v>574</v>
      </c>
    </row>
    <row r="28" spans="2:44" x14ac:dyDescent="0.2">
      <c r="B28" s="14" t="s">
        <v>108</v>
      </c>
      <c r="C28" s="34" t="s">
        <v>955</v>
      </c>
      <c r="D28" s="617" t="str">
        <f t="shared" ref="D28:D29" ca="1" si="3">IF(OFFSET(D28,0,-1)="","◄","")</f>
        <v/>
      </c>
      <c r="AQ28" t="s">
        <v>575</v>
      </c>
      <c r="AR28" t="s">
        <v>576</v>
      </c>
    </row>
    <row r="29" spans="2:44" ht="13.5" thickBot="1" x14ac:dyDescent="0.25">
      <c r="B29" s="22" t="s">
        <v>113</v>
      </c>
      <c r="C29" s="35" t="s">
        <v>936</v>
      </c>
      <c r="D29" s="617" t="str">
        <f t="shared" ca="1" si="3"/>
        <v/>
      </c>
      <c r="AQ29" t="s">
        <v>577</v>
      </c>
      <c r="AR29" t="s">
        <v>578</v>
      </c>
    </row>
    <row r="30" spans="2:44" ht="16.5" thickBot="1" x14ac:dyDescent="0.25">
      <c r="B30" s="8"/>
      <c r="AQ30" t="s">
        <v>579</v>
      </c>
      <c r="AR30" t="s">
        <v>578</v>
      </c>
    </row>
    <row r="31" spans="2:44" ht="13.5" thickBot="1" x14ac:dyDescent="0.25">
      <c r="B31" s="508" t="s">
        <v>420</v>
      </c>
      <c r="C31" s="509" t="s">
        <v>945</v>
      </c>
      <c r="D31" s="617" t="str">
        <f ca="1">IF(OFFSET(D31,0,-1)="","◄ Falta definir o método de arredondamento.","")</f>
        <v/>
      </c>
      <c r="AQ31" t="s">
        <v>580</v>
      </c>
      <c r="AR31" t="s">
        <v>581</v>
      </c>
    </row>
    <row r="32" spans="2:44" ht="12.75" customHeight="1" x14ac:dyDescent="0.2">
      <c r="B32" s="8"/>
      <c r="AQ32" t="s">
        <v>582</v>
      </c>
      <c r="AR32" t="s">
        <v>583</v>
      </c>
    </row>
    <row r="33" spans="2:44" ht="12.75" customHeight="1" x14ac:dyDescent="0.2">
      <c r="B33" s="8" t="s">
        <v>114</v>
      </c>
      <c r="AQ33" t="s">
        <v>584</v>
      </c>
      <c r="AR33" t="s">
        <v>585</v>
      </c>
    </row>
    <row r="34" spans="2:44" ht="16.5" thickBot="1" x14ac:dyDescent="0.25">
      <c r="B34" s="8"/>
      <c r="AQ34" t="s">
        <v>586</v>
      </c>
      <c r="AR34" t="s">
        <v>584</v>
      </c>
    </row>
    <row r="35" spans="2:44" ht="12.75" customHeight="1" thickBot="1" x14ac:dyDescent="0.3">
      <c r="B35" s="684" t="s">
        <v>115</v>
      </c>
      <c r="C35" s="684"/>
      <c r="D35" s="616" t="str">
        <f ca="1">IF(COUNTIF(D36:D39,"◄")=0,"","Falta preencher a linha "&amp;MATCH("◄",D36:D39,0)+ROW(D35))</f>
        <v/>
      </c>
      <c r="AQ35" t="s">
        <v>587</v>
      </c>
      <c r="AR35" t="s">
        <v>588</v>
      </c>
    </row>
    <row r="36" spans="2:44" x14ac:dyDescent="0.2">
      <c r="B36" s="14" t="s">
        <v>116</v>
      </c>
      <c r="C36" s="36"/>
      <c r="D36" s="617" t="str">
        <f ca="1">IF(AND(TIPOORCAMENTO="Licitado",OFFSET(D36,0,-1)=""),"◄","")</f>
        <v/>
      </c>
      <c r="AQ36" t="s">
        <v>589</v>
      </c>
      <c r="AR36" t="s">
        <v>590</v>
      </c>
    </row>
    <row r="37" spans="2:44" x14ac:dyDescent="0.2">
      <c r="B37" s="16" t="s">
        <v>117</v>
      </c>
      <c r="C37" s="17"/>
      <c r="D37" s="617" t="str">
        <f ca="1">IF(AND(TIPOORCAMENTO="Licitado",OFFSET(D37,0,-1)=""),"◄","")</f>
        <v/>
      </c>
      <c r="AQ37" t="s">
        <v>655</v>
      </c>
      <c r="AR37" t="s">
        <v>656</v>
      </c>
    </row>
    <row r="38" spans="2:44" x14ac:dyDescent="0.2">
      <c r="B38" s="18" t="s">
        <v>118</v>
      </c>
      <c r="C38" s="19"/>
      <c r="D38" s="617" t="str">
        <f ca="1">IF(AND(TIPOORCAMENTO="Licitado",OFFSET(D38,0,-1)=""),"◄","")</f>
        <v/>
      </c>
      <c r="AQ38" t="s">
        <v>603</v>
      </c>
      <c r="AR38" t="s">
        <v>604</v>
      </c>
    </row>
    <row r="39" spans="2:44" x14ac:dyDescent="0.2">
      <c r="B39" s="18" t="s">
        <v>119</v>
      </c>
      <c r="C39" s="19"/>
      <c r="D39" s="617" t="str">
        <f ca="1">IF(AND(TIPOORCAMENTO="Licitado",OFFSET(D39,0,-1)=""),"◄","")</f>
        <v/>
      </c>
      <c r="AQ39" t="s">
        <v>605</v>
      </c>
      <c r="AR39" t="s">
        <v>606</v>
      </c>
    </row>
    <row r="40" spans="2:44" x14ac:dyDescent="0.2">
      <c r="B40" s="18" t="s">
        <v>120</v>
      </c>
      <c r="C40" s="28" t="s">
        <v>396</v>
      </c>
      <c r="D40" s="617" t="str">
        <f ca="1">IF(AND(TIPOORCAMENTO="Licitado",OR(OFFSET(D40,0,-1)="",OFFSET(D40,0,-1)="(SELECIONAR)")),"◄","")</f>
        <v/>
      </c>
      <c r="AQ40" t="s">
        <v>591</v>
      </c>
      <c r="AR40" t="s">
        <v>592</v>
      </c>
    </row>
    <row r="41" spans="2:44" ht="13.5" thickBot="1" x14ac:dyDescent="0.25">
      <c r="B41" s="29" t="s">
        <v>121</v>
      </c>
      <c r="C41" s="37"/>
      <c r="D41" s="617" t="str">
        <f ca="1">IF(AND(TIPOORCAMENTO="Licitado",OFFSET(D41,0,-1)=""),"◄","")</f>
        <v/>
      </c>
      <c r="AQ41" t="s">
        <v>593</v>
      </c>
      <c r="AR41" t="s">
        <v>594</v>
      </c>
    </row>
    <row r="42" spans="2:44" ht="15.75" x14ac:dyDescent="0.2">
      <c r="B42" s="8"/>
      <c r="AQ42" t="s">
        <v>595</v>
      </c>
      <c r="AR42" t="s">
        <v>596</v>
      </c>
    </row>
    <row r="43" spans="2:44" ht="12.75" customHeight="1" x14ac:dyDescent="0.2">
      <c r="B43" s="8"/>
      <c r="AQ43" t="s">
        <v>597</v>
      </c>
      <c r="AR43" t="s">
        <v>598</v>
      </c>
    </row>
    <row r="44" spans="2:44" ht="12.75" customHeight="1" x14ac:dyDescent="0.2">
      <c r="B44" s="8" t="s">
        <v>122</v>
      </c>
      <c r="AQ44" t="s">
        <v>599</v>
      </c>
      <c r="AR44" t="s">
        <v>600</v>
      </c>
    </row>
    <row r="45" spans="2:44" ht="16.5" thickBot="1" x14ac:dyDescent="0.25">
      <c r="B45" s="8"/>
      <c r="AQ45" t="s">
        <v>601</v>
      </c>
      <c r="AR45" t="s">
        <v>602</v>
      </c>
    </row>
    <row r="46" spans="2:44" ht="12.75" customHeight="1" thickBot="1" x14ac:dyDescent="0.3">
      <c r="B46" s="684" t="s">
        <v>123</v>
      </c>
      <c r="C46" s="684"/>
      <c r="D46" s="616" t="str">
        <f ca="1">IF(COUNTIF(D47:D48,"◄")=0,"","Falta preencher a linha "&amp;MATCH("◄",D47:D48,0)+ROW(D46))</f>
        <v/>
      </c>
      <c r="AQ46" t="s">
        <v>607</v>
      </c>
      <c r="AR46" t="s">
        <v>608</v>
      </c>
    </row>
    <row r="47" spans="2:44" x14ac:dyDescent="0.2">
      <c r="B47" s="14" t="s">
        <v>124</v>
      </c>
      <c r="C47" s="36"/>
      <c r="D47" s="617" t="str">
        <f ca="1">IF(AND(TIPOORCAMENTO="Licitado",OFFSET(D47,0,-1)="",IFERROR(RRE!$O$28,0)&gt;0),"◄","")</f>
        <v/>
      </c>
      <c r="AQ47" t="s">
        <v>609</v>
      </c>
      <c r="AR47" t="s">
        <v>610</v>
      </c>
    </row>
    <row r="48" spans="2:44" ht="13.5" thickBot="1" x14ac:dyDescent="0.25">
      <c r="B48" s="29" t="s">
        <v>125</v>
      </c>
      <c r="C48" s="38"/>
      <c r="D48" s="617" t="str">
        <f ca="1">IF(AND(TIPOORCAMENTO="Licitado",OFFSET(D48,0,-1)="",IFERROR(RRE!$O$28,0)&gt;0),"◄","")</f>
        <v/>
      </c>
      <c r="AQ48" t="s">
        <v>611</v>
      </c>
      <c r="AR48" t="s">
        <v>612</v>
      </c>
    </row>
    <row r="49" spans="2:44" ht="16.5" thickBot="1" x14ac:dyDescent="0.25">
      <c r="B49" s="8"/>
      <c r="AQ49" t="s">
        <v>613</v>
      </c>
      <c r="AR49" t="s">
        <v>614</v>
      </c>
    </row>
    <row r="50" spans="2:44" ht="12.75" customHeight="1" thickBot="1" x14ac:dyDescent="0.3">
      <c r="B50" s="684" t="s">
        <v>126</v>
      </c>
      <c r="C50" s="684"/>
      <c r="D50" s="616" t="str">
        <f ca="1">IF(COUNTIF(D51:D54,"◄")=0,"","Falta preencher a linha "&amp;MATCH("◄",D51:D54,0)+ROW(D50))</f>
        <v/>
      </c>
      <c r="AQ50" t="s">
        <v>615</v>
      </c>
      <c r="AR50" t="s">
        <v>616</v>
      </c>
    </row>
    <row r="51" spans="2:44" x14ac:dyDescent="0.2">
      <c r="B51" s="14" t="s">
        <v>108</v>
      </c>
      <c r="C51" s="39"/>
      <c r="D51" s="617" t="str">
        <f ca="1">IF(AND(TIPOORCAMENTO="Licitado",OFFSET(D51,0,-1)="",IFERROR(RRE!$O$28,0)&gt;0),"◄","")</f>
        <v/>
      </c>
      <c r="AQ51" t="s">
        <v>617</v>
      </c>
      <c r="AR51" t="s">
        <v>618</v>
      </c>
    </row>
    <row r="52" spans="2:44" x14ac:dyDescent="0.2">
      <c r="B52" s="18" t="s">
        <v>127</v>
      </c>
      <c r="C52" s="19"/>
      <c r="D52" s="617" t="str">
        <f ca="1">IF(AND(TIPOORCAMENTO="Licitado",OFFSET(D52,0,-1)="",IFERROR(RRE!$O$28,0)&gt;0),"◄","")</f>
        <v/>
      </c>
      <c r="AQ52" t="s">
        <v>623</v>
      </c>
      <c r="AR52" t="s">
        <v>624</v>
      </c>
    </row>
    <row r="53" spans="2:44" x14ac:dyDescent="0.2">
      <c r="B53" s="18" t="s">
        <v>128</v>
      </c>
      <c r="C53" s="19"/>
      <c r="D53" s="617" t="str">
        <f ca="1">IF(AND(TIPOORCAMENTO="Licitado",OFFSET(D53,0,-1)="",IFERROR(RRE!$O$28,0)&gt;0),"◄","")</f>
        <v/>
      </c>
      <c r="AQ53" t="s">
        <v>619</v>
      </c>
      <c r="AR53" t="s">
        <v>620</v>
      </c>
    </row>
    <row r="54" spans="2:44" ht="13.5" thickBot="1" x14ac:dyDescent="0.25">
      <c r="B54" s="22" t="s">
        <v>129</v>
      </c>
      <c r="C54" s="40"/>
      <c r="D54" s="617" t="str">
        <f ca="1">IF(AND(TIPOORCAMENTO="Licitado",OFFSET(D54,0,-1)="",IFERROR(RRE!$O$28,0)&gt;0),"◄","")</f>
        <v/>
      </c>
      <c r="AQ54" t="s">
        <v>621</v>
      </c>
      <c r="AR54" t="s">
        <v>622</v>
      </c>
    </row>
    <row r="55" spans="2:44" x14ac:dyDescent="0.2">
      <c r="C55" s="31"/>
      <c r="AQ55" t="s">
        <v>625</v>
      </c>
      <c r="AR55" t="s">
        <v>626</v>
      </c>
    </row>
    <row r="56" spans="2:44" x14ac:dyDescent="0.2">
      <c r="AQ56" t="s">
        <v>627</v>
      </c>
      <c r="AR56" t="s">
        <v>628</v>
      </c>
    </row>
    <row r="57" spans="2:44" ht="15.75" x14ac:dyDescent="0.2">
      <c r="B57" s="8" t="s">
        <v>130</v>
      </c>
      <c r="AQ57" t="s">
        <v>629</v>
      </c>
      <c r="AR57" t="s">
        <v>630</v>
      </c>
    </row>
    <row r="58" spans="2:44" ht="16.5" thickBot="1" x14ac:dyDescent="0.25">
      <c r="B58" s="8"/>
      <c r="AQ58" t="s">
        <v>631</v>
      </c>
      <c r="AR58" t="s">
        <v>632</v>
      </c>
    </row>
    <row r="59" spans="2:44" ht="15.75" thickBot="1" x14ac:dyDescent="0.25">
      <c r="B59" s="684" t="s">
        <v>131</v>
      </c>
      <c r="C59" s="684"/>
      <c r="AQ59" t="s">
        <v>633</v>
      </c>
      <c r="AR59" t="s">
        <v>634</v>
      </c>
    </row>
    <row r="60" spans="2:44" x14ac:dyDescent="0.2">
      <c r="B60" s="14" t="s">
        <v>108</v>
      </c>
      <c r="C60" s="39"/>
      <c r="AQ60" t="s">
        <v>635</v>
      </c>
      <c r="AR60" t="s">
        <v>636</v>
      </c>
    </row>
    <row r="61" spans="2:44" ht="13.5" thickBot="1" x14ac:dyDescent="0.25">
      <c r="B61" s="29" t="s">
        <v>132</v>
      </c>
      <c r="C61" s="41"/>
      <c r="AQ61" t="s">
        <v>637</v>
      </c>
      <c r="AR61" t="s">
        <v>638</v>
      </c>
    </row>
    <row r="62" spans="2:44" x14ac:dyDescent="0.2">
      <c r="AQ62" t="s">
        <v>639</v>
      </c>
      <c r="AR62" t="s">
        <v>640</v>
      </c>
    </row>
    <row r="63" spans="2:44" x14ac:dyDescent="0.2">
      <c r="AQ63" t="s">
        <v>641</v>
      </c>
      <c r="AR63" t="s">
        <v>642</v>
      </c>
    </row>
    <row r="64" spans="2:44" x14ac:dyDescent="0.2">
      <c r="AQ64" t="s">
        <v>643</v>
      </c>
      <c r="AR64" t="s">
        <v>644</v>
      </c>
    </row>
    <row r="65" spans="43:44" x14ac:dyDescent="0.2">
      <c r="AQ65" t="s">
        <v>645</v>
      </c>
      <c r="AR65" t="s">
        <v>646</v>
      </c>
    </row>
    <row r="66" spans="43:44" x14ac:dyDescent="0.2">
      <c r="AQ66" t="s">
        <v>649</v>
      </c>
      <c r="AR66" t="s">
        <v>650</v>
      </c>
    </row>
    <row r="67" spans="43:44" x14ac:dyDescent="0.2">
      <c r="AQ67" t="s">
        <v>647</v>
      </c>
      <c r="AR67" t="s">
        <v>648</v>
      </c>
    </row>
    <row r="68" spans="43:44" x14ac:dyDescent="0.2">
      <c r="AQ68" t="s">
        <v>651</v>
      </c>
      <c r="AR68" t="s">
        <v>652</v>
      </c>
    </row>
    <row r="69" spans="43:44" x14ac:dyDescent="0.2">
      <c r="AQ69" t="s">
        <v>653</v>
      </c>
      <c r="AR69" t="s">
        <v>654</v>
      </c>
    </row>
    <row r="70" spans="43:44" x14ac:dyDescent="0.2">
      <c r="AQ70" t="s">
        <v>657</v>
      </c>
      <c r="AR70" t="s">
        <v>658</v>
      </c>
    </row>
    <row r="71" spans="43:44" x14ac:dyDescent="0.2">
      <c r="AQ71" t="s">
        <v>659</v>
      </c>
      <c r="AR71" t="s">
        <v>660</v>
      </c>
    </row>
    <row r="72" spans="43:44" x14ac:dyDescent="0.2">
      <c r="AQ72" t="s">
        <v>661</v>
      </c>
      <c r="AR72" t="s">
        <v>662</v>
      </c>
    </row>
    <row r="73" spans="43:44" x14ac:dyDescent="0.2">
      <c r="AQ73" t="s">
        <v>663</v>
      </c>
      <c r="AR73" t="s">
        <v>664</v>
      </c>
    </row>
    <row r="74" spans="43:44" x14ac:dyDescent="0.2">
      <c r="AQ74" t="s">
        <v>665</v>
      </c>
      <c r="AR74" t="s">
        <v>666</v>
      </c>
    </row>
    <row r="75" spans="43:44" x14ac:dyDescent="0.2">
      <c r="AQ75" t="s">
        <v>667</v>
      </c>
      <c r="AR75" t="s">
        <v>668</v>
      </c>
    </row>
    <row r="76" spans="43:44" x14ac:dyDescent="0.2">
      <c r="AQ76" t="s">
        <v>669</v>
      </c>
      <c r="AR76" t="s">
        <v>670</v>
      </c>
    </row>
    <row r="77" spans="43:44" x14ac:dyDescent="0.2">
      <c r="AQ77" t="s">
        <v>671</v>
      </c>
      <c r="AR77" t="s">
        <v>672</v>
      </c>
    </row>
    <row r="78" spans="43:44" x14ac:dyDescent="0.2">
      <c r="AQ78" t="s">
        <v>673</v>
      </c>
      <c r="AR78" t="s">
        <v>674</v>
      </c>
    </row>
    <row r="79" spans="43:44" x14ac:dyDescent="0.2">
      <c r="AQ79" t="s">
        <v>675</v>
      </c>
      <c r="AR79" t="s">
        <v>676</v>
      </c>
    </row>
    <row r="80" spans="43:44" x14ac:dyDescent="0.2">
      <c r="AQ80" t="s">
        <v>677</v>
      </c>
      <c r="AR80" t="s">
        <v>678</v>
      </c>
    </row>
    <row r="81" spans="43:44" x14ac:dyDescent="0.2">
      <c r="AQ81" t="s">
        <v>679</v>
      </c>
      <c r="AR81" t="s">
        <v>680</v>
      </c>
    </row>
    <row r="82" spans="43:44" x14ac:dyDescent="0.2">
      <c r="AQ82" t="s">
        <v>681</v>
      </c>
      <c r="AR82" t="s">
        <v>682</v>
      </c>
    </row>
    <row r="83" spans="43:44" x14ac:dyDescent="0.2">
      <c r="AQ83" t="s">
        <v>683</v>
      </c>
      <c r="AR83" t="s">
        <v>684</v>
      </c>
    </row>
    <row r="84" spans="43:44" x14ac:dyDescent="0.2">
      <c r="AQ84" t="s">
        <v>685</v>
      </c>
      <c r="AR84" t="s">
        <v>686</v>
      </c>
    </row>
    <row r="85" spans="43:44" x14ac:dyDescent="0.2">
      <c r="AQ85" t="s">
        <v>687</v>
      </c>
      <c r="AR85" t="s">
        <v>688</v>
      </c>
    </row>
    <row r="86" spans="43:44" x14ac:dyDescent="0.2">
      <c r="AQ86" t="s">
        <v>689</v>
      </c>
      <c r="AR86" t="s">
        <v>690</v>
      </c>
    </row>
    <row r="87" spans="43:44" x14ac:dyDescent="0.2">
      <c r="AQ87" t="s">
        <v>693</v>
      </c>
      <c r="AR87" t="s">
        <v>694</v>
      </c>
    </row>
    <row r="88" spans="43:44" x14ac:dyDescent="0.2">
      <c r="AQ88" t="s">
        <v>695</v>
      </c>
      <c r="AR88" t="s">
        <v>696</v>
      </c>
    </row>
    <row r="89" spans="43:44" x14ac:dyDescent="0.2">
      <c r="AQ89" t="s">
        <v>697</v>
      </c>
      <c r="AR89" t="s">
        <v>698</v>
      </c>
    </row>
    <row r="90" spans="43:44" x14ac:dyDescent="0.2">
      <c r="AQ90" t="s">
        <v>699</v>
      </c>
      <c r="AR90" t="s">
        <v>700</v>
      </c>
    </row>
    <row r="91" spans="43:44" x14ac:dyDescent="0.2">
      <c r="AQ91" t="s">
        <v>701</v>
      </c>
      <c r="AR91" t="s">
        <v>702</v>
      </c>
    </row>
    <row r="92" spans="43:44" x14ac:dyDescent="0.2">
      <c r="AQ92" t="s">
        <v>703</v>
      </c>
      <c r="AR92" t="s">
        <v>704</v>
      </c>
    </row>
    <row r="93" spans="43:44" x14ac:dyDescent="0.2">
      <c r="AQ93" t="s">
        <v>705</v>
      </c>
      <c r="AR93" t="s">
        <v>706</v>
      </c>
    </row>
    <row r="94" spans="43:44" x14ac:dyDescent="0.2">
      <c r="AQ94" t="s">
        <v>707</v>
      </c>
      <c r="AR94" t="s">
        <v>708</v>
      </c>
    </row>
    <row r="95" spans="43:44" x14ac:dyDescent="0.2">
      <c r="AQ95" t="s">
        <v>709</v>
      </c>
      <c r="AR95" t="s">
        <v>709</v>
      </c>
    </row>
    <row r="96" spans="43:44" x14ac:dyDescent="0.2">
      <c r="AQ96" t="s">
        <v>710</v>
      </c>
      <c r="AR96" t="s">
        <v>711</v>
      </c>
    </row>
    <row r="97" spans="43:44" x14ac:dyDescent="0.2">
      <c r="AQ97" t="s">
        <v>712</v>
      </c>
      <c r="AR97" t="s">
        <v>713</v>
      </c>
    </row>
    <row r="98" spans="43:44" x14ac:dyDescent="0.2">
      <c r="AQ98" t="s">
        <v>714</v>
      </c>
      <c r="AR98" t="s">
        <v>714</v>
      </c>
    </row>
    <row r="99" spans="43:44" x14ac:dyDescent="0.2">
      <c r="AQ99" t="s">
        <v>525</v>
      </c>
      <c r="AR99" t="s">
        <v>525</v>
      </c>
    </row>
    <row r="100" spans="43:44" x14ac:dyDescent="0.2">
      <c r="AQ100" t="s">
        <v>525</v>
      </c>
      <c r="AR100" t="s">
        <v>525</v>
      </c>
    </row>
    <row r="101" spans="43:44" x14ac:dyDescent="0.2">
      <c r="AQ101" t="s">
        <v>715</v>
      </c>
      <c r="AR101" t="s">
        <v>716</v>
      </c>
    </row>
    <row r="102" spans="43:44" x14ac:dyDescent="0.2">
      <c r="AQ102" t="s">
        <v>717</v>
      </c>
      <c r="AR102" t="s">
        <v>718</v>
      </c>
    </row>
    <row r="103" spans="43:44" x14ac:dyDescent="0.2">
      <c r="AQ103" t="s">
        <v>719</v>
      </c>
      <c r="AR103" t="s">
        <v>720</v>
      </c>
    </row>
    <row r="104" spans="43:44" x14ac:dyDescent="0.2">
      <c r="AQ104" t="s">
        <v>519</v>
      </c>
      <c r="AR104" t="s">
        <v>520</v>
      </c>
    </row>
    <row r="105" spans="43:44" x14ac:dyDescent="0.2">
      <c r="AQ105" t="s">
        <v>721</v>
      </c>
      <c r="AR105" t="s">
        <v>722</v>
      </c>
    </row>
    <row r="106" spans="43:44" x14ac:dyDescent="0.2">
      <c r="AQ106" t="s">
        <v>723</v>
      </c>
      <c r="AR106" t="s">
        <v>724</v>
      </c>
    </row>
    <row r="107" spans="43:44" x14ac:dyDescent="0.2">
      <c r="AQ107" t="s">
        <v>737</v>
      </c>
      <c r="AR107" t="s">
        <v>738</v>
      </c>
    </row>
    <row r="108" spans="43:44" x14ac:dyDescent="0.2">
      <c r="AQ108" t="s">
        <v>725</v>
      </c>
      <c r="AR108" t="s">
        <v>726</v>
      </c>
    </row>
    <row r="109" spans="43:44" x14ac:dyDescent="0.2">
      <c r="AQ109" t="s">
        <v>727</v>
      </c>
      <c r="AR109" t="s">
        <v>728</v>
      </c>
    </row>
    <row r="110" spans="43:44" x14ac:dyDescent="0.2">
      <c r="AQ110" t="s">
        <v>729</v>
      </c>
      <c r="AR110" t="s">
        <v>730</v>
      </c>
    </row>
    <row r="111" spans="43:44" x14ac:dyDescent="0.2">
      <c r="AQ111" t="s">
        <v>731</v>
      </c>
      <c r="AR111" t="s">
        <v>732</v>
      </c>
    </row>
    <row r="112" spans="43:44" x14ac:dyDescent="0.2">
      <c r="AQ112" t="s">
        <v>733</v>
      </c>
      <c r="AR112" t="s">
        <v>734</v>
      </c>
    </row>
    <row r="113" spans="43:44" x14ac:dyDescent="0.2">
      <c r="AQ113" t="s">
        <v>735</v>
      </c>
      <c r="AR113" t="s">
        <v>736</v>
      </c>
    </row>
    <row r="114" spans="43:44" x14ac:dyDescent="0.2">
      <c r="AQ114" t="s">
        <v>739</v>
      </c>
      <c r="AR114" t="s">
        <v>740</v>
      </c>
    </row>
    <row r="115" spans="43:44" x14ac:dyDescent="0.2">
      <c r="AQ115" t="s">
        <v>741</v>
      </c>
      <c r="AR115" t="s">
        <v>742</v>
      </c>
    </row>
    <row r="116" spans="43:44" x14ac:dyDescent="0.2">
      <c r="AQ116" t="s">
        <v>743</v>
      </c>
      <c r="AR116" t="s">
        <v>744</v>
      </c>
    </row>
    <row r="117" spans="43:44" x14ac:dyDescent="0.2">
      <c r="AQ117" t="s">
        <v>745</v>
      </c>
      <c r="AR117" t="s">
        <v>746</v>
      </c>
    </row>
    <row r="118" spans="43:44" x14ac:dyDescent="0.2">
      <c r="AQ118" t="s">
        <v>747</v>
      </c>
      <c r="AR118" t="s">
        <v>748</v>
      </c>
    </row>
    <row r="119" spans="43:44" x14ac:dyDescent="0.2">
      <c r="AQ119" t="s">
        <v>749</v>
      </c>
      <c r="AR119" t="s">
        <v>749</v>
      </c>
    </row>
    <row r="120" spans="43:44" x14ac:dyDescent="0.2">
      <c r="AQ120" t="s">
        <v>750</v>
      </c>
      <c r="AR120" t="s">
        <v>750</v>
      </c>
    </row>
    <row r="121" spans="43:44" x14ac:dyDescent="0.2">
      <c r="AQ121" t="s">
        <v>168</v>
      </c>
      <c r="AR121" t="s">
        <v>751</v>
      </c>
    </row>
    <row r="122" spans="43:44" x14ac:dyDescent="0.2">
      <c r="AQ122" t="s">
        <v>752</v>
      </c>
      <c r="AR122" t="s">
        <v>753</v>
      </c>
    </row>
    <row r="123" spans="43:44" x14ac:dyDescent="0.2">
      <c r="AQ123" t="s">
        <v>754</v>
      </c>
      <c r="AR123" t="s">
        <v>755</v>
      </c>
    </row>
    <row r="124" spans="43:44" x14ac:dyDescent="0.2">
      <c r="AQ124" t="s">
        <v>756</v>
      </c>
      <c r="AR124" t="s">
        <v>757</v>
      </c>
    </row>
    <row r="125" spans="43:44" x14ac:dyDescent="0.2">
      <c r="AQ125" t="s">
        <v>758</v>
      </c>
      <c r="AR125" t="s">
        <v>759</v>
      </c>
    </row>
    <row r="126" spans="43:44" x14ac:dyDescent="0.2">
      <c r="AQ126" t="s">
        <v>760</v>
      </c>
      <c r="AR126" t="s">
        <v>761</v>
      </c>
    </row>
    <row r="127" spans="43:44" x14ac:dyDescent="0.2">
      <c r="AQ127" t="s">
        <v>762</v>
      </c>
      <c r="AR127" t="s">
        <v>763</v>
      </c>
    </row>
    <row r="128" spans="43:44" x14ac:dyDescent="0.2">
      <c r="AQ128" t="s">
        <v>764</v>
      </c>
      <c r="AR128" t="s">
        <v>765</v>
      </c>
    </row>
    <row r="129" spans="43:44" x14ac:dyDescent="0.2">
      <c r="AQ129" t="s">
        <v>766</v>
      </c>
      <c r="AR129" t="s">
        <v>767</v>
      </c>
    </row>
    <row r="130" spans="43:44" x14ac:dyDescent="0.2">
      <c r="AQ130" t="s">
        <v>768</v>
      </c>
      <c r="AR130" t="s">
        <v>769</v>
      </c>
    </row>
    <row r="131" spans="43:44" x14ac:dyDescent="0.2">
      <c r="AQ131" t="s">
        <v>770</v>
      </c>
      <c r="AR131" t="s">
        <v>771</v>
      </c>
    </row>
    <row r="132" spans="43:44" x14ac:dyDescent="0.2">
      <c r="AQ132" t="s">
        <v>772</v>
      </c>
      <c r="AR132" t="s">
        <v>773</v>
      </c>
    </row>
    <row r="133" spans="43:44" x14ac:dyDescent="0.2">
      <c r="AQ133" t="s">
        <v>774</v>
      </c>
      <c r="AR133" t="s">
        <v>775</v>
      </c>
    </row>
    <row r="134" spans="43:44" x14ac:dyDescent="0.2">
      <c r="AQ134" t="s">
        <v>776</v>
      </c>
      <c r="AR134" t="s">
        <v>530</v>
      </c>
    </row>
    <row r="135" spans="43:44" x14ac:dyDescent="0.2">
      <c r="AQ135" t="s">
        <v>777</v>
      </c>
      <c r="AR135" t="s">
        <v>778</v>
      </c>
    </row>
    <row r="136" spans="43:44" x14ac:dyDescent="0.2">
      <c r="AQ136" t="s">
        <v>779</v>
      </c>
      <c r="AR136" t="s">
        <v>780</v>
      </c>
    </row>
    <row r="137" spans="43:44" x14ac:dyDescent="0.2">
      <c r="AQ137" t="s">
        <v>781</v>
      </c>
      <c r="AR137" t="s">
        <v>782</v>
      </c>
    </row>
    <row r="138" spans="43:44" x14ac:dyDescent="0.2">
      <c r="AQ138" t="s">
        <v>783</v>
      </c>
      <c r="AR138" t="s">
        <v>784</v>
      </c>
    </row>
    <row r="139" spans="43:44" x14ac:dyDescent="0.2">
      <c r="AQ139" t="s">
        <v>785</v>
      </c>
      <c r="AR139" t="s">
        <v>786</v>
      </c>
    </row>
    <row r="140" spans="43:44" x14ac:dyDescent="0.2">
      <c r="AQ140" t="s">
        <v>787</v>
      </c>
      <c r="AR140" t="s">
        <v>788</v>
      </c>
    </row>
    <row r="141" spans="43:44" x14ac:dyDescent="0.2">
      <c r="AQ141" t="s">
        <v>789</v>
      </c>
      <c r="AR141" t="s">
        <v>790</v>
      </c>
    </row>
    <row r="142" spans="43:44" x14ac:dyDescent="0.2">
      <c r="AQ142" t="s">
        <v>791</v>
      </c>
      <c r="AR142" t="s">
        <v>792</v>
      </c>
    </row>
    <row r="143" spans="43:44" x14ac:dyDescent="0.2">
      <c r="AQ143" t="s">
        <v>530</v>
      </c>
      <c r="AR143" t="s">
        <v>530</v>
      </c>
    </row>
    <row r="144" spans="43:44" x14ac:dyDescent="0.2">
      <c r="AQ144" t="s">
        <v>793</v>
      </c>
      <c r="AR144" t="s">
        <v>793</v>
      </c>
    </row>
    <row r="145" spans="43:44" x14ac:dyDescent="0.2">
      <c r="AQ145" t="s">
        <v>794</v>
      </c>
      <c r="AR145" t="s">
        <v>794</v>
      </c>
    </row>
    <row r="146" spans="43:44" x14ac:dyDescent="0.2">
      <c r="AQ146" t="s">
        <v>795</v>
      </c>
      <c r="AR146" t="s">
        <v>780</v>
      </c>
    </row>
    <row r="147" spans="43:44" x14ac:dyDescent="0.2">
      <c r="AQ147" t="s">
        <v>796</v>
      </c>
      <c r="AR147" t="s">
        <v>797</v>
      </c>
    </row>
    <row r="148" spans="43:44" x14ac:dyDescent="0.2">
      <c r="AQ148" t="s">
        <v>798</v>
      </c>
      <c r="AR148" t="s">
        <v>799</v>
      </c>
    </row>
    <row r="149" spans="43:44" x14ac:dyDescent="0.2">
      <c r="AQ149" t="s">
        <v>528</v>
      </c>
      <c r="AR149" t="s">
        <v>529</v>
      </c>
    </row>
    <row r="150" spans="43:44" x14ac:dyDescent="0.2">
      <c r="AQ150" t="s">
        <v>528</v>
      </c>
      <c r="AR150" t="s">
        <v>529</v>
      </c>
    </row>
    <row r="151" spans="43:44" x14ac:dyDescent="0.2">
      <c r="AQ151" t="s">
        <v>800</v>
      </c>
      <c r="AR151" t="s">
        <v>800</v>
      </c>
    </row>
    <row r="152" spans="43:44" x14ac:dyDescent="0.2">
      <c r="AQ152" t="s">
        <v>801</v>
      </c>
      <c r="AR152" t="s">
        <v>802</v>
      </c>
    </row>
    <row r="153" spans="43:44" x14ac:dyDescent="0.2">
      <c r="AQ153" t="s">
        <v>803</v>
      </c>
      <c r="AR153" t="s">
        <v>804</v>
      </c>
    </row>
    <row r="154" spans="43:44" x14ac:dyDescent="0.2">
      <c r="AQ154" t="s">
        <v>805</v>
      </c>
      <c r="AR154" t="s">
        <v>806</v>
      </c>
    </row>
    <row r="155" spans="43:44" x14ac:dyDescent="0.2">
      <c r="AQ155" t="s">
        <v>807</v>
      </c>
      <c r="AR155" t="s">
        <v>808</v>
      </c>
    </row>
    <row r="156" spans="43:44" x14ac:dyDescent="0.2">
      <c r="AQ156" t="s">
        <v>809</v>
      </c>
      <c r="AR156" t="s">
        <v>810</v>
      </c>
    </row>
    <row r="157" spans="43:44" x14ac:dyDescent="0.2">
      <c r="AQ157" t="s">
        <v>811</v>
      </c>
      <c r="AR157" t="s">
        <v>812</v>
      </c>
    </row>
    <row r="158" spans="43:44" x14ac:dyDescent="0.2">
      <c r="AQ158" t="s">
        <v>813</v>
      </c>
      <c r="AR158" t="s">
        <v>814</v>
      </c>
    </row>
    <row r="159" spans="43:44" x14ac:dyDescent="0.2">
      <c r="AQ159" t="s">
        <v>815</v>
      </c>
      <c r="AR159" t="s">
        <v>816</v>
      </c>
    </row>
    <row r="160" spans="43:44" x14ac:dyDescent="0.2">
      <c r="AQ160" t="s">
        <v>817</v>
      </c>
      <c r="AR160" t="s">
        <v>818</v>
      </c>
    </row>
    <row r="161" spans="43:44" x14ac:dyDescent="0.2">
      <c r="AQ161" t="s">
        <v>819</v>
      </c>
      <c r="AR161" t="s">
        <v>820</v>
      </c>
    </row>
    <row r="162" spans="43:44" x14ac:dyDescent="0.2">
      <c r="AQ162" t="s">
        <v>821</v>
      </c>
      <c r="AR162" t="s">
        <v>822</v>
      </c>
    </row>
    <row r="163" spans="43:44" x14ac:dyDescent="0.2">
      <c r="AQ163" t="s">
        <v>823</v>
      </c>
      <c r="AR163" t="s">
        <v>824</v>
      </c>
    </row>
    <row r="164" spans="43:44" x14ac:dyDescent="0.2">
      <c r="AQ164" t="s">
        <v>825</v>
      </c>
      <c r="AR164" t="s">
        <v>826</v>
      </c>
    </row>
    <row r="165" spans="43:44" x14ac:dyDescent="0.2">
      <c r="AQ165" t="s">
        <v>244</v>
      </c>
      <c r="AR165" t="s">
        <v>827</v>
      </c>
    </row>
    <row r="166" spans="43:44" x14ac:dyDescent="0.2">
      <c r="AQ166" t="s">
        <v>830</v>
      </c>
      <c r="AR166" t="s">
        <v>830</v>
      </c>
    </row>
    <row r="167" spans="43:44" x14ac:dyDescent="0.2">
      <c r="AQ167" t="s">
        <v>831</v>
      </c>
      <c r="AR167" t="s">
        <v>832</v>
      </c>
    </row>
    <row r="168" spans="43:44" x14ac:dyDescent="0.2">
      <c r="AQ168" t="s">
        <v>833</v>
      </c>
      <c r="AR168" t="s">
        <v>834</v>
      </c>
    </row>
    <row r="169" spans="43:44" x14ac:dyDescent="0.2">
      <c r="AQ169" t="s">
        <v>835</v>
      </c>
      <c r="AR169" t="s">
        <v>836</v>
      </c>
    </row>
    <row r="170" spans="43:44" x14ac:dyDescent="0.2">
      <c r="AQ170" t="s">
        <v>837</v>
      </c>
      <c r="AR170" t="s">
        <v>838</v>
      </c>
    </row>
    <row r="171" spans="43:44" x14ac:dyDescent="0.2">
      <c r="AQ171" t="s">
        <v>839</v>
      </c>
      <c r="AR171" t="s">
        <v>840</v>
      </c>
    </row>
    <row r="172" spans="43:44" x14ac:dyDescent="0.2">
      <c r="AQ172" t="s">
        <v>841</v>
      </c>
      <c r="AR172" t="s">
        <v>842</v>
      </c>
    </row>
    <row r="173" spans="43:44" x14ac:dyDescent="0.2">
      <c r="AQ173" t="s">
        <v>843</v>
      </c>
      <c r="AR173" t="s">
        <v>844</v>
      </c>
    </row>
    <row r="174" spans="43:44" x14ac:dyDescent="0.2">
      <c r="AQ174" t="s">
        <v>845</v>
      </c>
      <c r="AR174" t="s">
        <v>846</v>
      </c>
    </row>
    <row r="175" spans="43:44" x14ac:dyDescent="0.2">
      <c r="AQ175" t="s">
        <v>847</v>
      </c>
      <c r="AR175" t="s">
        <v>848</v>
      </c>
    </row>
    <row r="176" spans="43:44" x14ac:dyDescent="0.2">
      <c r="AQ176" t="s">
        <v>849</v>
      </c>
      <c r="AR176" t="s">
        <v>850</v>
      </c>
    </row>
    <row r="177" spans="43:44" x14ac:dyDescent="0.2">
      <c r="AQ177" t="s">
        <v>851</v>
      </c>
      <c r="AR177" t="s">
        <v>852</v>
      </c>
    </row>
    <row r="178" spans="43:44" x14ac:dyDescent="0.2">
      <c r="AQ178" t="s">
        <v>853</v>
      </c>
      <c r="AR178" t="s">
        <v>854</v>
      </c>
    </row>
    <row r="179" spans="43:44" x14ac:dyDescent="0.2">
      <c r="AQ179" t="s">
        <v>855</v>
      </c>
      <c r="AR179" t="s">
        <v>856</v>
      </c>
    </row>
    <row r="180" spans="43:44" x14ac:dyDescent="0.2">
      <c r="AQ180" t="s">
        <v>857</v>
      </c>
      <c r="AR180" t="s">
        <v>858</v>
      </c>
    </row>
    <row r="181" spans="43:44" x14ac:dyDescent="0.2">
      <c r="AQ181" t="s">
        <v>859</v>
      </c>
      <c r="AR181" t="s">
        <v>860</v>
      </c>
    </row>
    <row r="182" spans="43:44" x14ac:dyDescent="0.2">
      <c r="AQ182" t="s">
        <v>861</v>
      </c>
      <c r="AR182" t="s">
        <v>862</v>
      </c>
    </row>
    <row r="183" spans="43:44" x14ac:dyDescent="0.2">
      <c r="AQ183" t="s">
        <v>863</v>
      </c>
      <c r="AR183" t="s">
        <v>864</v>
      </c>
    </row>
    <row r="184" spans="43:44" x14ac:dyDescent="0.2">
      <c r="AQ184" t="s">
        <v>865</v>
      </c>
      <c r="AR184" t="s">
        <v>866</v>
      </c>
    </row>
    <row r="185" spans="43:44" x14ac:dyDescent="0.2">
      <c r="AQ185" t="s">
        <v>867</v>
      </c>
      <c r="AR185" t="s">
        <v>868</v>
      </c>
    </row>
    <row r="186" spans="43:44" x14ac:dyDescent="0.2">
      <c r="AQ186" t="s">
        <v>869</v>
      </c>
      <c r="AR186" t="s">
        <v>870</v>
      </c>
    </row>
    <row r="187" spans="43:44" x14ac:dyDescent="0.2">
      <c r="AQ187" t="s">
        <v>871</v>
      </c>
      <c r="AR187" t="s">
        <v>872</v>
      </c>
    </row>
    <row r="188" spans="43:44" x14ac:dyDescent="0.2">
      <c r="AQ188" t="s">
        <v>873</v>
      </c>
      <c r="AR188" t="s">
        <v>874</v>
      </c>
    </row>
    <row r="189" spans="43:44" x14ac:dyDescent="0.2">
      <c r="AQ189" t="s">
        <v>875</v>
      </c>
      <c r="AR189" t="s">
        <v>876</v>
      </c>
    </row>
    <row r="190" spans="43:44" x14ac:dyDescent="0.2">
      <c r="AQ190" t="s">
        <v>877</v>
      </c>
      <c r="AR190" t="s">
        <v>878</v>
      </c>
    </row>
    <row r="191" spans="43:44" x14ac:dyDescent="0.2">
      <c r="AQ191" t="s">
        <v>879</v>
      </c>
      <c r="AR191" t="s">
        <v>880</v>
      </c>
    </row>
    <row r="192" spans="43:44" x14ac:dyDescent="0.2">
      <c r="AQ192" t="s">
        <v>881</v>
      </c>
      <c r="AR192" t="s">
        <v>882</v>
      </c>
    </row>
    <row r="193" spans="43:44" x14ac:dyDescent="0.2">
      <c r="AQ193" t="s">
        <v>883</v>
      </c>
      <c r="AR193" t="s">
        <v>884</v>
      </c>
    </row>
    <row r="194" spans="43:44" x14ac:dyDescent="0.2">
      <c r="AQ194" t="s">
        <v>885</v>
      </c>
      <c r="AR194" t="s">
        <v>886</v>
      </c>
    </row>
    <row r="195" spans="43:44" x14ac:dyDescent="0.2">
      <c r="AQ195" t="s">
        <v>887</v>
      </c>
      <c r="AR195" t="s">
        <v>888</v>
      </c>
    </row>
    <row r="196" spans="43:44" x14ac:dyDescent="0.2">
      <c r="AQ196" t="s">
        <v>889</v>
      </c>
      <c r="AR196" t="s">
        <v>890</v>
      </c>
    </row>
    <row r="197" spans="43:44" x14ac:dyDescent="0.2">
      <c r="AQ197" t="s">
        <v>891</v>
      </c>
      <c r="AR197" t="s">
        <v>892</v>
      </c>
    </row>
    <row r="198" spans="43:44" x14ac:dyDescent="0.2">
      <c r="AQ198" t="s">
        <v>893</v>
      </c>
      <c r="AR198" t="s">
        <v>894</v>
      </c>
    </row>
    <row r="199" spans="43:44" x14ac:dyDescent="0.2">
      <c r="AQ199" t="s">
        <v>895</v>
      </c>
      <c r="AR199" t="s">
        <v>896</v>
      </c>
    </row>
    <row r="200" spans="43:44" x14ac:dyDescent="0.2">
      <c r="AQ200" t="s">
        <v>897</v>
      </c>
      <c r="AR200" t="s">
        <v>898</v>
      </c>
    </row>
    <row r="201" spans="43:44" x14ac:dyDescent="0.2">
      <c r="AQ201" t="s">
        <v>899</v>
      </c>
      <c r="AR201" t="s">
        <v>900</v>
      </c>
    </row>
    <row r="202" spans="43:44" x14ac:dyDescent="0.2">
      <c r="AQ202" t="s">
        <v>901</v>
      </c>
      <c r="AR202" t="s">
        <v>902</v>
      </c>
    </row>
    <row r="203" spans="43:44" x14ac:dyDescent="0.2">
      <c r="AQ203" t="s">
        <v>903</v>
      </c>
      <c r="AR203" t="s">
        <v>904</v>
      </c>
    </row>
    <row r="204" spans="43:44" x14ac:dyDescent="0.2">
      <c r="AQ204" t="s">
        <v>905</v>
      </c>
      <c r="AR204" t="s">
        <v>906</v>
      </c>
    </row>
    <row r="205" spans="43:44" x14ac:dyDescent="0.2">
      <c r="AQ205" t="s">
        <v>515</v>
      </c>
      <c r="AR205" t="s">
        <v>516</v>
      </c>
    </row>
    <row r="206" spans="43:44" x14ac:dyDescent="0.2">
      <c r="AQ206" t="s">
        <v>509</v>
      </c>
      <c r="AR206" t="s">
        <v>510</v>
      </c>
    </row>
    <row r="207" spans="43:44" x14ac:dyDescent="0.2">
      <c r="AQ207" t="s">
        <v>521</v>
      </c>
      <c r="AR207" t="s">
        <v>522</v>
      </c>
    </row>
    <row r="208" spans="43:44" x14ac:dyDescent="0.2">
      <c r="AQ208" t="s">
        <v>492</v>
      </c>
      <c r="AR208" t="s">
        <v>507</v>
      </c>
    </row>
    <row r="209" spans="43:44" x14ac:dyDescent="0.2">
      <c r="AQ209" t="s">
        <v>500</v>
      </c>
      <c r="AR209" t="s">
        <v>506</v>
      </c>
    </row>
    <row r="210" spans="43:44" x14ac:dyDescent="0.2">
      <c r="AQ210" t="s">
        <v>502</v>
      </c>
      <c r="AR210" t="s">
        <v>508</v>
      </c>
    </row>
    <row r="211" spans="43:44" x14ac:dyDescent="0.2">
      <c r="AQ211" t="s">
        <v>503</v>
      </c>
      <c r="AR211" t="s">
        <v>503</v>
      </c>
    </row>
    <row r="212" spans="43:44" x14ac:dyDescent="0.2">
      <c r="AQ212" t="s">
        <v>514</v>
      </c>
      <c r="AR212" t="s">
        <v>514</v>
      </c>
    </row>
    <row r="213" spans="43:44" x14ac:dyDescent="0.2">
      <c r="AQ213" t="s">
        <v>499</v>
      </c>
      <c r="AR213" t="s">
        <v>518</v>
      </c>
    </row>
    <row r="214" spans="43:44" x14ac:dyDescent="0.2">
      <c r="AQ214" t="s">
        <v>517</v>
      </c>
      <c r="AR214" t="s">
        <v>518</v>
      </c>
    </row>
    <row r="215" spans="43:44" x14ac:dyDescent="0.2">
      <c r="AQ215" t="s">
        <v>527</v>
      </c>
      <c r="AR215" t="s">
        <v>527</v>
      </c>
    </row>
    <row r="216" spans="43:44" x14ac:dyDescent="0.2">
      <c r="AQ216" t="s">
        <v>526</v>
      </c>
      <c r="AR216" t="s">
        <v>526</v>
      </c>
    </row>
    <row r="217" spans="43:44" x14ac:dyDescent="0.2">
      <c r="AQ217" t="s">
        <v>523</v>
      </c>
      <c r="AR217" t="s">
        <v>524</v>
      </c>
    </row>
    <row r="218" spans="43:44" x14ac:dyDescent="0.2">
      <c r="AQ218" t="s">
        <v>512</v>
      </c>
      <c r="AR218" t="s">
        <v>513</v>
      </c>
    </row>
    <row r="219" spans="43:44" x14ac:dyDescent="0.2">
      <c r="AQ219" t="s">
        <v>511</v>
      </c>
      <c r="AR219" t="s">
        <v>511</v>
      </c>
    </row>
    <row r="220" spans="43:44" x14ac:dyDescent="0.2">
      <c r="AQ220" t="s">
        <v>491</v>
      </c>
      <c r="AR220" t="s">
        <v>501</v>
      </c>
    </row>
    <row r="222" spans="43:44" x14ac:dyDescent="0.2">
      <c r="AQ222" s="561"/>
      <c r="AR222" s="85"/>
    </row>
  </sheetData>
  <sheetProtection algorithmName="SHA-512" hashValue="zUzTTNfv/DFlVnM6B4H3cObu+3mFjaFZeXCWRzrDEyB8rwHyJkS+SfhHnYfXhFI38stGWODLuT6vYH2f0C2Q9A==" saltValue="kAulSX6aKkvubdy8RXhoew=="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436" priority="2" stopIfTrue="1">
      <formula>CAIXA.Modo=FALSE</formula>
    </cfRule>
  </conditionalFormatting>
  <conditionalFormatting sqref="B59:C61">
    <cfRule type="expression" dxfId="435"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44" firstPageNumber="0" fitToHeight="0" orientation="portrait" horizontalDpi="300" verticalDpi="300" r:id="rId1"/>
  <headerFooter alignWithMargins="0">
    <oddHeader>&amp;L_</oddHeader>
    <oddFooter>&amp;LPMv3.09&amp;R&amp;P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activeCell="S66" sqref="S66"/>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21" ht="15.75" x14ac:dyDescent="0.25">
      <c r="E1" s="51" t="s">
        <v>136</v>
      </c>
      <c r="F1" s="51" t="s">
        <v>137</v>
      </c>
      <c r="G1" s="51" t="s">
        <v>138</v>
      </c>
      <c r="O1" s="52" t="str">
        <f>"Quadro de Composição do BDI"</f>
        <v>Quadro de Composição do BDI</v>
      </c>
      <c r="R1" s="663" t="s">
        <v>139</v>
      </c>
      <c r="S1" s="663"/>
    </row>
    <row r="2" spans="1:21" x14ac:dyDescent="0.2">
      <c r="A2" s="50" t="s">
        <v>140</v>
      </c>
      <c r="B2" s="54" t="s">
        <v>141</v>
      </c>
      <c r="C2" s="50" t="str">
        <f t="shared" ref="C2:C49" si="0">CONCATENATE(A2,"-",B2)</f>
        <v>Construção e Reforma de Edifícios-AC</v>
      </c>
      <c r="E2" s="55">
        <v>0.03</v>
      </c>
      <c r="F2" s="55">
        <v>0.04</v>
      </c>
      <c r="G2" s="55">
        <v>5.5E-2</v>
      </c>
      <c r="R2" s="664" t="s">
        <v>142</v>
      </c>
      <c r="S2" s="664"/>
    </row>
    <row r="3" spans="1:21" x14ac:dyDescent="0.2">
      <c r="A3" s="50" t="str">
        <f>A2</f>
        <v>Construção e Reforma de Edifícios</v>
      </c>
      <c r="B3" s="54" t="s">
        <v>143</v>
      </c>
      <c r="C3" s="50" t="str">
        <f t="shared" si="0"/>
        <v>Construção e Reforma de Edifícios-SG</v>
      </c>
      <c r="E3" s="55">
        <v>8.0000000000000002E-3</v>
      </c>
      <c r="F3" s="55">
        <v>8.0000000000000002E-3</v>
      </c>
      <c r="G3" s="55">
        <v>0.01</v>
      </c>
    </row>
    <row r="4" spans="1:21" x14ac:dyDescent="0.2">
      <c r="A4" s="50" t="str">
        <f>A3</f>
        <v>Construção e Reforma de Edifícios</v>
      </c>
      <c r="B4" s="54" t="s">
        <v>144</v>
      </c>
      <c r="C4" s="50" t="str">
        <f t="shared" si="0"/>
        <v>Construção e Reforma de Edifícios-R</v>
      </c>
      <c r="E4" s="55">
        <v>9.7000000000000003E-3</v>
      </c>
      <c r="F4" s="55">
        <v>1.2699999999999999E-2</v>
      </c>
      <c r="G4" s="55">
        <v>1.2699999999999999E-2</v>
      </c>
      <c r="J4" s="707" t="s">
        <v>145</v>
      </c>
      <c r="K4" s="707"/>
      <c r="L4" s="707" t="s">
        <v>425</v>
      </c>
      <c r="M4" s="707"/>
      <c r="N4" s="707" t="s">
        <v>146</v>
      </c>
      <c r="O4" s="707"/>
      <c r="P4" s="707"/>
      <c r="Q4" s="707"/>
      <c r="R4" s="707"/>
      <c r="S4" s="707"/>
    </row>
    <row r="5" spans="1:21" ht="12.75" customHeight="1" x14ac:dyDescent="0.2">
      <c r="A5" s="50" t="str">
        <f>A4</f>
        <v>Construção e Reforma de Edifícios</v>
      </c>
      <c r="B5" s="54" t="s">
        <v>147</v>
      </c>
      <c r="C5" s="50" t="str">
        <f t="shared" si="0"/>
        <v>Construção e Reforma de Edifícios-DF</v>
      </c>
      <c r="E5" s="55">
        <v>5.8999999999999999E-3</v>
      </c>
      <c r="F5" s="55">
        <v>1.23E-2</v>
      </c>
      <c r="G5" s="55">
        <v>1.3899999999999999E-2</v>
      </c>
      <c r="J5" s="711" t="str">
        <f>Import.CR</f>
        <v>0</v>
      </c>
      <c r="K5" s="711"/>
      <c r="L5" s="711" t="str">
        <f>Import.TransfereGOV</f>
        <v>0</v>
      </c>
      <c r="M5" s="711"/>
      <c r="N5" s="711" t="str">
        <f>Import.Proponente</f>
        <v>0</v>
      </c>
      <c r="O5" s="711"/>
      <c r="P5" s="711"/>
      <c r="Q5" s="711"/>
      <c r="R5" s="711"/>
      <c r="S5" s="711"/>
    </row>
    <row r="6" spans="1:21" x14ac:dyDescent="0.2">
      <c r="A6" s="50" t="str">
        <f>A5</f>
        <v>Construção e Reforma de Edifícios</v>
      </c>
      <c r="B6" s="54" t="s">
        <v>148</v>
      </c>
      <c r="C6" s="50" t="str">
        <f t="shared" si="0"/>
        <v>Construção e Reforma de Edifícios-L</v>
      </c>
      <c r="E6" s="55">
        <v>6.1600000000000002E-2</v>
      </c>
      <c r="F6" s="55">
        <v>7.400000000000001E-2</v>
      </c>
      <c r="G6" s="55">
        <v>8.9600000000000013E-2</v>
      </c>
      <c r="I6" s="680" t="s">
        <v>207</v>
      </c>
      <c r="J6" s="58"/>
      <c r="K6" s="58"/>
      <c r="L6" s="58"/>
      <c r="M6" s="58"/>
      <c r="N6" s="58"/>
      <c r="O6" s="58"/>
      <c r="P6" s="58"/>
      <c r="Q6" s="58"/>
      <c r="R6" s="58"/>
      <c r="S6" s="58"/>
    </row>
    <row r="7" spans="1:21" ht="25.5" x14ac:dyDescent="0.25">
      <c r="A7" s="50" t="str">
        <f>A6</f>
        <v>Construção e Reforma de Edifícios</v>
      </c>
      <c r="B7" s="59" t="s">
        <v>149</v>
      </c>
      <c r="C7" s="50" t="str">
        <f t="shared" si="0"/>
        <v>Construção e Reforma de Edifícios-BDI PAD</v>
      </c>
      <c r="E7" s="55">
        <v>0.2034</v>
      </c>
      <c r="F7" s="55">
        <v>0.22120000000000001</v>
      </c>
      <c r="G7" s="55">
        <v>0.25</v>
      </c>
      <c r="I7" s="680"/>
      <c r="J7" s="707" t="s">
        <v>150</v>
      </c>
      <c r="K7" s="707"/>
      <c r="L7" s="707"/>
      <c r="M7" s="707"/>
      <c r="N7" s="707"/>
      <c r="O7" s="707"/>
      <c r="P7" s="707"/>
      <c r="Q7" s="707"/>
      <c r="R7" s="707"/>
      <c r="S7" s="707"/>
      <c r="U7" s="564" t="str">
        <f ca="1">IF(OR(U10&lt;&gt;"",U11&lt;&gt;""),"Falta preencher os percentuais do ISS",IF(U14&lt;&gt;"","Falta preencher o BDI 1",IF(U54&lt;&gt;"","Falta preencher o BDI 2",IF(U94&lt;&gt;"","Falta preencher o BDI 3",""))))</f>
        <v/>
      </c>
    </row>
    <row r="8" spans="1:21" ht="15.75" x14ac:dyDescent="0.25">
      <c r="A8" s="50" t="s">
        <v>151</v>
      </c>
      <c r="B8" s="54" t="s">
        <v>141</v>
      </c>
      <c r="C8" s="50" t="str">
        <f t="shared" si="0"/>
        <v>Construção de Praças Urbanas, Rodovias, Ferrovias e recapeamento e pavimentação de vias urbanas-AC</v>
      </c>
      <c r="E8" s="55">
        <v>3.7999999999999999E-2</v>
      </c>
      <c r="F8" s="55">
        <v>4.0099999999999997E-2</v>
      </c>
      <c r="G8" s="55">
        <v>4.6699999999999998E-2</v>
      </c>
      <c r="I8" s="680"/>
      <c r="J8" s="714" t="str">
        <f>Import.Apelido&amp;" / "&amp;Import.DescLote</f>
        <v>RUA COBERTA MUNICIPAL / RUA COBERTA MUNICIPAL</v>
      </c>
      <c r="K8" s="714"/>
      <c r="L8" s="714"/>
      <c r="M8" s="714"/>
      <c r="N8" s="714"/>
      <c r="O8" s="714"/>
      <c r="P8" s="714"/>
      <c r="Q8" s="714"/>
      <c r="R8" s="714"/>
      <c r="S8" s="714"/>
      <c r="U8" s="564" t="str">
        <f ca="1">IF(U29="FORA DO INTERVALO","BDI 1 fora do intervalo",IF(U69="FORA DO INTERVALO","BDI 2 fora do intervalo",IF(U109="FORA DO INTERVALO","BDI 3 fora do intervalo","")))</f>
        <v/>
      </c>
    </row>
    <row r="9" spans="1:21" x14ac:dyDescent="0.2">
      <c r="A9" s="50" t="s">
        <v>151</v>
      </c>
      <c r="B9" s="54" t="s">
        <v>143</v>
      </c>
      <c r="C9" s="50" t="str">
        <f t="shared" si="0"/>
        <v>Construção de Praças Urbanas, Rodovias, Ferrovias e recapeamento e pavimentação de vias urbanas-SG</v>
      </c>
      <c r="E9" s="55">
        <v>3.2000000000000002E-3</v>
      </c>
      <c r="F9" s="55">
        <v>4.0000000000000001E-3</v>
      </c>
      <c r="G9" s="55">
        <v>7.4000000000000003E-3</v>
      </c>
      <c r="I9" s="680"/>
      <c r="J9" s="58"/>
      <c r="K9" s="58"/>
      <c r="L9" s="58"/>
      <c r="M9" s="58"/>
      <c r="N9" s="58"/>
      <c r="O9" s="58"/>
      <c r="P9" s="58"/>
      <c r="Q9" s="58"/>
      <c r="R9" s="58"/>
      <c r="S9" s="58"/>
    </row>
    <row r="10" spans="1:21" ht="12.75" customHeight="1" x14ac:dyDescent="0.2">
      <c r="A10" s="50" t="s">
        <v>151</v>
      </c>
      <c r="B10" s="54" t="s">
        <v>144</v>
      </c>
      <c r="C10" s="50" t="str">
        <f t="shared" si="0"/>
        <v>Construção de Praças Urbanas, Rodovias, Ferrovias e recapeamento e pavimentação de vias urbanas-R</v>
      </c>
      <c r="E10" s="55">
        <v>5.0000000000000001E-3</v>
      </c>
      <c r="F10" s="55">
        <v>5.6000000000000008E-3</v>
      </c>
      <c r="G10" s="55">
        <v>9.7000000000000003E-3</v>
      </c>
      <c r="I10" s="680"/>
      <c r="J10" s="715" t="s">
        <v>152</v>
      </c>
      <c r="K10" s="715"/>
      <c r="L10" s="715"/>
      <c r="M10" s="715"/>
      <c r="N10" s="715"/>
      <c r="O10" s="715"/>
      <c r="P10" s="715"/>
      <c r="Q10" s="715"/>
      <c r="R10" s="713">
        <v>0.4</v>
      </c>
      <c r="S10" s="713"/>
      <c r="U10" s="628" t="str">
        <f>IF(R10=0,"Falta definir a base de cálculo para o ISS","")</f>
        <v/>
      </c>
    </row>
    <row r="11" spans="1:21" ht="12.75" customHeight="1" x14ac:dyDescent="0.2">
      <c r="A11" s="50" t="s">
        <v>151</v>
      </c>
      <c r="B11" s="54" t="s">
        <v>147</v>
      </c>
      <c r="C11" s="50" t="str">
        <f t="shared" si="0"/>
        <v>Construção de Praças Urbanas, Rodovias, Ferrovias e recapeamento e pavimentação de vias urbanas-DF</v>
      </c>
      <c r="E11" s="55">
        <v>1.0200000000000001E-2</v>
      </c>
      <c r="F11" s="55">
        <v>1.11E-2</v>
      </c>
      <c r="G11" s="55">
        <v>1.21E-2</v>
      </c>
      <c r="I11" s="108" t="s">
        <v>215</v>
      </c>
      <c r="J11" s="712" t="s">
        <v>153</v>
      </c>
      <c r="K11" s="712"/>
      <c r="L11" s="712"/>
      <c r="M11" s="712"/>
      <c r="N11" s="712"/>
      <c r="O11" s="712"/>
      <c r="P11" s="712"/>
      <c r="Q11" s="712"/>
      <c r="R11" s="713">
        <v>0.02</v>
      </c>
      <c r="S11" s="713"/>
      <c r="U11" s="628" t="str">
        <f>IF(R11=0,"Falta definir a alíquota do ISS","")</f>
        <v/>
      </c>
    </row>
    <row r="12" spans="1:21" x14ac:dyDescent="0.2">
      <c r="A12" s="50" t="s">
        <v>151</v>
      </c>
      <c r="B12" s="54" t="s">
        <v>148</v>
      </c>
      <c r="C12" s="50" t="str">
        <f t="shared" si="0"/>
        <v>Construção de Praças Urbanas, Rodovias, Ferrovias e recapeamento e pavimentação de vias urbanas-L</v>
      </c>
      <c r="E12" s="55">
        <v>6.6400000000000001E-2</v>
      </c>
      <c r="F12" s="55">
        <v>7.2999999999999995E-2</v>
      </c>
      <c r="G12" s="55">
        <v>8.6899999999999991E-2</v>
      </c>
      <c r="I12" s="7" t="s">
        <v>244</v>
      </c>
      <c r="J12" s="60"/>
      <c r="K12" s="60"/>
      <c r="L12" s="60"/>
      <c r="M12" s="60"/>
      <c r="N12" s="60"/>
      <c r="O12" s="60"/>
      <c r="P12" s="60"/>
      <c r="Q12" s="60"/>
      <c r="R12" s="60"/>
      <c r="S12" s="60"/>
    </row>
    <row r="13" spans="1:21" ht="15" customHeight="1" x14ac:dyDescent="0.2">
      <c r="A13" s="50" t="s">
        <v>151</v>
      </c>
      <c r="B13" s="59" t="s">
        <v>149</v>
      </c>
      <c r="C13" s="50" t="str">
        <f t="shared" si="0"/>
        <v>Construção de Praças Urbanas, Rodovias, Ferrovias e recapeamento e pavimentação de vias urbanas-BDI PAD</v>
      </c>
      <c r="E13" s="55">
        <v>0.19600000000000001</v>
      </c>
      <c r="F13" s="55">
        <v>0.2097</v>
      </c>
      <c r="G13" s="55">
        <v>0.24230000000000002</v>
      </c>
      <c r="I13" s="7" t="s">
        <v>244</v>
      </c>
    </row>
    <row r="14" spans="1:21" ht="15.75" x14ac:dyDescent="0.25">
      <c r="A14" s="50" t="s">
        <v>154</v>
      </c>
      <c r="B14" s="54" t="s">
        <v>141</v>
      </c>
      <c r="C14" s="50" t="str">
        <f t="shared" si="0"/>
        <v>Construção de Redes de Abastecimento de Água, Coleta de Esgoto-AC</v>
      </c>
      <c r="E14" s="55">
        <v>3.4300000000000004E-2</v>
      </c>
      <c r="F14" s="55">
        <v>4.9299999999999997E-2</v>
      </c>
      <c r="G14" s="55">
        <v>6.7099999999999993E-2</v>
      </c>
      <c r="I14" s="7" t="s">
        <v>244</v>
      </c>
      <c r="J14" s="709" t="s">
        <v>155</v>
      </c>
      <c r="K14" s="709"/>
      <c r="L14" s="709"/>
      <c r="M14" s="709"/>
      <c r="N14" s="709"/>
      <c r="O14" s="709"/>
      <c r="P14" s="709"/>
      <c r="Q14" s="709"/>
      <c r="R14" s="709"/>
      <c r="S14" s="709"/>
      <c r="U14" s="564" t="str">
        <f ca="1">IF(COUNTIF(ORÇAMENTO!$V$15:$V$131,BDI_1.Título)=0,"",IF(OR(Import.BDI.Tipo1="(SELECIONAR)",Import.BDI.Tipo1="",U17&lt;&gt;"",S21=0,S22=0,S23=0,S24=0,S25=0,S26=0),"Falta preencher o BDI 1",""))</f>
        <v/>
      </c>
    </row>
    <row r="15" spans="1:21" x14ac:dyDescent="0.2">
      <c r="A15" s="50" t="str">
        <f>A14</f>
        <v>Construção de Redes de Abastecimento de Água, Coleta de Esgoto</v>
      </c>
      <c r="B15" s="54" t="s">
        <v>143</v>
      </c>
      <c r="C15" s="50" t="str">
        <f t="shared" si="0"/>
        <v>Construção de Redes de Abastecimento de Água, Coleta de Esgoto-SG</v>
      </c>
      <c r="E15" s="55">
        <v>2.8000000000000004E-3</v>
      </c>
      <c r="F15" s="55">
        <v>4.8999999999999998E-3</v>
      </c>
      <c r="G15" s="55">
        <v>7.4999999999999997E-3</v>
      </c>
      <c r="I15" s="7" t="s">
        <v>244</v>
      </c>
    </row>
    <row r="16" spans="1:21" x14ac:dyDescent="0.2">
      <c r="A16" s="50" t="str">
        <f>A15</f>
        <v>Construção de Redes de Abastecimento de Água, Coleta de Esgoto</v>
      </c>
      <c r="B16" s="54" t="s">
        <v>144</v>
      </c>
      <c r="C16" s="50" t="str">
        <f t="shared" si="0"/>
        <v>Construção de Redes de Abastecimento de Água, Coleta de Esgoto-R</v>
      </c>
      <c r="E16" s="55">
        <v>0.01</v>
      </c>
      <c r="F16" s="55">
        <v>1.3899999999999999E-2</v>
      </c>
      <c r="G16" s="55">
        <v>1.7399999999999999E-2</v>
      </c>
      <c r="I16" s="7" t="s">
        <v>244</v>
      </c>
      <c r="J16" s="707" t="s">
        <v>156</v>
      </c>
      <c r="K16" s="707"/>
      <c r="L16" s="707"/>
      <c r="M16" s="707"/>
      <c r="N16" s="707"/>
      <c r="O16" s="707"/>
      <c r="P16" s="707"/>
      <c r="Q16" s="707"/>
      <c r="R16" s="707"/>
      <c r="S16" s="707"/>
    </row>
    <row r="17" spans="1:26" ht="15" x14ac:dyDescent="0.25">
      <c r="A17" s="50" t="str">
        <f>A16</f>
        <v>Construção de Redes de Abastecimento de Água, Coleta de Esgoto</v>
      </c>
      <c r="B17" s="54" t="s">
        <v>147</v>
      </c>
      <c r="C17" s="50" t="str">
        <f t="shared" si="0"/>
        <v>Construção de Redes de Abastecimento de Água, Coleta de Esgoto-DF</v>
      </c>
      <c r="E17" s="55">
        <v>9.3999999999999986E-3</v>
      </c>
      <c r="F17" s="55">
        <v>9.8999999999999991E-3</v>
      </c>
      <c r="G17" s="55">
        <v>1.1699999999999999E-2</v>
      </c>
      <c r="I17" s="7" t="s">
        <v>244</v>
      </c>
      <c r="J17" s="708" t="s">
        <v>140</v>
      </c>
      <c r="K17" s="708"/>
      <c r="L17" s="708"/>
      <c r="M17" s="708"/>
      <c r="N17" s="708"/>
      <c r="O17" s="708"/>
      <c r="P17" s="708"/>
      <c r="Q17" s="708"/>
      <c r="R17" s="708"/>
      <c r="S17" s="708"/>
      <c r="T17" s="617" t="str">
        <f ca="1">IF(U17="","","◄")</f>
        <v/>
      </c>
      <c r="U17" s="616" t="str">
        <f ca="1">IF(AND(OR(S29&gt;0,COUNTIF(ORÇAMENTO!$V$15:$V$131,BDI_1.Título)&gt;0),OR(Import.BDI.Tipo1="(SELECIONAR)",Import.BDI.Tipo1="")),"Selecione o Tipo de obra","")</f>
        <v/>
      </c>
    </row>
    <row r="18" spans="1:26" x14ac:dyDescent="0.2">
      <c r="A18" s="50" t="str">
        <f>A17</f>
        <v>Construção de Redes de Abastecimento de Água, Coleta de Esgoto</v>
      </c>
      <c r="B18" s="54" t="s">
        <v>148</v>
      </c>
      <c r="C18" s="50" t="str">
        <f t="shared" si="0"/>
        <v>Construção de Redes de Abastecimento de Água, Coleta de Esgoto-L</v>
      </c>
      <c r="E18" s="55">
        <v>6.7400000000000002E-2</v>
      </c>
      <c r="F18" s="55">
        <v>8.0399999999999985E-2</v>
      </c>
      <c r="G18" s="55">
        <v>9.4E-2</v>
      </c>
      <c r="I18" s="7" t="s">
        <v>244</v>
      </c>
    </row>
    <row r="19" spans="1:26" ht="12.75" customHeight="1" x14ac:dyDescent="0.2">
      <c r="A19" s="50" t="str">
        <f>A18</f>
        <v>Construção de Redes de Abastecimento de Água, Coleta de Esgoto</v>
      </c>
      <c r="B19" s="59" t="s">
        <v>149</v>
      </c>
      <c r="C19" s="50" t="str">
        <f t="shared" si="0"/>
        <v>Construção de Redes de Abastecimento de Água, Coleta de Esgoto-BDI PAD</v>
      </c>
      <c r="E19" s="55">
        <v>0.20760000000000001</v>
      </c>
      <c r="F19" s="55">
        <v>0.24179999999999999</v>
      </c>
      <c r="G19" s="55">
        <v>0.26440000000000002</v>
      </c>
      <c r="I19" s="7" t="s">
        <v>244</v>
      </c>
      <c r="J19" s="706" t="s">
        <v>157</v>
      </c>
      <c r="K19" s="706"/>
      <c r="L19" s="706"/>
      <c r="M19" s="706"/>
      <c r="N19" s="706"/>
      <c r="O19" s="706"/>
      <c r="P19" s="706"/>
      <c r="Q19" s="706"/>
      <c r="R19" s="706" t="s">
        <v>158</v>
      </c>
      <c r="S19" s="698" t="s">
        <v>159</v>
      </c>
      <c r="U19" s="698" t="s">
        <v>160</v>
      </c>
      <c r="V19" s="698"/>
      <c r="W19" s="698"/>
      <c r="X19" s="705" t="s">
        <v>161</v>
      </c>
      <c r="Y19" s="705" t="s">
        <v>162</v>
      </c>
      <c r="Z19" s="705" t="s">
        <v>163</v>
      </c>
    </row>
    <row r="20" spans="1:26" ht="12.75" customHeight="1" x14ac:dyDescent="0.2">
      <c r="A20" s="50" t="s">
        <v>164</v>
      </c>
      <c r="B20" s="54" t="s">
        <v>141</v>
      </c>
      <c r="C20" s="50" t="str">
        <f t="shared" si="0"/>
        <v>Construção e Manutenção de Estações e Redes de Distribuição de Energia Elétrica-AC</v>
      </c>
      <c r="E20" s="55">
        <v>5.2900000000000003E-2</v>
      </c>
      <c r="F20" s="55">
        <v>5.9200000000000003E-2</v>
      </c>
      <c r="G20" s="55">
        <v>7.9299999999999995E-2</v>
      </c>
      <c r="I20" s="7" t="s">
        <v>244</v>
      </c>
      <c r="J20" s="706"/>
      <c r="K20" s="706"/>
      <c r="L20" s="706"/>
      <c r="M20" s="706"/>
      <c r="N20" s="706"/>
      <c r="O20" s="706"/>
      <c r="P20" s="706"/>
      <c r="Q20" s="706"/>
      <c r="R20" s="706"/>
      <c r="S20" s="698"/>
      <c r="U20" s="698"/>
      <c r="V20" s="698"/>
      <c r="W20" s="698"/>
      <c r="X20" s="705"/>
      <c r="Y20" s="705"/>
      <c r="Z20" s="705"/>
    </row>
    <row r="21" spans="1:26" ht="15" customHeight="1" x14ac:dyDescent="0.2">
      <c r="A21" s="50" t="str">
        <f>A20</f>
        <v>Construção e Manutenção de Estações e Redes de Distribuição de Energia Elétrica</v>
      </c>
      <c r="B21" s="54" t="s">
        <v>143</v>
      </c>
      <c r="C21" s="50" t="str">
        <f t="shared" si="0"/>
        <v>Construção e Manutenção de Estações e Redes de Distribuição de Energia Elétrica-SG</v>
      </c>
      <c r="E21" s="55">
        <v>2.5000000000000001E-3</v>
      </c>
      <c r="F21" s="55">
        <v>5.1000000000000004E-3</v>
      </c>
      <c r="G21" s="55">
        <v>5.6000000000000008E-3</v>
      </c>
      <c r="I21" s="7" t="s">
        <v>244</v>
      </c>
      <c r="J21" s="694" t="str">
        <f>IF($J$17=$A$146,"Encargos Sociais incidentes sobre a mão de obra","Administração Central")</f>
        <v>Administração Central</v>
      </c>
      <c r="K21" s="694"/>
      <c r="L21" s="694"/>
      <c r="M21" s="694"/>
      <c r="N21" s="694"/>
      <c r="O21" s="694"/>
      <c r="P21" s="694"/>
      <c r="Q21" s="694"/>
      <c r="R21" s="61" t="str">
        <f>IF($J17=$A$146,"K1","AC")</f>
        <v>AC</v>
      </c>
      <c r="S21" s="62">
        <v>0.04</v>
      </c>
      <c r="T21" s="629" t="str">
        <f ca="1">IF(AND($U$14&lt;&gt;"",S21=""),"◄","")</f>
        <v/>
      </c>
      <c r="U21" s="710" t="str">
        <f>IFERROR(IF(AND(S21&gt;=X21,S21&lt;=Z21),"OK","FORA DO INTERVALO"),"-")</f>
        <v>OK</v>
      </c>
      <c r="V21" s="710"/>
      <c r="W21" s="710"/>
      <c r="X21" s="63">
        <f>VLOOKUP(CONCATENATE(J17,"-",R21),$C$2:$G$136,3,FALSE)</f>
        <v>0.03</v>
      </c>
      <c r="Y21" s="63">
        <f>VLOOKUP(CONCATENATE(J17,"-",R21),$C$2:$G$136,4,FALSE)</f>
        <v>0.04</v>
      </c>
      <c r="Z21" s="63">
        <f>VLOOKUP(CONCATENATE(J17,"-",R21),$C$2:$G$136,5,FALSE)</f>
        <v>5.5E-2</v>
      </c>
    </row>
    <row r="22" spans="1:26" ht="15" customHeight="1" x14ac:dyDescent="0.2">
      <c r="A22" s="50" t="str">
        <f>A21</f>
        <v>Construção e Manutenção de Estações e Redes de Distribuição de Energia Elétrica</v>
      </c>
      <c r="B22" s="54" t="s">
        <v>144</v>
      </c>
      <c r="C22" s="50" t="str">
        <f t="shared" si="0"/>
        <v>Construção e Manutenção de Estações e Redes de Distribuição de Energia Elétrica-R</v>
      </c>
      <c r="E22" s="55">
        <v>0.01</v>
      </c>
      <c r="F22" s="55">
        <v>1.4800000000000001E-2</v>
      </c>
      <c r="G22" s="55">
        <v>1.9699999999999999E-2</v>
      </c>
      <c r="I22" s="7" t="s">
        <v>244</v>
      </c>
      <c r="J22" s="694" t="str">
        <f>IF($J$17=$A$146,"Administração Central da empresa ou consultoria - overhead","Seguro e Garantia")</f>
        <v>Seguro e Garantia</v>
      </c>
      <c r="K22" s="694"/>
      <c r="L22" s="694"/>
      <c r="M22" s="694"/>
      <c r="N22" s="694"/>
      <c r="O22" s="694"/>
      <c r="P22" s="694"/>
      <c r="Q22" s="694"/>
      <c r="R22" s="61" t="str">
        <f>IF($J17=$A$146,"K2","SG")</f>
        <v>SG</v>
      </c>
      <c r="S22" s="62">
        <v>8.0000000000000002E-3</v>
      </c>
      <c r="T22" s="629" t="str">
        <f t="shared" ref="T22:T26" ca="1" si="1">IF(AND($U$14&lt;&gt;"",S22=""),"◄","")</f>
        <v/>
      </c>
      <c r="U22" s="695" t="str">
        <f t="shared" ref="U22:U27" si="2">IFERROR(IF(AND(S22&gt;=X22,S22&lt;=Z22),"OK","FORA DO INTERVALO"),"-")</f>
        <v>OK</v>
      </c>
      <c r="V22" s="696"/>
      <c r="W22" s="697"/>
      <c r="X22" s="63">
        <f>VLOOKUP(CONCATENATE(J17,"-",R22),$C$2:$G$136,3,FALSE)</f>
        <v>8.0000000000000002E-3</v>
      </c>
      <c r="Y22" s="63">
        <f>VLOOKUP(CONCATENATE(J17,"-",R22),$C$2:$G$136,4,FALSE)</f>
        <v>8.0000000000000002E-3</v>
      </c>
      <c r="Z22" s="63">
        <f>VLOOKUP(CONCATENATE(J17,"-",R22),$C$2:$G$136,5,FALSE)</f>
        <v>0.01</v>
      </c>
    </row>
    <row r="23" spans="1:26" ht="15" customHeight="1" x14ac:dyDescent="0.2">
      <c r="A23" s="50" t="str">
        <f>A22</f>
        <v>Construção e Manutenção de Estações e Redes de Distribuição de Energia Elétrica</v>
      </c>
      <c r="B23" s="54" t="s">
        <v>147</v>
      </c>
      <c r="C23" s="50" t="str">
        <f t="shared" si="0"/>
        <v>Construção e Manutenção de Estações e Redes de Distribuição de Energia Elétrica-DF</v>
      </c>
      <c r="E23" s="55">
        <v>1.01E-2</v>
      </c>
      <c r="F23" s="55">
        <v>1.0700000000000001E-2</v>
      </c>
      <c r="G23" s="55">
        <v>1.11E-2</v>
      </c>
      <c r="I23" s="7" t="s">
        <v>244</v>
      </c>
      <c r="J23" s="694" t="str">
        <f>IF($J$17=$A$146,"","Risco")</f>
        <v>Risco</v>
      </c>
      <c r="K23" s="694"/>
      <c r="L23" s="694"/>
      <c r="M23" s="694"/>
      <c r="N23" s="694"/>
      <c r="O23" s="694"/>
      <c r="P23" s="694"/>
      <c r="Q23" s="694"/>
      <c r="R23" s="61" t="str">
        <f>IF($J17=$A$146,"","R")</f>
        <v>R</v>
      </c>
      <c r="S23" s="62">
        <v>1.2699999999999999E-2</v>
      </c>
      <c r="T23" s="629" t="str">
        <f t="shared" ca="1" si="1"/>
        <v/>
      </c>
      <c r="U23" s="695" t="str">
        <f t="shared" si="2"/>
        <v>OK</v>
      </c>
      <c r="V23" s="696"/>
      <c r="W23" s="697"/>
      <c r="X23" s="63">
        <f>VLOOKUP(CONCATENATE(J17,"-",R23),$C$2:$G$136,3,FALSE)</f>
        <v>9.7000000000000003E-3</v>
      </c>
      <c r="Y23" s="63">
        <f>VLOOKUP(CONCATENATE(J17,"-",R23),$C$2:$G$136,4,FALSE)</f>
        <v>1.2699999999999999E-2</v>
      </c>
      <c r="Z23" s="63">
        <f>VLOOKUP(CONCATENATE(J17,"-",R23),$C$2:$G$136,5,FALSE)</f>
        <v>1.2699999999999999E-2</v>
      </c>
    </row>
    <row r="24" spans="1:26" ht="15" customHeight="1" x14ac:dyDescent="0.2">
      <c r="A24" s="50" t="str">
        <f>A23</f>
        <v>Construção e Manutenção de Estações e Redes de Distribuição de Energia Elétrica</v>
      </c>
      <c r="B24" s="54" t="s">
        <v>148</v>
      </c>
      <c r="C24" s="50" t="str">
        <f t="shared" si="0"/>
        <v>Construção e Manutenção de Estações e Redes de Distribuição de Energia Elétrica-L</v>
      </c>
      <c r="E24" s="55">
        <v>0.08</v>
      </c>
      <c r="F24" s="55">
        <v>8.3100000000000007E-2</v>
      </c>
      <c r="G24" s="55">
        <v>9.5100000000000004E-2</v>
      </c>
      <c r="I24" s="7" t="s">
        <v>244</v>
      </c>
      <c r="J24" s="694" t="str">
        <f>IF($J$17=$A$146,"","Despesas Financeiras")</f>
        <v>Despesas Financeiras</v>
      </c>
      <c r="K24" s="694"/>
      <c r="L24" s="694"/>
      <c r="M24" s="694"/>
      <c r="N24" s="694"/>
      <c r="O24" s="694"/>
      <c r="P24" s="694"/>
      <c r="Q24" s="694"/>
      <c r="R24" s="61" t="str">
        <f>IF($J17=$A$146,"","DF")</f>
        <v>DF</v>
      </c>
      <c r="S24" s="62">
        <v>1.23E-2</v>
      </c>
      <c r="T24" s="629" t="str">
        <f t="shared" ca="1" si="1"/>
        <v/>
      </c>
      <c r="U24" s="695" t="str">
        <f t="shared" si="2"/>
        <v>OK</v>
      </c>
      <c r="V24" s="696"/>
      <c r="W24" s="697"/>
      <c r="X24" s="63">
        <f>VLOOKUP(CONCATENATE(J17,"-",R24),$C$2:$G$136,3,FALSE)</f>
        <v>5.8999999999999999E-3</v>
      </c>
      <c r="Y24" s="63">
        <f>VLOOKUP(CONCATENATE(J17,"-",R24),$C$2:$G$136,4,FALSE)</f>
        <v>1.23E-2</v>
      </c>
      <c r="Z24" s="63">
        <f>VLOOKUP(CONCATENATE(J17,"-",R24),$C$2:$G$136,5,FALSE)</f>
        <v>1.3899999999999999E-2</v>
      </c>
    </row>
    <row r="25" spans="1:26" ht="15" customHeight="1" x14ac:dyDescent="0.2">
      <c r="A25" s="50" t="str">
        <f>A24</f>
        <v>Construção e Manutenção de Estações e Redes de Distribuição de Energia Elétrica</v>
      </c>
      <c r="B25" s="59" t="s">
        <v>149</v>
      </c>
      <c r="C25" s="50" t="str">
        <f t="shared" si="0"/>
        <v>Construção e Manutenção de Estações e Redes de Distribuição de Energia Elétrica-BDI PAD</v>
      </c>
      <c r="E25" s="55">
        <v>0.24</v>
      </c>
      <c r="F25" s="55">
        <v>0.25840000000000002</v>
      </c>
      <c r="G25" s="55">
        <v>0.27860000000000001</v>
      </c>
      <c r="I25" s="7" t="s">
        <v>244</v>
      </c>
      <c r="J25" s="694" t="str">
        <f>IF($J$17=$A$146,"Margem bruta da empresa de consultoria","Lucro")</f>
        <v>Lucro</v>
      </c>
      <c r="K25" s="694"/>
      <c r="L25" s="694"/>
      <c r="M25" s="694"/>
      <c r="N25" s="694"/>
      <c r="O25" s="694"/>
      <c r="P25" s="694"/>
      <c r="Q25" s="694"/>
      <c r="R25" s="61" t="str">
        <f>IF($J17=$A$146,"K3","L")</f>
        <v>L</v>
      </c>
      <c r="S25" s="62">
        <v>7.3999999999999996E-2</v>
      </c>
      <c r="T25" s="629" t="str">
        <f t="shared" ca="1" si="1"/>
        <v/>
      </c>
      <c r="U25" s="695" t="str">
        <f t="shared" si="2"/>
        <v>OK</v>
      </c>
      <c r="V25" s="696"/>
      <c r="W25" s="697"/>
      <c r="X25" s="63">
        <f>VLOOKUP(CONCATENATE(J17,"-",R25),$C$2:$G$136,3,FALSE)</f>
        <v>6.1600000000000002E-2</v>
      </c>
      <c r="Y25" s="63">
        <f>VLOOKUP(CONCATENATE(J17,"-",R25),$C$2:$G$136,4,FALSE)</f>
        <v>7.400000000000001E-2</v>
      </c>
      <c r="Z25" s="63">
        <f>VLOOKUP(CONCATENATE(J17,"-",R25),$C$2:$G$136,5,FALSE)</f>
        <v>8.9600000000000013E-2</v>
      </c>
    </row>
    <row r="26" spans="1:26" ht="15" customHeight="1" x14ac:dyDescent="0.2">
      <c r="A26" s="50" t="s">
        <v>166</v>
      </c>
      <c r="B26" s="54" t="s">
        <v>141</v>
      </c>
      <c r="C26" s="50" t="str">
        <f t="shared" si="0"/>
        <v>Obras Portuárias, Marítimas e Fluviais-AC</v>
      </c>
      <c r="E26" s="55">
        <v>0.04</v>
      </c>
      <c r="F26" s="55">
        <v>5.5199999999999999E-2</v>
      </c>
      <c r="G26" s="55">
        <v>7.85E-2</v>
      </c>
      <c r="I26" s="7" t="s">
        <v>244</v>
      </c>
      <c r="J26" s="694" t="s">
        <v>167</v>
      </c>
      <c r="K26" s="694"/>
      <c r="L26" s="694"/>
      <c r="M26" s="694"/>
      <c r="N26" s="694"/>
      <c r="O26" s="694"/>
      <c r="P26" s="694"/>
      <c r="Q26" s="694"/>
      <c r="R26" s="61" t="s">
        <v>168</v>
      </c>
      <c r="S26" s="62">
        <v>3.6499999999999998E-2</v>
      </c>
      <c r="T26" s="629" t="str">
        <f t="shared" ca="1" si="1"/>
        <v/>
      </c>
      <c r="U26" s="695" t="str">
        <f t="shared" si="2"/>
        <v>OK</v>
      </c>
      <c r="V26" s="696"/>
      <c r="W26" s="697"/>
      <c r="X26" s="63">
        <v>3.6499999999999998E-2</v>
      </c>
      <c r="Y26" s="63">
        <v>3.6499999999999998E-2</v>
      </c>
      <c r="Z26" s="63">
        <v>3.6499999999999998E-2</v>
      </c>
    </row>
    <row r="27" spans="1:26" ht="15" customHeight="1" x14ac:dyDescent="0.2">
      <c r="A27" s="50" t="str">
        <f>A26</f>
        <v>Obras Portuárias, Marítimas e Fluviais</v>
      </c>
      <c r="B27" s="54" t="s">
        <v>143</v>
      </c>
      <c r="C27" s="50" t="str">
        <f t="shared" si="0"/>
        <v>Obras Portuárias, Marítimas e Fluviais-SG</v>
      </c>
      <c r="E27" s="55">
        <v>8.1000000000000013E-3</v>
      </c>
      <c r="F27" s="55">
        <v>1.2199999999999999E-2</v>
      </c>
      <c r="G27" s="55">
        <v>1.9900000000000001E-2</v>
      </c>
      <c r="I27" s="7" t="s">
        <v>244</v>
      </c>
      <c r="J27" s="694" t="s">
        <v>169</v>
      </c>
      <c r="K27" s="694"/>
      <c r="L27" s="694"/>
      <c r="M27" s="694"/>
      <c r="N27" s="694"/>
      <c r="O27" s="694"/>
      <c r="P27" s="694"/>
      <c r="Q27" s="694"/>
      <c r="R27" s="61" t="s">
        <v>170</v>
      </c>
      <c r="S27" s="63">
        <f ca="1">IF(AND($J17&lt;&gt;$A$145,COUNTA(OFFSET(S20,1,0,6))&gt;0),$R$11*$R$10,0)</f>
        <v>8.0000000000000002E-3</v>
      </c>
      <c r="U27" s="695" t="str">
        <f t="shared" ca="1" si="2"/>
        <v>OK</v>
      </c>
      <c r="V27" s="696"/>
      <c r="W27" s="697"/>
      <c r="X27" s="63">
        <v>0</v>
      </c>
      <c r="Y27" s="63">
        <v>2.5000000000000001E-2</v>
      </c>
      <c r="Z27" s="63">
        <v>0.05</v>
      </c>
    </row>
    <row r="28" spans="1:26" ht="15" customHeight="1" x14ac:dyDescent="0.2">
      <c r="A28" s="50" t="str">
        <f>A27</f>
        <v>Obras Portuárias, Marítimas e Fluviais</v>
      </c>
      <c r="B28" s="54" t="s">
        <v>144</v>
      </c>
      <c r="C28" s="50" t="str">
        <f t="shared" si="0"/>
        <v>Obras Portuárias, Marítimas e Fluviais-R</v>
      </c>
      <c r="E28" s="55">
        <v>1.46E-2</v>
      </c>
      <c r="F28" s="55">
        <v>2.3199999999999998E-2</v>
      </c>
      <c r="G28" s="55">
        <v>3.1600000000000003E-2</v>
      </c>
      <c r="I28" s="7" t="s">
        <v>244</v>
      </c>
      <c r="J28" s="694" t="s">
        <v>427</v>
      </c>
      <c r="K28" s="694"/>
      <c r="L28" s="694"/>
      <c r="M28" s="694"/>
      <c r="N28" s="694"/>
      <c r="O28" s="694"/>
      <c r="P28" s="694"/>
      <c r="Q28" s="694"/>
      <c r="R28" s="61" t="s">
        <v>171</v>
      </c>
      <c r="S28" s="63" cm="1">
        <f t="array" aca="1" ref="S28" ca="1">IF(BDI.Opcao&lt;&gt;"Desonerado",0,IF(AND($J17&lt;&gt;$A$145,COUNTA(OFFSET(S20,1,0,6))&gt;0),IF(YEAR(Import.DataBase)&lt;2025,4.5%,IF(YEAR(Import.DataBase)=2025,3.6%,IF(YEAR(Import.DataBase)=2026,2.7%,IF(YEAR(Import.DataBase)=2027,1.8%,0%)))),0%))</f>
        <v>2.7000000000000003E-2</v>
      </c>
      <c r="U28" s="710" t="s">
        <v>912</v>
      </c>
      <c r="V28" s="710"/>
      <c r="W28" s="710"/>
      <c r="X28" s="64">
        <f ca="1">$S28</f>
        <v>2.7000000000000003E-2</v>
      </c>
      <c r="Y28" s="64">
        <f ca="1">$S28</f>
        <v>2.7000000000000003E-2</v>
      </c>
      <c r="Z28" s="64">
        <f ca="1">$S28</f>
        <v>2.7000000000000003E-2</v>
      </c>
    </row>
    <row r="29" spans="1:26" ht="15" customHeight="1" x14ac:dyDescent="0.2">
      <c r="A29" s="50" t="str">
        <f>A28</f>
        <v>Obras Portuárias, Marítimas e Fluviais</v>
      </c>
      <c r="B29" s="54" t="s">
        <v>147</v>
      </c>
      <c r="C29" s="50" t="str">
        <f t="shared" si="0"/>
        <v>Obras Portuárias, Marítimas e Fluviais-DF</v>
      </c>
      <c r="E29" s="55">
        <v>9.3999999999999986E-3</v>
      </c>
      <c r="F29" s="55">
        <v>1.0200000000000001E-2</v>
      </c>
      <c r="G29" s="55">
        <v>1.3300000000000001E-2</v>
      </c>
      <c r="I29" s="7" t="s">
        <v>244</v>
      </c>
      <c r="J29" s="694" t="s">
        <v>172</v>
      </c>
      <c r="K29" s="694"/>
      <c r="L29" s="694"/>
      <c r="M29" s="694"/>
      <c r="N29" s="694"/>
      <c r="O29" s="694"/>
      <c r="P29" s="694"/>
      <c r="Q29" s="694"/>
      <c r="R29" s="65" t="s">
        <v>149</v>
      </c>
      <c r="S29" s="63">
        <f ca="1">IF($J17=$A$145,0,ROUND((((1+S21+S22+S23)*(1+S24)*(1+S25)/(1-(S26+S27)))-1),4))</f>
        <v>0.2069</v>
      </c>
      <c r="U29" s="698" t="str">
        <f ca="1">IFERROR(IF(OR($J$17=$A$146,$J$17=$A$145,AND(S29&gt;=X29,S29&lt;=Z29)),"OK","FORA DO INTERVALO"),IF(S29=0,"OK","Selecione o Tipo de obra"))</f>
        <v>OK</v>
      </c>
      <c r="V29" s="698"/>
      <c r="W29" s="698"/>
      <c r="X29" s="63">
        <f>IF($J17=$A$145,0,VLOOKUP(CONCATENATE($J17,"-",$R29),$C$2:$G$136,3,FALSE))</f>
        <v>0.2034</v>
      </c>
      <c r="Y29" s="63">
        <f>IF($J17=$A$145,0,VLOOKUP(CONCATENATE($J17,"-",$R29),$C$2:$G$136,4,FALSE))</f>
        <v>0.22120000000000001</v>
      </c>
      <c r="Z29" s="63">
        <f>IF($J17=$A$145,0,VLOOKUP(CONCATENATE($J17,"-",$R29),$C$2:$G$136,5,FALSE))</f>
        <v>0.25</v>
      </c>
    </row>
    <row r="30" spans="1:26" ht="15" customHeight="1" x14ac:dyDescent="0.2">
      <c r="A30" s="50" t="str">
        <f>A29</f>
        <v>Obras Portuárias, Marítimas e Fluviais</v>
      </c>
      <c r="B30" s="54" t="s">
        <v>148</v>
      </c>
      <c r="C30" s="50" t="str">
        <f t="shared" si="0"/>
        <v>Obras Portuárias, Marítimas e Fluviais-L</v>
      </c>
      <c r="E30" s="55">
        <v>7.1399999999999991E-2</v>
      </c>
      <c r="F30" s="55">
        <v>8.4000000000000005E-2</v>
      </c>
      <c r="G30" s="55">
        <v>0.1043</v>
      </c>
      <c r="I30" s="7" t="s">
        <v>244</v>
      </c>
      <c r="J30" s="699" t="s">
        <v>173</v>
      </c>
      <c r="K30" s="699"/>
      <c r="L30" s="699"/>
      <c r="M30" s="699"/>
      <c r="N30" s="699"/>
      <c r="O30" s="699"/>
      <c r="P30" s="699"/>
      <c r="Q30" s="699"/>
      <c r="R30" s="66" t="s">
        <v>174</v>
      </c>
      <c r="S30" s="67">
        <f ca="1">IF($J17=$A$145,0,ROUND((((1+S21+S22+S23)*(1+S24)*(1+S25)/(1-(S26+S27+S28)))-1),4))</f>
        <v>0.24199999999999999</v>
      </c>
    </row>
    <row r="31" spans="1:26" ht="15" customHeight="1" x14ac:dyDescent="0.2">
      <c r="A31" s="50" t="str">
        <f>A30</f>
        <v>Obras Portuárias, Marítimas e Fluviais</v>
      </c>
      <c r="B31" s="59" t="s">
        <v>149</v>
      </c>
      <c r="C31" s="50" t="str">
        <f t="shared" si="0"/>
        <v>Obras Portuárias, Marítimas e Fluviais-BDI PAD</v>
      </c>
      <c r="E31" s="55">
        <v>0.22800000000000001</v>
      </c>
      <c r="F31" s="55">
        <v>0.27479999999999999</v>
      </c>
      <c r="G31" s="55">
        <v>0.3095</v>
      </c>
      <c r="I31" s="7" t="s">
        <v>244</v>
      </c>
    </row>
    <row r="32" spans="1:26" ht="15.75" x14ac:dyDescent="0.2">
      <c r="A32" s="50" t="s">
        <v>175</v>
      </c>
      <c r="B32" s="54" t="s">
        <v>141</v>
      </c>
      <c r="C32" s="50" t="str">
        <f t="shared" si="0"/>
        <v>Fornecimento de Materiais e Equipamentos (aquisição indireta - em conjunto com licitação de obras)-AC</v>
      </c>
      <c r="E32" s="55">
        <v>1.4999999999999999E-2</v>
      </c>
      <c r="F32" s="55">
        <v>3.4500000000000003E-2</v>
      </c>
      <c r="G32" s="55">
        <v>4.4900000000000002E-2</v>
      </c>
      <c r="I32" s="7" t="s">
        <v>244</v>
      </c>
      <c r="J32" s="68" t="str">
        <f ca="1">IF(U29&lt;&gt;"ok","X","")</f>
        <v/>
      </c>
      <c r="K32" s="700" t="str">
        <f ca="1">IF(U29&lt;&gt;"ok","Anexo: Relatório Técnico Circunstanciado justificando a adoção do percentual de cada parcela do BDI.","")</f>
        <v/>
      </c>
      <c r="L32" s="700"/>
      <c r="M32" s="700"/>
      <c r="N32" s="700"/>
      <c r="O32" s="700"/>
      <c r="P32" s="700"/>
      <c r="Q32" s="700"/>
      <c r="R32" s="700"/>
      <c r="S32" s="700"/>
    </row>
    <row r="33" spans="1:19" x14ac:dyDescent="0.2">
      <c r="A33" s="50" t="str">
        <f>A32</f>
        <v>Fornecimento de Materiais e Equipamentos (aquisição indireta - em conjunto com licitação de obras)</v>
      </c>
      <c r="B33" s="54" t="s">
        <v>143</v>
      </c>
      <c r="C33" s="50" t="str">
        <f t="shared" si="0"/>
        <v>Fornecimento de Materiais e Equipamentos (aquisição indireta - em conjunto com licitação de obras)-SG</v>
      </c>
      <c r="E33" s="55">
        <v>3.0000000000000001E-3</v>
      </c>
      <c r="F33" s="55">
        <v>4.7999999999999996E-3</v>
      </c>
      <c r="G33" s="55">
        <v>8.199999999999999E-3</v>
      </c>
      <c r="I33" s="7" t="s">
        <v>244</v>
      </c>
    </row>
    <row r="34" spans="1:19" x14ac:dyDescent="0.2">
      <c r="A34" s="50" t="str">
        <f>A33</f>
        <v>Fornecimento de Materiais e Equipamentos (aquisição indireta - em conjunto com licitação de obras)</v>
      </c>
      <c r="B34" s="54" t="s">
        <v>144</v>
      </c>
      <c r="C34" s="50" t="str">
        <f t="shared" si="0"/>
        <v>Fornecimento de Materiais e Equipamentos (aquisição indireta - em conjunto com licitação de obras)-R</v>
      </c>
      <c r="E34" s="55">
        <v>5.6000000000000008E-3</v>
      </c>
      <c r="F34" s="55">
        <v>8.5000000000000006E-3</v>
      </c>
      <c r="G34" s="55">
        <v>8.8999999999999999E-3</v>
      </c>
      <c r="I34" s="7" t="s">
        <v>244</v>
      </c>
      <c r="J34" s="701" t="s">
        <v>176</v>
      </c>
      <c r="K34" s="701"/>
      <c r="L34" s="701"/>
      <c r="M34" s="701"/>
      <c r="N34" s="701"/>
      <c r="O34" s="701"/>
      <c r="P34" s="701"/>
      <c r="Q34" s="701"/>
      <c r="R34" s="701"/>
      <c r="S34" s="701"/>
    </row>
    <row r="35" spans="1:19" ht="15.75" x14ac:dyDescent="0.25">
      <c r="A35" s="50" t="str">
        <f>A34</f>
        <v>Fornecimento de Materiais e Equipamentos (aquisição indireta - em conjunto com licitação de obras)</v>
      </c>
      <c r="B35" s="54" t="s">
        <v>147</v>
      </c>
      <c r="C35" s="50" t="str">
        <f t="shared" si="0"/>
        <v>Fornecimento de Materiais e Equipamentos (aquisição indireta - em conjunto com licitação de obras)-DF</v>
      </c>
      <c r="E35" s="55">
        <v>8.5000000000000006E-3</v>
      </c>
      <c r="F35" s="55">
        <v>8.5000000000000006E-3</v>
      </c>
      <c r="G35" s="55">
        <v>1.11E-2</v>
      </c>
      <c r="I35" s="7" t="s">
        <v>244</v>
      </c>
      <c r="J35" s="69"/>
      <c r="K35" s="69"/>
      <c r="L35" s="69"/>
      <c r="M35" s="702" t="s">
        <v>177</v>
      </c>
      <c r="N35" s="703" t="str">
        <f>IF($J17=$A$146,"(1+K1+K2)*(1+K3)","(1+AC + S + R + G)*(1 + DF)*(1+L)")</f>
        <v>(1+AC + S + R + G)*(1 + DF)*(1+L)</v>
      </c>
      <c r="O35" s="703"/>
      <c r="P35" s="703"/>
      <c r="Q35" s="704" t="s">
        <v>178</v>
      </c>
      <c r="R35" s="69"/>
      <c r="S35" s="69"/>
    </row>
    <row r="36" spans="1:19" ht="15.75" x14ac:dyDescent="0.2">
      <c r="A36" s="50" t="str">
        <f>A35</f>
        <v>Fornecimento de Materiais e Equipamentos (aquisição indireta - em conjunto com licitação de obras)</v>
      </c>
      <c r="B36" s="54" t="s">
        <v>148</v>
      </c>
      <c r="C36" s="50" t="str">
        <f t="shared" si="0"/>
        <v>Fornecimento de Materiais e Equipamentos (aquisição indireta - em conjunto com licitação de obras)-L</v>
      </c>
      <c r="E36" s="55">
        <v>3.5000000000000003E-2</v>
      </c>
      <c r="F36" s="55">
        <v>5.1100000000000007E-2</v>
      </c>
      <c r="G36" s="55">
        <v>6.2199999999999998E-2</v>
      </c>
      <c r="I36" s="7" t="s">
        <v>244</v>
      </c>
      <c r="J36" s="69"/>
      <c r="K36" s="69"/>
      <c r="L36" s="69"/>
      <c r="M36" s="702"/>
      <c r="N36" s="693" t="s">
        <v>179</v>
      </c>
      <c r="O36" s="693"/>
      <c r="P36" s="693"/>
      <c r="Q36" s="704"/>
      <c r="R36" s="69"/>
      <c r="S36" s="69"/>
    </row>
    <row r="37" spans="1:19" ht="15" customHeight="1" x14ac:dyDescent="0.2">
      <c r="A37" s="50" t="str">
        <f>A36</f>
        <v>Fornecimento de Materiais e Equipamentos (aquisição indireta - em conjunto com licitação de obras)</v>
      </c>
      <c r="B37" s="59" t="s">
        <v>149</v>
      </c>
      <c r="C37" s="50" t="str">
        <f t="shared" si="0"/>
        <v>Fornecimento de Materiais e Equipamentos (aquisição indireta - em conjunto com licitação de obras)-BDI PAD</v>
      </c>
      <c r="E37" s="55">
        <v>0.111</v>
      </c>
      <c r="F37" s="55">
        <v>0.14019999999999999</v>
      </c>
      <c r="G37" s="55">
        <v>0.16800000000000001</v>
      </c>
      <c r="I37" s="7" t="s">
        <v>244</v>
      </c>
      <c r="J37" s="73"/>
      <c r="K37" s="73"/>
      <c r="L37" s="73"/>
      <c r="M37" s="73"/>
      <c r="N37" s="73"/>
      <c r="O37" s="73"/>
      <c r="P37" s="73"/>
      <c r="Q37" s="73"/>
      <c r="R37" s="73"/>
      <c r="S37" s="73"/>
    </row>
    <row r="38" spans="1:19" ht="50.1" customHeight="1" x14ac:dyDescent="0.2">
      <c r="A38" s="50" t="s">
        <v>180</v>
      </c>
      <c r="B38" s="59" t="s">
        <v>141</v>
      </c>
      <c r="C38" s="50" t="str">
        <f t="shared" si="0"/>
        <v>Fornecimento de Materiais e Equipamentos (aquisição direta)-AC</v>
      </c>
      <c r="E38" s="55" t="s">
        <v>165</v>
      </c>
      <c r="F38" s="55" t="s">
        <v>165</v>
      </c>
      <c r="G38" s="55" t="s">
        <v>165</v>
      </c>
      <c r="I38" t="s">
        <v>244</v>
      </c>
      <c r="J38" s="68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38" s="687"/>
      <c r="L38" s="687"/>
      <c r="M38" s="687"/>
      <c r="N38" s="687"/>
      <c r="O38" s="687"/>
      <c r="P38" s="687"/>
      <c r="Q38" s="687"/>
      <c r="R38" s="687"/>
      <c r="S38" s="687"/>
    </row>
    <row r="39" spans="1:19" x14ac:dyDescent="0.2">
      <c r="A39" s="50" t="s">
        <v>180</v>
      </c>
      <c r="B39" s="59" t="s">
        <v>143</v>
      </c>
      <c r="C39" s="50" t="str">
        <f t="shared" si="0"/>
        <v>Fornecimento de Materiais e Equipamentos (aquisição direta)-SG</v>
      </c>
      <c r="E39" s="55" t="s">
        <v>165</v>
      </c>
      <c r="F39" s="55" t="s">
        <v>165</v>
      </c>
      <c r="G39" s="55" t="s">
        <v>165</v>
      </c>
      <c r="I39" t="s">
        <v>244</v>
      </c>
    </row>
    <row r="40" spans="1:19" ht="50.1" customHeight="1" x14ac:dyDescent="0.2">
      <c r="A40" s="50" t="s">
        <v>180</v>
      </c>
      <c r="B40" s="59" t="s">
        <v>144</v>
      </c>
      <c r="C40" s="50" t="str">
        <f t="shared" si="0"/>
        <v>Fornecimento de Materiais e Equipamentos (aquisição direta)-R</v>
      </c>
      <c r="E40" s="55" t="s">
        <v>165</v>
      </c>
      <c r="F40" s="55" t="s">
        <v>165</v>
      </c>
      <c r="G40" s="55" t="s">
        <v>165</v>
      </c>
      <c r="I40" t="s">
        <v>244</v>
      </c>
      <c r="J40" s="68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87"/>
      <c r="L40" s="687"/>
      <c r="M40" s="687"/>
      <c r="N40" s="687"/>
      <c r="O40" s="687"/>
      <c r="P40" s="687"/>
      <c r="Q40" s="687"/>
      <c r="R40" s="687"/>
      <c r="S40" s="687"/>
    </row>
    <row r="41" spans="1:19" x14ac:dyDescent="0.2">
      <c r="A41" s="50" t="s">
        <v>180</v>
      </c>
      <c r="B41" s="59" t="s">
        <v>147</v>
      </c>
      <c r="C41" s="50" t="str">
        <f t="shared" si="0"/>
        <v>Fornecimento de Materiais e Equipamentos (aquisição direta)-DF</v>
      </c>
      <c r="E41" s="55" t="s">
        <v>165</v>
      </c>
      <c r="F41" s="55" t="s">
        <v>165</v>
      </c>
      <c r="G41" s="55" t="s">
        <v>165</v>
      </c>
      <c r="I41" t="s">
        <v>244</v>
      </c>
    </row>
    <row r="42" spans="1:19" x14ac:dyDescent="0.2">
      <c r="A42" s="50" t="s">
        <v>180</v>
      </c>
      <c r="B42" s="59" t="s">
        <v>148</v>
      </c>
      <c r="C42" s="50" t="str">
        <f t="shared" si="0"/>
        <v>Fornecimento de Materiais e Equipamentos (aquisição direta)-L</v>
      </c>
      <c r="E42" s="55" t="s">
        <v>165</v>
      </c>
      <c r="F42" s="55" t="s">
        <v>165</v>
      </c>
      <c r="G42" s="55" t="s">
        <v>165</v>
      </c>
      <c r="I42" t="s">
        <v>244</v>
      </c>
      <c r="J42" s="50" t="s">
        <v>185</v>
      </c>
    </row>
    <row r="43" spans="1:19" ht="100.15" customHeight="1" x14ac:dyDescent="0.2">
      <c r="A43" s="50" t="s">
        <v>180</v>
      </c>
      <c r="B43" s="59" t="s">
        <v>149</v>
      </c>
      <c r="C43" s="50" t="str">
        <f t="shared" si="0"/>
        <v>Fornecimento de Materiais e Equipamentos (aquisição direta)-BDI PAD</v>
      </c>
      <c r="E43" s="55" t="s">
        <v>165</v>
      </c>
      <c r="F43" s="55" t="s">
        <v>165</v>
      </c>
      <c r="G43" s="55" t="s">
        <v>165</v>
      </c>
      <c r="I43" t="s">
        <v>244</v>
      </c>
      <c r="J43" s="688"/>
      <c r="K43" s="688"/>
      <c r="L43" s="688"/>
      <c r="M43" s="688"/>
      <c r="N43" s="688"/>
      <c r="O43" s="688"/>
      <c r="P43" s="688"/>
      <c r="Q43" s="688"/>
      <c r="R43" s="688"/>
      <c r="S43" s="688"/>
    </row>
    <row r="44" spans="1:19" x14ac:dyDescent="0.2">
      <c r="A44" s="50" t="s">
        <v>181</v>
      </c>
      <c r="B44" s="54" t="s">
        <v>182</v>
      </c>
      <c r="C44" s="50" t="str">
        <f t="shared" si="0"/>
        <v>Estudos e Projetos, Planos e Gerenciamento e outros correlatos-K1</v>
      </c>
      <c r="E44" s="55" t="s">
        <v>165</v>
      </c>
      <c r="F44" s="55" t="s">
        <v>165</v>
      </c>
      <c r="G44" s="55" t="s">
        <v>165</v>
      </c>
      <c r="I44" t="s">
        <v>244</v>
      </c>
    </row>
    <row r="45" spans="1:19" x14ac:dyDescent="0.2">
      <c r="A45" s="50" t="str">
        <f>A44</f>
        <v>Estudos e Projetos, Planos e Gerenciamento e outros correlatos</v>
      </c>
      <c r="B45" s="54" t="s">
        <v>183</v>
      </c>
      <c r="C45" s="50" t="str">
        <f t="shared" si="0"/>
        <v>Estudos e Projetos, Planos e Gerenciamento e outros correlatos-K2</v>
      </c>
      <c r="E45" s="55" t="s">
        <v>165</v>
      </c>
      <c r="F45" s="55">
        <v>0.2</v>
      </c>
      <c r="G45" s="55" t="s">
        <v>165</v>
      </c>
      <c r="I45" t="s">
        <v>244</v>
      </c>
      <c r="J45" s="689" t="str">
        <f>Import.Município</f>
        <v>LINDÓIA DO SUL - SC</v>
      </c>
      <c r="K45" s="689"/>
      <c r="L45" s="689"/>
      <c r="M45" s="689"/>
      <c r="P45" s="690">
        <f ca="1">DADOS!$C$25</f>
        <v>46189</v>
      </c>
      <c r="Q45" s="690"/>
      <c r="R45" s="690"/>
      <c r="S45" s="690"/>
    </row>
    <row r="46" spans="1:19" x14ac:dyDescent="0.2">
      <c r="A46" s="50" t="str">
        <f>A45</f>
        <v>Estudos e Projetos, Planos e Gerenciamento e outros correlatos</v>
      </c>
      <c r="B46" s="54"/>
      <c r="C46" s="50" t="str">
        <f t="shared" si="0"/>
        <v>Estudos e Projetos, Planos e Gerenciamento e outros correlatos-</v>
      </c>
      <c r="E46" s="55" t="s">
        <v>165</v>
      </c>
      <c r="F46" s="55" t="s">
        <v>165</v>
      </c>
      <c r="G46" s="55" t="s">
        <v>165</v>
      </c>
      <c r="I46" t="s">
        <v>244</v>
      </c>
      <c r="J46" s="691" t="s">
        <v>186</v>
      </c>
      <c r="K46" s="691"/>
      <c r="L46" s="691"/>
      <c r="M46" s="691"/>
      <c r="O46" s="74"/>
      <c r="P46" s="75" t="s">
        <v>187</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165</v>
      </c>
      <c r="F47" s="55" t="s">
        <v>165</v>
      </c>
      <c r="G47" s="55" t="s">
        <v>165</v>
      </c>
      <c r="I47" t="s">
        <v>244</v>
      </c>
    </row>
    <row r="48" spans="1:19" ht="15" x14ac:dyDescent="0.2">
      <c r="A48" s="50" t="str">
        <f>A47</f>
        <v>Estudos e Projetos, Planos e Gerenciamento e outros correlatos</v>
      </c>
      <c r="B48" s="54" t="s">
        <v>184</v>
      </c>
      <c r="C48" s="50" t="str">
        <f t="shared" si="0"/>
        <v>Estudos e Projetos, Planos e Gerenciamento e outros correlatos-K3</v>
      </c>
      <c r="E48" s="55" t="s">
        <v>165</v>
      </c>
      <c r="F48" s="55">
        <v>0.12</v>
      </c>
      <c r="G48" s="55" t="s">
        <v>165</v>
      </c>
      <c r="I48" t="s">
        <v>244</v>
      </c>
      <c r="J48" s="692"/>
      <c r="K48" s="692"/>
      <c r="L48" s="692"/>
      <c r="M48" s="692"/>
      <c r="N48" s="77"/>
    </row>
    <row r="49" spans="1:26" ht="12.75" customHeight="1" x14ac:dyDescent="0.2">
      <c r="A49" s="50" t="str">
        <f>A48</f>
        <v>Estudos e Projetos, Planos e Gerenciamento e outros correlatos</v>
      </c>
      <c r="B49" s="59" t="s">
        <v>149</v>
      </c>
      <c r="C49" s="50" t="str">
        <f t="shared" si="0"/>
        <v>Estudos e Projetos, Planos e Gerenciamento e outros correlatos-BDI PAD</v>
      </c>
      <c r="E49" s="55" t="s">
        <v>165</v>
      </c>
      <c r="F49" s="55" t="s">
        <v>165</v>
      </c>
      <c r="G49" s="55" t="s">
        <v>165</v>
      </c>
      <c r="I49" t="s">
        <v>244</v>
      </c>
      <c r="J49" s="686" t="s">
        <v>188</v>
      </c>
      <c r="K49" s="686"/>
      <c r="L49" s="686"/>
      <c r="M49" s="686"/>
    </row>
    <row r="50" spans="1:26" ht="14.25" x14ac:dyDescent="0.2">
      <c r="B50" s="59"/>
      <c r="E50" s="55"/>
      <c r="F50" s="55"/>
      <c r="G50" s="55"/>
      <c r="I50" t="s">
        <v>244</v>
      </c>
      <c r="J50" s="78" t="s">
        <v>108</v>
      </c>
      <c r="K50" s="79" t="str">
        <f t="array" ref="K50:K52">Import.RespOrçamento</f>
        <v>RAFAELA B. BOSCHETTI</v>
      </c>
      <c r="L50" s="80"/>
      <c r="M50" s="80"/>
      <c r="N50" s="77"/>
    </row>
    <row r="51" spans="1:26" ht="14.25" x14ac:dyDescent="0.2">
      <c r="A51"/>
      <c r="B51"/>
      <c r="C51"/>
      <c r="D51"/>
      <c r="E51"/>
      <c r="F51"/>
      <c r="G51"/>
      <c r="I51" t="s">
        <v>244</v>
      </c>
      <c r="J51" s="78" t="s">
        <v>109</v>
      </c>
      <c r="K51" s="79" t="str">
        <v>A295176-2</v>
      </c>
      <c r="L51" s="80"/>
      <c r="M51" s="80"/>
      <c r="N51" s="77"/>
    </row>
    <row r="52" spans="1:26" ht="14.25" x14ac:dyDescent="0.2">
      <c r="A52"/>
      <c r="B52"/>
      <c r="C52"/>
      <c r="D52"/>
      <c r="E52"/>
      <c r="F52"/>
      <c r="G52"/>
      <c r="I52" t="s">
        <v>244</v>
      </c>
      <c r="J52" s="78" t="s">
        <v>110</v>
      </c>
      <c r="K52" s="79" t="str">
        <v>16357172</v>
      </c>
      <c r="L52" s="80"/>
      <c r="M52" s="80"/>
      <c r="N52" s="77"/>
    </row>
    <row r="53" spans="1:26" ht="14.25" x14ac:dyDescent="0.2">
      <c r="A53"/>
      <c r="B53"/>
      <c r="C53"/>
      <c r="D53"/>
      <c r="E53"/>
      <c r="F53"/>
      <c r="G53"/>
      <c r="I53" t="s">
        <v>244</v>
      </c>
      <c r="J53" s="78"/>
      <c r="K53" s="81"/>
      <c r="L53" s="80"/>
      <c r="M53" s="80"/>
      <c r="N53" s="77"/>
    </row>
    <row r="54" spans="1:26" ht="15.75" x14ac:dyDescent="0.25">
      <c r="A54"/>
      <c r="B54"/>
      <c r="C54"/>
      <c r="D54"/>
      <c r="E54"/>
      <c r="F54"/>
      <c r="G54"/>
      <c r="I54" t="str">
        <f ca="1">IF($S$69=0,"","F")</f>
        <v>F</v>
      </c>
      <c r="J54" s="709" t="s">
        <v>189</v>
      </c>
      <c r="K54" s="709"/>
      <c r="L54" s="709"/>
      <c r="M54" s="709"/>
      <c r="N54" s="709"/>
      <c r="O54" s="709"/>
      <c r="P54" s="709"/>
      <c r="Q54" s="709"/>
      <c r="R54" s="709"/>
      <c r="S54" s="709"/>
      <c r="U54" s="564" t="str">
        <f ca="1">IF(COUNTIF(ORÇAMENTO!$V$15:$V$131,BDI_2.Título)=0,"",IF(OR(Import.BDI.Tipo2="(SELECIONAR)",Import.BDI.Tipo2="",U57&lt;&gt;"",S61=0,S62=0,S63=0,S64=0,S65=0,S66=0),"Falta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07" t="s">
        <v>156</v>
      </c>
      <c r="K56" s="707"/>
      <c r="L56" s="707"/>
      <c r="M56" s="707"/>
      <c r="N56" s="707"/>
      <c r="O56" s="707"/>
      <c r="P56" s="707"/>
      <c r="Q56" s="707"/>
      <c r="R56" s="707"/>
      <c r="S56" s="707"/>
    </row>
    <row r="57" spans="1:26" ht="15" x14ac:dyDescent="0.25">
      <c r="A57"/>
      <c r="B57"/>
      <c r="C57"/>
      <c r="D57"/>
      <c r="E57"/>
      <c r="F57"/>
      <c r="G57"/>
      <c r="I57" t="str">
        <f t="shared" ca="1" si="3"/>
        <v>F</v>
      </c>
      <c r="J57" s="708" t="s">
        <v>140</v>
      </c>
      <c r="K57" s="708"/>
      <c r="L57" s="708"/>
      <c r="M57" s="708"/>
      <c r="N57" s="708"/>
      <c r="O57" s="708"/>
      <c r="P57" s="708"/>
      <c r="Q57" s="708"/>
      <c r="R57" s="708"/>
      <c r="S57" s="708"/>
      <c r="T57" s="617" t="str">
        <f ca="1">IF(U57="","","◄")</f>
        <v/>
      </c>
      <c r="U57" s="616" t="str">
        <f ca="1">IF(AND(OR(S69&gt;0,COUNTIF(ORÇAMENTO!$V$15:$V$131,BDI_2.Título)&gt;0),OR(Import.BDI.Tipo2="(SELECIONAR)",Import.BDI.Tipo2="")),"Selecione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706" t="s">
        <v>157</v>
      </c>
      <c r="K59" s="706"/>
      <c r="L59" s="706"/>
      <c r="M59" s="706"/>
      <c r="N59" s="706"/>
      <c r="O59" s="706"/>
      <c r="P59" s="706"/>
      <c r="Q59" s="706"/>
      <c r="R59" s="706" t="s">
        <v>158</v>
      </c>
      <c r="S59" s="698" t="s">
        <v>159</v>
      </c>
      <c r="U59" s="698" t="s">
        <v>160</v>
      </c>
      <c r="V59" s="698"/>
      <c r="W59" s="698"/>
      <c r="X59" s="705" t="s">
        <v>161</v>
      </c>
      <c r="Y59" s="705" t="s">
        <v>162</v>
      </c>
      <c r="Z59" s="705" t="s">
        <v>163</v>
      </c>
    </row>
    <row r="60" spans="1:26" ht="12.75" customHeight="1" x14ac:dyDescent="0.2">
      <c r="A60"/>
      <c r="B60"/>
      <c r="C60"/>
      <c r="D60"/>
      <c r="E60"/>
      <c r="F60"/>
      <c r="G60"/>
      <c r="I60" t="str">
        <f t="shared" ca="1" si="3"/>
        <v>F</v>
      </c>
      <c r="J60" s="706"/>
      <c r="K60" s="706"/>
      <c r="L60" s="706"/>
      <c r="M60" s="706"/>
      <c r="N60" s="706"/>
      <c r="O60" s="706"/>
      <c r="P60" s="706"/>
      <c r="Q60" s="706"/>
      <c r="R60" s="706"/>
      <c r="S60" s="698"/>
      <c r="U60" s="698"/>
      <c r="V60" s="698"/>
      <c r="W60" s="698"/>
      <c r="X60" s="705"/>
      <c r="Y60" s="705"/>
      <c r="Z60" s="705"/>
    </row>
    <row r="61" spans="1:26" ht="15" customHeight="1" x14ac:dyDescent="0.2">
      <c r="A61"/>
      <c r="B61"/>
      <c r="C61"/>
      <c r="D61"/>
      <c r="E61"/>
      <c r="F61"/>
      <c r="G61"/>
      <c r="I61" t="str">
        <f t="shared" ca="1" si="3"/>
        <v>F</v>
      </c>
      <c r="J61" s="694" t="str">
        <f>IF($J$17=$A$146,"Encargos Sociais incidentes sobre a mão de obra","Administração Central")</f>
        <v>Administração Central</v>
      </c>
      <c r="K61" s="694"/>
      <c r="L61" s="694"/>
      <c r="M61" s="694"/>
      <c r="N61" s="694"/>
      <c r="O61" s="694"/>
      <c r="P61" s="694"/>
      <c r="Q61" s="694"/>
      <c r="R61" s="61" t="str">
        <f>IF($J57=$A$146,"K1","AC")</f>
        <v>AC</v>
      </c>
      <c r="S61" s="62">
        <v>0.04</v>
      </c>
      <c r="T61" s="629" t="str">
        <f ca="1">IF(AND($U$14&lt;&gt;"",S61=""),"◄","")</f>
        <v/>
      </c>
      <c r="U61" s="695" t="str">
        <f>IFERROR(IF(AND(S61&gt;=X61,S61&lt;=Z61),"OK","FORA DO INTERVALO"),"-")</f>
        <v>OK</v>
      </c>
      <c r="V61" s="696"/>
      <c r="W61" s="697"/>
      <c r="X61" s="63">
        <f>VLOOKUP(CONCATENATE(J57,"-",R61),$C$2:$G$136,3,FALSE)</f>
        <v>0.03</v>
      </c>
      <c r="Y61" s="63">
        <f>VLOOKUP(CONCATENATE(J57,"-",R61),$C$2:$G$136,4,FALSE)</f>
        <v>0.04</v>
      </c>
      <c r="Z61" s="63">
        <f>VLOOKUP(CONCATENATE(J57,"-",R61),$C$2:$G$136,5,FALSE)</f>
        <v>5.5E-2</v>
      </c>
    </row>
    <row r="62" spans="1:26" ht="15" customHeight="1" x14ac:dyDescent="0.2">
      <c r="A62"/>
      <c r="B62"/>
      <c r="C62"/>
      <c r="D62"/>
      <c r="E62"/>
      <c r="F62"/>
      <c r="G62"/>
      <c r="I62" t="str">
        <f t="shared" ca="1" si="3"/>
        <v>F</v>
      </c>
      <c r="J62" s="694" t="str">
        <f>IF($J$17=$A$146,"Administração Central da empresa ou consultoria - overhead","Seguro e Garantia")</f>
        <v>Seguro e Garantia</v>
      </c>
      <c r="K62" s="694"/>
      <c r="L62" s="694"/>
      <c r="M62" s="694"/>
      <c r="N62" s="694"/>
      <c r="O62" s="694"/>
      <c r="P62" s="694"/>
      <c r="Q62" s="694"/>
      <c r="R62" s="61" t="str">
        <f>IF($J57=$A$146,"K2","SG")</f>
        <v>SG</v>
      </c>
      <c r="S62" s="62">
        <v>0.01</v>
      </c>
      <c r="T62" s="629" t="str">
        <f t="shared" ref="T62:T66" ca="1" si="4">IF(AND($U$14&lt;&gt;"",S62=""),"◄","")</f>
        <v/>
      </c>
      <c r="U62" s="695" t="str">
        <f t="shared" ref="U62:U67" si="5">IFERROR(IF(AND(S62&gt;=X62,S62&lt;=Z62),"OK","FORA DO INTERVALO"),"-")</f>
        <v>OK</v>
      </c>
      <c r="V62" s="696"/>
      <c r="W62" s="697"/>
      <c r="X62" s="63">
        <f>VLOOKUP(CONCATENATE(J57,"-",R62),$C$2:$G$136,3,FALSE)</f>
        <v>8.0000000000000002E-3</v>
      </c>
      <c r="Y62" s="63">
        <f>VLOOKUP(CONCATENATE(J57,"-",R62),$C$2:$G$136,4,FALSE)</f>
        <v>8.0000000000000002E-3</v>
      </c>
      <c r="Z62" s="63">
        <f>VLOOKUP(CONCATENATE(J57,"-",R62),$C$2:$G$136,5,FALSE)</f>
        <v>0.01</v>
      </c>
    </row>
    <row r="63" spans="1:26" ht="15" customHeight="1" x14ac:dyDescent="0.2">
      <c r="A63"/>
      <c r="B63"/>
      <c r="C63"/>
      <c r="D63"/>
      <c r="E63"/>
      <c r="F63"/>
      <c r="G63"/>
      <c r="I63" t="str">
        <f t="shared" ca="1" si="3"/>
        <v>F</v>
      </c>
      <c r="J63" s="694" t="str">
        <f>IF($J$17=$A$146,"","Risco")</f>
        <v>Risco</v>
      </c>
      <c r="K63" s="694"/>
      <c r="L63" s="694"/>
      <c r="M63" s="694"/>
      <c r="N63" s="694"/>
      <c r="O63" s="694"/>
      <c r="P63" s="694"/>
      <c r="Q63" s="694"/>
      <c r="R63" s="61" t="str">
        <f>IF($J57=$A$146,"","R")</f>
        <v>R</v>
      </c>
      <c r="S63" s="62">
        <v>1.2E-2</v>
      </c>
      <c r="T63" s="629" t="str">
        <f t="shared" ca="1" si="4"/>
        <v/>
      </c>
      <c r="U63" s="695" t="str">
        <f t="shared" si="5"/>
        <v>OK</v>
      </c>
      <c r="V63" s="696"/>
      <c r="W63" s="697"/>
      <c r="X63" s="63">
        <f>VLOOKUP(CONCATENATE(J57,"-",R63),$C$2:$G$136,3,FALSE)</f>
        <v>9.7000000000000003E-3</v>
      </c>
      <c r="Y63" s="63">
        <f>VLOOKUP(CONCATENATE(J57,"-",R63),$C$2:$G$136,4,FALSE)</f>
        <v>1.2699999999999999E-2</v>
      </c>
      <c r="Z63" s="63">
        <f>VLOOKUP(CONCATENATE(J57,"-",R63),$C$2:$G$136,5,FALSE)</f>
        <v>1.2699999999999999E-2</v>
      </c>
    </row>
    <row r="64" spans="1:26" ht="15" customHeight="1" x14ac:dyDescent="0.2">
      <c r="A64"/>
      <c r="B64"/>
      <c r="C64"/>
      <c r="D64"/>
      <c r="E64"/>
      <c r="F64"/>
      <c r="G64"/>
      <c r="I64" t="str">
        <f t="shared" ca="1" si="3"/>
        <v>F</v>
      </c>
      <c r="J64" s="694" t="str">
        <f>IF($J$17=$A$146,"","Despesas Financeiras")</f>
        <v>Despesas Financeiras</v>
      </c>
      <c r="K64" s="694"/>
      <c r="L64" s="694"/>
      <c r="M64" s="694"/>
      <c r="N64" s="694"/>
      <c r="O64" s="694"/>
      <c r="P64" s="694"/>
      <c r="Q64" s="694"/>
      <c r="R64" s="61" t="str">
        <f>IF($J57=$A$146,"","DF")</f>
        <v>DF</v>
      </c>
      <c r="S64" s="62">
        <v>9.4999999999999998E-3</v>
      </c>
      <c r="T64" s="629" t="str">
        <f t="shared" ca="1" si="4"/>
        <v/>
      </c>
      <c r="U64" s="695" t="str">
        <f t="shared" si="5"/>
        <v>OK</v>
      </c>
      <c r="V64" s="696"/>
      <c r="W64" s="697"/>
      <c r="X64" s="63">
        <f>VLOOKUP(CONCATENATE(J57,"-",R64),$C$2:$G$136,3,FALSE)</f>
        <v>5.8999999999999999E-3</v>
      </c>
      <c r="Y64" s="63">
        <f>VLOOKUP(CONCATENATE(J57,"-",R64),$C$2:$G$136,4,FALSE)</f>
        <v>1.23E-2</v>
      </c>
      <c r="Z64" s="63">
        <f>VLOOKUP(CONCATENATE(J57,"-",R64),$C$2:$G$136,5,FALSE)</f>
        <v>1.3899999999999999E-2</v>
      </c>
    </row>
    <row r="65" spans="1:26" ht="15" customHeight="1" x14ac:dyDescent="0.2">
      <c r="A65"/>
      <c r="B65"/>
      <c r="C65"/>
      <c r="D65"/>
      <c r="E65"/>
      <c r="F65"/>
      <c r="G65"/>
      <c r="I65" t="str">
        <f t="shared" ca="1" si="3"/>
        <v>F</v>
      </c>
      <c r="J65" s="694" t="str">
        <f>IF($J$17=$A$146,"Margem bruta da empresa de consultoria","Lucro")</f>
        <v>Lucro</v>
      </c>
      <c r="K65" s="694"/>
      <c r="L65" s="694"/>
      <c r="M65" s="694"/>
      <c r="N65" s="694"/>
      <c r="O65" s="694"/>
      <c r="P65" s="694"/>
      <c r="Q65" s="694"/>
      <c r="R65" s="61" t="str">
        <f>IF($J57=$A$146,"K3","L")</f>
        <v>L</v>
      </c>
      <c r="S65" s="62">
        <v>7.4999999999999997E-2</v>
      </c>
      <c r="T65" s="629" t="str">
        <f t="shared" ca="1" si="4"/>
        <v/>
      </c>
      <c r="U65" s="695" t="str">
        <f t="shared" si="5"/>
        <v>OK</v>
      </c>
      <c r="V65" s="696"/>
      <c r="W65" s="697"/>
      <c r="X65" s="63">
        <f>VLOOKUP(CONCATENATE(J57,"-",R65),$C$2:$G$136,3,FALSE)</f>
        <v>6.1600000000000002E-2</v>
      </c>
      <c r="Y65" s="63">
        <f>VLOOKUP(CONCATENATE(J57,"-",R65),$C$2:$G$136,4,FALSE)</f>
        <v>7.400000000000001E-2</v>
      </c>
      <c r="Z65" s="63">
        <f>VLOOKUP(CONCATENATE(J57,"-",R65),$C$2:$G$136,5,FALSE)</f>
        <v>8.9600000000000013E-2</v>
      </c>
    </row>
    <row r="66" spans="1:26" ht="15" customHeight="1" x14ac:dyDescent="0.2">
      <c r="A66"/>
      <c r="B66"/>
      <c r="C66"/>
      <c r="D66"/>
      <c r="E66"/>
      <c r="F66"/>
      <c r="G66"/>
      <c r="I66" t="str">
        <f t="shared" ca="1" si="3"/>
        <v>F</v>
      </c>
      <c r="J66" s="694" t="s">
        <v>167</v>
      </c>
      <c r="K66" s="694"/>
      <c r="L66" s="694"/>
      <c r="M66" s="694"/>
      <c r="N66" s="694"/>
      <c r="O66" s="694"/>
      <c r="P66" s="694"/>
      <c r="Q66" s="694"/>
      <c r="R66" s="61" t="s">
        <v>168</v>
      </c>
      <c r="S66" s="62">
        <v>3.6499999999999998E-2</v>
      </c>
      <c r="T66" s="629" t="str">
        <f t="shared" ca="1" si="4"/>
        <v/>
      </c>
      <c r="U66" s="695" t="str">
        <f t="shared" si="5"/>
        <v>OK</v>
      </c>
      <c r="V66" s="696"/>
      <c r="W66" s="697"/>
      <c r="X66" s="63">
        <v>3.6499999999999998E-2</v>
      </c>
      <c r="Y66" s="63">
        <v>3.6499999999999998E-2</v>
      </c>
      <c r="Z66" s="63">
        <v>3.6499999999999998E-2</v>
      </c>
    </row>
    <row r="67" spans="1:26" ht="15" customHeight="1" x14ac:dyDescent="0.2">
      <c r="A67"/>
      <c r="B67"/>
      <c r="C67"/>
      <c r="D67"/>
      <c r="E67"/>
      <c r="F67"/>
      <c r="G67"/>
      <c r="I67" t="str">
        <f t="shared" ca="1" si="3"/>
        <v>F</v>
      </c>
      <c r="J67" s="694" t="s">
        <v>169</v>
      </c>
      <c r="K67" s="694"/>
      <c r="L67" s="694"/>
      <c r="M67" s="694"/>
      <c r="N67" s="694"/>
      <c r="O67" s="694"/>
      <c r="P67" s="694"/>
      <c r="Q67" s="694"/>
      <c r="R67" s="61" t="s">
        <v>170</v>
      </c>
      <c r="S67" s="63">
        <f ca="1">IF(AND($J57&lt;&gt;$A$145,COUNTA(OFFSET(S60,1,0,6))&gt;0),$R$11*$R$10,0)</f>
        <v>8.0000000000000002E-3</v>
      </c>
      <c r="U67" s="695" t="str">
        <f t="shared" ca="1" si="5"/>
        <v>OK</v>
      </c>
      <c r="V67" s="696"/>
      <c r="W67" s="697"/>
      <c r="X67" s="63">
        <v>0</v>
      </c>
      <c r="Y67" s="63">
        <v>2.5000000000000001E-2</v>
      </c>
      <c r="Z67" s="63">
        <v>0.05</v>
      </c>
    </row>
    <row r="68" spans="1:26" ht="15" customHeight="1" x14ac:dyDescent="0.2">
      <c r="A68"/>
      <c r="B68"/>
      <c r="C68"/>
      <c r="D68"/>
      <c r="E68"/>
      <c r="F68"/>
      <c r="G68"/>
      <c r="I68" t="str">
        <f t="shared" ca="1" si="3"/>
        <v>F</v>
      </c>
      <c r="J68" s="694" t="s">
        <v>427</v>
      </c>
      <c r="K68" s="694"/>
      <c r="L68" s="694"/>
      <c r="M68" s="694"/>
      <c r="N68" s="694"/>
      <c r="O68" s="694"/>
      <c r="P68" s="694"/>
      <c r="Q68" s="694"/>
      <c r="R68" s="61" t="s">
        <v>171</v>
      </c>
      <c r="S68" s="63" cm="1">
        <f t="array" aca="1" ref="S68" ca="1">IF(BDI.Opcao&lt;&gt;"Desonerado",0,IF(AND($J57&lt;&gt;$A$145,COUNTA(OFFSET(S60,1,0,6))&gt;0),IF(YEAR(Import.DataBase)&lt;2025,4.5%,IF(YEAR(Import.DataBase)=2025,3.6%,IF(YEAR(Import.DataBase)=2026,2.7%,IF(YEAR(Import.DataBase)=2027,1.8%,0%)))),0%))</f>
        <v>2.7000000000000003E-2</v>
      </c>
      <c r="U68" s="695" t="s">
        <v>912</v>
      </c>
      <c r="V68" s="696"/>
      <c r="W68" s="697"/>
      <c r="X68" s="64">
        <f ca="1">$S68</f>
        <v>2.7000000000000003E-2</v>
      </c>
      <c r="Y68" s="64">
        <f ca="1">$S68</f>
        <v>2.7000000000000003E-2</v>
      </c>
      <c r="Z68" s="64">
        <f ca="1">$S68</f>
        <v>2.7000000000000003E-2</v>
      </c>
    </row>
    <row r="69" spans="1:26" ht="15" customHeight="1" x14ac:dyDescent="0.2">
      <c r="A69"/>
      <c r="B69"/>
      <c r="C69"/>
      <c r="D69"/>
      <c r="E69"/>
      <c r="F69"/>
      <c r="G69"/>
      <c r="I69" t="str">
        <f t="shared" ca="1" si="3"/>
        <v>F</v>
      </c>
      <c r="J69" s="694" t="s">
        <v>172</v>
      </c>
      <c r="K69" s="694"/>
      <c r="L69" s="694"/>
      <c r="M69" s="694"/>
      <c r="N69" s="694"/>
      <c r="O69" s="694"/>
      <c r="P69" s="694"/>
      <c r="Q69" s="694"/>
      <c r="R69" s="65" t="s">
        <v>149</v>
      </c>
      <c r="S69" s="63">
        <f ca="1">IF($J57=$A$145,0,ROUND((((1+S61+S62+S63)*(1+S64)*(1+S65)/(1-(S66+S67)))-1),4))</f>
        <v>0.20619999999999999</v>
      </c>
      <c r="U69" s="698" t="str">
        <f ca="1">IFERROR(IF(OR($J$17=$A$146,$J$17=$A$145,AND(S69&gt;=X69,S69&lt;=Z69)),"OK","FORA DO INTERVALO"),IF(S69=0,"OK","Selecione o Tipo de obra"))</f>
        <v>OK</v>
      </c>
      <c r="V69" s="698"/>
      <c r="W69" s="698"/>
      <c r="X69" s="63">
        <f>IF($J57=$A$145,0,VLOOKUP(CONCATENATE($J57,"-",$R69),$C$2:$G$136,3,FALSE))</f>
        <v>0.2034</v>
      </c>
      <c r="Y69" s="63">
        <f>IF($J57=$A$145,0,VLOOKUP(CONCATENATE($J57,"-",$R69),$C$2:$G$136,4,FALSE))</f>
        <v>0.22120000000000001</v>
      </c>
      <c r="Z69" s="63">
        <f>IF($J57=$A$145,0,VLOOKUP(CONCATENATE($J57,"-",$R69),$C$2:$G$136,5,FALSE))</f>
        <v>0.25</v>
      </c>
    </row>
    <row r="70" spans="1:26" ht="15" customHeight="1" x14ac:dyDescent="0.2">
      <c r="A70"/>
      <c r="B70"/>
      <c r="C70"/>
      <c r="D70"/>
      <c r="E70"/>
      <c r="F70"/>
      <c r="G70"/>
      <c r="I70" t="str">
        <f t="shared" ca="1" si="3"/>
        <v>F</v>
      </c>
      <c r="J70" s="699" t="s">
        <v>173</v>
      </c>
      <c r="K70" s="699"/>
      <c r="L70" s="699"/>
      <c r="M70" s="699"/>
      <c r="N70" s="699"/>
      <c r="O70" s="699"/>
      <c r="P70" s="699"/>
      <c r="Q70" s="699"/>
      <c r="R70" s="66" t="s">
        <v>174</v>
      </c>
      <c r="S70" s="67">
        <f ca="1">IF($J57=$A$145,0,ROUND((((1+S61+S62+S63)*(1+S64)*(1+S65)/(1-(S66+S67+S68)))-1),4))</f>
        <v>0.2412</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8" t="str">
        <f ca="1">IF(U69&lt;&gt;"ok","X","")</f>
        <v/>
      </c>
      <c r="K72" s="700" t="str">
        <f ca="1">IF(U69&lt;&gt;"ok","Anexo: Relatório Técnico Circunstanciado justificando a adoção do percentual de cada parcela do BDI.","")</f>
        <v/>
      </c>
      <c r="L72" s="700"/>
      <c r="M72" s="700"/>
      <c r="N72" s="700"/>
      <c r="O72" s="700"/>
      <c r="P72" s="700"/>
      <c r="Q72" s="700"/>
      <c r="R72" s="700"/>
      <c r="S72" s="700"/>
    </row>
    <row r="73" spans="1:26" x14ac:dyDescent="0.2">
      <c r="A73"/>
      <c r="B73"/>
      <c r="C73"/>
      <c r="D73"/>
      <c r="E73"/>
      <c r="F73"/>
      <c r="G73"/>
      <c r="I73" t="str">
        <f t="shared" ca="1" si="3"/>
        <v>F</v>
      </c>
    </row>
    <row r="74" spans="1:26" x14ac:dyDescent="0.2">
      <c r="A74"/>
      <c r="B74"/>
      <c r="C74"/>
      <c r="D74"/>
      <c r="E74"/>
      <c r="F74"/>
      <c r="G74"/>
      <c r="I74" t="str">
        <f t="shared" ca="1" si="3"/>
        <v>F</v>
      </c>
      <c r="J74" s="701" t="s">
        <v>176</v>
      </c>
      <c r="K74" s="701"/>
      <c r="L74" s="701"/>
      <c r="M74" s="701"/>
      <c r="N74" s="701"/>
      <c r="O74" s="701"/>
      <c r="P74" s="701"/>
      <c r="Q74" s="701"/>
      <c r="R74" s="701"/>
      <c r="S74" s="701"/>
    </row>
    <row r="75" spans="1:26" ht="15.75" x14ac:dyDescent="0.25">
      <c r="A75"/>
      <c r="B75"/>
      <c r="C75"/>
      <c r="D75"/>
      <c r="E75"/>
      <c r="F75"/>
      <c r="G75"/>
      <c r="I75" t="str">
        <f t="shared" ca="1" si="3"/>
        <v>F</v>
      </c>
      <c r="J75" s="69"/>
      <c r="K75" s="69"/>
      <c r="L75" s="69"/>
      <c r="M75" s="702" t="s">
        <v>177</v>
      </c>
      <c r="N75" s="703" t="str">
        <f>IF($J57=$A$146,"(1+K1+K2)*(1+K3)","(1+AC + S + R + G)*(1 + DF)*(1+L)")</f>
        <v>(1+AC + S + R + G)*(1 + DF)*(1+L)</v>
      </c>
      <c r="O75" s="703"/>
      <c r="P75" s="703"/>
      <c r="Q75" s="704" t="s">
        <v>178</v>
      </c>
      <c r="R75" s="69"/>
      <c r="S75" s="69"/>
    </row>
    <row r="76" spans="1:26" ht="15.75" x14ac:dyDescent="0.2">
      <c r="A76"/>
      <c r="B76"/>
      <c r="C76"/>
      <c r="D76"/>
      <c r="E76"/>
      <c r="F76"/>
      <c r="G76"/>
      <c r="I76" t="str">
        <f t="shared" ca="1" si="3"/>
        <v>F</v>
      </c>
      <c r="J76" s="69"/>
      <c r="K76" s="69"/>
      <c r="L76" s="69"/>
      <c r="M76" s="702"/>
      <c r="N76" s="693" t="s">
        <v>179</v>
      </c>
      <c r="O76" s="693"/>
      <c r="P76" s="693"/>
      <c r="Q76" s="704"/>
      <c r="R76" s="69"/>
      <c r="S76" s="69"/>
    </row>
    <row r="77" spans="1:26" ht="15" customHeight="1" x14ac:dyDescent="0.2">
      <c r="A77"/>
      <c r="B77"/>
      <c r="C77"/>
      <c r="D77"/>
      <c r="E77"/>
      <c r="F77"/>
      <c r="G77"/>
      <c r="I77" t="str">
        <f t="shared" ca="1" si="3"/>
        <v>F</v>
      </c>
      <c r="J77" s="69"/>
      <c r="K77" s="69"/>
      <c r="L77" s="69"/>
      <c r="M77" s="70"/>
      <c r="N77" s="72"/>
      <c r="O77" s="72"/>
      <c r="P77" s="72"/>
      <c r="Q77" s="71"/>
      <c r="R77" s="69"/>
      <c r="S77" s="69"/>
    </row>
    <row r="78" spans="1:26" ht="50.1" customHeight="1" x14ac:dyDescent="0.2">
      <c r="A78"/>
      <c r="B78"/>
      <c r="C78"/>
      <c r="D78"/>
      <c r="E78"/>
      <c r="F78"/>
      <c r="G78"/>
      <c r="I78" t="str">
        <f t="shared" ca="1" si="3"/>
        <v>F</v>
      </c>
      <c r="J78" s="68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78" s="687"/>
      <c r="L78" s="687"/>
      <c r="M78" s="687"/>
      <c r="N78" s="687"/>
      <c r="O78" s="687"/>
      <c r="P78" s="687"/>
      <c r="Q78" s="687"/>
      <c r="R78" s="687"/>
      <c r="S78" s="687"/>
    </row>
    <row r="79" spans="1:26" x14ac:dyDescent="0.2">
      <c r="A79"/>
      <c r="B79"/>
      <c r="C79"/>
      <c r="D79"/>
      <c r="E79"/>
      <c r="F79"/>
      <c r="G79"/>
      <c r="I79" t="str">
        <f t="shared" ca="1" si="3"/>
        <v>F</v>
      </c>
    </row>
    <row r="80" spans="1:26" ht="50.1" customHeight="1" x14ac:dyDescent="0.2">
      <c r="A80"/>
      <c r="B80"/>
      <c r="C80"/>
      <c r="D80"/>
      <c r="E80"/>
      <c r="F80"/>
      <c r="G80"/>
      <c r="I80" t="str">
        <f t="shared" ca="1" si="3"/>
        <v>F</v>
      </c>
      <c r="J80" s="68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87"/>
      <c r="L80" s="687"/>
      <c r="M80" s="687"/>
      <c r="N80" s="687"/>
      <c r="O80" s="687"/>
      <c r="P80" s="687"/>
      <c r="Q80" s="687"/>
      <c r="R80" s="687"/>
      <c r="S80" s="687"/>
    </row>
    <row r="81" spans="1:21" x14ac:dyDescent="0.2">
      <c r="A81"/>
      <c r="B81"/>
      <c r="C81"/>
      <c r="D81"/>
      <c r="E81"/>
      <c r="F81"/>
      <c r="G81"/>
      <c r="I81" t="str">
        <f t="shared" ca="1" si="3"/>
        <v>F</v>
      </c>
    </row>
    <row r="82" spans="1:21" x14ac:dyDescent="0.2">
      <c r="A82"/>
      <c r="B82"/>
      <c r="C82"/>
      <c r="D82"/>
      <c r="E82"/>
      <c r="F82"/>
      <c r="G82"/>
      <c r="I82" t="str">
        <f t="shared" ca="1" si="3"/>
        <v>F</v>
      </c>
      <c r="J82" s="50" t="s">
        <v>185</v>
      </c>
    </row>
    <row r="83" spans="1:21" ht="100.15" customHeight="1" x14ac:dyDescent="0.2">
      <c r="A83"/>
      <c r="B83"/>
      <c r="C83"/>
      <c r="D83"/>
      <c r="E83"/>
      <c r="F83"/>
      <c r="G83"/>
      <c r="I83" t="str">
        <f t="shared" ca="1" si="3"/>
        <v>F</v>
      </c>
      <c r="J83" s="688"/>
      <c r="K83" s="688"/>
      <c r="L83" s="688"/>
      <c r="M83" s="688"/>
      <c r="N83" s="688"/>
      <c r="O83" s="688"/>
      <c r="P83" s="688"/>
      <c r="Q83" s="688"/>
      <c r="R83" s="688"/>
      <c r="S83" s="688"/>
    </row>
    <row r="84" spans="1:21" x14ac:dyDescent="0.2">
      <c r="A84"/>
      <c r="B84"/>
      <c r="C84"/>
      <c r="D84"/>
      <c r="E84"/>
      <c r="F84"/>
      <c r="G84"/>
      <c r="I84" t="str">
        <f t="shared" ca="1" si="3"/>
        <v>F</v>
      </c>
    </row>
    <row r="85" spans="1:21" x14ac:dyDescent="0.2">
      <c r="A85"/>
      <c r="B85"/>
      <c r="C85"/>
      <c r="D85"/>
      <c r="E85"/>
      <c r="F85"/>
      <c r="G85"/>
      <c r="I85" t="str">
        <f t="shared" ca="1" si="3"/>
        <v>F</v>
      </c>
      <c r="J85" s="689" t="str">
        <f>Import.Município</f>
        <v>LINDÓIA DO SUL - SC</v>
      </c>
      <c r="K85" s="689"/>
      <c r="L85" s="689"/>
      <c r="M85" s="689"/>
      <c r="P85" s="690">
        <f ca="1">DADOS!$C$25</f>
        <v>46189</v>
      </c>
      <c r="Q85" s="690"/>
      <c r="R85" s="690"/>
      <c r="S85" s="690"/>
    </row>
    <row r="86" spans="1:21" x14ac:dyDescent="0.2">
      <c r="A86"/>
      <c r="B86"/>
      <c r="C86"/>
      <c r="D86"/>
      <c r="E86"/>
      <c r="F86"/>
      <c r="G86"/>
      <c r="I86" t="str">
        <f t="shared" ca="1" si="3"/>
        <v>F</v>
      </c>
      <c r="J86" s="691" t="s">
        <v>186</v>
      </c>
      <c r="K86" s="691"/>
      <c r="L86" s="691"/>
      <c r="M86" s="691"/>
      <c r="O86" s="74"/>
      <c r="P86" s="75" t="s">
        <v>187</v>
      </c>
      <c r="Q86" s="76"/>
      <c r="R86" s="76"/>
      <c r="S86" s="76"/>
    </row>
    <row r="87" spans="1:21" ht="30" customHeight="1" x14ac:dyDescent="0.2">
      <c r="A87"/>
      <c r="B87"/>
      <c r="C87"/>
      <c r="D87"/>
      <c r="E87"/>
      <c r="F87"/>
      <c r="G87"/>
      <c r="I87" t="str">
        <f t="shared" ca="1" si="3"/>
        <v>F</v>
      </c>
    </row>
    <row r="88" spans="1:21" ht="15" x14ac:dyDescent="0.2">
      <c r="A88"/>
      <c r="B88"/>
      <c r="C88"/>
      <c r="D88"/>
      <c r="E88"/>
      <c r="F88"/>
      <c r="G88"/>
      <c r="I88" t="str">
        <f t="shared" ca="1" si="3"/>
        <v>F</v>
      </c>
      <c r="J88" s="692"/>
      <c r="K88" s="692"/>
      <c r="L88" s="692"/>
      <c r="M88" s="692"/>
      <c r="N88" s="77"/>
    </row>
    <row r="89" spans="1:21" x14ac:dyDescent="0.2">
      <c r="A89"/>
      <c r="B89"/>
      <c r="C89"/>
      <c r="D89"/>
      <c r="E89"/>
      <c r="F89"/>
      <c r="G89"/>
      <c r="I89" t="str">
        <f t="shared" ca="1" si="3"/>
        <v>F</v>
      </c>
      <c r="J89" s="686" t="s">
        <v>188</v>
      </c>
      <c r="K89" s="686"/>
      <c r="L89" s="686"/>
      <c r="M89" s="686"/>
    </row>
    <row r="90" spans="1:21" ht="14.25" x14ac:dyDescent="0.2">
      <c r="A90"/>
      <c r="B90"/>
      <c r="C90"/>
      <c r="D90"/>
      <c r="E90"/>
      <c r="F90"/>
      <c r="G90"/>
      <c r="I90" t="str">
        <f t="shared" ca="1" si="3"/>
        <v>F</v>
      </c>
      <c r="J90" s="78" t="s">
        <v>108</v>
      </c>
      <c r="K90" s="79" t="str">
        <f t="array" ref="K90:K92">Import.RespOrçamento</f>
        <v>RAFAELA B. BOSCHETTI</v>
      </c>
      <c r="L90" s="80"/>
      <c r="M90" s="80"/>
      <c r="N90" s="77"/>
    </row>
    <row r="91" spans="1:21" ht="14.25" x14ac:dyDescent="0.2">
      <c r="A91"/>
      <c r="B91"/>
      <c r="C91"/>
      <c r="D91"/>
      <c r="E91"/>
      <c r="F91"/>
      <c r="G91"/>
      <c r="I91" t="str">
        <f t="shared" ca="1" si="3"/>
        <v>F</v>
      </c>
      <c r="J91" s="78" t="s">
        <v>109</v>
      </c>
      <c r="K91" s="79" t="str">
        <v>A295176-2</v>
      </c>
      <c r="L91" s="80"/>
      <c r="M91" s="80"/>
      <c r="N91" s="77"/>
    </row>
    <row r="92" spans="1:21" ht="14.25" x14ac:dyDescent="0.2">
      <c r="A92"/>
      <c r="B92"/>
      <c r="C92"/>
      <c r="D92"/>
      <c r="E92"/>
      <c r="F92"/>
      <c r="G92"/>
      <c r="I92" t="str">
        <f t="shared" ca="1" si="3"/>
        <v>F</v>
      </c>
      <c r="J92" s="78" t="s">
        <v>110</v>
      </c>
      <c r="K92" s="79" t="str">
        <v>16357172</v>
      </c>
      <c r="L92" s="80"/>
      <c r="M92" s="80"/>
      <c r="N92" s="77"/>
    </row>
    <row r="93" spans="1:21" ht="14.25" x14ac:dyDescent="0.2">
      <c r="A93"/>
      <c r="B93"/>
      <c r="C93"/>
      <c r="D93"/>
      <c r="E93"/>
      <c r="F93"/>
      <c r="G93"/>
      <c r="I93" t="str">
        <f t="shared" ca="1" si="3"/>
        <v>F</v>
      </c>
      <c r="J93" s="78"/>
      <c r="K93" s="81"/>
      <c r="L93" s="80"/>
      <c r="M93" s="80"/>
      <c r="N93" s="77"/>
    </row>
    <row r="94" spans="1:21" ht="15.75" x14ac:dyDescent="0.25">
      <c r="A94"/>
      <c r="B94"/>
      <c r="C94"/>
      <c r="D94"/>
      <c r="E94"/>
      <c r="F94"/>
      <c r="G94"/>
      <c r="I94" t="str">
        <f ca="1">IF($S$109=0,"","F")</f>
        <v/>
      </c>
      <c r="J94" s="709" t="s">
        <v>190</v>
      </c>
      <c r="K94" s="709"/>
      <c r="L94" s="709"/>
      <c r="M94" s="709"/>
      <c r="N94" s="709"/>
      <c r="O94" s="709"/>
      <c r="P94" s="709"/>
      <c r="Q94" s="709"/>
      <c r="R94" s="709"/>
      <c r="S94" s="709"/>
      <c r="U94" s="564" t="str">
        <f>IF(COUNTIF(ORÇAMENTO!$V$15:$V$131,BDI_3.Título)=0,"",IF(OR(Import.BDI.Tipo3="(SELECIONAR)",Import.BDI.Tipo3="",U97&lt;&gt;"",S101=0,S102=0,S103=0,S104=0,S105=0,S106=0),"Falta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7" t="s">
        <v>156</v>
      </c>
      <c r="K96" s="707"/>
      <c r="L96" s="707"/>
      <c r="M96" s="707"/>
      <c r="N96" s="707"/>
      <c r="O96" s="707"/>
      <c r="P96" s="707"/>
      <c r="Q96" s="707"/>
      <c r="R96" s="707"/>
      <c r="S96" s="707"/>
    </row>
    <row r="97" spans="1:26" ht="15" x14ac:dyDescent="0.25">
      <c r="A97"/>
      <c r="B97"/>
      <c r="C97"/>
      <c r="D97"/>
      <c r="E97"/>
      <c r="F97"/>
      <c r="G97"/>
      <c r="I97" t="str">
        <f t="shared" ca="1" si="6"/>
        <v/>
      </c>
      <c r="J97" s="708" t="s">
        <v>396</v>
      </c>
      <c r="K97" s="708"/>
      <c r="L97" s="708"/>
      <c r="M97" s="708"/>
      <c r="N97" s="708"/>
      <c r="O97" s="708"/>
      <c r="P97" s="708"/>
      <c r="Q97" s="708"/>
      <c r="R97" s="708"/>
      <c r="S97" s="708"/>
      <c r="T97" s="617" t="str">
        <f ca="1">IF(U97="","","◄")</f>
        <v/>
      </c>
      <c r="U97" s="616" t="str">
        <f ca="1">IF(AND(OR(S109&gt;0,COUNTIF(ORÇAMENTO!$V$15:$V$131,BDI_3.Título)&gt;0),OR(Import.BDI.Tipo3="(SELECIONAR)",Import.BDI.Tipo3="")),"Selecione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06" t="s">
        <v>157</v>
      </c>
      <c r="K99" s="706"/>
      <c r="L99" s="706"/>
      <c r="M99" s="706"/>
      <c r="N99" s="706"/>
      <c r="O99" s="706"/>
      <c r="P99" s="706"/>
      <c r="Q99" s="706"/>
      <c r="R99" s="706" t="s">
        <v>158</v>
      </c>
      <c r="S99" s="698" t="s">
        <v>159</v>
      </c>
      <c r="U99" s="698" t="s">
        <v>160</v>
      </c>
      <c r="V99" s="698"/>
      <c r="W99" s="698"/>
      <c r="X99" s="705" t="s">
        <v>161</v>
      </c>
      <c r="Y99" s="705" t="s">
        <v>162</v>
      </c>
      <c r="Z99" s="705" t="s">
        <v>163</v>
      </c>
    </row>
    <row r="100" spans="1:26" ht="12.75" customHeight="1" x14ac:dyDescent="0.2">
      <c r="A100"/>
      <c r="B100"/>
      <c r="C100"/>
      <c r="D100"/>
      <c r="E100"/>
      <c r="F100"/>
      <c r="G100"/>
      <c r="I100" t="str">
        <f t="shared" ca="1" si="6"/>
        <v/>
      </c>
      <c r="J100" s="706"/>
      <c r="K100" s="706"/>
      <c r="L100" s="706"/>
      <c r="M100" s="706"/>
      <c r="N100" s="706"/>
      <c r="O100" s="706"/>
      <c r="P100" s="706"/>
      <c r="Q100" s="706"/>
      <c r="R100" s="706"/>
      <c r="S100" s="698"/>
      <c r="U100" s="698"/>
      <c r="V100" s="698"/>
      <c r="W100" s="698"/>
      <c r="X100" s="705"/>
      <c r="Y100" s="705"/>
      <c r="Z100" s="705"/>
    </row>
    <row r="101" spans="1:26" ht="15" customHeight="1" x14ac:dyDescent="0.2">
      <c r="A101"/>
      <c r="B101"/>
      <c r="C101"/>
      <c r="D101"/>
      <c r="E101"/>
      <c r="F101"/>
      <c r="G101"/>
      <c r="I101" t="str">
        <f t="shared" ca="1" si="6"/>
        <v/>
      </c>
      <c r="J101" s="694" t="str">
        <f>IF($J$17=$A$146,"Encargos Sociais incidentes sobre a mão de obra","Administração Central")</f>
        <v>Administração Central</v>
      </c>
      <c r="K101" s="694"/>
      <c r="L101" s="694"/>
      <c r="M101" s="694"/>
      <c r="N101" s="694"/>
      <c r="O101" s="694"/>
      <c r="P101" s="694"/>
      <c r="Q101" s="694"/>
      <c r="R101" s="61" t="str">
        <f>IF($J97=$A$146,"K1","AC")</f>
        <v>AC</v>
      </c>
      <c r="S101" s="62"/>
      <c r="T101" s="629" t="str">
        <f ca="1">IF(AND($U$14&lt;&gt;"",S101=""),"◄","")</f>
        <v/>
      </c>
      <c r="U101" s="695" t="str">
        <f>IFERROR(IF(AND(S101&gt;=X101,S101&lt;=Z101),"OK","FORA DO INTERVALO"),"-")</f>
        <v>-</v>
      </c>
      <c r="V101" s="696"/>
      <c r="W101" s="697"/>
      <c r="X101" s="63" t="e">
        <f>VLOOKUP(CONCATENATE(J97,"-",R101),$C$2:$G$136,3,FALSE)</f>
        <v>#N/A</v>
      </c>
      <c r="Y101" s="63" t="e">
        <f>VLOOKUP(CONCATENATE(J97,"-",R101),$C$2:$G$136,4,FALSE)</f>
        <v>#N/A</v>
      </c>
      <c r="Z101" s="63" t="e">
        <f>VLOOKUP(CONCATENATE(J97,"-",R101),$C$2:$G$136,5,FALSE)</f>
        <v>#N/A</v>
      </c>
    </row>
    <row r="102" spans="1:26" ht="15" customHeight="1" x14ac:dyDescent="0.2">
      <c r="A102"/>
      <c r="B102"/>
      <c r="C102"/>
      <c r="D102"/>
      <c r="E102"/>
      <c r="F102"/>
      <c r="G102"/>
      <c r="I102" t="str">
        <f t="shared" ca="1" si="6"/>
        <v/>
      </c>
      <c r="J102" s="694" t="str">
        <f>IF($J$17=$A$146,"Administração Central da empresa ou consultoria - overhead","Seguro e Garantia")</f>
        <v>Seguro e Garantia</v>
      </c>
      <c r="K102" s="694"/>
      <c r="L102" s="694"/>
      <c r="M102" s="694"/>
      <c r="N102" s="694"/>
      <c r="O102" s="694"/>
      <c r="P102" s="694"/>
      <c r="Q102" s="694"/>
      <c r="R102" s="61" t="str">
        <f>IF($J97=$A$146,"K2","SG")</f>
        <v>SG</v>
      </c>
      <c r="S102" s="62"/>
      <c r="T102" s="629" t="str">
        <f t="shared" ref="T102:T106" ca="1" si="7">IF(AND($U$14&lt;&gt;"",S102=""),"◄","")</f>
        <v/>
      </c>
      <c r="U102" s="695" t="str">
        <f t="shared" ref="U102:U107" si="8">IFERROR(IF(AND(S102&gt;=X102,S102&lt;=Z102),"OK","FORA DO INTERVALO"),"-")</f>
        <v>-</v>
      </c>
      <c r="V102" s="696"/>
      <c r="W102" s="697"/>
      <c r="X102" s="63" t="e">
        <f>VLOOKUP(CONCATENATE(J97,"-",R102),$C$2:$G$136,3,FALSE)</f>
        <v>#N/A</v>
      </c>
      <c r="Y102" s="63" t="e">
        <f>VLOOKUP(CONCATENATE(J97,"-",R102),$C$2:$G$136,4,FALSE)</f>
        <v>#N/A</v>
      </c>
      <c r="Z102" s="63" t="e">
        <f>VLOOKUP(CONCATENATE(J97,"-",R102),$C$2:$G$136,5,FALSE)</f>
        <v>#N/A</v>
      </c>
    </row>
    <row r="103" spans="1:26" ht="15" customHeight="1" x14ac:dyDescent="0.2">
      <c r="A103"/>
      <c r="B103"/>
      <c r="C103"/>
      <c r="D103"/>
      <c r="E103"/>
      <c r="F103"/>
      <c r="G103"/>
      <c r="I103" t="str">
        <f t="shared" ca="1" si="6"/>
        <v/>
      </c>
      <c r="J103" s="694" t="str">
        <f>IF($J$17=$A$146,"","Risco")</f>
        <v>Risco</v>
      </c>
      <c r="K103" s="694"/>
      <c r="L103" s="694"/>
      <c r="M103" s="694"/>
      <c r="N103" s="694"/>
      <c r="O103" s="694"/>
      <c r="P103" s="694"/>
      <c r="Q103" s="694"/>
      <c r="R103" s="61" t="str">
        <f>IF($J97=$A$146,"","R")</f>
        <v>R</v>
      </c>
      <c r="S103" s="62"/>
      <c r="T103" s="629" t="str">
        <f t="shared" ca="1" si="7"/>
        <v/>
      </c>
      <c r="U103" s="695" t="str">
        <f t="shared" si="8"/>
        <v>-</v>
      </c>
      <c r="V103" s="696"/>
      <c r="W103" s="697"/>
      <c r="X103" s="63" t="e">
        <f>VLOOKUP(CONCATENATE(J97,"-",R103),$C$2:$G$136,3,FALSE)</f>
        <v>#N/A</v>
      </c>
      <c r="Y103" s="63" t="e">
        <f>VLOOKUP(CONCATENATE(J97,"-",R103),$C$2:$G$136,4,FALSE)</f>
        <v>#N/A</v>
      </c>
      <c r="Z103" s="63" t="e">
        <f>VLOOKUP(CONCATENATE(J97,"-",R103),$C$2:$G$136,5,FALSE)</f>
        <v>#N/A</v>
      </c>
    </row>
    <row r="104" spans="1:26" ht="15" customHeight="1" x14ac:dyDescent="0.2">
      <c r="A104"/>
      <c r="B104"/>
      <c r="C104"/>
      <c r="D104"/>
      <c r="E104"/>
      <c r="F104"/>
      <c r="G104"/>
      <c r="I104" t="str">
        <f t="shared" ca="1" si="6"/>
        <v/>
      </c>
      <c r="J104" s="694" t="str">
        <f>IF($J$17=$A$146,"","Despesas Financeiras")</f>
        <v>Despesas Financeiras</v>
      </c>
      <c r="K104" s="694"/>
      <c r="L104" s="694"/>
      <c r="M104" s="694"/>
      <c r="N104" s="694"/>
      <c r="O104" s="694"/>
      <c r="P104" s="694"/>
      <c r="Q104" s="694"/>
      <c r="R104" s="61" t="str">
        <f>IF($J97=$A$146,"","DF")</f>
        <v>DF</v>
      </c>
      <c r="S104" s="62"/>
      <c r="T104" s="629" t="str">
        <f t="shared" ca="1" si="7"/>
        <v/>
      </c>
      <c r="U104" s="695" t="str">
        <f t="shared" si="8"/>
        <v>-</v>
      </c>
      <c r="V104" s="696"/>
      <c r="W104" s="697"/>
      <c r="X104" s="63" t="e">
        <f>VLOOKUP(CONCATENATE(J97,"-",R104),$C$2:$G$136,3,FALSE)</f>
        <v>#N/A</v>
      </c>
      <c r="Y104" s="63" t="e">
        <f>VLOOKUP(CONCATENATE(J97,"-",R104),$C$2:$G$136,4,FALSE)</f>
        <v>#N/A</v>
      </c>
      <c r="Z104" s="63" t="e">
        <f>VLOOKUP(CONCATENATE(J97,"-",R104),$C$2:$G$136,5,FALSE)</f>
        <v>#N/A</v>
      </c>
    </row>
    <row r="105" spans="1:26" ht="15" customHeight="1" x14ac:dyDescent="0.2">
      <c r="A105"/>
      <c r="B105"/>
      <c r="C105"/>
      <c r="D105"/>
      <c r="E105"/>
      <c r="F105"/>
      <c r="G105"/>
      <c r="I105" t="str">
        <f t="shared" ca="1" si="6"/>
        <v/>
      </c>
      <c r="J105" s="694" t="str">
        <f>IF($J$17=$A$146,"Margem bruta da empresa de consultoria","Lucro")</f>
        <v>Lucro</v>
      </c>
      <c r="K105" s="694"/>
      <c r="L105" s="694"/>
      <c r="M105" s="694"/>
      <c r="N105" s="694"/>
      <c r="O105" s="694"/>
      <c r="P105" s="694"/>
      <c r="Q105" s="694"/>
      <c r="R105" s="61" t="str">
        <f>IF($J97=$A$146,"K3","L")</f>
        <v>L</v>
      </c>
      <c r="S105" s="62"/>
      <c r="T105" s="629" t="str">
        <f t="shared" ca="1" si="7"/>
        <v/>
      </c>
      <c r="U105" s="695" t="str">
        <f t="shared" si="8"/>
        <v>-</v>
      </c>
      <c r="V105" s="696"/>
      <c r="W105" s="697"/>
      <c r="X105" s="63" t="e">
        <f>VLOOKUP(CONCATENATE(J97,"-",R105),$C$2:$G$136,3,FALSE)</f>
        <v>#N/A</v>
      </c>
      <c r="Y105" s="63" t="e">
        <f>VLOOKUP(CONCATENATE(J97,"-",R105),$C$2:$G$136,4,FALSE)</f>
        <v>#N/A</v>
      </c>
      <c r="Z105" s="63" t="e">
        <f>VLOOKUP(CONCATENATE(J97,"-",R105),$C$2:$G$136,5,FALSE)</f>
        <v>#N/A</v>
      </c>
    </row>
    <row r="106" spans="1:26" ht="15" customHeight="1" x14ac:dyDescent="0.2">
      <c r="A106"/>
      <c r="B106"/>
      <c r="C106"/>
      <c r="D106"/>
      <c r="E106"/>
      <c r="F106"/>
      <c r="G106"/>
      <c r="I106" t="str">
        <f t="shared" ca="1" si="6"/>
        <v/>
      </c>
      <c r="J106" s="694" t="s">
        <v>167</v>
      </c>
      <c r="K106" s="694"/>
      <c r="L106" s="694"/>
      <c r="M106" s="694"/>
      <c r="N106" s="694"/>
      <c r="O106" s="694"/>
      <c r="P106" s="694"/>
      <c r="Q106" s="694"/>
      <c r="R106" s="61" t="s">
        <v>168</v>
      </c>
      <c r="S106" s="62"/>
      <c r="T106" s="629" t="str">
        <f t="shared" ca="1" si="7"/>
        <v/>
      </c>
      <c r="U106" s="695" t="str">
        <f t="shared" si="8"/>
        <v>FORA DO INTERVALO</v>
      </c>
      <c r="V106" s="696"/>
      <c r="W106" s="697"/>
      <c r="X106" s="63">
        <v>3.6499999999999998E-2</v>
      </c>
      <c r="Y106" s="63">
        <v>3.6499999999999998E-2</v>
      </c>
      <c r="Z106" s="63">
        <v>3.6499999999999998E-2</v>
      </c>
    </row>
    <row r="107" spans="1:26" ht="15" customHeight="1" x14ac:dyDescent="0.2">
      <c r="A107"/>
      <c r="B107"/>
      <c r="C107"/>
      <c r="D107"/>
      <c r="E107"/>
      <c r="F107"/>
      <c r="G107"/>
      <c r="I107" t="str">
        <f t="shared" ca="1" si="6"/>
        <v/>
      </c>
      <c r="J107" s="694" t="s">
        <v>169</v>
      </c>
      <c r="K107" s="694"/>
      <c r="L107" s="694"/>
      <c r="M107" s="694"/>
      <c r="N107" s="694"/>
      <c r="O107" s="694"/>
      <c r="P107" s="694"/>
      <c r="Q107" s="694"/>
      <c r="R107" s="61" t="s">
        <v>170</v>
      </c>
      <c r="S107" s="63">
        <f ca="1">IF(AND($J97&lt;&gt;$A$145,COUNTA(OFFSET(S100,1,0,6))&gt;0),$R$11*$R$10,0)</f>
        <v>0</v>
      </c>
      <c r="U107" s="695" t="str">
        <f t="shared" ca="1" si="8"/>
        <v>OK</v>
      </c>
      <c r="V107" s="696"/>
      <c r="W107" s="697"/>
      <c r="X107" s="63">
        <v>0</v>
      </c>
      <c r="Y107" s="63">
        <v>2.5000000000000001E-2</v>
      </c>
      <c r="Z107" s="63">
        <v>0.05</v>
      </c>
    </row>
    <row r="108" spans="1:26" ht="15" customHeight="1" x14ac:dyDescent="0.2">
      <c r="A108"/>
      <c r="B108"/>
      <c r="C108"/>
      <c r="D108"/>
      <c r="E108"/>
      <c r="F108"/>
      <c r="G108"/>
      <c r="I108" t="str">
        <f t="shared" ca="1" si="6"/>
        <v/>
      </c>
      <c r="J108" s="694" t="s">
        <v>427</v>
      </c>
      <c r="K108" s="694"/>
      <c r="L108" s="694"/>
      <c r="M108" s="694"/>
      <c r="N108" s="694"/>
      <c r="O108" s="694"/>
      <c r="P108" s="694"/>
      <c r="Q108" s="694"/>
      <c r="R108" s="61" t="s">
        <v>171</v>
      </c>
      <c r="S108" s="63" cm="1">
        <f t="array" aca="1" ref="S108" ca="1">IF(BDI.Opcao&lt;&gt;"Desonerado",0,IF(AND($J97&lt;&gt;$A$145,COUNTA(OFFSET(S100,1,0,6))&gt;0),IF(YEAR(Import.DataBase)&lt;2025,4.5%,IF(YEAR(Import.DataBase)=2025,3.6%,IF(YEAR(Import.DataBase)=2026,2.7%,IF(YEAR(Import.DataBase)=2027,1.8%,0%)))),0%))</f>
        <v>0</v>
      </c>
      <c r="U108" s="695" t="s">
        <v>912</v>
      </c>
      <c r="V108" s="696"/>
      <c r="W108" s="697"/>
      <c r="X108" s="64">
        <f ca="1">$S108</f>
        <v>0</v>
      </c>
      <c r="Y108" s="64">
        <f ca="1">$S108</f>
        <v>0</v>
      </c>
      <c r="Z108" s="64">
        <f ca="1">$S108</f>
        <v>0</v>
      </c>
    </row>
    <row r="109" spans="1:26" ht="15" customHeight="1" x14ac:dyDescent="0.2">
      <c r="A109"/>
      <c r="B109"/>
      <c r="C109"/>
      <c r="D109"/>
      <c r="E109"/>
      <c r="F109"/>
      <c r="G109"/>
      <c r="I109" t="str">
        <f t="shared" ca="1" si="6"/>
        <v/>
      </c>
      <c r="J109" s="694" t="s">
        <v>172</v>
      </c>
      <c r="K109" s="694"/>
      <c r="L109" s="694"/>
      <c r="M109" s="694"/>
      <c r="N109" s="694"/>
      <c r="O109" s="694"/>
      <c r="P109" s="694"/>
      <c r="Q109" s="694"/>
      <c r="R109" s="65" t="s">
        <v>149</v>
      </c>
      <c r="S109" s="63">
        <f ca="1">IF($J97=$A$145,0,ROUND((((1+S101+S102+S103)*(1+S104)*(1+S105)/(1-(S106+S107)))-1),4))</f>
        <v>0</v>
      </c>
      <c r="U109" s="698" t="str">
        <f ca="1">IFERROR(IF(OR($J$17=$A$146,$J$17=$A$145,AND(S109&gt;=X109,S109&lt;=Z109)),"OK","FORA DO INTERVALO"),IF(S109=0,"OK","Selecione o Tipo de obra"))</f>
        <v>OK</v>
      </c>
      <c r="V109" s="698"/>
      <c r="W109" s="698"/>
      <c r="X109" s="63" t="e">
        <f>IF($J97=$A$145,0,VLOOKUP(CONCATENATE($J97,"-",$R109),$C$2:$G$136,3,FALSE))</f>
        <v>#N/A</v>
      </c>
      <c r="Y109" s="63" t="e">
        <f>IF($J97=$A$145,0,VLOOKUP(CONCATENATE($J97,"-",$R109),$C$2:$G$136,4,FALSE))</f>
        <v>#N/A</v>
      </c>
      <c r="Z109" s="63" t="e">
        <f>IF($J97=$A$145,0,VLOOKUP(CONCATENATE($J97,"-",$R109),$C$2:$G$136,5,FALSE))</f>
        <v>#N/A</v>
      </c>
    </row>
    <row r="110" spans="1:26" ht="15" customHeight="1" x14ac:dyDescent="0.2">
      <c r="A110"/>
      <c r="B110"/>
      <c r="C110"/>
      <c r="D110"/>
      <c r="E110"/>
      <c r="F110"/>
      <c r="G110"/>
      <c r="I110" t="str">
        <f t="shared" ca="1" si="6"/>
        <v/>
      </c>
      <c r="J110" s="699" t="s">
        <v>173</v>
      </c>
      <c r="K110" s="699"/>
      <c r="L110" s="699"/>
      <c r="M110" s="699"/>
      <c r="N110" s="699"/>
      <c r="O110" s="699"/>
      <c r="P110" s="699"/>
      <c r="Q110" s="699"/>
      <c r="R110" s="66" t="s">
        <v>174</v>
      </c>
      <c r="S110" s="67">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8" t="str">
        <f ca="1">IF(U109&lt;&gt;"ok","X","")</f>
        <v/>
      </c>
      <c r="K112" s="700" t="str">
        <f ca="1">IF(U109&lt;&gt;"ok","Anexo: Relatório Técnico Circunstanciado justificando a adoção do percentual de cada parcela do BDI.","")</f>
        <v/>
      </c>
      <c r="L112" s="700"/>
      <c r="M112" s="700"/>
      <c r="N112" s="700"/>
      <c r="O112" s="700"/>
      <c r="P112" s="700"/>
      <c r="Q112" s="700"/>
      <c r="R112" s="700"/>
      <c r="S112" s="700"/>
    </row>
    <row r="113" spans="1:19" x14ac:dyDescent="0.2">
      <c r="A113"/>
      <c r="B113"/>
      <c r="C113"/>
      <c r="D113"/>
      <c r="E113"/>
      <c r="F113"/>
      <c r="G113"/>
      <c r="I113" t="str">
        <f t="shared" ca="1" si="6"/>
        <v/>
      </c>
    </row>
    <row r="114" spans="1:19" x14ac:dyDescent="0.2">
      <c r="A114"/>
      <c r="B114"/>
      <c r="C114"/>
      <c r="D114"/>
      <c r="E114"/>
      <c r="F114"/>
      <c r="G114"/>
      <c r="I114" t="str">
        <f t="shared" ca="1" si="6"/>
        <v/>
      </c>
      <c r="J114" s="701" t="s">
        <v>176</v>
      </c>
      <c r="K114" s="701"/>
      <c r="L114" s="701"/>
      <c r="M114" s="701"/>
      <c r="N114" s="701"/>
      <c r="O114" s="701"/>
      <c r="P114" s="701"/>
      <c r="Q114" s="701"/>
      <c r="R114" s="701"/>
      <c r="S114" s="701"/>
    </row>
    <row r="115" spans="1:19" ht="15.75" x14ac:dyDescent="0.25">
      <c r="A115"/>
      <c r="B115"/>
      <c r="C115"/>
      <c r="D115"/>
      <c r="E115"/>
      <c r="F115"/>
      <c r="G115"/>
      <c r="I115" t="str">
        <f t="shared" ca="1" si="6"/>
        <v/>
      </c>
      <c r="J115" s="69"/>
      <c r="K115" s="69"/>
      <c r="L115" s="69"/>
      <c r="M115" s="702" t="s">
        <v>177</v>
      </c>
      <c r="N115" s="703" t="str">
        <f>IF($J97=$A$146,"(1+K1+K2)*(1+K3)","(1+AC + S + R + G)*(1 + DF)*(1+L)")</f>
        <v>(1+AC + S + R + G)*(1 + DF)*(1+L)</v>
      </c>
      <c r="O115" s="703"/>
      <c r="P115" s="703"/>
      <c r="Q115" s="704" t="s">
        <v>178</v>
      </c>
      <c r="R115" s="69"/>
      <c r="S115" s="69"/>
    </row>
    <row r="116" spans="1:19" ht="15.75" x14ac:dyDescent="0.2">
      <c r="A116"/>
      <c r="B116"/>
      <c r="C116"/>
      <c r="D116"/>
      <c r="E116"/>
      <c r="F116"/>
      <c r="G116"/>
      <c r="I116" t="str">
        <f t="shared" ca="1" si="6"/>
        <v/>
      </c>
      <c r="J116" s="69"/>
      <c r="K116" s="69"/>
      <c r="L116" s="69"/>
      <c r="M116" s="702"/>
      <c r="N116" s="693" t="s">
        <v>179</v>
      </c>
      <c r="O116" s="693"/>
      <c r="P116" s="693"/>
      <c r="Q116" s="704"/>
      <c r="R116" s="69"/>
      <c r="S116" s="69"/>
    </row>
    <row r="117" spans="1:19" ht="15" customHeight="1" x14ac:dyDescent="0.2">
      <c r="A117"/>
      <c r="B117"/>
      <c r="C117"/>
      <c r="D117"/>
      <c r="E117"/>
      <c r="F117"/>
      <c r="G117"/>
      <c r="I117" t="str">
        <f t="shared" ca="1" si="6"/>
        <v/>
      </c>
      <c r="J117" s="69"/>
      <c r="K117" s="69"/>
      <c r="L117" s="69"/>
      <c r="M117" s="70"/>
      <c r="N117" s="72"/>
      <c r="O117" s="72"/>
      <c r="P117" s="72"/>
      <c r="Q117" s="71"/>
      <c r="R117" s="69"/>
      <c r="S117" s="69"/>
    </row>
    <row r="118" spans="1:19" ht="50.1" customHeight="1" x14ac:dyDescent="0.2">
      <c r="A118"/>
      <c r="B118"/>
      <c r="C118"/>
      <c r="D118"/>
      <c r="E118"/>
      <c r="F118"/>
      <c r="G118"/>
      <c r="I118" t="str">
        <f t="shared" ca="1" si="6"/>
        <v/>
      </c>
      <c r="J118" s="68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2%.</v>
      </c>
      <c r="K118" s="687"/>
      <c r="L118" s="687"/>
      <c r="M118" s="687"/>
      <c r="N118" s="687"/>
      <c r="O118" s="687"/>
      <c r="P118" s="687"/>
      <c r="Q118" s="687"/>
      <c r="R118" s="687"/>
      <c r="S118" s="68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87"/>
      <c r="L120" s="687"/>
      <c r="M120" s="687"/>
      <c r="N120" s="687"/>
      <c r="O120" s="687"/>
      <c r="P120" s="687"/>
      <c r="Q120" s="687"/>
      <c r="R120" s="687"/>
      <c r="S120" s="687"/>
    </row>
    <row r="121" spans="1:19" x14ac:dyDescent="0.2">
      <c r="A121"/>
      <c r="B121"/>
      <c r="C121"/>
      <c r="D121"/>
      <c r="E121"/>
      <c r="F121"/>
      <c r="G121"/>
      <c r="I121" t="str">
        <f t="shared" ca="1" si="6"/>
        <v/>
      </c>
    </row>
    <row r="122" spans="1:19" x14ac:dyDescent="0.2">
      <c r="A122"/>
      <c r="B122"/>
      <c r="C122"/>
      <c r="D122"/>
      <c r="E122"/>
      <c r="F122"/>
      <c r="G122"/>
      <c r="I122" t="str">
        <f t="shared" ca="1" si="6"/>
        <v/>
      </c>
      <c r="J122" s="50" t="s">
        <v>185</v>
      </c>
    </row>
    <row r="123" spans="1:19" ht="110.1" customHeight="1" x14ac:dyDescent="0.2">
      <c r="A123"/>
      <c r="B123"/>
      <c r="C123"/>
      <c r="D123"/>
      <c r="E123"/>
      <c r="F123"/>
      <c r="G123"/>
      <c r="I123" t="str">
        <f t="shared" ca="1" si="6"/>
        <v/>
      </c>
      <c r="J123" s="688"/>
      <c r="K123" s="688"/>
      <c r="L123" s="688"/>
      <c r="M123" s="688"/>
      <c r="N123" s="688"/>
      <c r="O123" s="688"/>
      <c r="P123" s="688"/>
      <c r="Q123" s="688"/>
      <c r="R123" s="688"/>
      <c r="S123" s="688"/>
    </row>
    <row r="124" spans="1:19" x14ac:dyDescent="0.2">
      <c r="A124"/>
      <c r="B124"/>
      <c r="C124"/>
      <c r="D124"/>
      <c r="E124"/>
      <c r="F124"/>
      <c r="G124"/>
      <c r="I124" t="str">
        <f t="shared" ca="1" si="6"/>
        <v/>
      </c>
    </row>
    <row r="125" spans="1:19" x14ac:dyDescent="0.2">
      <c r="A125"/>
      <c r="B125"/>
      <c r="C125"/>
      <c r="D125"/>
      <c r="E125"/>
      <c r="F125"/>
      <c r="G125"/>
      <c r="I125" t="str">
        <f t="shared" ca="1" si="6"/>
        <v/>
      </c>
      <c r="J125" s="689" t="str">
        <f>Import.Município</f>
        <v>LINDÓIA DO SUL - SC</v>
      </c>
      <c r="K125" s="689"/>
      <c r="L125" s="689"/>
      <c r="M125" s="689"/>
      <c r="P125" s="690">
        <f ca="1">DADOS!$C$25</f>
        <v>46189</v>
      </c>
      <c r="Q125" s="690"/>
      <c r="R125" s="690"/>
      <c r="S125" s="690"/>
    </row>
    <row r="126" spans="1:19" x14ac:dyDescent="0.2">
      <c r="A126"/>
      <c r="B126"/>
      <c r="C126"/>
      <c r="D126"/>
      <c r="E126"/>
      <c r="F126"/>
      <c r="G126"/>
      <c r="I126" t="str">
        <f t="shared" ca="1" si="6"/>
        <v/>
      </c>
      <c r="J126" s="691" t="s">
        <v>186</v>
      </c>
      <c r="K126" s="691"/>
      <c r="L126" s="691"/>
      <c r="M126" s="691"/>
      <c r="O126" s="74"/>
      <c r="P126" s="75" t="s">
        <v>187</v>
      </c>
      <c r="Q126" s="76"/>
      <c r="R126" s="76"/>
      <c r="S126" s="76"/>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92"/>
      <c r="K128" s="692"/>
      <c r="L128" s="692"/>
      <c r="M128" s="692"/>
      <c r="N128" s="77"/>
    </row>
    <row r="129" spans="1:14" x14ac:dyDescent="0.2">
      <c r="A129"/>
      <c r="B129"/>
      <c r="C129"/>
      <c r="D129"/>
      <c r="E129"/>
      <c r="F129"/>
      <c r="G129"/>
      <c r="I129" t="str">
        <f t="shared" ca="1" si="6"/>
        <v/>
      </c>
      <c r="J129" s="686" t="s">
        <v>188</v>
      </c>
      <c r="K129" s="686"/>
      <c r="L129" s="686"/>
      <c r="M129" s="686"/>
    </row>
    <row r="130" spans="1:14" ht="14.25" x14ac:dyDescent="0.2">
      <c r="A130"/>
      <c r="B130"/>
      <c r="C130"/>
      <c r="D130"/>
      <c r="E130"/>
      <c r="F130"/>
      <c r="G130"/>
      <c r="I130" t="str">
        <f t="shared" ca="1" si="6"/>
        <v/>
      </c>
      <c r="J130" s="78" t="s">
        <v>108</v>
      </c>
      <c r="K130" s="79" t="str">
        <f t="array" ref="K130:K132">Import.RespOrçamento</f>
        <v>RAFAELA B. BOSCHETTI</v>
      </c>
      <c r="L130" s="80"/>
      <c r="M130" s="80"/>
      <c r="N130" s="77"/>
    </row>
    <row r="131" spans="1:14" ht="14.25" x14ac:dyDescent="0.2">
      <c r="A131"/>
      <c r="B131"/>
      <c r="C131"/>
      <c r="D131"/>
      <c r="E131"/>
      <c r="F131"/>
      <c r="G131"/>
      <c r="I131" t="str">
        <f t="shared" ca="1" si="6"/>
        <v/>
      </c>
      <c r="J131" s="78" t="s">
        <v>109</v>
      </c>
      <c r="K131" s="79" t="str">
        <v>A295176-2</v>
      </c>
      <c r="L131" s="80"/>
      <c r="M131" s="80"/>
      <c r="N131" s="77"/>
    </row>
    <row r="132" spans="1:14" ht="14.25" x14ac:dyDescent="0.2">
      <c r="A132"/>
      <c r="B132"/>
      <c r="C132"/>
      <c r="D132"/>
      <c r="E132"/>
      <c r="F132"/>
      <c r="G132"/>
      <c r="I132" t="str">
        <f t="shared" ca="1" si="6"/>
        <v/>
      </c>
      <c r="J132" s="78" t="s">
        <v>110</v>
      </c>
      <c r="K132" s="79" t="str">
        <v>16357172</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396</v>
      </c>
    </row>
    <row r="139" spans="1:14" x14ac:dyDescent="0.2">
      <c r="A139" s="50" t="s">
        <v>140</v>
      </c>
    </row>
    <row r="140" spans="1:14" x14ac:dyDescent="0.2">
      <c r="A140" s="50" t="s">
        <v>151</v>
      </c>
    </row>
    <row r="141" spans="1:14" x14ac:dyDescent="0.2">
      <c r="A141" s="50" t="s">
        <v>154</v>
      </c>
    </row>
    <row r="142" spans="1:14" x14ac:dyDescent="0.2">
      <c r="A142" s="50" t="s">
        <v>164</v>
      </c>
    </row>
    <row r="143" spans="1:14" x14ac:dyDescent="0.2">
      <c r="A143" s="50" t="s">
        <v>166</v>
      </c>
    </row>
    <row r="144" spans="1:14" x14ac:dyDescent="0.2">
      <c r="A144" s="50" t="s">
        <v>175</v>
      </c>
    </row>
    <row r="145" spans="1:1" x14ac:dyDescent="0.2">
      <c r="A145" s="50" t="s">
        <v>180</v>
      </c>
    </row>
    <row r="146" spans="1:1" x14ac:dyDescent="0.2">
      <c r="A146" s="50" t="s">
        <v>181</v>
      </c>
    </row>
  </sheetData>
  <sheetProtection algorithmName="SHA-512" hashValue="EgKilti+Yb+Wv8QtjhdMGYS4NS6LFWrhYOMk23rlIECDnhqgf3LfhnCWNgGyqD6fneQx62TDFpsEuE50p8ZOmw==" saltValue="qJr19x/T5omiK71n24nXJ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434" priority="2" stopIfTrue="1">
      <formula>DESONERACAO="não"</formula>
    </cfRule>
  </conditionalFormatting>
  <conditionalFormatting sqref="U69:W69 U109:W109 U29:W29">
    <cfRule type="expression" dxfId="433" priority="3" stopIfTrue="1">
      <formula>AND(U29&lt;&gt;"OK",U29&lt;&gt;"-",U29&lt;&gt;"")</formula>
    </cfRule>
    <cfRule type="cellIs" dxfId="432" priority="4" stopIfTrue="1" operator="equal">
      <formula>"OK"</formula>
    </cfRule>
  </conditionalFormatting>
  <conditionalFormatting sqref="S29 S69 S109">
    <cfRule type="expression" dxfId="431"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&amp;LPMv3.09&amp;R&amp;P / &amp;N</oddFooter>
  </headerFooter>
  <rowBreaks count="1" manualBreakCount="1">
    <brk id="53" min="9" max="18"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dimension ref="A1:AN148"/>
  <sheetViews>
    <sheetView showGridLines="0" zoomScale="85" zoomScaleNormal="85" zoomScaleSheetLayoutView="90" workbookViewId="0">
      <pane xSplit="19" ySplit="15" topLeftCell="T124" activePane="bottomRight" state="frozen"/>
      <selection activeCell="L1" sqref="L1"/>
      <selection pane="topRight" activeCell="T1" sqref="T1"/>
      <selection pane="bottomLeft" activeCell="L16" sqref="L16"/>
      <selection pane="bottomRight" activeCell="R27" sqref="R27"/>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191</v>
      </c>
      <c r="T1" s="83"/>
      <c r="X1" s="53" t="s">
        <v>139</v>
      </c>
      <c r="Y1" s="7"/>
      <c r="Z1" s="7"/>
      <c r="AA1" s="7"/>
      <c r="AB1" s="7"/>
    </row>
    <row r="2" spans="1:40" ht="15" x14ac:dyDescent="0.2">
      <c r="D2" t="s">
        <v>192</v>
      </c>
      <c r="E2" t="s">
        <v>193</v>
      </c>
      <c r="F2" t="s">
        <v>194</v>
      </c>
      <c r="G2" t="s">
        <v>195</v>
      </c>
      <c r="H2" t="s">
        <v>196</v>
      </c>
      <c r="I2" t="s">
        <v>197</v>
      </c>
      <c r="R2" s="84" t="str">
        <f>IF(TIPOORCAMENTO="licitado","Orçamento Licitado","Orçamento Base para Licitação")&amp;" - "&amp;import.recurso</f>
        <v>Orçamento Base para Licitação - OGU</v>
      </c>
      <c r="X2" s="12" t="s">
        <v>142</v>
      </c>
      <c r="Y2" s="85"/>
      <c r="Z2" s="85"/>
      <c r="AA2" s="85"/>
      <c r="AB2" s="85"/>
    </row>
    <row r="3" spans="1:40" x14ac:dyDescent="0.2">
      <c r="H3" s="86"/>
      <c r="R3" s="87"/>
    </row>
    <row r="4" spans="1:40" x14ac:dyDescent="0.2">
      <c r="A4" t="s">
        <v>199</v>
      </c>
      <c r="F4" t="s">
        <v>155</v>
      </c>
      <c r="G4" t="s">
        <v>189</v>
      </c>
      <c r="H4" t="s">
        <v>190</v>
      </c>
      <c r="I4" s="88">
        <v>0</v>
      </c>
      <c r="O4" s="707" t="s">
        <v>145</v>
      </c>
      <c r="P4" s="707"/>
      <c r="Q4" s="89" t="s">
        <v>422</v>
      </c>
      <c r="R4" s="89" t="s">
        <v>146</v>
      </c>
      <c r="S4" s="707" t="s">
        <v>200</v>
      </c>
      <c r="T4" s="707"/>
      <c r="U4" s="707"/>
      <c r="V4" s="707"/>
      <c r="W4" s="707"/>
      <c r="X4" s="707"/>
      <c r="Y4" s="78"/>
      <c r="Z4" s="78"/>
      <c r="AA4" s="78"/>
      <c r="AB4" s="78"/>
    </row>
    <row r="5" spans="1:40" ht="12.75" customHeight="1" x14ac:dyDescent="0.2">
      <c r="A5" s="7">
        <f ca="1">MAX($C$15:$C$131)</f>
        <v>4</v>
      </c>
      <c r="B5" s="7"/>
      <c r="C5" s="7"/>
      <c r="F5" s="88">
        <f ca="1">IF(BDI.Opcao="DESONERADO",BDI!$S$30,BDI!$S$29)</f>
        <v>0.24199999999999999</v>
      </c>
      <c r="G5" s="88">
        <f ca="1">IF(BDI.Opcao="DESONERADO",BDI!$S$70,BDI!$S$69)</f>
        <v>0.2412</v>
      </c>
      <c r="H5" s="88">
        <f ca="1">IF(BDI.Opcao="DESONERADO",BDI!$S$110,BDI!$S$109)</f>
        <v>0</v>
      </c>
      <c r="O5" s="711" t="str">
        <f>Import.CR</f>
        <v>0</v>
      </c>
      <c r="P5" s="711"/>
      <c r="Q5" s="92" t="str" cm="1">
        <f t="array" ref="Q5">Import.TransfereGOV</f>
        <v>0</v>
      </c>
      <c r="R5" s="93" t="str">
        <f>Import.Proponente</f>
        <v>0</v>
      </c>
      <c r="S5" s="711" t="str">
        <f>Import.Apelido</f>
        <v>RUA COBERTA MUNICIPAL</v>
      </c>
      <c r="T5" s="711"/>
      <c r="U5" s="711"/>
      <c r="V5" s="711"/>
      <c r="W5" s="711"/>
      <c r="X5" s="711"/>
      <c r="Y5" s="94"/>
      <c r="Z5" s="94"/>
      <c r="AA5" s="94"/>
      <c r="AB5" s="94"/>
      <c r="AE5" s="716" t="s">
        <v>198</v>
      </c>
      <c r="AF5" s="716"/>
    </row>
    <row r="6" spans="1:40" ht="5.45"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707" t="s">
        <v>202</v>
      </c>
      <c r="P7" s="707"/>
      <c r="Q7" s="89" t="s">
        <v>203</v>
      </c>
      <c r="R7" s="89" t="str">
        <f>IF(TIPOORCAMENTO="Licitado","NOME DA EMPRESA","DESCRIÇÃO DO LOTE")</f>
        <v>DESCRIÇÃO DO LOTE</v>
      </c>
      <c r="S7" s="717" t="str">
        <f>IF(TIPOORCAMENTO="Licitado","REGIME DE EXECUÇÃO","MUNICÍPIO / UF")</f>
        <v>MUNICÍPIO / UF</v>
      </c>
      <c r="T7" s="717"/>
      <c r="U7" s="717"/>
      <c r="V7" s="99" t="str">
        <f>IF(TIPOORCAMENTO="Licitado","","BDI 1")</f>
        <v>BDI 1</v>
      </c>
      <c r="W7" s="99" t="str">
        <f>IF(TIPOORCAMENTO="Licitado","","BDI 2")</f>
        <v>BDI 2</v>
      </c>
      <c r="X7" s="100" t="str">
        <f>IF(TIPOORCAMENTO="Licitado","Nº CTEF","BDI 3")</f>
        <v>BDI 3</v>
      </c>
      <c r="Y7" s="99"/>
      <c r="Z7" s="99"/>
      <c r="AE7" s="90" t="s">
        <v>201</v>
      </c>
      <c r="AF7" s="91" t="b">
        <v>1</v>
      </c>
      <c r="AJ7" s="720" t="s">
        <v>205</v>
      </c>
      <c r="AL7" s="718" t="s">
        <v>206</v>
      </c>
    </row>
    <row r="8" spans="1:40" ht="12.75" customHeight="1" x14ac:dyDescent="0.2">
      <c r="A8" s="7"/>
      <c r="B8" s="7"/>
      <c r="C8" s="7"/>
      <c r="F8" s="721" t="str">
        <f ca="1">IF(LEN(INFO("release"))&gt;5,"'Referência "&amp;Excel_BuiltIn_Database&amp;".xlsm'#Banco.$a5:$a$65536","'[Referência "&amp;Excel_BuiltIn_Database&amp;".xlsm]Banco'!$a5:$a$65536")</f>
        <v>'[Referência 04-2026.xlsm]Banco'!$a5:$a$65536</v>
      </c>
      <c r="G8" s="721"/>
      <c r="H8" s="721"/>
      <c r="I8" s="721"/>
      <c r="J8" s="721"/>
      <c r="K8" s="721"/>
      <c r="L8" s="680" t="s">
        <v>207</v>
      </c>
      <c r="O8" s="711" t="str">
        <f ca="1">IF(ISERROR(INDIRECT($F$9)),"(N/D: 'Referência "&amp;Excel_BuiltIn_Database&amp;".xlsm)",INDIRECT($F$9))</f>
        <v>FLORIANOPOLIS</v>
      </c>
      <c r="P8" s="711"/>
      <c r="Q8" s="101" t="str">
        <f ca="1">TEXT(Import.DataBase,"mm-aa")&amp;IF(DESONERACAO="Sim"," (DES.)"," (N DES.)")</f>
        <v>04-26 (DES.)</v>
      </c>
      <c r="R8" s="93" t="str">
        <f>IF(TIPOORCAMENTO="Licitado",Import.empresa,Import.DescLote)</f>
        <v>RUA COBERTA MUNICIPAL</v>
      </c>
      <c r="S8" s="722" t="str">
        <f>IF(TIPOORCAMENTO="Licitado",Import.RegimeExecução,Import.Município)</f>
        <v>LINDÓIA DO SUL - SC</v>
      </c>
      <c r="T8" s="722"/>
      <c r="U8" s="722"/>
      <c r="V8" s="102" t="str">
        <f ca="1">IF(TIPOORCAMENTO="Licitado","",TEXT(F5,"0,00%"))</f>
        <v>24,20%</v>
      </c>
      <c r="W8" s="102" t="str">
        <f ca="1">IF(TIPOORCAMENTO="Licitado","",TEXT(G5,"0,00%"))</f>
        <v>24,12%</v>
      </c>
      <c r="X8" s="103" t="str">
        <f ca="1">IF(TIPOORCAMENTO="Licitado",Import.CTEF,TEXT(H5,"0,00%"))</f>
        <v>0,00%</v>
      </c>
      <c r="Y8" s="680" t="s">
        <v>208</v>
      </c>
      <c r="Z8" s="680" t="s">
        <v>209</v>
      </c>
      <c r="AA8" s="104"/>
      <c r="AB8" s="104"/>
      <c r="AE8" s="90" t="s">
        <v>204</v>
      </c>
      <c r="AF8" s="91" t="b">
        <v>1</v>
      </c>
      <c r="AJ8" s="720"/>
      <c r="AL8" s="718"/>
    </row>
    <row r="9" spans="1:40" ht="12.75" customHeight="1" x14ac:dyDescent="0.2">
      <c r="F9" s="721" t="str">
        <f ca="1">IF(LEN(INFO("release"))&gt;5,"'Referência "&amp;Excel_BuiltIn_Database&amp;".xlsm'#Banco.$d$3","'[Referência "&amp;Excel_BuiltIn_Database&amp;".xlsm]Banco'!$d$3")</f>
        <v>'[Referência 04-2026.xlsm]Banco'!$d$3</v>
      </c>
      <c r="G9" s="721"/>
      <c r="H9" s="721"/>
      <c r="I9" s="721"/>
      <c r="J9" s="721"/>
      <c r="K9" s="721"/>
      <c r="L9" s="680"/>
      <c r="Y9" s="680"/>
      <c r="Z9" s="680"/>
      <c r="AE9" s="90" t="s">
        <v>210</v>
      </c>
      <c r="AF9" s="91" t="b">
        <v>1</v>
      </c>
      <c r="AJ9" s="720"/>
      <c r="AL9" s="718"/>
    </row>
    <row r="10" spans="1:40" x14ac:dyDescent="0.2">
      <c r="G10" s="86"/>
      <c r="H10" s="86"/>
      <c r="L10" s="680"/>
      <c r="Y10" s="680"/>
      <c r="Z10" s="680"/>
      <c r="AC10" s="105" t="s">
        <v>212</v>
      </c>
      <c r="AE10" s="90" t="s">
        <v>211</v>
      </c>
      <c r="AF10" s="91" t="b">
        <v>1</v>
      </c>
      <c r="AJ10" s="720"/>
      <c r="AL10" s="718"/>
    </row>
    <row r="11" spans="1:40" x14ac:dyDescent="0.2">
      <c r="G11" s="86"/>
      <c r="H11" s="106"/>
      <c r="L11" s="680"/>
      <c r="Y11" s="680"/>
      <c r="Z11" s="680"/>
      <c r="AC11" s="107" t="str">
        <f ca="1">IF(COUNTIFS($L$15:$L$131,"F",$AC$15:$AC$131,"&lt;&gt;"&amp;" ")&gt;0,"NÃO OK","OK")</f>
        <v>OK</v>
      </c>
      <c r="AE11" s="90" t="s">
        <v>213</v>
      </c>
      <c r="AF11" s="91" t="b">
        <v>1</v>
      </c>
      <c r="AJ11" s="720"/>
      <c r="AL11" s="718"/>
    </row>
    <row r="12" spans="1:40" ht="20.100000000000001" customHeight="1" x14ac:dyDescent="0.2">
      <c r="G12" s="86"/>
      <c r="H12" s="86"/>
      <c r="L12" s="680"/>
      <c r="O12" s="658" t="str">
        <f ca="1">IF(COUNTIF($AC$15:$AC$131,"FONTE")&gt;0,"Falta preencher a Fonte (coluna P) na Linha "&amp;(14+MATCH("FONTE",$AC$15:$AC$131,0)),
 IF(COUNTIF($AC$15:$AC$131,"CÓDIGO")&gt;0,"Falta preencher o Código (coluna Q) na Linha "&amp;(14+MATCH("CÓDIGO",$AC$15:$AC$131,0)),
 IF(COUNTIF($AC$15:$AC$131,"CÓDIGO N/ID")&gt;0,"Código (coluna Q) não identificado na Linha "&amp;(14+MATCH("CÓDIGO N/ID",$AC$15:$AC$131,0))&amp;". Verifique se o código está correto ou busque outro código",
 IF(COUNTIF($AC$15:$AC$131,"DESCRIÇÃO")&gt;0,"Falta preencher a Descrição (coluna R) na Linha "&amp;(14+MATCH("DESCRIÇÃO",$AC$15:$AC$131,0)),
 IF(COUNTIF($AC$15:$AC$131,"UNIDADE")&gt;0,"Falta preencher a Unidade (coluna S) na Linha "&amp;(14+MATCH("UNIDADE",$AC$15:$AC$131,0)),
 IF(COUNTIF($AC$15:$AC$131,"SEM CUSTO")&gt;0,"Falta preencher o Custo Unitário (coluna U) na Linha "&amp;(14+MATCH("SEM CUSTO",$AC$15:$AC$131,0)),
 IF(COUNTIF($AC$15:$AC$131,"SEM PREÇO")&gt;0,"Falta preencher o Preço Unitário licitado (coluna AL) na Linha "&amp;(14+MATCH("SEM CUSTO",$AC$15:$AC$131,0)),
 IF(COUNTIF($AC$15:$AC$131,"BDI")&gt;0,"Falta definir o BDI (coluna V) na Linha "&amp;(14+MATCH("BDI",$AC$15:$AC$131,0)),
 IF(COUNTIF($AC$15:$AC$131,"ACIMA REF.")&gt;0,
         IF(TIPOORCAMENTO="Proposto","O custo unitário (coluna U) na Linha "&amp;(14+MATCH("ACIMA REF.",$AC$15:$AC$131,0))&amp;" está acima do custo referencial (coluna AG)",
            "O preço unitário licitado (coluna AL) na Linha "&amp;(14+MATCH("ACIMA REF.",$AC$15:$AC$131,0))&amp;" está acima do preço referencial do edital (coluna AN)"),
 IF(COUNTIF($AC$15:$AC$131,"QUANT.")&gt;0,"Falta a Quantidade do serviço na Linha "&amp;(14+MATCH("QUANT.",$AC$15:$AC$131,0))&amp;IF(ACOMPANHAMENTO="PLE",". Preencher na aba CÁLCULO",". Preencher na coluna AJ"),
 IF(COUNTIF($AC$15:$AC$131,"Código &gt;13")&gt;0,"O tamanho do código do serviço no TransfereGOV é limitado a 13 caracteres. Resuma o código (coluna Q) na Linha "&amp;(14+MATCH("Código &gt;13",$AC$15:$AC$131,0)),
 IF(COUNTIF($AC$15:$AC$131,"Descrição &gt;100")&gt;0,"O tamanho da descrição de macrosserviço no TransfereGOV é limitado a 100 caracteres. Resuma a descrição (coluna R) na Linha "&amp;(14+MATCH("Descrição &gt;100",$AC$15:$AC$131,0)),
 IF(COUNTIF($AC$15:$AC$131,"Descrição &gt;500")&gt;0,"O tamanho da descrição de serviço no TransfereGOV é limitado a 500 caracteres. Resuma a descrição (coluna R) na Linha "&amp;(14+MATCH("Descrição &gt;500",$AC$15:$AC$131,0)),
 IF(COUNTIF($AC$15:$AC$131,"Unid. Não Disp")&gt;0,"Unidade não disponível na lista do TransfereGOV. Reveja a unidade (coluna S) na Linha "&amp;(14+MATCH("Unid. Não Disp",$AC$15:$AC$131,0)),""))))))))))))))</f>
        <v/>
      </c>
      <c r="Y12" s="680"/>
      <c r="Z12" s="680"/>
      <c r="AA12" s="719" t="s">
        <v>214</v>
      </c>
      <c r="AB12" s="719"/>
      <c r="AJ12" s="108" t="s">
        <v>215</v>
      </c>
      <c r="AL12" s="490" t="s">
        <v>215</v>
      </c>
    </row>
    <row r="13" spans="1:40" ht="35.25" customHeight="1" x14ac:dyDescent="0.2">
      <c r="A13" s="109" t="s">
        <v>216</v>
      </c>
      <c r="B13" s="109" t="s">
        <v>217</v>
      </c>
      <c r="C13" s="109" t="s">
        <v>218</v>
      </c>
      <c r="D13" s="109" t="s">
        <v>219</v>
      </c>
      <c r="E13" s="109" t="s">
        <v>220</v>
      </c>
      <c r="F13" s="109" t="s">
        <v>221</v>
      </c>
      <c r="G13" s="109" t="s">
        <v>222</v>
      </c>
      <c r="H13" s="109" t="s">
        <v>223</v>
      </c>
      <c r="I13" s="109" t="s">
        <v>224</v>
      </c>
      <c r="J13" s="109" t="s">
        <v>225</v>
      </c>
      <c r="K13" s="109" t="s">
        <v>226</v>
      </c>
      <c r="L13" s="108" t="s">
        <v>215</v>
      </c>
      <c r="M13" s="109" t="s">
        <v>227</v>
      </c>
      <c r="N13" s="110" t="s">
        <v>228</v>
      </c>
      <c r="O13" s="109" t="s">
        <v>229</v>
      </c>
      <c r="P13" s="109" t="s">
        <v>230</v>
      </c>
      <c r="Q13" s="109" t="s">
        <v>231</v>
      </c>
      <c r="R13" s="109" t="s">
        <v>232</v>
      </c>
      <c r="S13" s="111" t="s">
        <v>233</v>
      </c>
      <c r="T13" s="109" t="s">
        <v>201</v>
      </c>
      <c r="U13" s="109" t="str">
        <f>IF(TIPOORCAMENTO="Licitado","","Custo Unitário (sem BDI) (R$)")</f>
        <v>Custo Unitário (sem BDI) (R$)</v>
      </c>
      <c r="V13" s="109" t="str">
        <f>IF(TIPOORCAMENTO="Licitado","","BDI
(%)")</f>
        <v>BDI
(%)</v>
      </c>
      <c r="W13" s="109" t="s">
        <v>234</v>
      </c>
      <c r="X13" s="109" t="s">
        <v>235</v>
      </c>
      <c r="Y13" s="108" t="s">
        <v>215</v>
      </c>
      <c r="Z13" s="108" t="s">
        <v>215</v>
      </c>
      <c r="AA13" s="112" t="s">
        <v>236</v>
      </c>
      <c r="AB13" s="113" t="s">
        <v>237</v>
      </c>
      <c r="AC13" s="109" t="s">
        <v>238</v>
      </c>
      <c r="AD13" s="114" t="s">
        <v>239</v>
      </c>
      <c r="AE13" s="114" t="s">
        <v>240</v>
      </c>
      <c r="AF13" s="114" t="s">
        <v>241</v>
      </c>
      <c r="AG13" s="166" t="s">
        <v>404</v>
      </c>
      <c r="AH13" s="452" t="str">
        <f>IF(TIPOORCAMENTO="LICITADO","Valor BDI Edital","Valor BDI")</f>
        <v>Valor BDI</v>
      </c>
      <c r="AJ13" s="304" t="s">
        <v>201</v>
      </c>
      <c r="AL13" s="304" t="s">
        <v>234</v>
      </c>
      <c r="AM13" s="166" t="s">
        <v>242</v>
      </c>
      <c r="AN13" s="167" t="s">
        <v>400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IF(OR($C14="S",$C14=0),0,MATCH(0,OFFSET($D14,1,$C14,ROW($C$131)-ROW($C14)),0))</f>
        <v>0</v>
      </c>
      <c r="K14">
        <f ca="1">IF(OR($C14="S",$C14=0),0,MATCH(OFFSET($D14,0,$C14)+IF($C14&lt;&gt;1,1,COUNTIF(QCI!$A$13:$A$24,ORÇAMENTO!E14)),OFFSET($D14,1,$C14,ROW($C$131)-ROW($C14)),0))</f>
        <v>0</v>
      </c>
      <c r="L14" s="116" t="str">
        <f ca="1">IF(OR($X14&gt;0,$C14=1,$C14=2,$C14=3,$C14=4),"F","")</f>
        <v/>
      </c>
      <c r="M14" s="117" t="s">
        <v>197</v>
      </c>
      <c r="N14" s="118" t="str">
        <f ca="1">CHOOSE(1+LOG(1+2*(C14=1)+4*(C14=2)+8*(C14=3)+16*(C14=4)+32*(C14="S"),2),"","Meta","Nível 2","Nível 3","Nível 4","Serviço")</f>
        <v>Serviço</v>
      </c>
      <c r="O14" s="119" t="str">
        <f ca="1">IF(OR($C14=0,$L14=""),"-",CONCATENATE(E14&amp;".",IF(AND($A$5&gt;=2,$C14&gt;=2),F14&amp;".",""),IF(AND($A$5&gt;=3,$C14&gt;=3),G14&amp;".",""),IF(AND($A$5&gt;=4,$C14&gt;=4),H14&amp;".",""),IF($C14="S",I14&amp;".","")))</f>
        <v>-</v>
      </c>
      <c r="P14" s="120" t="s">
        <v>245</v>
      </c>
      <c r="Q14" s="121"/>
      <c r="R14" s="122" t="str">
        <f ca="1">IF($C14="S",REFERENCIA.Descricao,"(digite a descrição aqui)")</f>
        <v>(Sem Código)</v>
      </c>
      <c r="S14" s="123" t="str">
        <f ca="1">REFERENCIA.Unidade</f>
        <v>-</v>
      </c>
      <c r="T14" s="124">
        <f ca="1">OFFSET(CÁLCULO!H$15,ROW($T14)-ROW(T$15),0)</f>
        <v>0</v>
      </c>
      <c r="U14" s="125"/>
      <c r="V14" s="126" t="s">
        <v>155</v>
      </c>
      <c r="W14" s="124">
        <f ca="1">IF($C14="S",ROUND(IF(TIPOORCAMENTO="Proposto",ORÇAMENTO.CustoUnitario*(1+$AH14),ORÇAMENTO.PrecoUnitarioLicitado),15-13*$AF$10),0)</f>
        <v>0</v>
      </c>
      <c r="X14" s="127">
        <f ca="1">IF($C14="S",IF(OR(Import.TipoArredondamento&lt;&gt;"TransfereGOV",ACOMPANHAMENTO="BM"),VTOTAL1,SUM(OFFSET(CÁLCULO!$AI$15,ROW($X14)-ROW($X$15),1):OFFSET(CÁLCULO!$BB$15,ROW($X14)-ROW($X$15),-1))),IF($C14=0,0,ROUND(SomaAgrup,15-13*$AF$11)))</f>
        <v>0</v>
      </c>
      <c r="Y14" s="128" t="s">
        <v>243</v>
      </c>
      <c r="Z14" t="str">
        <f ca="1">IF(AND($C14="S",$X14&gt;0),IF(ISBLANK($Y14),"RA",LEFT($Y14,2)),"")</f>
        <v/>
      </c>
      <c r="AA14" s="129">
        <f ca="1">IF($C14="S",IF($Z14="CP",$X14,IF($Z14="RA",(($X14)*QCI!$AA$3),0)),SomaAgrup)</f>
        <v>0</v>
      </c>
      <c r="AB14" s="130">
        <f ca="1">IF($C14="S",IF($Z14="OU",ROUND($X14,2),0),SomaAgrup)</f>
        <v>0</v>
      </c>
      <c r="AC14" s="619" t="str">
        <f ca="1">IF($N14=""," ",
IF(AND($C14&lt;&gt;"S",OR($R14="",$R14="(digite a descrição aqui)")),"DESCRIÇÃO",
IF(AND($C14="S",OR($Q14&lt;&gt;0,$T14&gt;0,$U14&gt;0),$P14=0),"FONTE",
IF(AND($C14="S",$P14&lt;&gt;0,OR($T14&gt;0,$U14&gt;0),$Q14=0),"CÓDIGO",
IF(AND($C14="S",$P14&lt;&gt;0,$Q14&lt;&gt;0,$R14="(Código não identificado nas referências)"),"CÓDIGO N/ID",
IF(AND($C14="S",OR($R14="",$R14="(digite a descrição aqui)"),OR($Q14&lt;&gt;0,$T14&gt;0,$U14&gt;0)),"DESCRIÇÃO",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53">
        <f ca="1">ROUND(IF(DESONERACAO="sim",REFERENCIA.Desonerado,REFERENCIA.NaoDesonerado),2)</f>
        <v>0</v>
      </c>
      <c r="AH14" s="454">
        <f ca="1">ROUND(IF(ISNUMBER(ORÇAMENTO.OpcaoBDI),ORÇAMENTO.OpcaoBDI,IF(LEFT(ORÇAMENTO.OpcaoBDI,3)="BDI",HLOOKUP(ORÇAMENTO.OpcaoBDI,$F$4:$H$5,2,FALSE),0)),15-11*$AF$9)</f>
        <v>0.24199999999999999</v>
      </c>
      <c r="AJ14" s="456"/>
      <c r="AL14" s="471"/>
      <c r="AM14" s="348">
        <f t="shared" ref="AM14:AM20" ca="1" si="0">$X14</f>
        <v>0</v>
      </c>
      <c r="AN14" s="504">
        <f ca="1">ROUND(ORÇAMENTO.CustoUnitario*(1+$AH14),2)</f>
        <v>0</v>
      </c>
    </row>
    <row r="15" spans="1:40" ht="12.75" customHeight="1" x14ac:dyDescent="0.2">
      <c r="A15">
        <v>0</v>
      </c>
      <c r="C15" t="s">
        <v>148</v>
      </c>
      <c r="D15">
        <f ca="1">COUNTA(OFFSET(D15,1,0):D$131)</f>
        <v>115</v>
      </c>
      <c r="E15">
        <v>0</v>
      </c>
      <c r="L15" s="116" t="s">
        <v>244</v>
      </c>
      <c r="M15" s="132" t="str">
        <f>IF(TIPOORCAMENTO="LICITADO","CTEF","LOTE")</f>
        <v>LOTE</v>
      </c>
      <c r="N15" s="132" t="str">
        <f>IF(TIPOORCAMENTO="LICITADO","CTEF","LOTE")</f>
        <v>LOTE</v>
      </c>
      <c r="O15" s="724" t="str">
        <f>Import.DescLote</f>
        <v>RUA COBERTA MUNICIPAL</v>
      </c>
      <c r="P15" s="725"/>
      <c r="Q15" s="725"/>
      <c r="R15" s="725"/>
      <c r="S15" s="133"/>
      <c r="T15" s="134"/>
      <c r="U15" s="134"/>
      <c r="V15" s="135"/>
      <c r="W15" s="134"/>
      <c r="X15" s="136">
        <f ca="1">SUMIF(OFFSET($C15,1,0,ROW(X131)-ROW(X15)-1),"S",OFFSET(X15,1,0,ROW(X131)-ROW(X15)-1))</f>
        <v>1343349.7099999993</v>
      </c>
      <c r="Y15" s="7"/>
      <c r="Z15" t="str">
        <f ca="1">IF(AND($C15="S",$X15&gt;0),LEFT($Y15,2),"")</f>
        <v/>
      </c>
      <c r="AA15" s="451">
        <f ca="1">SUMIF(OFFSET($C15,1,0,ROW(AA131)-ROW(AA15)-1),"S",OFFSET(AA15,1,0,ROW(AA131)-ROW(AA15)-1))</f>
        <v>1343349.7099999993</v>
      </c>
      <c r="AB15" s="137">
        <f ca="1">SUMIF(OFFSET($C15,1,0,ROW(AB131)-ROW(AB15)-1),"S",OFFSET(AB15,1,0,ROW(AB131)-ROW(AB15)-1))</f>
        <v>0</v>
      </c>
      <c r="AC15" s="131" t="s">
        <v>455</v>
      </c>
      <c r="AG15" s="473"/>
      <c r="AH15" s="474"/>
      <c r="AJ15" s="455"/>
      <c r="AL15" s="472"/>
      <c r="AM15" s="505">
        <f t="shared" ca="1" si="0"/>
        <v>1343349.7099999993</v>
      </c>
      <c r="AN15" s="506"/>
    </row>
    <row r="16" spans="1:40" x14ac:dyDescent="0.2">
      <c r="A16">
        <f t="shared" ref="A16:A20" si="1">CHOOSE(1+LOG(1+2*(ORÇAMENTO.Nivel="Meta")+4*(ORÇAMENTO.Nivel="Nível 2")+8*(ORÇAMENTO.Nivel="Nível 3")+16*(ORÇAMENTO.Nivel="Nível 4")+32*(ORÇAMENTO.Nivel="Serviço"),2),0,1,2,3,4,"S")</f>
        <v>1</v>
      </c>
      <c r="B16">
        <f t="shared" ref="B16:B20" ca="1" si="2">IF(OR(C16="s",C16=0),OFFSET(B16,-1,0),C16)</f>
        <v>1</v>
      </c>
      <c r="C16">
        <f t="shared" ref="C16:C20" ca="1" si="3">IF(OFFSET(C16,-1,0)="L",1,IF(OFFSET(C16,-1,0)=1,2,IF(OR(A16="s",A16=0),"S",IF(AND(OFFSET(C16,-1,0)=2,A16=4),3,IF(AND(OR(OFFSET(C16,-1,0)="s",OFFSET(C16,-1,0)=0),A16&lt;&gt;"s",A16&gt;OFFSET(B16,-1,0)),OFFSET(B16,-1,0),A16)))))</f>
        <v>1</v>
      </c>
      <c r="D16">
        <f t="shared" ref="D16:D20" ca="1" si="4">IF(OR(C16="S",C16=0),0,IF(ISERROR(K16),J16,SMALL(J16:K16,1)))</f>
        <v>115</v>
      </c>
      <c r="E16">
        <f ca="1">IF($C16=1,OFFSET(E16,-1,0)+MAX(1,COUNTIF(QCI!$A$13:$A$24,OFFSET(ORÇAMENTO!E16,-1,0))),OFFSET(E16,-1,0))</f>
        <v>1</v>
      </c>
      <c r="F16">
        <f t="shared" ref="F16:F20" ca="1" si="5">IF($C16=1,0,IF($C16=2,OFFSET(F16,-1,0)+1,OFFSET(F16,-1,0)))</f>
        <v>0</v>
      </c>
      <c r="G16">
        <f t="shared" ref="G16:G20" ca="1" si="6">IF(AND($C16&lt;=2,$C16&lt;&gt;0),0,IF($C16=3,OFFSET(G16,-1,0)+1,OFFSET(G16,-1,0)))</f>
        <v>0</v>
      </c>
      <c r="H16">
        <f t="shared" ref="H16:H20" ca="1" si="7">IF(AND($C16&lt;=3,$C16&lt;&gt;0),0,IF($C16=4,OFFSET(H16,-1,0)+1,OFFSET(H16,-1,0)))</f>
        <v>0</v>
      </c>
      <c r="I16">
        <f t="shared" ref="I16:I20" ca="1" si="8">IF(AND($C16&lt;=4,$C16&lt;&gt;0),0,IF(AND($C16="S",$X16&gt;0),OFFSET(I16,-1,0)+1,OFFSET(I16,-1,0)))</f>
        <v>0</v>
      </c>
      <c r="J16">
        <f t="shared" ref="J16:J49" ca="1" si="9">IF(OR($C16="S",$C16=0),0,MATCH(0,OFFSET($D16,1,$C16,ROW($C$131)-ROW($C16)),0))</f>
        <v>115</v>
      </c>
      <c r="K16" t="e">
        <f ca="1">IF(OR($C16="S",$C16=0),0,MATCH(OFFSET($D16,0,$C16)+IF($C16&lt;&gt;1,1,COUNTIF(QCI!$A$13:$A$24,ORÇAMENTO!E16)),OFFSET($D16,1,$C16,ROW($C$131)-ROW($C16)),0))</f>
        <v>#N/A</v>
      </c>
      <c r="L16" s="116" t="str">
        <f t="shared" ref="L16:L20" ca="1" si="10">IF(OR($X16&gt;0,$C16=1,$C16=2,$C16=3,$C16=4),"F","")</f>
        <v>F</v>
      </c>
      <c r="M16" s="117" t="s">
        <v>193</v>
      </c>
      <c r="N16" s="118" t="str">
        <f t="shared" ref="N16:N20" ca="1" si="11">CHOOSE(1+LOG(1+2*(C16=1)+4*(C16=2)+8*(C16=3)+16*(C16=4)+32*(C16="S"),2),"","Meta","Nível 2","Nível 3","Nível 4","Serviço")</f>
        <v>Meta</v>
      </c>
      <c r="O16" s="119" t="str">
        <f t="shared" ref="O16:O20" ca="1" si="12">IF(OR($C16=0,$L16=""),"-",CONCATENATE(E16&amp;".",IF(AND($A$5&gt;=2,$C16&gt;=2),F16&amp;".",""),IF(AND($A$5&gt;=3,$C16&gt;=3),G16&amp;".",""),IF(AND($A$5&gt;=4,$C16&gt;=4),H16&amp;".",""),IF($C16="S",I16&amp;".","")))</f>
        <v>1.</v>
      </c>
      <c r="P16" s="120" t="s">
        <v>245</v>
      </c>
      <c r="Q16" s="121"/>
      <c r="R16" s="122" t="s">
        <v>1051</v>
      </c>
      <c r="S16" s="123" t="str">
        <f ca="1">REFERENCIA.Unidade</f>
        <v>-</v>
      </c>
      <c r="T16" s="124">
        <f ca="1">OFFSET(CÁLCULO!H$15,ROW($T16)-ROW(T$15),0)</f>
        <v>0</v>
      </c>
      <c r="U16" s="125"/>
      <c r="V16" s="126" t="s">
        <v>155</v>
      </c>
      <c r="W16" s="124">
        <f ca="1">IF($C16="S",ROUND(IF(TIPOORCAMENTO="Proposto",ORÇAMENTO.CustoUnitario*(1+$AH16),ORÇAMENTO.PrecoUnitarioLicitado),15-13*$AF$10),0)</f>
        <v>0</v>
      </c>
      <c r="X16" s="127">
        <f ca="1">IF($C16="S",IF(OR(Import.TipoArredondamento&lt;&gt;"TransfereGOV",ACOMPANHAMENTO="BM"),VTOTAL1,SUM(OFFSET(CÁLCULO!$AI$15,ROW($X16)-ROW($X$15),1):OFFSET(CÁLCULO!$BB$15,ROW($X16)-ROW($X$15),-1))),IF($C16=0,0,ROUND(SomaAgrup,15-13*$AF$11)))</f>
        <v>1343349.71</v>
      </c>
      <c r="Y16" s="128" t="s">
        <v>243</v>
      </c>
      <c r="Z16" t="str">
        <f t="shared" ref="Z16:Z20" ca="1" si="13">IF(AND($C16="S",$X16&gt;0),IF(ISBLANK($Y16),"RA",LEFT($Y16,2)),"")</f>
        <v/>
      </c>
      <c r="AA16" s="129">
        <f ca="1">IF($C16="S",IF($Z16="CP",$X16,IF($Z16="RA",(($X16)*QCI!$AA$3),0)),SomaAgrup)</f>
        <v>1343349.7099999993</v>
      </c>
      <c r="AB16" s="130">
        <f t="shared" ref="AB16:AB20" ca="1" si="14">IF($C16="S",IF($Z16="OU",ROUND($X16,2),0),SomaAgrup)</f>
        <v>0</v>
      </c>
      <c r="AC16" s="619" t="str">
        <f ca="1">IF($N16=""," ",
IF(AND($C16&lt;&gt;"S",OR($R16="",$R16="(digite a descrição aqui)")),"DESCRIÇÃO",
IF(AND($C16="S",OR($Q16&lt;&gt;0,$T16&gt;0,$U16&gt;0),$P16=0),"FONTE",
IF(AND($C16="S",$P16&lt;&gt;0,OR($T16&gt;0,$U16&gt;0),$Q16=0),"CÓDIGO",
IF(AND($C16="S",$P16&lt;&gt;0,$Q16&lt;&gt;0,$R16="(Código não identificado nas referências)"),"CÓDIGO N/ID",
IF(AND($C16="S",OR($R16="",$R16="(digite a descrição aqui)"),OR($Q16&lt;&gt;0,$T16&gt;0,$U16&gt;0)),"DESCRIÇÃO",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53">
        <f ca="1">ROUND(IF(DESONERACAO="sim",REFERENCIA.Desonerado,REFERENCIA.NaoDesonerado),2)</f>
        <v>0</v>
      </c>
      <c r="AH16" s="454">
        <f t="shared" ref="AH16:AH20" ca="1" si="15">ROUND(IF(ISNUMBER(ORÇAMENTO.OpcaoBDI),ORÇAMENTO.OpcaoBDI,IF(LEFT(ORÇAMENTO.OpcaoBDI,3)="BDI",HLOOKUP(ORÇAMENTO.OpcaoBDI,$F$4:$H$5,2,FALSE),0)),15-11*$AF$9)</f>
        <v>0.24199999999999999</v>
      </c>
      <c r="AJ16" s="456"/>
      <c r="AL16" s="471"/>
      <c r="AM16" s="348">
        <f t="shared" ca="1" si="0"/>
        <v>1343349.71</v>
      </c>
      <c r="AN16" s="504">
        <f t="shared" ref="AN16:AN20" ca="1" si="16">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114</v>
      </c>
      <c r="K17">
        <f ca="1">IF(OR($C17="S",$C17=0),0,MATCH(OFFSET($D17,0,$C17)+IF($C17&lt;&gt;1,1,COUNTIF(QCI!$A$13:$A$24,ORÇAMENTO!E17)),OFFSET($D17,1,$C17,ROW($C$131)-ROW($C17)),0))</f>
        <v>2</v>
      </c>
      <c r="L17" s="116" t="str">
        <f t="shared" ca="1" si="10"/>
        <v>F</v>
      </c>
      <c r="M17" s="117" t="s">
        <v>194</v>
      </c>
      <c r="N17" s="118" t="str">
        <f t="shared" ca="1" si="11"/>
        <v>Nível 2</v>
      </c>
      <c r="O17" s="119" t="str">
        <f t="shared" ca="1" si="12"/>
        <v>1.1.</v>
      </c>
      <c r="P17" s="120" t="s">
        <v>245</v>
      </c>
      <c r="Q17" s="121"/>
      <c r="R17" s="122" t="s">
        <v>937</v>
      </c>
      <c r="S17" s="123" t="str">
        <f ca="1">REFERENCIA.Unidade</f>
        <v>-</v>
      </c>
      <c r="T17" s="124">
        <f ca="1">OFFSET(CÁLCULO!H$15,ROW($T17)-ROW(T$15),0)</f>
        <v>0</v>
      </c>
      <c r="U17" s="125"/>
      <c r="V17" s="126" t="s">
        <v>155</v>
      </c>
      <c r="W17" s="124">
        <f ca="1">IF($C17="S",ROUND(IF(TIPOORCAMENTO="Proposto",ORÇAMENTO.CustoUnitario*(1+$AH17),ORÇAMENTO.PrecoUnitarioLicitado),15-13*$AF$10),0)</f>
        <v>0</v>
      </c>
      <c r="X17" s="127">
        <f ca="1">IF($C17="S",IF(OR(Import.TipoArredondamento&lt;&gt;"TransfereGOV",ACOMPANHAMENTO="BM"),VTOTAL1,SUM(OFFSET(CÁLCULO!$AI$15,ROW($X17)-ROW($X$15),1):OFFSET(CÁLCULO!$BB$15,ROW($X17)-ROW($X$15),-1))),IF($C17=0,0,ROUND(SomaAgrup,15-13*$AF$11)))</f>
        <v>1786.09</v>
      </c>
      <c r="Y17" s="128" t="s">
        <v>243</v>
      </c>
      <c r="Z17" t="str">
        <f t="shared" ca="1" si="13"/>
        <v/>
      </c>
      <c r="AA17" s="129">
        <f ca="1">IF($C17="S",IF($Z17="CP",$X17,IF($Z17="RA",(($X17)*QCI!$AA$3),0)),SomaAgrup)</f>
        <v>1786.09</v>
      </c>
      <c r="AB17" s="130">
        <f t="shared" ca="1" si="14"/>
        <v>0</v>
      </c>
      <c r="AC17" s="619" t="str">
        <f ca="1">IF($N17=""," ",
IF(AND($C17&lt;&gt;"S",OR($R17="",$R17="(digite a descrição aqui)")),"DESCRIÇÃO",
IF(AND($C17="S",OR($Q17&lt;&gt;0,$T17&gt;0,$U17&gt;0),$P17=0),"FONTE",
IF(AND($C17="S",$P17&lt;&gt;0,OR($T17&gt;0,$U17&gt;0),$Q17=0),"CÓDIGO",
IF(AND($C17="S",$P17&lt;&gt;0,$Q17&lt;&gt;0,$R17="(Código não identificado nas referências)"),"CÓDIGO N/ID",
IF(AND($C17="S",OR($R17="",$R17="(digite a descrição aqui)"),OR($Q17&lt;&gt;0,$T17&gt;0,$U17&gt;0)),"DESCRIÇÃO",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53">
        <f ca="1">ROUND(IF(DESONERACAO="sim",REFERENCIA.Desonerado,REFERENCIA.NaoDesonerado),2)</f>
        <v>0</v>
      </c>
      <c r="AH17" s="454">
        <f t="shared" ca="1" si="15"/>
        <v>0.24199999999999999</v>
      </c>
      <c r="AJ17" s="456"/>
      <c r="AL17" s="471"/>
      <c r="AM17" s="348">
        <f t="shared" ca="1" si="0"/>
        <v>1786.09</v>
      </c>
      <c r="AN17" s="504">
        <f t="shared" ca="1" si="16"/>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IF(OR($C18="S",$C18=0),0,MATCH(OFFSET($D18,0,$C18)+IF($C18&lt;&gt;1,1,COUNTIF(QCI!$A$13:$A$24,ORÇAMENTO!E18)),OFFSET($D18,1,$C18,ROW($C$131)-ROW($C18)),0))</f>
        <v>0</v>
      </c>
      <c r="L18" s="116" t="str">
        <f t="shared" ca="1" si="10"/>
        <v>F</v>
      </c>
      <c r="M18" s="117" t="s">
        <v>197</v>
      </c>
      <c r="N18" s="118" t="str">
        <f t="shared" ca="1" si="11"/>
        <v>Serviço</v>
      </c>
      <c r="O18" s="119" t="str">
        <f t="shared" ca="1" si="12"/>
        <v>1.1.0.0.1.</v>
      </c>
      <c r="P18" s="120" t="s">
        <v>245</v>
      </c>
      <c r="Q18" s="121" t="s">
        <v>938</v>
      </c>
      <c r="R18" s="122" t="str">
        <f ca="1">IF($C18="S",REFERENCIA.Descricao,"(digite a descrição aqui)")</f>
        <v>FORNECIMENTO E INSTALAÇÃO DE PLACA DE OBRA COM CHAPA GALVANIZADA E ESTRUTURA DE MADEIRA. AF_03/2022_PS</v>
      </c>
      <c r="S18" s="123" t="str">
        <f ca="1">REFERENCIA.Unidade</f>
        <v>M2</v>
      </c>
      <c r="T18" s="124">
        <f ca="1">OFFSET(CÁLCULO!H$15,ROW($T18)-ROW(T$15),0)</f>
        <v>2.88</v>
      </c>
      <c r="U18" s="125">
        <f t="shared" ref="U18:U128" ca="1" si="17">AG18</f>
        <v>499.33</v>
      </c>
      <c r="V18" s="126" t="s">
        <v>155</v>
      </c>
      <c r="W18" s="124">
        <f ca="1">IF($C18="S",ROUND(IF(TIPOORCAMENTO="Proposto",ORÇAMENTO.CustoUnitario*(1+$AH18),ORÇAMENTO.PrecoUnitarioLicitado),15-13*$AF$10),0)</f>
        <v>620.16999999999996</v>
      </c>
      <c r="X18" s="127">
        <f ca="1">IF($C18="S",IF(OR(Import.TipoArredondamento&lt;&gt;"TransfereGOV",ACOMPANHAMENTO="BM"),VTOTAL1,SUM(OFFSET(CÁLCULO!$AI$15,ROW($X18)-ROW($X$15),1):OFFSET(CÁLCULO!$BB$15,ROW($X18)-ROW($X$15),-1))),IF($C18=0,0,ROUND(SomaAgrup,15-13*$AF$11)))</f>
        <v>1786.09</v>
      </c>
      <c r="Y18" s="128" t="s">
        <v>243</v>
      </c>
      <c r="Z18" t="str">
        <f t="shared" ca="1" si="13"/>
        <v>RA</v>
      </c>
      <c r="AA18" s="129">
        <f ca="1">IF($C18="S",IF($Z18="CP",$X18,IF($Z18="RA",(($X18)*QCI!$AA$3),0)),SomaAgrup)</f>
        <v>1786.09</v>
      </c>
      <c r="AB18" s="130">
        <f t="shared" ca="1" si="14"/>
        <v>0</v>
      </c>
      <c r="AC18" s="619" t="str">
        <f ca="1">IF($N18=""," ",
IF(AND($C18&lt;&gt;"S",OR($R18="",$R18="(digite a descrição aqui)")),"DESCRIÇÃO",
IF(AND($C18="S",OR($Q18&lt;&gt;0,$T18&gt;0,$U18&gt;0),$P18=0),"FONTE",
IF(AND($C18="S",$P18&lt;&gt;0,OR($T18&gt;0,$U18&gt;0),$Q18=0),"CÓDIGO",
IF(AND($C18="S",$P18&lt;&gt;0,$Q18&lt;&gt;0,$R18="(Código não identificado nas referências)"),"CÓDIGO N/ID",
IF(AND($C18="S",OR($R18="",$R18="(digite a descrição aqui)"),OR($Q18&lt;&gt;0,$T18&gt;0,$U18&gt;0)),"DESCRIÇÃO",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ca="1">IF(AND($C18="S",ORÇAMENTO.CodBarra&lt;&gt;""),IF(ORÇAMENTO.Fonte="",ORÇAMENTO.CodBarra,CONCATENATE(ORÇAMENTO.Fonte," ",ORÇAMENTO.CodBarra)))</f>
        <v>SINAPI 103689</v>
      </c>
      <c r="AF18" s="13">
        <f ca="1">IF(ISERROR(INDIRECT(ORÇAMENTO.BancoRef)),"(abra o arquivo 'Referência "&amp;Excel_BuiltIn_Database&amp;".xlsm)",IF(OR($C18&lt;&gt;"S",ORÇAMENTO.CodBarra=""),"(Sem Código)",IF(ISERROR(MATCH($AE18,INDIRECT(ORÇAMENTO.BancoRef),0)),"(Código não identificado nas referências)",MATCH($AE18,INDIRECT(ORÇAMENTO.BancoRef),0))))</f>
        <v>15515</v>
      </c>
      <c r="AG18" s="453">
        <f ca="1">ROUND(IF(DESONERACAO="sim",REFERENCIA.Desonerado,REFERENCIA.NaoDesonerado),2)</f>
        <v>499.33</v>
      </c>
      <c r="AH18" s="454">
        <f t="shared" ca="1" si="15"/>
        <v>0.24199999999999999</v>
      </c>
      <c r="AJ18" s="456"/>
      <c r="AL18" s="471"/>
      <c r="AM18" s="348">
        <f t="shared" ca="1" si="0"/>
        <v>1786.09</v>
      </c>
      <c r="AN18" s="504">
        <f t="shared" ca="1" si="16"/>
        <v>620.16999999999996</v>
      </c>
    </row>
    <row r="19" spans="1:40" x14ac:dyDescent="0.2">
      <c r="A19">
        <f t="shared" si="1"/>
        <v>2</v>
      </c>
      <c r="B19">
        <f t="shared" ca="1" si="2"/>
        <v>2</v>
      </c>
      <c r="C19">
        <f t="shared" ca="1" si="3"/>
        <v>2</v>
      </c>
      <c r="D19">
        <f t="shared" ca="1" si="4"/>
        <v>2</v>
      </c>
      <c r="E19">
        <f ca="1">IF($C19=1,OFFSET(E19,-1,0)+MAX(1,COUNTIF(QCI!$A$13:$A$24,OFFSET(ORÇAMENTO!E19,-1,0))),OFFSET(E19,-1,0))</f>
        <v>1</v>
      </c>
      <c r="F19">
        <f t="shared" ca="1" si="5"/>
        <v>2</v>
      </c>
      <c r="G19">
        <f t="shared" ca="1" si="6"/>
        <v>0</v>
      </c>
      <c r="H19">
        <f t="shared" ca="1" si="7"/>
        <v>0</v>
      </c>
      <c r="I19">
        <f t="shared" ca="1" si="8"/>
        <v>0</v>
      </c>
      <c r="J19">
        <f t="shared" ca="1" si="9"/>
        <v>112</v>
      </c>
      <c r="K19">
        <f ca="1">IF(OR($C19="S",$C19=0),0,MATCH(OFFSET($D19,0,$C19)+IF($C19&lt;&gt;1,1,COUNTIF(QCI!$A$13:$A$24,ORÇAMENTO!E19)),OFFSET($D19,1,$C19,ROW($C$131)-ROW($C19)),0))</f>
        <v>2</v>
      </c>
      <c r="L19" s="116" t="str">
        <f t="shared" ca="1" si="10"/>
        <v>F</v>
      </c>
      <c r="M19" s="117" t="s">
        <v>194</v>
      </c>
      <c r="N19" s="118" t="str">
        <f t="shared" ca="1" si="11"/>
        <v>Nível 2</v>
      </c>
      <c r="O19" s="119" t="str">
        <f t="shared" ca="1" si="12"/>
        <v>1.2.</v>
      </c>
      <c r="P19" s="120" t="s">
        <v>245</v>
      </c>
      <c r="Q19" s="121"/>
      <c r="R19" s="122" t="s">
        <v>1071</v>
      </c>
      <c r="S19" s="123" t="str">
        <f ca="1">REFERENCIA.Unidade</f>
        <v>-</v>
      </c>
      <c r="T19" s="124">
        <f ca="1">OFFSET(CÁLCULO!H$15,ROW($T19)-ROW(T$15),0)</f>
        <v>0</v>
      </c>
      <c r="U19" s="125">
        <f t="shared" ca="1" si="17"/>
        <v>0</v>
      </c>
      <c r="V19" s="126" t="s">
        <v>155</v>
      </c>
      <c r="W19" s="124">
        <f ca="1">IF($C19="S",ROUND(IF(TIPOORCAMENTO="Proposto",ORÇAMENTO.CustoUnitario*(1+$AH19),ORÇAMENTO.PrecoUnitarioLicitado),15-13*$AF$10),0)</f>
        <v>0</v>
      </c>
      <c r="X19" s="127">
        <f ca="1">IF($C19="S",IF(OR(Import.TipoArredondamento&lt;&gt;"TransfereGOV",ACOMPANHAMENTO="BM"),VTOTAL1,SUM(OFFSET(CÁLCULO!$AI$15,ROW($X19)-ROW($X$15),1):OFFSET(CÁLCULO!$BB$15,ROW($X19)-ROW($X$15),-1))),IF($C19=0,0,ROUND(SomaAgrup,15-13*$AF$11)))</f>
        <v>86506.2</v>
      </c>
      <c r="Y19" s="128" t="s">
        <v>243</v>
      </c>
      <c r="Z19" t="str">
        <f t="shared" ca="1" si="13"/>
        <v/>
      </c>
      <c r="AA19" s="129">
        <f ca="1">IF($C19="S",IF($Z19="CP",$X19,IF($Z19="RA",(($X19)*QCI!$AA$3),0)),SomaAgrup)</f>
        <v>86506.2</v>
      </c>
      <c r="AB19" s="130">
        <f t="shared" ca="1" si="14"/>
        <v>0</v>
      </c>
      <c r="AC19" s="619" t="str">
        <f ca="1">IF($N19=""," ",
IF(AND($C19&lt;&gt;"S",OR($R19="",$R19="(digite a descrição aqui)")),"DESCRIÇÃO",
IF(AND($C19="S",OR($Q19&lt;&gt;0,$T19&gt;0,$U19&gt;0),$P19=0),"FONTE",
IF(AND($C19="S",$P19&lt;&gt;0,OR($T19&gt;0,$U19&gt;0),$Q19=0),"CÓDIGO",
IF(AND($C19="S",$P19&lt;&gt;0,$Q19&lt;&gt;0,$R19="(Código não identificado nas referências)"),"CÓDIGO N/ID",
IF(AND($C19="S",OR($R19="",$R19="(digite a descrição aqui)"),OR($Q19&lt;&gt;0,$T19&gt;0,$U19&gt;0)),"DESCRIÇÃO",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f ca="1">IF(AND($C19="S",ORÇAMENTO.CodBarra&lt;&gt;""),IF(ORÇAMENTO.Fonte="",ORÇAMENTO.CodBarra,CONCATENATE(ORÇAMENTO.Fonte," ",ORÇAMENTO.CodBarra)))</f>
        <v>0</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(Sem Código)</v>
      </c>
      <c r="AG19" s="453">
        <f ca="1">ROUND(IF(DESONERACAO="sim",REFERENCIA.Desonerado,REFERENCIA.NaoDesonerado),2)</f>
        <v>0</v>
      </c>
      <c r="AH19" s="454">
        <f t="shared" ca="1" si="15"/>
        <v>0.24199999999999999</v>
      </c>
      <c r="AJ19" s="456"/>
      <c r="AL19" s="471"/>
      <c r="AM19" s="348">
        <f t="shared" ca="1" si="0"/>
        <v>86506.2</v>
      </c>
      <c r="AN19" s="504">
        <f t="shared" ca="1" si="16"/>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1</v>
      </c>
      <c r="J20">
        <f t="shared" ca="1" si="9"/>
        <v>0</v>
      </c>
      <c r="K20">
        <f ca="1">IF(OR($C20="S",$C20=0),0,MATCH(OFFSET($D20,0,$C20)+IF($C20&lt;&gt;1,1,COUNTIF(QCI!$A$13:$A$24,ORÇAMENTO!E20)),OFFSET($D20,1,$C20,ROW($C$131)-ROW($C20)),0))</f>
        <v>0</v>
      </c>
      <c r="L20" s="116" t="str">
        <f t="shared" ca="1" si="10"/>
        <v>F</v>
      </c>
      <c r="M20" s="117" t="s">
        <v>197</v>
      </c>
      <c r="N20" s="118" t="str">
        <f t="shared" ca="1" si="11"/>
        <v>Serviço</v>
      </c>
      <c r="O20" s="119" t="str">
        <f t="shared" ca="1" si="12"/>
        <v>1.2.0.0.1.</v>
      </c>
      <c r="P20" s="120" t="s">
        <v>939</v>
      </c>
      <c r="Q20" s="121" t="s">
        <v>1072</v>
      </c>
      <c r="R20" s="122" t="str">
        <f ca="1">IF($C20="S",REFERENCIA.Descricao,"(digite a descrição aqui)")</f>
        <v>TAPUME EM CHAPA DE MADEIRA COMPENSADA 6MM</v>
      </c>
      <c r="S20" s="123" t="str">
        <f ca="1">REFERENCIA.Unidade</f>
        <v xml:space="preserve">M2    </v>
      </c>
      <c r="T20" s="124">
        <f ca="1">OFFSET(CÁLCULO!H$15,ROW($T20)-ROW(T$15),0)</f>
        <v>1530</v>
      </c>
      <c r="U20" s="125">
        <f t="shared" ca="1" si="17"/>
        <v>45.52</v>
      </c>
      <c r="V20" s="126" t="s">
        <v>155</v>
      </c>
      <c r="W20" s="124">
        <f ca="1">IF($C20="S",ROUND(IF(TIPOORCAMENTO="Proposto",ORÇAMENTO.CustoUnitario*(1+$AH20),ORÇAMENTO.PrecoUnitarioLicitado),15-13*$AF$10),0)</f>
        <v>56.54</v>
      </c>
      <c r="X20" s="127">
        <f ca="1">IF($C20="S",IF(OR(Import.TipoArredondamento&lt;&gt;"TransfereGOV",ACOMPANHAMENTO="BM"),VTOTAL1,SUM(OFFSET(CÁLCULO!$AI$15,ROW($X20)-ROW($X$15),1):OFFSET(CÁLCULO!$BB$15,ROW($X20)-ROW($X$15),-1))),IF($C20=0,0,ROUND(SomaAgrup,15-13*$AF$11)))</f>
        <v>86506.2</v>
      </c>
      <c r="Y20" s="128" t="s">
        <v>243</v>
      </c>
      <c r="Z20" t="str">
        <f t="shared" ca="1" si="13"/>
        <v>RA</v>
      </c>
      <c r="AA20" s="129">
        <f ca="1">IF($C20="S",IF($Z20="CP",$X20,IF($Z20="RA",(($X20)*QCI!$AA$3),0)),SomaAgrup)</f>
        <v>86506.2</v>
      </c>
      <c r="AB20" s="130">
        <f t="shared" ca="1" si="14"/>
        <v>0</v>
      </c>
      <c r="AC20" s="619" t="str">
        <f ca="1">IF($N20=""," ",
IF(AND($C20&lt;&gt;"S",OR($R20="",$R20="(digite a descrição aqui)")),"DESCRIÇÃO",
IF(AND($C20="S",OR($Q20&lt;&gt;0,$T20&gt;0,$U20&gt;0),$P20=0),"FONTE",
IF(AND($C20="S",$P20&lt;&gt;0,OR($T20&gt;0,$U20&gt;0),$Q20=0),"CÓDIGO",
IF(AND($C20="S",$P20&lt;&gt;0,$Q20&lt;&gt;0,$R20="(Código não identificado nas referências)"),"CÓDIGO N/ID",
IF(AND($C20="S",OR($R20="",$R20="(digite a descrição aqui)"),OR($Q20&lt;&gt;0,$T20&gt;0,$U20&gt;0)),"DESCRIÇÃO",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f ca="1">IF(AND($C20="S",ORÇAMENTO.CodBarra&lt;&gt;""),IF(ORÇAMENTO.Fonte="",ORÇAMENTO.CodBarra,CONCATENATE(ORÇAMENTO.Fonte," ",ORÇAMENTO.CodBarra)))</f>
        <v>Composição AMAUC 01</v>
      </c>
      <c r="AF20" s="13">
        <f ca="1">IF(ISERROR(INDIRECT(ORÇAMENTO.BancoRef)),"(abra o arquivo 'Referência "&amp;Excel_BuiltIn_Database&amp;".xlsm)",IF(OR($C20&lt;&gt;"S",ORÇAMENTO.CodBarra=""),"(Sem Código)",IF(ISERROR(MATCH($AE20,INDIRECT(ORÇAMENTO.BancoRef),0)),"(Código não identificado nas referências)",MATCH($AE20,INDIRECT(ORÇAMENTO.BancoRef),0))))</f>
        <v>3</v>
      </c>
      <c r="AG20" s="453">
        <f ca="1">ROUND(IF(DESONERACAO="sim",REFERENCIA.Desonerado,REFERENCIA.NaoDesonerado),2)</f>
        <v>45.52</v>
      </c>
      <c r="AH20" s="454">
        <f t="shared" ca="1" si="15"/>
        <v>0.24199999999999999</v>
      </c>
      <c r="AJ20" s="456"/>
      <c r="AL20" s="471"/>
      <c r="AM20" s="348">
        <f t="shared" ca="1" si="0"/>
        <v>86506.2</v>
      </c>
      <c r="AN20" s="504">
        <f t="shared" ca="1" si="16"/>
        <v>56.54</v>
      </c>
    </row>
    <row r="21" spans="1:40" x14ac:dyDescent="0.2">
      <c r="A21">
        <f>CHOOSE(1+LOG(1+2*(ORÇAMENTO.Nivel="Meta")+4*(ORÇAMENTO.Nivel="Nível 2")+8*(ORÇAMENTO.Nivel="Nível 3")+16*(ORÇAMENTO.Nivel="Nível 4")+32*(ORÇAMENTO.Nivel="Serviço"),2),0,1,2,3,4,"S")</f>
        <v>2</v>
      </c>
      <c r="B21">
        <f ca="1">IF(OR(C21="s",C21=0),OFFSET(B21,-1,0),C21)</f>
        <v>2</v>
      </c>
      <c r="C21">
        <f ca="1">IF(OFFSET(C21,-1,0)="L",1,IF(OFFSET(C21,-1,0)=1,2,IF(OR(A21="s",A21=0),"S",IF(AND(OFFSET(C21,-1,0)=2,A21=4),3,IF(AND(OR(OFFSET(C21,-1,0)="s",OFFSET(C21,-1,0)=0),A21&lt;&gt;"s",A21&gt;OFFSET(B21,-1,0)),OFFSET(B21,-1,0),A21)))))</f>
        <v>2</v>
      </c>
      <c r="D21">
        <f ca="1">IF(OR(C21="S",C21=0),0,IF(ISERROR(K21),J21,SMALL(J21:K21,1)))</f>
        <v>8</v>
      </c>
      <c r="E21">
        <f ca="1">IF($C21=1,OFFSET(E21,-1,0)+MAX(1,COUNTIF(QCI!$A$13:$A$24,OFFSET(ORÇAMENTO!E21,-1,0))),OFFSET(E21,-1,0))</f>
        <v>1</v>
      </c>
      <c r="F21">
        <f ca="1">IF($C21=1,0,IF($C21=2,OFFSET(F21,-1,0)+1,OFFSET(F21,-1,0)))</f>
        <v>3</v>
      </c>
      <c r="G21">
        <f ca="1">IF(AND($C21&lt;=2,$C21&lt;&gt;0),0,IF($C21=3,OFFSET(G21,-1,0)+1,OFFSET(G21,-1,0)))</f>
        <v>0</v>
      </c>
      <c r="H21">
        <f ca="1">IF(AND($C21&lt;=3,$C21&lt;&gt;0),0,IF($C21=4,OFFSET(H21,-1,0)+1,OFFSET(H21,-1,0)))</f>
        <v>0</v>
      </c>
      <c r="I21">
        <f ca="1">IF(AND($C21&lt;=4,$C21&lt;&gt;0),0,IF(AND($C21="S",$X21&gt;0),OFFSET(I21,-1,0)+1,OFFSET(I21,-1,0)))</f>
        <v>0</v>
      </c>
      <c r="J21">
        <f t="shared" ca="1" si="9"/>
        <v>110</v>
      </c>
      <c r="K21">
        <f ca="1">IF(OR($C21="S",$C21=0),0,MATCH(OFFSET($D21,0,$C21)+IF($C21&lt;&gt;1,1,COUNTIF(QCI!$A$13:$A$24,ORÇAMENTO!E21)),OFFSET($D21,1,$C21,ROW($C$131)-ROW($C21)),0))</f>
        <v>8</v>
      </c>
      <c r="L21" s="116" t="str">
        <f ca="1">IF(OR($X21&gt;0,$C21=1,$C21=2,$C21=3,$C21=4),"F","")</f>
        <v>F</v>
      </c>
      <c r="M21" s="117" t="s">
        <v>194</v>
      </c>
      <c r="N21" s="118" t="str">
        <f ca="1">CHOOSE(1+LOG(1+2*(C21=1)+4*(C21=2)+8*(C21=3)+16*(C21=4)+32*(C21="S"),2),"","Meta","Nível 2","Nível 3","Nível 4","Serviço")</f>
        <v>Nível 2</v>
      </c>
      <c r="O21" s="119" t="str">
        <f ca="1">IF(OR($C21=0,$L21=""),"-",CONCATENATE(E21&amp;".",IF(AND($A$5&gt;=2,$C21&gt;=2),F21&amp;".",""),IF(AND($A$5&gt;=3,$C21&gt;=3),G21&amp;".",""),IF(AND($A$5&gt;=4,$C21&gt;=4),H21&amp;".",""),IF($C21="S",I21&amp;".","")))</f>
        <v>1.3.</v>
      </c>
      <c r="P21" s="120" t="s">
        <v>245</v>
      </c>
      <c r="Q21" s="121"/>
      <c r="R21" s="122" t="s">
        <v>957</v>
      </c>
      <c r="S21" s="123" t="str">
        <f ca="1">REFERENCIA.Unidade</f>
        <v>-</v>
      </c>
      <c r="T21" s="124">
        <f ca="1">OFFSET(CÁLCULO!H$15,ROW($T21)-ROW(T$15),0)</f>
        <v>0</v>
      </c>
      <c r="U21" s="125">
        <f t="shared" ca="1" si="17"/>
        <v>0</v>
      </c>
      <c r="V21" s="126" t="s">
        <v>155</v>
      </c>
      <c r="W21" s="124">
        <f ca="1">IF($C21="S",ROUND(IF(TIPOORCAMENTO="Proposto",ORÇAMENTO.CustoUnitario*(1+$AH21),ORÇAMENTO.PrecoUnitarioLicitado),15-13*$AF$10),0)</f>
        <v>0</v>
      </c>
      <c r="X21" s="127">
        <f ca="1">IF($C21="S",IF(OR(Import.TipoArredondamento&lt;&gt;"TransfereGOV",ACOMPANHAMENTO="BM"),VTOTAL1,SUM(OFFSET(CÁLCULO!$AI$15,ROW($X21)-ROW($X$15),1):OFFSET(CÁLCULO!$BB$15,ROW($X21)-ROW($X$15),-1))),IF($C21=0,0,ROUND(SomaAgrup,15-13*$AF$11)))</f>
        <v>4402.6899999999996</v>
      </c>
      <c r="Y21" s="128" t="s">
        <v>243</v>
      </c>
      <c r="Z21" t="str">
        <f ca="1">IF(AND($C21="S",$X21&gt;0),IF(ISBLANK($Y21),"RA",LEFT($Y21,2)),"")</f>
        <v/>
      </c>
      <c r="AA21" s="129">
        <f ca="1">IF($C21="S",IF($Z21="CP",$X21,IF($Z21="RA",(($X21)*QCI!$AA$3),0)),SomaAgrup)</f>
        <v>4402.6900000000005</v>
      </c>
      <c r="AB21" s="130">
        <f ca="1">IF($C21="S",IF($Z21="OU",ROUND($X21,2),0),SomaAgrup)</f>
        <v>0</v>
      </c>
      <c r="AC21" s="619" t="str">
        <f ca="1">IF($N21=""," ",
IF(AND($C21&lt;&gt;"S",OR($R21="",$R21="(digite a descrição aqui)")),"DESCRIÇÃO",
IF(AND($C21="S",OR($Q21&lt;&gt;0,$T21&gt;0,$U21&gt;0),$P21=0),"FONTE",
IF(AND($C21="S",$P21&lt;&gt;0,OR($T21&gt;0,$U21&gt;0),$Q21=0),"CÓDIGO",
IF(AND($C21="S",$P21&lt;&gt;0,$Q21&lt;&gt;0,$R21="(Código não identificado nas referências)"),"CÓDIGO N/ID",
IF(AND($C21="S",OR($R21="",$R21="(digite a descrição aqui)"),OR($Q21&lt;&gt;0,$T21&gt;0,$U21&gt;0)),"DESCRIÇÃO",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4</v>
      </c>
      <c r="AE21" s="7" t="b">
        <f ca="1">IF(AND($C21="S",ORÇAMENTO.CodBarra&lt;&gt;""),IF(ORÇAMENTO.Fonte="",ORÇAMENTO.CodBarra,CONCATENATE(ORÇAMENTO.Fonte," ",ORÇAMENTO.CodBarra)))</f>
        <v>0</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(Sem Código)</v>
      </c>
      <c r="AG21" s="453">
        <f ca="1">ROUND(IF(DESONERACAO="sim",REFERENCIA.Desonerado,REFERENCIA.NaoDesonerado),2)</f>
        <v>0</v>
      </c>
      <c r="AH21" s="454">
        <f ca="1">ROUND(IF(ISNUMBER(ORÇAMENTO.OpcaoBDI),ORÇAMENTO.OpcaoBDI,IF(LEFT(ORÇAMENTO.OpcaoBDI,3)="BDI",HLOOKUP(ORÇAMENTO.OpcaoBDI,$F$4:$H$5,2,FALSE),0)),15-11*$AF$9)</f>
        <v>0.24199999999999999</v>
      </c>
      <c r="AJ21" s="456"/>
      <c r="AL21" s="471"/>
      <c r="AM21" s="348">
        <f t="shared" ref="AM21:AM54" ca="1" si="18">$X21</f>
        <v>4402.6899999999996</v>
      </c>
      <c r="AN21" s="504">
        <f ca="1">ROUND(ORÇAMENTO.CustoUnitario*(1+$AH21),2)</f>
        <v>0</v>
      </c>
    </row>
    <row r="22" spans="1:40" x14ac:dyDescent="0.2">
      <c r="A22">
        <f t="shared" ref="A22:A28" si="19">CHOOSE(1+LOG(1+2*(ORÇAMENTO.Nivel="Meta")+4*(ORÇAMENTO.Nivel="Nível 2")+8*(ORÇAMENTO.Nivel="Nível 3")+16*(ORÇAMENTO.Nivel="Nível 4")+32*(ORÇAMENTO.Nivel="Serviço"),2),0,1,2,3,4,"S")</f>
        <v>3</v>
      </c>
      <c r="B22">
        <f t="shared" ref="B22:B28" ca="1" si="20">IF(OR(C22="s",C22=0),OFFSET(B22,-1,0),C22)</f>
        <v>3</v>
      </c>
      <c r="C22">
        <f t="shared" ref="C22:C28" ca="1" si="21">IF(OFFSET(C22,-1,0)="L",1,IF(OFFSET(C22,-1,0)=1,2,IF(OR(A22="s",A22=0),"S",IF(AND(OFFSET(C22,-1,0)=2,A22=4),3,IF(AND(OR(OFFSET(C22,-1,0)="s",OFFSET(C22,-1,0)=0),A22&lt;&gt;"s",A22&gt;OFFSET(B22,-1,0)),OFFSET(B22,-1,0),A22)))))</f>
        <v>3</v>
      </c>
      <c r="D22">
        <f t="shared" ref="D22:D28" ca="1" si="22">IF(OR(C22="S",C22=0),0,IF(ISERROR(K22),J22,SMALL(J22:K22,1)))</f>
        <v>3</v>
      </c>
      <c r="E22">
        <f ca="1">IF($C22=1,OFFSET(E22,-1,0)+MAX(1,COUNTIF(QCI!$A$13:$A$24,OFFSET(ORÇAMENTO!E22,-1,0))),OFFSET(E22,-1,0))</f>
        <v>1</v>
      </c>
      <c r="F22">
        <f t="shared" ref="F22:F28" ca="1" si="23">IF($C22=1,0,IF($C22=2,OFFSET(F22,-1,0)+1,OFFSET(F22,-1,0)))</f>
        <v>3</v>
      </c>
      <c r="G22">
        <f t="shared" ref="G22:G28" ca="1" si="24">IF(AND($C22&lt;=2,$C22&lt;&gt;0),0,IF($C22=3,OFFSET(G22,-1,0)+1,OFFSET(G22,-1,0)))</f>
        <v>1</v>
      </c>
      <c r="H22">
        <f t="shared" ref="H22:H28" ca="1" si="25">IF(AND($C22&lt;=3,$C22&lt;&gt;0),0,IF($C22=4,OFFSET(H22,-1,0)+1,OFFSET(H22,-1,0)))</f>
        <v>0</v>
      </c>
      <c r="I22">
        <f t="shared" ref="I22:I28" ca="1" si="26">IF(AND($C22&lt;=4,$C22&lt;&gt;0),0,IF(AND($C22="S",$X22&gt;0),OFFSET(I22,-1,0)+1,OFFSET(I22,-1,0)))</f>
        <v>0</v>
      </c>
      <c r="J22">
        <f t="shared" ca="1" si="9"/>
        <v>7</v>
      </c>
      <c r="K22">
        <f ca="1">IF(OR($C22="S",$C22=0),0,MATCH(OFFSET($D22,0,$C22)+IF($C22&lt;&gt;1,1,COUNTIF(QCI!$A$13:$A$24,ORÇAMENTO!E22)),OFFSET($D22,1,$C22,ROW($C$131)-ROW($C22)),0))</f>
        <v>3</v>
      </c>
      <c r="L22" s="116" t="str">
        <f t="shared" ref="L22:L28" ca="1" si="27">IF(OR($X22&gt;0,$C22=1,$C22=2,$C22=3,$C22=4),"F","")</f>
        <v>F</v>
      </c>
      <c r="M22" s="117" t="s">
        <v>195</v>
      </c>
      <c r="N22" s="118" t="str">
        <f t="shared" ref="N22:N28" ca="1" si="28">CHOOSE(1+LOG(1+2*(C22=1)+4*(C22=2)+8*(C22=3)+16*(C22=4)+32*(C22="S"),2),"","Meta","Nível 2","Nível 3","Nível 4","Serviço")</f>
        <v>Nível 3</v>
      </c>
      <c r="O22" s="119" t="str">
        <f t="shared" ref="O22:O28" ca="1" si="29">IF(OR($C22=0,$L22=""),"-",CONCATENATE(E22&amp;".",IF(AND($A$5&gt;=2,$C22&gt;=2),F22&amp;".",""),IF(AND($A$5&gt;=3,$C22&gt;=3),G22&amp;".",""),IF(AND($A$5&gt;=4,$C22&gt;=4),H22&amp;".",""),IF($C22="S",I22&amp;".","")))</f>
        <v>1.3.1.</v>
      </c>
      <c r="P22" s="120" t="s">
        <v>245</v>
      </c>
      <c r="Q22" s="121"/>
      <c r="R22" s="122" t="s">
        <v>964</v>
      </c>
      <c r="S22" s="123" t="str">
        <f ca="1">REFERENCIA.Unidade</f>
        <v>-</v>
      </c>
      <c r="T22" s="124">
        <f ca="1">OFFSET(CÁLCULO!H$15,ROW($T22)-ROW(T$15),0)</f>
        <v>0</v>
      </c>
      <c r="U22" s="125">
        <f t="shared" ca="1" si="17"/>
        <v>0</v>
      </c>
      <c r="V22" s="126" t="s">
        <v>155</v>
      </c>
      <c r="W22" s="124">
        <f ca="1">IF($C22="S",ROUND(IF(TIPOORCAMENTO="Proposto",ORÇAMENTO.CustoUnitario*(1+$AH22),ORÇAMENTO.PrecoUnitarioLicitado),15-13*$AF$10),0)</f>
        <v>0</v>
      </c>
      <c r="X22" s="127">
        <f ca="1">IF($C22="S",IF(OR(Import.TipoArredondamento&lt;&gt;"TransfereGOV",ACOMPANHAMENTO="BM"),VTOTAL1,SUM(OFFSET(CÁLCULO!$AI$15,ROW($X22)-ROW($X$15),1):OFFSET(CÁLCULO!$BB$15,ROW($X22)-ROW($X$15),-1))),IF($C22=0,0,ROUND(SomaAgrup,15-13*$AF$11)))</f>
        <v>2016.88</v>
      </c>
      <c r="Y22" s="128" t="s">
        <v>243</v>
      </c>
      <c r="Z22" t="str">
        <f t="shared" ref="Z22:Z28" ca="1" si="30">IF(AND($C22="S",$X22&gt;0),IF(ISBLANK($Y22),"RA",LEFT($Y22,2)),"")</f>
        <v/>
      </c>
      <c r="AA22" s="129">
        <f ca="1">IF($C22="S",IF($Z22="CP",$X22,IF($Z22="RA",(($X22)*QCI!$AA$3),0)),SomaAgrup)</f>
        <v>2016.88</v>
      </c>
      <c r="AB22" s="130">
        <f t="shared" ref="AB22:AB28" ca="1" si="31">IF($C22="S",IF($Z22="OU",ROUND($X22,2),0),SomaAgrup)</f>
        <v>0</v>
      </c>
      <c r="AC22" s="619" t="str">
        <f ca="1">IF($N22=""," ",
IF(AND($C22&lt;&gt;"S",OR($R22="",$R22="(digite a descrição aqui)")),"DESCRIÇÃO",
IF(AND($C22="S",OR($Q22&lt;&gt;0,$T22&gt;0,$U22&gt;0),$P22=0),"FONTE",
IF(AND($C22="S",$P22&lt;&gt;0,OR($T22&gt;0,$U22&gt;0),$Q22=0),"CÓDIGO",
IF(AND($C22="S",$P22&lt;&gt;0,$Q22&lt;&gt;0,$R22="(Código não identificado nas referências)"),"CÓDIGO N/ID",
IF(AND($C22="S",OR($R22="",$R22="(digite a descrição aqui)"),OR($Q22&lt;&gt;0,$T22&gt;0,$U22&gt;0)),"DESCRIÇÃO",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b">
        <f ca="1">IF(AND($C22="S",ORÇAMENTO.CodBarra&lt;&gt;""),IF(ORÇAMENTO.Fonte="",ORÇAMENTO.CodBarra,CONCATENATE(ORÇAMENTO.Fonte," ",ORÇAMENTO.CodBarra)))</f>
        <v>0</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(Sem Código)</v>
      </c>
      <c r="AG22" s="453">
        <f ca="1">ROUND(IF(DESONERACAO="sim",REFERENCIA.Desonerado,REFERENCIA.NaoDesonerado),2)</f>
        <v>0</v>
      </c>
      <c r="AH22" s="454">
        <f t="shared" ref="AH22:AH28" ca="1" si="32">ROUND(IF(ISNUMBER(ORÇAMENTO.OpcaoBDI),ORÇAMENTO.OpcaoBDI,IF(LEFT(ORÇAMENTO.OpcaoBDI,3)="BDI",HLOOKUP(ORÇAMENTO.OpcaoBDI,$F$4:$H$5,2,FALSE),0)),15-11*$AF$9)</f>
        <v>0.24199999999999999</v>
      </c>
      <c r="AJ22" s="456"/>
      <c r="AL22" s="471"/>
      <c r="AM22" s="348">
        <f t="shared" ca="1" si="18"/>
        <v>2016.88</v>
      </c>
      <c r="AN22" s="504">
        <f t="shared" ref="AN22:AN28" ca="1" si="33">ROUND(ORÇAMENTO.CustoUnitario*(1+$AH22),2)</f>
        <v>0</v>
      </c>
    </row>
    <row r="23" spans="1:40" ht="25.5" x14ac:dyDescent="0.2">
      <c r="A23" t="str">
        <f t="shared" si="19"/>
        <v>S</v>
      </c>
      <c r="B23">
        <f t="shared" ca="1" si="20"/>
        <v>3</v>
      </c>
      <c r="C23" t="str">
        <f t="shared" ca="1" si="21"/>
        <v>S</v>
      </c>
      <c r="D23">
        <f t="shared" ca="1" si="22"/>
        <v>0</v>
      </c>
      <c r="E23">
        <f ca="1">IF($C23=1,OFFSET(E23,-1,0)+MAX(1,COUNTIF(QCI!$A$13:$A$24,OFFSET(ORÇAMENTO!E23,-1,0))),OFFSET(E23,-1,0))</f>
        <v>1</v>
      </c>
      <c r="F23">
        <f t="shared" ca="1" si="23"/>
        <v>3</v>
      </c>
      <c r="G23">
        <f t="shared" ca="1" si="24"/>
        <v>1</v>
      </c>
      <c r="H23">
        <f t="shared" ca="1" si="25"/>
        <v>0</v>
      </c>
      <c r="I23">
        <f t="shared" ca="1" si="26"/>
        <v>1</v>
      </c>
      <c r="J23">
        <f t="shared" ca="1" si="9"/>
        <v>0</v>
      </c>
      <c r="K23">
        <f ca="1">IF(OR($C23="S",$C23=0),0,MATCH(OFFSET($D23,0,$C23)+IF($C23&lt;&gt;1,1,COUNTIF(QCI!$A$13:$A$24,ORÇAMENTO!E23)),OFFSET($D23,1,$C23,ROW($C$131)-ROW($C23)),0))</f>
        <v>0</v>
      </c>
      <c r="L23" s="116" t="str">
        <f t="shared" ca="1" si="27"/>
        <v>F</v>
      </c>
      <c r="M23" s="117" t="s">
        <v>197</v>
      </c>
      <c r="N23" s="118" t="str">
        <f t="shared" ca="1" si="28"/>
        <v>Serviço</v>
      </c>
      <c r="O23" s="119" t="str">
        <f t="shared" ca="1" si="29"/>
        <v>1.3.1.0.1.</v>
      </c>
      <c r="P23" s="120" t="s">
        <v>245</v>
      </c>
      <c r="Q23" s="121" t="s">
        <v>965</v>
      </c>
      <c r="R23" s="122" t="str">
        <f ca="1">IF($C23="S",REFERENCIA.Descricao,"(digite a descrição aqui)")</f>
        <v>CORTE RASO E RECORTE DE ÁRVORE COM DIÂMETRO DE TRONCO MAIOR OU IGUAL A 0,40 M E MENOR QUE 0,60 M. AF_03/2024</v>
      </c>
      <c r="S23" s="123" t="str">
        <f ca="1">REFERENCIA.Unidade</f>
        <v>UN</v>
      </c>
      <c r="T23" s="124">
        <f ca="1">OFFSET(CÁLCULO!H$15,ROW($T23)-ROW(T$15),0)</f>
        <v>4</v>
      </c>
      <c r="U23" s="125">
        <f t="shared" ca="1" si="17"/>
        <v>166.18</v>
      </c>
      <c r="V23" s="126" t="s">
        <v>155</v>
      </c>
      <c r="W23" s="124">
        <f ca="1">IF($C23="S",ROUND(IF(TIPOORCAMENTO="Proposto",ORÇAMENTO.CustoUnitario*(1+$AH23),ORÇAMENTO.PrecoUnitarioLicitado),15-13*$AF$10),0)</f>
        <v>206.4</v>
      </c>
      <c r="X23" s="127">
        <f ca="1">IF($C23="S",IF(OR(Import.TipoArredondamento&lt;&gt;"TransfereGOV",ACOMPANHAMENTO="BM"),VTOTAL1,SUM(OFFSET(CÁLCULO!$AI$15,ROW($X23)-ROW($X$15),1):OFFSET(CÁLCULO!$BB$15,ROW($X23)-ROW($X$15),-1))),IF($C23=0,0,ROUND(SomaAgrup,15-13*$AF$11)))</f>
        <v>825.6</v>
      </c>
      <c r="Y23" s="128" t="s">
        <v>243</v>
      </c>
      <c r="Z23" t="str">
        <f t="shared" ca="1" si="30"/>
        <v>RA</v>
      </c>
      <c r="AA23" s="129">
        <f ca="1">IF($C23="S",IF($Z23="CP",$X23,IF($Z23="RA",(($X23)*QCI!$AA$3),0)),SomaAgrup)</f>
        <v>825.6</v>
      </c>
      <c r="AB23" s="130">
        <f t="shared" ca="1" si="31"/>
        <v>0</v>
      </c>
      <c r="AC23" s="619" t="str">
        <f ca="1">IF($N23=""," ",
IF(AND($C23&lt;&gt;"S",OR($R23="",$R23="(digite a descrição aqui)")),"DESCRIÇÃO",
IF(AND($C23="S",OR($Q23&lt;&gt;0,$T23&gt;0,$U23&gt;0),$P23=0),"FONTE",
IF(AND($C23="S",$P23&lt;&gt;0,OR($T23&gt;0,$U23&gt;0),$Q23=0),"CÓDIGO",
IF(AND($C23="S",$P23&lt;&gt;0,$Q23&lt;&gt;0,$R23="(Código não identificado nas referências)"),"CÓDIGO N/ID",
IF(AND($C23="S",OR($R23="",$R23="(digite a descrição aqui)"),OR($Q23&lt;&gt;0,$T23&gt;0,$U23&gt;0)),"DESCRIÇÃO",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SINAPI 98530</v>
      </c>
      <c r="AF23" s="13">
        <f ca="1">IF(ISERROR(INDIRECT(ORÇAMENTO.BancoRef)),"(abra o arquivo 'Referência "&amp;Excel_BuiltIn_Database&amp;".xlsm)",IF(OR($C23&lt;&gt;"S",ORÇAMENTO.CodBarra=""),"(Sem Código)",IF(ISERROR(MATCH($AE23,INDIRECT(ORÇAMENTO.BancoRef),0)),"(Código não identificado nas referências)",MATCH($AE23,INDIRECT(ORÇAMENTO.BancoRef),0))))</f>
        <v>15658</v>
      </c>
      <c r="AG23" s="453">
        <f ca="1">ROUND(IF(DESONERACAO="sim",REFERENCIA.Desonerado,REFERENCIA.NaoDesonerado),2)</f>
        <v>166.18</v>
      </c>
      <c r="AH23" s="454">
        <f t="shared" ca="1" si="32"/>
        <v>0.24199999999999999</v>
      </c>
      <c r="AJ23" s="456"/>
      <c r="AL23" s="471"/>
      <c r="AM23" s="348">
        <f t="shared" ca="1" si="18"/>
        <v>825.6</v>
      </c>
      <c r="AN23" s="504">
        <f t="shared" ca="1" si="33"/>
        <v>206.4</v>
      </c>
    </row>
    <row r="24" spans="1:40" ht="38.25" x14ac:dyDescent="0.2">
      <c r="A24" t="str">
        <f>CHOOSE(1+LOG(1+2*(ORÇAMENTO.Nivel="Meta")+4*(ORÇAMENTO.Nivel="Nível 2")+8*(ORÇAMENTO.Nivel="Nível 3")+16*(ORÇAMENTO.Nivel="Nível 4")+32*(ORÇAMENTO.Nivel="Serviço"),2),0,1,2,3,4,"S")</f>
        <v>S</v>
      </c>
      <c r="B24">
        <f ca="1">IF(OR(C24="s",C24=0),OFFSET(B24,-1,0),C24)</f>
        <v>3</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3</v>
      </c>
      <c r="G24">
        <f ca="1">IF(AND($C24&lt;=2,$C24&lt;&gt;0),0,IF($C24=3,OFFSET(G24,-1,0)+1,OFFSET(G24,-1,0)))</f>
        <v>1</v>
      </c>
      <c r="H24">
        <f ca="1">IF(AND($C24&lt;=3,$C24&lt;&gt;0),0,IF($C24=4,OFFSET(H24,-1,0)+1,OFFSET(H24,-1,0)))</f>
        <v>0</v>
      </c>
      <c r="I24">
        <f ca="1">IF(AND($C24&lt;=4,$C24&lt;&gt;0),0,IF(AND($C24="S",$X24&gt;0),OFFSET(I24,-1,0)+1,OFFSET(I24,-1,0)))</f>
        <v>2</v>
      </c>
      <c r="J24">
        <f t="shared" ca="1" si="9"/>
        <v>0</v>
      </c>
      <c r="K24">
        <f ca="1">IF(OR($C24="S",$C24=0),0,MATCH(OFFSET($D24,0,$C24)+IF($C24&lt;&gt;1,1,COUNTIF(QCI!$A$13:$A$24,ORÇAMENTO!E24)),OFFSET($D24,1,$C24,ROW($C$131)-ROW($C24)),0))</f>
        <v>0</v>
      </c>
      <c r="L24" s="116" t="str">
        <f ca="1">IF(OR($X24&gt;0,$C24=1,$C24=2,$C24=3,$C24=4),"F","")</f>
        <v>F</v>
      </c>
      <c r="M24" s="117" t="s">
        <v>197</v>
      </c>
      <c r="N24" s="118" t="str">
        <f ca="1">CHOOSE(1+LOG(1+2*(C24=1)+4*(C24=2)+8*(C24=3)+16*(C24=4)+32*(C24="S"),2),"","Meta","Nível 2","Nível 3","Nível 4","Serviço")</f>
        <v>Serviço</v>
      </c>
      <c r="O24" s="119" t="str">
        <f ca="1">IF(OR($C24=0,$L24=""),"-",CONCATENATE(E24&amp;".",IF(AND($A$5&gt;=2,$C24&gt;=2),F24&amp;".",""),IF(AND($A$5&gt;=3,$C24&gt;=3),G24&amp;".",""),IF(AND($A$5&gt;=4,$C24&gt;=4),H24&amp;".",""),IF($C24="S",I24&amp;".","")))</f>
        <v>1.3.1.0.2.</v>
      </c>
      <c r="P24" s="120" t="s">
        <v>245</v>
      </c>
      <c r="Q24" s="121" t="s">
        <v>963</v>
      </c>
      <c r="R24" s="122" t="str">
        <f ca="1">IF($C24="S",REFERENCIA.Descricao,"(digite a descrição aqui)")</f>
        <v>REMOÇÃO DE RAÍZES REMANESCENTES DE TRONCO DE ÁRVORE COM DIÂMETRO MAIOR OU IGUAL A 0,40 M E MENOR QUE 0,60 M. AF_03/2024</v>
      </c>
      <c r="S24" s="123" t="str">
        <f ca="1">REFERENCIA.Unidade</f>
        <v>UN</v>
      </c>
      <c r="T24" s="124">
        <f ca="1">OFFSET(CÁLCULO!H$15,ROW($T24)-ROW(T$15),0)</f>
        <v>4</v>
      </c>
      <c r="U24" s="125">
        <f t="shared" ca="1" si="17"/>
        <v>239.79</v>
      </c>
      <c r="V24" s="126" t="s">
        <v>155</v>
      </c>
      <c r="W24" s="124">
        <f ca="1">IF($C24="S",ROUND(IF(TIPOORCAMENTO="Proposto",ORÇAMENTO.CustoUnitario*(1+$AH24),ORÇAMENTO.PrecoUnitarioLicitado),15-13*$AF$10),0)</f>
        <v>297.82</v>
      </c>
      <c r="X24" s="127">
        <f ca="1">IF($C24="S",IF(OR(Import.TipoArredondamento&lt;&gt;"TransfereGOV",ACOMPANHAMENTO="BM"),VTOTAL1,SUM(OFFSET(CÁLCULO!$AI$15,ROW($X24)-ROW($X$15),1):OFFSET(CÁLCULO!$BB$15,ROW($X24)-ROW($X$15),-1))),IF($C24=0,0,ROUND(SomaAgrup,15-13*$AF$11)))</f>
        <v>1191.28</v>
      </c>
      <c r="Y24" s="128" t="s">
        <v>243</v>
      </c>
      <c r="Z24" t="str">
        <f ca="1">IF(AND($C24="S",$X24&gt;0),IF(ISBLANK($Y24),"RA",LEFT($Y24,2)),"")</f>
        <v>RA</v>
      </c>
      <c r="AA24" s="129">
        <f ca="1">IF($C24="S",IF($Z24="CP",$X24,IF($Z24="RA",(($X24)*QCI!$AA$3),0)),SomaAgrup)</f>
        <v>1191.28</v>
      </c>
      <c r="AB24" s="130">
        <f ca="1">IF($C24="S",IF($Z24="OU",ROUND($X24,2),0),SomaAgrup)</f>
        <v>0</v>
      </c>
      <c r="AC24" s="619" t="str">
        <f ca="1">IF($N24=""," ",
IF(AND($C24&lt;&gt;"S",OR($R24="",$R24="(digite a descrição aqui)")),"DESCRIÇÃO",
IF(AND($C24="S",OR($Q24&lt;&gt;0,$T24&gt;0,$U24&gt;0),$P24=0),"FONTE",
IF(AND($C24="S",$P24&lt;&gt;0,OR($T24&gt;0,$U24&gt;0),$Q24=0),"CÓDIGO",
IF(AND($C24="S",$P24&lt;&gt;0,$Q24&lt;&gt;0,$R24="(Código não identificado nas referências)"),"CÓDIGO N/ID",
IF(AND($C24="S",OR($R24="",$R24="(digite a descrição aqui)"),OR($Q24&lt;&gt;0,$T24&gt;0,$U24&gt;0)),"DESCRIÇÃO",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f ca="1">IF(AND($C24="S",ORÇAMENTO.CodBarra&lt;&gt;""),IF(ORÇAMENTO.Fonte="",ORÇAMENTO.CodBarra,CONCATENATE(ORÇAMENTO.Fonte," ",ORÇAMENTO.CodBarra)))</f>
        <v>SINAPI 98527</v>
      </c>
      <c r="AF24" s="13">
        <f ca="1">IF(ISERROR(INDIRECT(ORÇAMENTO.BancoRef)),"(abra o arquivo 'Referência "&amp;Excel_BuiltIn_Database&amp;".xlsm)",IF(OR($C24&lt;&gt;"S",ORÇAMENTO.CodBarra=""),"(Sem Código)",IF(ISERROR(MATCH($AE24,INDIRECT(ORÇAMENTO.BancoRef),0)),"(Código não identificado nas referências)",MATCH($AE24,INDIRECT(ORÇAMENTO.BancoRef),0))))</f>
        <v>15667</v>
      </c>
      <c r="AG24" s="453">
        <f ca="1">ROUND(IF(DESONERACAO="sim",REFERENCIA.Desonerado,REFERENCIA.NaoDesonerado),2)</f>
        <v>239.79</v>
      </c>
      <c r="AH24" s="454">
        <f ca="1">ROUND(IF(ISNUMBER(ORÇAMENTO.OpcaoBDI),ORÇAMENTO.OpcaoBDI,IF(LEFT(ORÇAMENTO.OpcaoBDI,3)="BDI",HLOOKUP(ORÇAMENTO.OpcaoBDI,$F$4:$H$5,2,FALSE),0)),15-11*$AF$9)</f>
        <v>0.24199999999999999</v>
      </c>
      <c r="AJ24" s="456"/>
      <c r="AL24" s="471"/>
      <c r="AM24" s="348">
        <f t="shared" ca="1" si="18"/>
        <v>1191.28</v>
      </c>
      <c r="AN24" s="504">
        <f ca="1">ROUND(ORÇAMENTO.CustoUnitario*(1+$AH24),2)</f>
        <v>297.82</v>
      </c>
    </row>
    <row r="25" spans="1:40" x14ac:dyDescent="0.2">
      <c r="A25">
        <f t="shared" si="19"/>
        <v>3</v>
      </c>
      <c r="B25">
        <f t="shared" ca="1" si="20"/>
        <v>3</v>
      </c>
      <c r="C25">
        <f t="shared" ca="1" si="21"/>
        <v>3</v>
      </c>
      <c r="D25">
        <f t="shared" ca="1" si="22"/>
        <v>4</v>
      </c>
      <c r="E25">
        <f ca="1">IF($C25=1,OFFSET(E25,-1,0)+MAX(1,COUNTIF(QCI!$A$13:$A$24,OFFSET(ORÇAMENTO!E25,-1,0))),OFFSET(E25,-1,0))</f>
        <v>1</v>
      </c>
      <c r="F25">
        <f t="shared" ca="1" si="23"/>
        <v>3</v>
      </c>
      <c r="G25">
        <f t="shared" ca="1" si="24"/>
        <v>2</v>
      </c>
      <c r="H25">
        <f t="shared" ca="1" si="25"/>
        <v>0</v>
      </c>
      <c r="I25">
        <f t="shared" ca="1" si="26"/>
        <v>0</v>
      </c>
      <c r="J25">
        <f t="shared" ca="1" si="9"/>
        <v>4</v>
      </c>
      <c r="K25">
        <f ca="1">IF(OR($C25="S",$C25=0),0,MATCH(OFFSET($D25,0,$C25)+IF($C25&lt;&gt;1,1,COUNTIF(QCI!$A$13:$A$24,ORÇAMENTO!E25)),OFFSET($D25,1,$C25,ROW($C$131)-ROW($C25)),0))</f>
        <v>23</v>
      </c>
      <c r="L25" s="116" t="str">
        <f t="shared" ca="1" si="27"/>
        <v>F</v>
      </c>
      <c r="M25" s="117" t="s">
        <v>195</v>
      </c>
      <c r="N25" s="118" t="str">
        <f t="shared" ca="1" si="28"/>
        <v>Nível 3</v>
      </c>
      <c r="O25" s="119" t="str">
        <f t="shared" ca="1" si="29"/>
        <v>1.3.2.</v>
      </c>
      <c r="P25" s="120" t="s">
        <v>245</v>
      </c>
      <c r="Q25" s="121"/>
      <c r="R25" s="122" t="s">
        <v>958</v>
      </c>
      <c r="S25" s="123" t="str">
        <f ca="1">REFERENCIA.Unidade</f>
        <v>-</v>
      </c>
      <c r="T25" s="124">
        <f ca="1">OFFSET(CÁLCULO!H$15,ROW($T25)-ROW(T$15),0)</f>
        <v>0</v>
      </c>
      <c r="U25" s="125">
        <f t="shared" ca="1" si="17"/>
        <v>0</v>
      </c>
      <c r="V25" s="126" t="s">
        <v>155</v>
      </c>
      <c r="W25" s="124">
        <f ca="1">IF($C25="S",ROUND(IF(TIPOORCAMENTO="Proposto",ORÇAMENTO.CustoUnitario*(1+$AH25),ORÇAMENTO.PrecoUnitarioLicitado),15-13*$AF$10),0)</f>
        <v>0</v>
      </c>
      <c r="X25" s="127">
        <f ca="1">IF($C25="S",IF(OR(Import.TipoArredondamento&lt;&gt;"TransfereGOV",ACOMPANHAMENTO="BM"),VTOTAL1,SUM(OFFSET(CÁLCULO!$AI$15,ROW($X25)-ROW($X$15),1):OFFSET(CÁLCULO!$BB$15,ROW($X25)-ROW($X$15),-1))),IF($C25=0,0,ROUND(SomaAgrup,15-13*$AF$11)))</f>
        <v>2385.81</v>
      </c>
      <c r="Y25" s="128" t="s">
        <v>243</v>
      </c>
      <c r="Z25" t="str">
        <f t="shared" ca="1" si="30"/>
        <v/>
      </c>
      <c r="AA25" s="129">
        <f ca="1">IF($C25="S",IF($Z25="CP",$X25,IF($Z25="RA",(($X25)*QCI!$AA$3),0)),SomaAgrup)</f>
        <v>2385.8100000000004</v>
      </c>
      <c r="AB25" s="130">
        <f t="shared" ca="1" si="31"/>
        <v>0</v>
      </c>
      <c r="AC25" s="619" t="str">
        <f ca="1">IF($N25=""," ",
IF(AND($C25&lt;&gt;"S",OR($R25="",$R25="(digite a descrição aqui)")),"DESCRIÇÃO",
IF(AND($C25="S",OR($Q25&lt;&gt;0,$T25&gt;0,$U25&gt;0),$P25=0),"FONTE",
IF(AND($C25="S",$P25&lt;&gt;0,OR($T25&gt;0,$U25&gt;0),$Q25=0),"CÓDIGO",
IF(AND($C25="S",$P25&lt;&gt;0,$Q25&lt;&gt;0,$R25="(Código não identificado nas referências)"),"CÓDIGO N/ID",
IF(AND($C25="S",OR($R25="",$R25="(digite a descrição aqui)"),OR($Q25&lt;&gt;0,$T25&gt;0,$U25&gt;0)),"DESCRIÇÃO",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b">
        <f ca="1">IF(AND($C25="S",ORÇAMENTO.CodBarra&lt;&gt;""),IF(ORÇAMENTO.Fonte="",ORÇAMENTO.CodBarra,CONCATENATE(ORÇAMENTO.Fonte," ",ORÇAMENTO.CodBarra)))</f>
        <v>0</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(Sem Código)</v>
      </c>
      <c r="AG25" s="453">
        <f ca="1">ROUND(IF(DESONERACAO="sim",REFERENCIA.Desonerado,REFERENCIA.NaoDesonerado),2)</f>
        <v>0</v>
      </c>
      <c r="AH25" s="454">
        <f t="shared" ca="1" si="32"/>
        <v>0.24199999999999999</v>
      </c>
      <c r="AJ25" s="456"/>
      <c r="AL25" s="471"/>
      <c r="AM25" s="348">
        <f t="shared" ca="1" si="18"/>
        <v>2385.81</v>
      </c>
      <c r="AN25" s="504">
        <f t="shared" ca="1" si="33"/>
        <v>0</v>
      </c>
    </row>
    <row r="26" spans="1:40" ht="25.5" x14ac:dyDescent="0.2">
      <c r="A26" t="str">
        <f t="shared" si="19"/>
        <v>S</v>
      </c>
      <c r="B26">
        <f t="shared" ca="1" si="20"/>
        <v>3</v>
      </c>
      <c r="C26" t="str">
        <f t="shared" ca="1" si="21"/>
        <v>S</v>
      </c>
      <c r="D26">
        <f t="shared" ca="1" si="22"/>
        <v>0</v>
      </c>
      <c r="E26">
        <f ca="1">IF($C26=1,OFFSET(E26,-1,0)+MAX(1,COUNTIF(QCI!$A$13:$A$24,OFFSET(ORÇAMENTO!E26,-1,0))),OFFSET(E26,-1,0))</f>
        <v>1</v>
      </c>
      <c r="F26">
        <f t="shared" ca="1" si="23"/>
        <v>3</v>
      </c>
      <c r="G26">
        <f t="shared" ca="1" si="24"/>
        <v>2</v>
      </c>
      <c r="H26">
        <f t="shared" ca="1" si="25"/>
        <v>0</v>
      </c>
      <c r="I26">
        <f t="shared" ca="1" si="26"/>
        <v>1</v>
      </c>
      <c r="J26">
        <f t="shared" ca="1" si="9"/>
        <v>0</v>
      </c>
      <c r="K26">
        <f ca="1">IF(OR($C26="S",$C26=0),0,MATCH(OFFSET($D26,0,$C26)+IF($C26&lt;&gt;1,1,COUNTIF(QCI!$A$13:$A$24,ORÇAMENTO!E26)),OFFSET($D26,1,$C26,ROW($C$131)-ROW($C26)),0))</f>
        <v>0</v>
      </c>
      <c r="L26" s="116" t="str">
        <f t="shared" ca="1" si="27"/>
        <v>F</v>
      </c>
      <c r="M26" s="117" t="s">
        <v>197</v>
      </c>
      <c r="N26" s="118" t="str">
        <f t="shared" ca="1" si="28"/>
        <v>Serviço</v>
      </c>
      <c r="O26" s="119" t="str">
        <f t="shared" ca="1" si="29"/>
        <v>1.3.2.0.1.</v>
      </c>
      <c r="P26" s="120" t="s">
        <v>245</v>
      </c>
      <c r="Q26" s="121" t="s">
        <v>967</v>
      </c>
      <c r="R26" s="122" t="str">
        <f ca="1">IF($C26="S",REFERENCIA.Descricao,"(digite a descrição aqui)")</f>
        <v>DEMOLIÇÃO DE GUIAS, SARJETAS OU SARJETÕES, DE FORMA MECANIZADA, SEM REAPROVEITAMENTO. AF_09/2023</v>
      </c>
      <c r="S26" s="123" t="str">
        <f ca="1">REFERENCIA.Unidade</f>
        <v>M</v>
      </c>
      <c r="T26" s="124">
        <f ca="1">OFFSET(CÁLCULO!H$15,ROW($T26)-ROW(T$15),0)</f>
        <v>31.88</v>
      </c>
      <c r="U26" s="125">
        <f t="shared" ca="1" si="17"/>
        <v>16.239999999999998</v>
      </c>
      <c r="V26" s="126" t="s">
        <v>155</v>
      </c>
      <c r="W26" s="124">
        <f ca="1">IF($C26="S",ROUND(IF(TIPOORCAMENTO="Proposto",ORÇAMENTO.CustoUnitario*(1+$AH26),ORÇAMENTO.PrecoUnitarioLicitado),15-13*$AF$10),0)</f>
        <v>20.170000000000002</v>
      </c>
      <c r="X26" s="127">
        <f ca="1">IF($C26="S",IF(OR(Import.TipoArredondamento&lt;&gt;"TransfereGOV",ACOMPANHAMENTO="BM"),VTOTAL1,SUM(OFFSET(CÁLCULO!$AI$15,ROW($X26)-ROW($X$15),1):OFFSET(CÁLCULO!$BB$15,ROW($X26)-ROW($X$15),-1))),IF($C26=0,0,ROUND(SomaAgrup,15-13*$AF$11)))</f>
        <v>643.02</v>
      </c>
      <c r="Y26" s="128" t="s">
        <v>243</v>
      </c>
      <c r="Z26" t="str">
        <f t="shared" ca="1" si="30"/>
        <v>RA</v>
      </c>
      <c r="AA26" s="129">
        <f ca="1">IF($C26="S",IF($Z26="CP",$X26,IF($Z26="RA",(($X26)*QCI!$AA$3),0)),SomaAgrup)</f>
        <v>643.02</v>
      </c>
      <c r="AB26" s="130">
        <f t="shared" ca="1" si="31"/>
        <v>0</v>
      </c>
      <c r="AC26" s="619" t="str">
        <f ca="1">IF($N26=""," ",
IF(AND($C26&lt;&gt;"S",OR($R26="",$R26="(digite a descrição aqui)")),"DESCRIÇÃO",
IF(AND($C26="S",OR($Q26&lt;&gt;0,$T26&gt;0,$U26&gt;0),$P26=0),"FONTE",
IF(AND($C26="S",$P26&lt;&gt;0,OR($T26&gt;0,$U26&gt;0),$Q26=0),"CÓDIGO",
IF(AND($C26="S",$P26&lt;&gt;0,$Q26&lt;&gt;0,$R26="(Código não identificado nas referências)"),"CÓDIGO N/ID",
IF(AND($C26="S",OR($R26="",$R26="(digite a descrição aqui)"),OR($Q26&lt;&gt;0,$T26&gt;0,$U26&gt;0)),"DESCRIÇÃO",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SINAPI 104796</v>
      </c>
      <c r="AF26" s="13">
        <f ca="1">IF(ISERROR(INDIRECT(ORÇAMENTO.BancoRef)),"(abra o arquivo 'Referência "&amp;Excel_BuiltIn_Database&amp;".xlsm)",IF(OR($C26&lt;&gt;"S",ORÇAMENTO.CodBarra=""),"(Sem Código)",IF(ISERROR(MATCH($AE26,INDIRECT(ORÇAMENTO.BancoRef),0)),"(Código não identificado nas referências)",MATCH($AE26,INDIRECT(ORÇAMENTO.BancoRef),0))))</f>
        <v>8099</v>
      </c>
      <c r="AG26" s="453">
        <f ca="1">ROUND(IF(DESONERACAO="sim",REFERENCIA.Desonerado,REFERENCIA.NaoDesonerado),2)</f>
        <v>16.239999999999998</v>
      </c>
      <c r="AH26" s="454">
        <f t="shared" ca="1" si="32"/>
        <v>0.24199999999999999</v>
      </c>
      <c r="AJ26" s="456"/>
      <c r="AL26" s="471"/>
      <c r="AM26" s="348">
        <f t="shared" ca="1" si="18"/>
        <v>643.02</v>
      </c>
      <c r="AN26" s="504">
        <f t="shared" ca="1" si="33"/>
        <v>20.170000000000002</v>
      </c>
    </row>
    <row r="27" spans="1:40" ht="38.25" x14ac:dyDescent="0.2">
      <c r="A27" t="str">
        <f t="shared" si="19"/>
        <v>S</v>
      </c>
      <c r="B27">
        <f t="shared" ca="1" si="20"/>
        <v>3</v>
      </c>
      <c r="C27" t="str">
        <f t="shared" ca="1" si="21"/>
        <v>S</v>
      </c>
      <c r="D27">
        <f t="shared" ca="1" si="22"/>
        <v>0</v>
      </c>
      <c r="E27">
        <f ca="1">IF($C27=1,OFFSET(E27,-1,0)+MAX(1,COUNTIF(QCI!$A$13:$A$24,OFFSET(ORÇAMENTO!E27,-1,0))),OFFSET(E27,-1,0))</f>
        <v>1</v>
      </c>
      <c r="F27">
        <f t="shared" ca="1" si="23"/>
        <v>3</v>
      </c>
      <c r="G27">
        <f t="shared" ca="1" si="24"/>
        <v>2</v>
      </c>
      <c r="H27">
        <f t="shared" ca="1" si="25"/>
        <v>0</v>
      </c>
      <c r="I27">
        <f t="shared" ca="1" si="26"/>
        <v>2</v>
      </c>
      <c r="J27">
        <f t="shared" ca="1" si="9"/>
        <v>0</v>
      </c>
      <c r="K27">
        <f ca="1">IF(OR($C27="S",$C27=0),0,MATCH(OFFSET($D27,0,$C27)+IF($C27&lt;&gt;1,1,COUNTIF(QCI!$A$13:$A$24,ORÇAMENTO!E27)),OFFSET($D27,1,$C27,ROW($C$131)-ROW($C27)),0))</f>
        <v>0</v>
      </c>
      <c r="L27" s="116" t="str">
        <f t="shared" ca="1" si="27"/>
        <v>F</v>
      </c>
      <c r="M27" s="117" t="s">
        <v>197</v>
      </c>
      <c r="N27" s="118" t="str">
        <f t="shared" ca="1" si="28"/>
        <v>Serviço</v>
      </c>
      <c r="O27" s="119" t="str">
        <f t="shared" ca="1" si="29"/>
        <v>1.3.2.0.2.</v>
      </c>
      <c r="P27" s="120" t="s">
        <v>245</v>
      </c>
      <c r="Q27" s="121" t="s">
        <v>968</v>
      </c>
      <c r="R27" s="122" t="str">
        <f ca="1">IF($C27="S",REFERENCIA.Descricao,"(digite a descrição aqui)")</f>
        <v>DEMOLIÇÃO DE PISO DE CONCRETO SIMPLES, DE FORMA MECANIZADA COM MARTELETE, SEM REAPROVEITAMENTO. AF_09/2023</v>
      </c>
      <c r="S27" s="123" t="str">
        <f ca="1">REFERENCIA.Unidade</f>
        <v>M3</v>
      </c>
      <c r="T27" s="124">
        <f ca="1">OFFSET(CÁLCULO!H$15,ROW($T27)-ROW(T$15),0)</f>
        <v>4.78</v>
      </c>
      <c r="U27" s="125">
        <f t="shared" ca="1" si="17"/>
        <v>122.09</v>
      </c>
      <c r="V27" s="126" t="s">
        <v>155</v>
      </c>
      <c r="W27" s="124">
        <f ca="1">IF($C27="S",ROUND(IF(TIPOORCAMENTO="Proposto",ORÇAMENTO.CustoUnitario*(1+$AH27),ORÇAMENTO.PrecoUnitarioLicitado),15-13*$AF$10),0)</f>
        <v>151.63999999999999</v>
      </c>
      <c r="X27" s="127">
        <f ca="1">IF($C27="S",IF(OR(Import.TipoArredondamento&lt;&gt;"TransfereGOV",ACOMPANHAMENTO="BM"),VTOTAL1,SUM(OFFSET(CÁLCULO!$AI$15,ROW($X27)-ROW($X$15),1):OFFSET(CÁLCULO!$BB$15,ROW($X27)-ROW($X$15),-1))),IF($C27=0,0,ROUND(SomaAgrup,15-13*$AF$11)))</f>
        <v>724.84</v>
      </c>
      <c r="Y27" s="128" t="s">
        <v>243</v>
      </c>
      <c r="Z27" t="str">
        <f t="shared" ca="1" si="30"/>
        <v>RA</v>
      </c>
      <c r="AA27" s="129">
        <f ca="1">IF($C27="S",IF($Z27="CP",$X27,IF($Z27="RA",(($X27)*QCI!$AA$3),0)),SomaAgrup)</f>
        <v>724.84</v>
      </c>
      <c r="AB27" s="130">
        <f t="shared" ca="1" si="31"/>
        <v>0</v>
      </c>
      <c r="AC27" s="619" t="str">
        <f ca="1">IF($N27=""," ",
IF(AND($C27&lt;&gt;"S",OR($R27="",$R27="(digite a descrição aqui)")),"DESCRIÇÃO",
IF(AND($C27="S",OR($Q27&lt;&gt;0,$T27&gt;0,$U27&gt;0),$P27=0),"FONTE",
IF(AND($C27="S",$P27&lt;&gt;0,OR($T27&gt;0,$U27&gt;0),$Q27=0),"CÓDIGO",
IF(AND($C27="S",$P27&lt;&gt;0,$Q27&lt;&gt;0,$R27="(Código não identificado nas referências)"),"CÓDIGO N/ID",
IF(AND($C27="S",OR($R27="",$R27="(digite a descrição aqui)"),OR($Q27&lt;&gt;0,$T27&gt;0,$U27&gt;0)),"DESCRIÇÃO",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f ca="1">IF(AND($C27="S",ORÇAMENTO.CodBarra&lt;&gt;""),IF(ORÇAMENTO.Fonte="",ORÇAMENTO.CodBarra,CONCATENATE(ORÇAMENTO.Fonte," ",ORÇAMENTO.CodBarra)))</f>
        <v>SINAPI 104790</v>
      </c>
      <c r="AF27" s="13">
        <f ca="1">IF(ISERROR(INDIRECT(ORÇAMENTO.BancoRef)),"(abra o arquivo 'Referência "&amp;Excel_BuiltIn_Database&amp;".xlsm)",IF(OR($C27&lt;&gt;"S",ORÇAMENTO.CodBarra=""),"(Sem Código)",IF(ISERROR(MATCH($AE27,INDIRECT(ORÇAMENTO.BancoRef),0)),"(Código não identificado nas referências)",MATCH($AE27,INDIRECT(ORÇAMENTO.BancoRef),0))))</f>
        <v>8105</v>
      </c>
      <c r="AG27" s="453">
        <f ca="1">ROUND(IF(DESONERACAO="sim",REFERENCIA.Desonerado,REFERENCIA.NaoDesonerado),2)</f>
        <v>122.09</v>
      </c>
      <c r="AH27" s="454">
        <f t="shared" ca="1" si="32"/>
        <v>0.24199999999999999</v>
      </c>
      <c r="AJ27" s="456"/>
      <c r="AL27" s="471"/>
      <c r="AM27" s="348">
        <f t="shared" ca="1" si="18"/>
        <v>724.84</v>
      </c>
      <c r="AN27" s="504">
        <f t="shared" ca="1" si="33"/>
        <v>151.63999999999999</v>
      </c>
    </row>
    <row r="28" spans="1:40" ht="51" x14ac:dyDescent="0.2">
      <c r="A28" t="str">
        <f t="shared" si="19"/>
        <v>S</v>
      </c>
      <c r="B28">
        <f t="shared" ca="1" si="20"/>
        <v>3</v>
      </c>
      <c r="C28" t="str">
        <f t="shared" ca="1" si="21"/>
        <v>S</v>
      </c>
      <c r="D28">
        <f t="shared" ca="1" si="22"/>
        <v>0</v>
      </c>
      <c r="E28">
        <f ca="1">IF($C28=1,OFFSET(E28,-1,0)+MAX(1,COUNTIF(QCI!$A$13:$A$24,OFFSET(ORÇAMENTO!E28,-1,0))),OFFSET(E28,-1,0))</f>
        <v>1</v>
      </c>
      <c r="F28">
        <f t="shared" ca="1" si="23"/>
        <v>3</v>
      </c>
      <c r="G28">
        <f t="shared" ca="1" si="24"/>
        <v>2</v>
      </c>
      <c r="H28">
        <f t="shared" ca="1" si="25"/>
        <v>0</v>
      </c>
      <c r="I28">
        <f t="shared" ca="1" si="26"/>
        <v>3</v>
      </c>
      <c r="J28">
        <f t="shared" ca="1" si="9"/>
        <v>0</v>
      </c>
      <c r="K28">
        <f ca="1">IF(OR($C28="S",$C28=0),0,MATCH(OFFSET($D28,0,$C28)+IF($C28&lt;&gt;1,1,COUNTIF(QCI!$A$13:$A$24,ORÇAMENTO!E28)),OFFSET($D28,1,$C28,ROW($C$131)-ROW($C28)),0))</f>
        <v>0</v>
      </c>
      <c r="L28" s="116" t="str">
        <f t="shared" ca="1" si="27"/>
        <v>F</v>
      </c>
      <c r="M28" s="117" t="s">
        <v>197</v>
      </c>
      <c r="N28" s="118" t="str">
        <f t="shared" ca="1" si="28"/>
        <v>Serviço</v>
      </c>
      <c r="O28" s="119" t="str">
        <f t="shared" ca="1" si="29"/>
        <v>1.3.2.0.3.</v>
      </c>
      <c r="P28" s="120" t="s">
        <v>245</v>
      </c>
      <c r="Q28" s="121" t="s">
        <v>969</v>
      </c>
      <c r="R28" s="122" t="str">
        <f ca="1">IF($C28="S",REFERENCIA.Descricao,"(digite a descrição aqui)")</f>
        <v>REMOÇÃO DE ENTULHO CLASSE A (ALVENARIA, CONCRETO, ARGAMASSAS E CERÂMICOS) POR DUTO DE ENTULHO E ACONDICIONAMENTO FINAL EM CAÇAMBA ESTACIONÁRIA. EXCLUSO FRETE. AF_09/2025</v>
      </c>
      <c r="S28" s="123" t="str">
        <f ca="1">REFERENCIA.Unidade</f>
        <v>M3</v>
      </c>
      <c r="T28" s="124">
        <f ca="1">OFFSET(CÁLCULO!H$15,ROW($T28)-ROW(T$15),0)</f>
        <v>9.56</v>
      </c>
      <c r="U28" s="125">
        <f t="shared" ca="1" si="17"/>
        <v>85.73</v>
      </c>
      <c r="V28" s="126" t="s">
        <v>155</v>
      </c>
      <c r="W28" s="124">
        <f ca="1">IF($C28="S",ROUND(IF(TIPOORCAMENTO="Proposto",ORÇAMENTO.CustoUnitario*(1+$AH28),ORÇAMENTO.PrecoUnitarioLicitado),15-13*$AF$10),0)</f>
        <v>106.48</v>
      </c>
      <c r="X28" s="127">
        <f ca="1">IF($C28="S",IF(OR(Import.TipoArredondamento&lt;&gt;"TransfereGOV",ACOMPANHAMENTO="BM"),VTOTAL1,SUM(OFFSET(CÁLCULO!$AI$15,ROW($X28)-ROW($X$15),1):OFFSET(CÁLCULO!$BB$15,ROW($X28)-ROW($X$15),-1))),IF($C28=0,0,ROUND(SomaAgrup,15-13*$AF$11)))</f>
        <v>1017.95</v>
      </c>
      <c r="Y28" s="128" t="s">
        <v>243</v>
      </c>
      <c r="Z28" t="str">
        <f t="shared" ca="1" si="30"/>
        <v>RA</v>
      </c>
      <c r="AA28" s="129">
        <f ca="1">IF($C28="S",IF($Z28="CP",$X28,IF($Z28="RA",(($X28)*QCI!$AA$3),0)),SomaAgrup)</f>
        <v>1017.95</v>
      </c>
      <c r="AB28" s="130">
        <f t="shared" ca="1" si="31"/>
        <v>0</v>
      </c>
      <c r="AC28" s="619" t="str">
        <f ca="1">IF($N28=""," ",
IF(AND($C28&lt;&gt;"S",OR($R28="",$R28="(digite a descrição aqui)")),"DESCRIÇÃO",
IF(AND($C28="S",OR($Q28&lt;&gt;0,$T28&gt;0,$U28&gt;0),$P28=0),"FONTE",
IF(AND($C28="S",$P28&lt;&gt;0,OR($T28&gt;0,$U28&gt;0),$Q28=0),"CÓDIGO",
IF(AND($C28="S",$P28&lt;&gt;0,$Q28&lt;&gt;0,$R28="(Código não identificado nas referências)"),"CÓDIGO N/ID",
IF(AND($C28="S",OR($R28="",$R28="(digite a descrição aqui)"),OR($Q28&lt;&gt;0,$T28&gt;0,$U28&gt;0)),"DESCRIÇÃO",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f ca="1">IF(AND($C28="S",ORÇAMENTO.CodBarra&lt;&gt;""),IF(ORÇAMENTO.Fonte="",ORÇAMENTO.CodBarra,CONCATENATE(ORÇAMENTO.Fonte," ",ORÇAMENTO.CodBarra)))</f>
        <v>SINAPI 106122</v>
      </c>
      <c r="AF28" s="13">
        <f ca="1">IF(ISERROR(INDIRECT(ORÇAMENTO.BancoRef)),"(abra o arquivo 'Referência "&amp;Excel_BuiltIn_Database&amp;".xlsm)",IF(OR($C28&lt;&gt;"S",ORÇAMENTO.CodBarra=""),"(Sem Código)",IF(ISERROR(MATCH($AE28,INDIRECT(ORÇAMENTO.BancoRef),0)),"(Código não identificado nas referências)",MATCH($AE28,INDIRECT(ORÇAMENTO.BancoRef),0))))</f>
        <v>15391</v>
      </c>
      <c r="AG28" s="453">
        <f ca="1">ROUND(IF(DESONERACAO="sim",REFERENCIA.Desonerado,REFERENCIA.NaoDesonerado),2)</f>
        <v>85.73</v>
      </c>
      <c r="AH28" s="454">
        <f t="shared" ca="1" si="32"/>
        <v>0.24199999999999999</v>
      </c>
      <c r="AJ28" s="456"/>
      <c r="AL28" s="471"/>
      <c r="AM28" s="348">
        <f t="shared" ca="1" si="18"/>
        <v>1017.95</v>
      </c>
      <c r="AN28" s="504">
        <f t="shared" ca="1" si="33"/>
        <v>106.48</v>
      </c>
    </row>
    <row r="29" spans="1:40" x14ac:dyDescent="0.2">
      <c r="A29">
        <f t="shared" ref="A29" si="34">CHOOSE(1+LOG(1+2*(ORÇAMENTO.Nivel="Meta")+4*(ORÇAMENTO.Nivel="Nível 2")+8*(ORÇAMENTO.Nivel="Nível 3")+16*(ORÇAMENTO.Nivel="Nível 4")+32*(ORÇAMENTO.Nivel="Serviço"),2),0,1,2,3,4,"S")</f>
        <v>2</v>
      </c>
      <c r="B29">
        <f t="shared" ref="B29" ca="1" si="35">IF(OR(C29="s",C29=0),OFFSET(B29,-1,0),C29)</f>
        <v>2</v>
      </c>
      <c r="C29">
        <f t="shared" ref="C29" ca="1" si="36">IF(OFFSET(C29,-1,0)="L",1,IF(OFFSET(C29,-1,0)=1,2,IF(OR(A29="s",A29=0),"S",IF(AND(OFFSET(C29,-1,0)=2,A29=4),3,IF(AND(OR(OFFSET(C29,-1,0)="s",OFFSET(C29,-1,0)=0),A29&lt;&gt;"s",A29&gt;OFFSET(B29,-1,0)),OFFSET(B29,-1,0),A29)))))</f>
        <v>2</v>
      </c>
      <c r="D29">
        <f t="shared" ref="D29" ca="1" si="37">IF(OR(C29="S",C29=0),0,IF(ISERROR(K29),J29,SMALL(J29:K29,1)))</f>
        <v>5</v>
      </c>
      <c r="E29">
        <f ca="1">IF($C29=1,OFFSET(E29,-1,0)+MAX(1,COUNTIF(QCI!$A$13:$A$24,OFFSET(ORÇAMENTO!E29,-1,0))),OFFSET(E29,-1,0))</f>
        <v>1</v>
      </c>
      <c r="F29">
        <f t="shared" ref="F29" ca="1" si="38">IF($C29=1,0,IF($C29=2,OFFSET(F29,-1,0)+1,OFFSET(F29,-1,0)))</f>
        <v>4</v>
      </c>
      <c r="G29">
        <f t="shared" ref="G29" ca="1" si="39">IF(AND($C29&lt;=2,$C29&lt;&gt;0),0,IF($C29=3,OFFSET(G29,-1,0)+1,OFFSET(G29,-1,0)))</f>
        <v>0</v>
      </c>
      <c r="H29">
        <f t="shared" ref="H29" ca="1" si="40">IF(AND($C29&lt;=3,$C29&lt;&gt;0),0,IF($C29=4,OFFSET(H29,-1,0)+1,OFFSET(H29,-1,0)))</f>
        <v>0</v>
      </c>
      <c r="I29">
        <f t="shared" ref="I29" ca="1" si="41">IF(AND($C29&lt;=4,$C29&lt;&gt;0),0,IF(AND($C29="S",$X29&gt;0),OFFSET(I29,-1,0)+1,OFFSET(I29,-1,0)))</f>
        <v>0</v>
      </c>
      <c r="J29">
        <f t="shared" ca="1" si="9"/>
        <v>102</v>
      </c>
      <c r="K29">
        <f ca="1">IF(OR($C29="S",$C29=0),0,MATCH(OFFSET($D29,0,$C29)+IF($C29&lt;&gt;1,1,COUNTIF(QCI!$A$13:$A$24,ORÇAMENTO!E29)),OFFSET($D29,1,$C29,ROW($C$131)-ROW($C29)),0))</f>
        <v>5</v>
      </c>
      <c r="L29" s="116" t="str">
        <f t="shared" ref="L29" ca="1" si="42">IF(OR($X29&gt;0,$C29=1,$C29=2,$C29=3,$C29=4),"F","")</f>
        <v>F</v>
      </c>
      <c r="M29" s="117" t="s">
        <v>194</v>
      </c>
      <c r="N29" s="118" t="str">
        <f t="shared" ref="N29" ca="1" si="43">CHOOSE(1+LOG(1+2*(C29=1)+4*(C29=2)+8*(C29=3)+16*(C29=4)+32*(C29="S"),2),"","Meta","Nível 2","Nível 3","Nível 4","Serviço")</f>
        <v>Nível 2</v>
      </c>
      <c r="O29" s="119" t="str">
        <f t="shared" ref="O29" ca="1" si="44">IF(OR($C29=0,$L29=""),"-",CONCATENATE(E29&amp;".",IF(AND($A$5&gt;=2,$C29&gt;=2),F29&amp;".",""),IF(AND($A$5&gt;=3,$C29&gt;=3),G29&amp;".",""),IF(AND($A$5&gt;=4,$C29&gt;=4),H29&amp;".",""),IF($C29="S",I29&amp;".","")))</f>
        <v>1.4.</v>
      </c>
      <c r="P29" s="120" t="s">
        <v>245</v>
      </c>
      <c r="Q29" s="121"/>
      <c r="R29" s="122" t="s">
        <v>959</v>
      </c>
      <c r="S29" s="123" t="str">
        <f ca="1">REFERENCIA.Unidade</f>
        <v>-</v>
      </c>
      <c r="T29" s="124">
        <f ca="1">OFFSET(CÁLCULO!H$15,ROW($T29)-ROW(T$15),0)</f>
        <v>0</v>
      </c>
      <c r="U29" s="125">
        <f t="shared" ca="1" si="17"/>
        <v>0</v>
      </c>
      <c r="V29" s="126" t="s">
        <v>155</v>
      </c>
      <c r="W29" s="124">
        <f ca="1">IF($C29="S",ROUND(IF(TIPOORCAMENTO="Proposto",ORÇAMENTO.CustoUnitario*(1+$AH29),ORÇAMENTO.PrecoUnitarioLicitado),15-13*$AF$10),0)</f>
        <v>0</v>
      </c>
      <c r="X29" s="127">
        <f ca="1">IF($C29="S",IF(OR(Import.TipoArredondamento&lt;&gt;"TransfereGOV",ACOMPANHAMENTO="BM"),VTOTAL1,SUM(OFFSET(CÁLCULO!$AI$15,ROW($X29)-ROW($X$15),1):OFFSET(CÁLCULO!$BB$15,ROW($X29)-ROW($X$15),-1))),IF($C29=0,0,ROUND(SomaAgrup,15-13*$AF$11)))</f>
        <v>68099.22</v>
      </c>
      <c r="Y29" s="128" t="s">
        <v>243</v>
      </c>
      <c r="Z29" t="str">
        <f t="shared" ref="Z29" ca="1" si="45">IF(AND($C29="S",$X29&gt;0),IF(ISBLANK($Y29),"RA",LEFT($Y29,2)),"")</f>
        <v/>
      </c>
      <c r="AA29" s="129">
        <f ca="1">IF($C29="S",IF($Z29="CP",$X29,IF($Z29="RA",(($X29)*QCI!$AA$3),0)),SomaAgrup)</f>
        <v>68099.22</v>
      </c>
      <c r="AB29" s="130">
        <f t="shared" ref="AB29" ca="1" si="46">IF($C29="S",IF($Z29="OU",ROUND($X29,2),0),SomaAgrup)</f>
        <v>0</v>
      </c>
      <c r="AC29" s="619" t="str">
        <f ca="1">IF($N29=""," ",
IF(AND($C29&lt;&gt;"S",OR($R29="",$R29="(digite a descrição aqui)")),"DESCRIÇÃO",
IF(AND($C29="S",OR($Q29&lt;&gt;0,$T29&gt;0,$U29&gt;0),$P29=0),"FONTE",
IF(AND($C29="S",$P29&lt;&gt;0,OR($T29&gt;0,$U29&gt;0),$Q29=0),"CÓDIGO",
IF(AND($C29="S",$P29&lt;&gt;0,$Q29&lt;&gt;0,$R29="(Código não identificado nas referências)"),"CÓDIGO N/ID",
IF(AND($C29="S",OR($R29="",$R29="(digite a descrição aqui)"),OR($Q29&lt;&gt;0,$T29&gt;0,$U29&gt;0)),"DESCRIÇÃO",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5</v>
      </c>
      <c r="AE29" s="7" t="b">
        <f ca="1">IF(AND($C29="S",ORÇAMENTO.CodBarra&lt;&gt;""),IF(ORÇAMENTO.Fonte="",ORÇAMENTO.CodBarra,CONCATENATE(ORÇAMENTO.Fonte," ",ORÇAMENTO.CodBarra)))</f>
        <v>0</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(Sem Código)</v>
      </c>
      <c r="AG29" s="453">
        <f ca="1">ROUND(IF(DESONERACAO="sim",REFERENCIA.Desonerado,REFERENCIA.NaoDesonerado),2)</f>
        <v>0</v>
      </c>
      <c r="AH29" s="454">
        <f t="shared" ref="AH29" ca="1" si="47">ROUND(IF(ISNUMBER(ORÇAMENTO.OpcaoBDI),ORÇAMENTO.OpcaoBDI,IF(LEFT(ORÇAMENTO.OpcaoBDI,3)="BDI",HLOOKUP(ORÇAMENTO.OpcaoBDI,$F$4:$H$5,2,FALSE),0)),15-11*$AF$9)</f>
        <v>0.24199999999999999</v>
      </c>
      <c r="AJ29" s="456"/>
      <c r="AL29" s="471"/>
      <c r="AM29" s="348">
        <f t="shared" ca="1" si="18"/>
        <v>68099.22</v>
      </c>
      <c r="AN29" s="504">
        <f t="shared" ref="AN29" ca="1" si="48">ROUND(ORÇAMENTO.CustoUnitario*(1+$AH29),2)</f>
        <v>0</v>
      </c>
    </row>
    <row r="30" spans="1:40" ht="51" x14ac:dyDescent="0.2">
      <c r="A30" t="str">
        <f>CHOOSE(1+LOG(1+2*(ORÇAMENTO.Nivel="Meta")+4*(ORÇAMENTO.Nivel="Nível 2")+8*(ORÇAMENTO.Nivel="Nível 3")+16*(ORÇAMENTO.Nivel="Nível 4")+32*(ORÇAMENTO.Nivel="Serviço"),2),0,1,2,3,4,"S")</f>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4</v>
      </c>
      <c r="G30">
        <f ca="1">IF(AND($C30&lt;=2,$C30&lt;&gt;0),0,IF($C30=3,OFFSET(G30,-1,0)+1,OFFSET(G30,-1,0)))</f>
        <v>0</v>
      </c>
      <c r="H30">
        <f ca="1">IF(AND($C30&lt;=3,$C30&lt;&gt;0),0,IF($C30=4,OFFSET(H30,-1,0)+1,OFFSET(H30,-1,0)))</f>
        <v>0</v>
      </c>
      <c r="I30">
        <f ca="1">IF(AND($C30&lt;=4,$C30&lt;&gt;0),0,IF(AND($C30="S",$X30&gt;0),OFFSET(I30,-1,0)+1,OFFSET(I30,-1,0)))</f>
        <v>1</v>
      </c>
      <c r="J30">
        <f t="shared" ca="1" si="9"/>
        <v>0</v>
      </c>
      <c r="K30">
        <f ca="1">IF(OR($C30="S",$C30=0),0,MATCH(OFFSET($D30,0,$C30)+IF($C30&lt;&gt;1,1,COUNTIF(QCI!$A$13:$A$24,ORÇAMENTO!E30)),OFFSET($D30,1,$C30,ROW($C$131)-ROW($C30)),0))</f>
        <v>0</v>
      </c>
      <c r="L30" s="116" t="str">
        <f ca="1">IF(OR($X30&gt;0,$C30=1,$C30=2,$C30=3,$C30=4),"F","")</f>
        <v>F</v>
      </c>
      <c r="M30" s="117" t="s">
        <v>197</v>
      </c>
      <c r="N30" s="118" t="str">
        <f ca="1">CHOOSE(1+LOG(1+2*(C30=1)+4*(C30=2)+8*(C30=3)+16*(C30=4)+32*(C30="S"),2),"","Meta","Nível 2","Nível 3","Nível 4","Serviço")</f>
        <v>Serviço</v>
      </c>
      <c r="O30" s="119" t="str">
        <f ca="1">IF(OR($C30=0,$L30=""),"-",CONCATENATE(E30&amp;".",IF(AND($A$5&gt;=2,$C30&gt;=2),F30&amp;".",""),IF(AND($A$5&gt;=3,$C30&gt;=3),G30&amp;".",""),IF(AND($A$5&gt;=4,$C30&gt;=4),H30&amp;".",""),IF($C30="S",I30&amp;".","")))</f>
        <v>1.4.0.0.1.</v>
      </c>
      <c r="P30" s="120" t="s">
        <v>245</v>
      </c>
      <c r="Q30" s="121" t="s">
        <v>974</v>
      </c>
      <c r="R30" s="122" t="str">
        <f ca="1">IF($C30="S",REFERENCIA.Descricao,"(digite a descrição aqui)")</f>
        <v>ASSENTAMENTO DE GUIA (MEIO-FIO) EM TRECHO RETO, CONFECCIONADA EM CONCRETO PRÉ-FABRICADO, DIMENSÕES 100X15X13X20 CM (COMPRIMENTO X BASE INFERIOR X BASE SUPERIOR X ALTURA). AF_01/2024</v>
      </c>
      <c r="S30" s="123" t="str">
        <f ca="1">REFERENCIA.Unidade</f>
        <v>M</v>
      </c>
      <c r="T30" s="124">
        <f ca="1">OFFSET(CÁLCULO!H$15,ROW($T30)-ROW(T$15),0)</f>
        <v>169.59</v>
      </c>
      <c r="U30" s="125">
        <f t="shared" ca="1" si="17"/>
        <v>45.28</v>
      </c>
      <c r="V30" s="126" t="s">
        <v>155</v>
      </c>
      <c r="W30" s="124">
        <f ca="1">IF($C30="S",ROUND(IF(TIPOORCAMENTO="Proposto",ORÇAMENTO.CustoUnitario*(1+$AH30),ORÇAMENTO.PrecoUnitarioLicitado),15-13*$AF$10),0)</f>
        <v>56.24</v>
      </c>
      <c r="X30" s="127">
        <f ca="1">IF($C30="S",IF(OR(Import.TipoArredondamento&lt;&gt;"TransfereGOV",ACOMPANHAMENTO="BM"),VTOTAL1,SUM(OFFSET(CÁLCULO!$AI$15,ROW($X30)-ROW($X$15),1):OFFSET(CÁLCULO!$BB$15,ROW($X30)-ROW($X$15),-1))),IF($C30=0,0,ROUND(SomaAgrup,15-13*$AF$11)))</f>
        <v>9537.74</v>
      </c>
      <c r="Y30" s="128" t="s">
        <v>243</v>
      </c>
      <c r="Z30" t="str">
        <f ca="1">IF(AND($C30="S",$X30&gt;0),IF(ISBLANK($Y30),"RA",LEFT($Y30,2)),"")</f>
        <v>RA</v>
      </c>
      <c r="AA30" s="129">
        <f ca="1">IF($C30="S",IF($Z30="CP",$X30,IF($Z30="RA",(($X30)*QCI!$AA$3),0)),SomaAgrup)</f>
        <v>9537.74</v>
      </c>
      <c r="AB30" s="130">
        <f ca="1">IF($C30="S",IF($Z30="OU",ROUND($X30,2),0),SomaAgrup)</f>
        <v>0</v>
      </c>
      <c r="AC30" s="619" t="str">
        <f ca="1">IF($N30=""," ",
IF(AND($C30&lt;&gt;"S",OR($R30="",$R30="(digite a descrição aqui)")),"DESCRIÇÃO",
IF(AND($C30="S",OR($Q30&lt;&gt;0,$T30&gt;0,$U30&gt;0),$P30=0),"FONTE",
IF(AND($C30="S",$P30&lt;&gt;0,OR($T30&gt;0,$U30&gt;0),$Q30=0),"CÓDIGO",
IF(AND($C30="S",$P30&lt;&gt;0,$Q30&lt;&gt;0,$R30="(Código não identificado nas referências)"),"CÓDIGO N/ID",
IF(AND($C30="S",OR($R30="",$R30="(digite a descrição aqui)"),OR($Q30&lt;&gt;0,$T30&gt;0,$U30&gt;0)),"DESCRIÇÃO",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ca="1">IF(AND($C30="S",ORÇAMENTO.CodBarra&lt;&gt;""),IF(ORÇAMENTO.Fonte="",ORÇAMENTO.CodBarra,CONCATENATE(ORÇAMENTO.Fonte," ",ORÇAMENTO.CodBarra)))</f>
        <v>SINAPI 94275</v>
      </c>
      <c r="AF30" s="13">
        <f ca="1">IF(ISERROR(INDIRECT(ORÇAMENTO.BancoRef)),"(abra o arquivo 'Referência "&amp;Excel_BuiltIn_Database&amp;".xlsm)",IF(OR($C30&lt;&gt;"S",ORÇAMENTO.CodBarra=""),"(Sem Código)",IF(ISERROR(MATCH($AE30,INDIRECT(ORÇAMENTO.BancoRef),0)),"(Código não identificado nas referências)",MATCH($AE30,INDIRECT(ORÇAMENTO.BancoRef),0))))</f>
        <v>10654</v>
      </c>
      <c r="AG30" s="453">
        <f ca="1">ROUND(IF(DESONERACAO="sim",REFERENCIA.Desonerado,REFERENCIA.NaoDesonerado),2)</f>
        <v>45.28</v>
      </c>
      <c r="AH30" s="454">
        <f ca="1">ROUND(IF(ISNUMBER(ORÇAMENTO.OpcaoBDI),ORÇAMENTO.OpcaoBDI,IF(LEFT(ORÇAMENTO.OpcaoBDI,3)="BDI",HLOOKUP(ORÇAMENTO.OpcaoBDI,$F$4:$H$5,2,FALSE),0)),15-11*$AF$9)</f>
        <v>0.24199999999999999</v>
      </c>
      <c r="AJ30" s="456"/>
      <c r="AL30" s="471"/>
      <c r="AM30" s="348">
        <f t="shared" ca="1" si="18"/>
        <v>9537.74</v>
      </c>
      <c r="AN30" s="504">
        <f ca="1">ROUND(ORÇAMENTO.CustoUnitario*(1+$AH30),2)</f>
        <v>56.24</v>
      </c>
    </row>
    <row r="31" spans="1:40" ht="51" x14ac:dyDescent="0.2">
      <c r="A31" t="str">
        <f>CHOOSE(1+LOG(1+2*(ORÇAMENTO.Nivel="Meta")+4*(ORÇAMENTO.Nivel="Nível 2")+8*(ORÇAMENTO.Nivel="Nível 3")+16*(ORÇAMENTO.Nivel="Nível 4")+32*(ORÇAMENTO.Nivel="Serviço"),2),0,1,2,3,4,"S")</f>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4</v>
      </c>
      <c r="G31">
        <f ca="1">IF(AND($C31&lt;=2,$C31&lt;&gt;0),0,IF($C31=3,OFFSET(G31,-1,0)+1,OFFSET(G31,-1,0)))</f>
        <v>0</v>
      </c>
      <c r="H31">
        <f ca="1">IF(AND($C31&lt;=3,$C31&lt;&gt;0),0,IF($C31=4,OFFSET(H31,-1,0)+1,OFFSET(H31,-1,0)))</f>
        <v>0</v>
      </c>
      <c r="I31">
        <f ca="1">IF(AND($C31&lt;=4,$C31&lt;&gt;0),0,IF(AND($C31="S",$X31&gt;0),OFFSET(I31,-1,0)+1,OFFSET(I31,-1,0)))</f>
        <v>2</v>
      </c>
      <c r="J31">
        <f t="shared" ca="1" si="9"/>
        <v>0</v>
      </c>
      <c r="K31">
        <f ca="1">IF(OR($C31="S",$C31=0),0,MATCH(OFFSET($D31,0,$C31)+IF($C31&lt;&gt;1,1,COUNTIF(QCI!$A$13:$A$24,ORÇAMENTO!E31)),OFFSET($D31,1,$C31,ROW($C$131)-ROW($C31)),0))</f>
        <v>0</v>
      </c>
      <c r="L31" s="116" t="str">
        <f ca="1">IF(OR($X31&gt;0,$C31=1,$C31=2,$C31=3,$C31=4),"F","")</f>
        <v>F</v>
      </c>
      <c r="M31" s="117" t="s">
        <v>197</v>
      </c>
      <c r="N31" s="118" t="str">
        <f ca="1">CHOOSE(1+LOG(1+2*(C31=1)+4*(C31=2)+8*(C31=3)+16*(C31=4)+32*(C31="S"),2),"","Meta","Nível 2","Nível 3","Nível 4","Serviço")</f>
        <v>Serviço</v>
      </c>
      <c r="O31" s="119" t="str">
        <f ca="1">IF(OR($C31=0,$L31=""),"-",CONCATENATE(E31&amp;".",IF(AND($A$5&gt;=2,$C31&gt;=2),F31&amp;".",""),IF(AND($A$5&gt;=3,$C31&gt;=3),G31&amp;".",""),IF(AND($A$5&gt;=4,$C31&gt;=4),H31&amp;".",""),IF($C31="S",I31&amp;".","")))</f>
        <v>1.4.0.0.2.</v>
      </c>
      <c r="P31" s="120" t="s">
        <v>245</v>
      </c>
      <c r="Q31" s="121" t="s">
        <v>975</v>
      </c>
      <c r="R31" s="122" t="str">
        <f ca="1">IF($C31="S",REFERENCIA.Descricao,"(digite a descrição aqui)")</f>
        <v>ASSENTAMENTO DE GUIA (MEIO-FIO) EM TRECHO CURVO, CONFECCIONADA EM CONCRETO PRÉ-FABRICADO, DIMENSÕES 100X15X13X20 CM (COMPRIMENTO X BASE INFERIOR X BASE SUPERIOR X ALTURA). AF_01/2024</v>
      </c>
      <c r="S31" s="123" t="str">
        <f ca="1">REFERENCIA.Unidade</f>
        <v>M</v>
      </c>
      <c r="T31" s="124">
        <f ca="1">OFFSET(CÁLCULO!H$15,ROW($T31)-ROW(T$15),0)</f>
        <v>7.85</v>
      </c>
      <c r="U31" s="125">
        <f t="shared" ca="1" si="17"/>
        <v>48.61</v>
      </c>
      <c r="V31" s="126" t="s">
        <v>155</v>
      </c>
      <c r="W31" s="124">
        <f ca="1">IF($C31="S",ROUND(IF(TIPOORCAMENTO="Proposto",ORÇAMENTO.CustoUnitario*(1+$AH31),ORÇAMENTO.PrecoUnitarioLicitado),15-13*$AF$10),0)</f>
        <v>60.37</v>
      </c>
      <c r="X31" s="127">
        <f ca="1">IF($C31="S",IF(OR(Import.TipoArredondamento&lt;&gt;"TransfereGOV",ACOMPANHAMENTO="BM"),VTOTAL1,SUM(OFFSET(CÁLCULO!$AI$15,ROW($X31)-ROW($X$15),1):OFFSET(CÁLCULO!$BB$15,ROW($X31)-ROW($X$15),-1))),IF($C31=0,0,ROUND(SomaAgrup,15-13*$AF$11)))</f>
        <v>473.9</v>
      </c>
      <c r="Y31" s="128" t="s">
        <v>243</v>
      </c>
      <c r="Z31" t="str">
        <f ca="1">IF(AND($C31="S",$X31&gt;0),IF(ISBLANK($Y31),"RA",LEFT($Y31,2)),"")</f>
        <v>RA</v>
      </c>
      <c r="AA31" s="129">
        <f ca="1">IF($C31="S",IF($Z31="CP",$X31,IF($Z31="RA",(($X31)*QCI!$AA$3),0)),SomaAgrup)</f>
        <v>473.9</v>
      </c>
      <c r="AB31" s="130">
        <f ca="1">IF($C31="S",IF($Z31="OU",ROUND($X31,2),0),SomaAgrup)</f>
        <v>0</v>
      </c>
      <c r="AC31" s="619" t="str">
        <f ca="1">IF($N31=""," ",
IF(AND($C31&lt;&gt;"S",OR($R31="",$R31="(digite a descrição aqui)")),"DESCRIÇÃO",
IF(AND($C31="S",OR($Q31&lt;&gt;0,$T31&gt;0,$U31&gt;0),$P31=0),"FONTE",
IF(AND($C31="S",$P31&lt;&gt;0,OR($T31&gt;0,$U31&gt;0),$Q31=0),"CÓDIGO",
IF(AND($C31="S",$P31&lt;&gt;0,$Q31&lt;&gt;0,$R31="(Código não identificado nas referências)"),"CÓDIGO N/ID",
IF(AND($C31="S",OR($R31="",$R31="(digite a descrição aqui)"),OR($Q31&lt;&gt;0,$T31&gt;0,$U31&gt;0)),"DESCRIÇÃO",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ca="1">IF(AND($C31="S",ORÇAMENTO.CodBarra&lt;&gt;""),IF(ORÇAMENTO.Fonte="",ORÇAMENTO.CodBarra,CONCATENATE(ORÇAMENTO.Fonte," ",ORÇAMENTO.CodBarra)))</f>
        <v>SINAPI 94276</v>
      </c>
      <c r="AF31" s="13">
        <f ca="1">IF(ISERROR(INDIRECT(ORÇAMENTO.BancoRef)),"(abra o arquivo 'Referência "&amp;Excel_BuiltIn_Database&amp;".xlsm)",IF(OR($C31&lt;&gt;"S",ORÇAMENTO.CodBarra=""),"(Sem Código)",IF(ISERROR(MATCH($AE31,INDIRECT(ORÇAMENTO.BancoRef),0)),"(Código não identificado nas referências)",MATCH($AE31,INDIRECT(ORÇAMENTO.BancoRef),0))))</f>
        <v>10650</v>
      </c>
      <c r="AG31" s="453">
        <f ca="1">ROUND(IF(DESONERACAO="sim",REFERENCIA.Desonerado,REFERENCIA.NaoDesonerado),2)</f>
        <v>48.61</v>
      </c>
      <c r="AH31" s="454">
        <f ca="1">ROUND(IF(ISNUMBER(ORÇAMENTO.OpcaoBDI),ORÇAMENTO.OpcaoBDI,IF(LEFT(ORÇAMENTO.OpcaoBDI,3)="BDI",HLOOKUP(ORÇAMENTO.OpcaoBDI,$F$4:$H$5,2,FALSE),0)),15-11*$AF$9)</f>
        <v>0.24199999999999999</v>
      </c>
      <c r="AJ31" s="456"/>
      <c r="AL31" s="471"/>
      <c r="AM31" s="348">
        <f t="shared" ca="1" si="18"/>
        <v>473.9</v>
      </c>
      <c r="AN31" s="504">
        <f ca="1">ROUND(ORÇAMENTO.CustoUnitario*(1+$AH31),2)</f>
        <v>60.37</v>
      </c>
    </row>
    <row r="32" spans="1:40" ht="38.25" x14ac:dyDescent="0.2">
      <c r="A32" t="str">
        <f>CHOOSE(1+LOG(1+2*(ORÇAMENTO.Nivel="Meta")+4*(ORÇAMENTO.Nivel="Nível 2")+8*(ORÇAMENTO.Nivel="Nível 3")+16*(ORÇAMENTO.Nivel="Nível 4")+32*(ORÇAMENTO.Nivel="Serviço"),2),0,1,2,3,4,"S")</f>
        <v>S</v>
      </c>
      <c r="B32">
        <f t="shared" ref="B32:B33" ca="1" si="49">IF(OR(C32="s",C32=0),OFFSET(B32,-1,0),C32)</f>
        <v>2</v>
      </c>
      <c r="C32" t="str">
        <f t="shared" ref="C32:C33" ca="1" si="50">IF(OFFSET(C32,-1,0)="L",1,IF(OFFSET(C32,-1,0)=1,2,IF(OR(A32="s",A32=0),"S",IF(AND(OFFSET(C32,-1,0)=2,A32=4),3,IF(AND(OR(OFFSET(C32,-1,0)="s",OFFSET(C32,-1,0)=0),A32&lt;&gt;"s",A32&gt;OFFSET(B32,-1,0)),OFFSET(B32,-1,0),A32)))))</f>
        <v>S</v>
      </c>
      <c r="D32">
        <f t="shared" ref="D32:D33" ca="1" si="51">IF(OR(C32="S",C32=0),0,IF(ISERROR(K32),J32,SMALL(J32:K32,1)))</f>
        <v>0</v>
      </c>
      <c r="E32">
        <f ca="1">IF($C32=1,OFFSET(E32,-1,0)+MAX(1,COUNTIF(QCI!$A$13:$A$24,OFFSET(ORÇAMENTO!E32,-1,0))),OFFSET(E32,-1,0))</f>
        <v>1</v>
      </c>
      <c r="F32">
        <f t="shared" ref="F32:F33" ca="1" si="52">IF($C32=1,0,IF($C32=2,OFFSET(F32,-1,0)+1,OFFSET(F32,-1,0)))</f>
        <v>4</v>
      </c>
      <c r="G32">
        <f t="shared" ref="G32:G33" ca="1" si="53">IF(AND($C32&lt;=2,$C32&lt;&gt;0),0,IF($C32=3,OFFSET(G32,-1,0)+1,OFFSET(G32,-1,0)))</f>
        <v>0</v>
      </c>
      <c r="H32">
        <f t="shared" ref="H32:H33" ca="1" si="54">IF(AND($C32&lt;=3,$C32&lt;&gt;0),0,IF($C32=4,OFFSET(H32,-1,0)+1,OFFSET(H32,-1,0)))</f>
        <v>0</v>
      </c>
      <c r="I32">
        <f t="shared" ref="I32:I33" ca="1" si="55">IF(AND($C32&lt;=4,$C32&lt;&gt;0),0,IF(AND($C32="S",$X32&gt;0),OFFSET(I32,-1,0)+1,OFFSET(I32,-1,0)))</f>
        <v>3</v>
      </c>
      <c r="J32">
        <f t="shared" ca="1" si="9"/>
        <v>0</v>
      </c>
      <c r="K32">
        <f ca="1">IF(OR($C32="S",$C32=0),0,MATCH(OFFSET($D32,0,$C32)+IF($C32&lt;&gt;1,1,COUNTIF(QCI!$A$13:$A$24,ORÇAMENTO!E32)),OFFSET($D32,1,$C32,ROW($C$131)-ROW($C32)),0))</f>
        <v>0</v>
      </c>
      <c r="L32" s="116" t="str">
        <f t="shared" ref="L32:L33" ca="1" si="56">IF(OR($X32&gt;0,$C32=1,$C32=2,$C32=3,$C32=4),"F","")</f>
        <v>F</v>
      </c>
      <c r="M32" s="117" t="s">
        <v>197</v>
      </c>
      <c r="N32" s="118" t="str">
        <f t="shared" ref="N32:N33" ca="1" si="57">CHOOSE(1+LOG(1+2*(C32=1)+4*(C32=2)+8*(C32=3)+16*(C32=4)+32*(C32="S"),2),"","Meta","Nível 2","Nível 3","Nível 4","Serviço")</f>
        <v>Serviço</v>
      </c>
      <c r="O32" s="119" t="str">
        <f t="shared" ref="O32:O33" ca="1" si="58">IF(OR($C32=0,$L32=""),"-",CONCATENATE(E32&amp;".",IF(AND($A$5&gt;=2,$C32&gt;=2),F32&amp;".",""),IF(AND($A$5&gt;=3,$C32&gt;=3),G32&amp;".",""),IF(AND($A$5&gt;=4,$C32&gt;=4),H32&amp;".",""),IF($C32="S",I32&amp;".","")))</f>
        <v>1.4.0.0.3.</v>
      </c>
      <c r="P32" s="120" t="s">
        <v>245</v>
      </c>
      <c r="Q32" s="121" t="s">
        <v>976</v>
      </c>
      <c r="R32" s="122" t="str">
        <f ca="1">IF($C32="S",REFERENCIA.Descricao,"(digite a descrição aqui)")</f>
        <v>EXECUÇÃO DE PASSEIO (CALÇADA) OU PISO DE CONCRETO COM CONCRETO MOLDADO IN LOCO, USINADO, ACABAMENTO CONVENCIONAL, ESPESSURA 8 CM, ARMADO. AF_08/2022</v>
      </c>
      <c r="S32" s="123" t="str">
        <f ca="1">REFERENCIA.Unidade</f>
        <v>M2</v>
      </c>
      <c r="T32" s="124">
        <f ca="1">OFFSET(CÁLCULO!H$15,ROW($T32)-ROW(T$15),0)</f>
        <v>412.18</v>
      </c>
      <c r="U32" s="125">
        <f t="shared" ca="1" si="17"/>
        <v>101.85</v>
      </c>
      <c r="V32" s="126" t="s">
        <v>155</v>
      </c>
      <c r="W32" s="124">
        <f ca="1">IF($C32="S",ROUND(IF(TIPOORCAMENTO="Proposto",ORÇAMENTO.CustoUnitario*(1+$AH32),ORÇAMENTO.PrecoUnitarioLicitado),15-13*$AF$10),0)</f>
        <v>126.5</v>
      </c>
      <c r="X32" s="127">
        <f ca="1">IF($C32="S",IF(OR(Import.TipoArredondamento&lt;&gt;"TransfereGOV",ACOMPANHAMENTO="BM"),VTOTAL1,SUM(OFFSET(CÁLCULO!$AI$15,ROW($X32)-ROW($X$15),1):OFFSET(CÁLCULO!$BB$15,ROW($X32)-ROW($X$15),-1))),IF($C32=0,0,ROUND(SomaAgrup,15-13*$AF$11)))</f>
        <v>52140.77</v>
      </c>
      <c r="Y32" s="128" t="s">
        <v>243</v>
      </c>
      <c r="Z32" t="str">
        <f t="shared" ref="Z32:Z33" ca="1" si="59">IF(AND($C32="S",$X32&gt;0),IF(ISBLANK($Y32),"RA",LEFT($Y32,2)),"")</f>
        <v>RA</v>
      </c>
      <c r="AA32" s="129">
        <f ca="1">IF($C32="S",IF($Z32="CP",$X32,IF($Z32="RA",(($X32)*QCI!$AA$3),0)),SomaAgrup)</f>
        <v>52140.77</v>
      </c>
      <c r="AB32" s="130">
        <f ca="1">IF($C32="S",IF($Z32="OU",ROUND($X32,2),0),SomaAgrup)</f>
        <v>0</v>
      </c>
      <c r="AC32" s="619" t="str">
        <f ca="1">IF($N32=""," ",
IF(AND($C32&lt;&gt;"S",OR($R32="",$R32="(digite a descrição aqui)")),"DESCRIÇÃO",
IF(AND($C32="S",OR($Q32&lt;&gt;0,$T32&gt;0,$U32&gt;0),$P32=0),"FONTE",
IF(AND($C32="S",$P32&lt;&gt;0,OR($T32&gt;0,$U32&gt;0),$Q32=0),"CÓDIGO",
IF(AND($C32="S",$P32&lt;&gt;0,$Q32&lt;&gt;0,$R32="(Código não identificado nas referências)"),"CÓDIGO N/ID",
IF(AND($C32="S",OR($R32="",$R32="(digite a descrição aqui)"),OR($Q32&lt;&gt;0,$T32&gt;0,$U32&gt;0)),"DESCRIÇÃO",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f ca="1">IF(AND($C32="S",ORÇAMENTO.CodBarra&lt;&gt;""),IF(ORÇAMENTO.Fonte="",ORÇAMENTO.CodBarra,CONCATENATE(ORÇAMENTO.Fonte," ",ORÇAMENTO.CodBarra)))</f>
        <v>SINAPI 94995</v>
      </c>
      <c r="AF32" s="13">
        <f ca="1">IF(ISERROR(INDIRECT(ORÇAMENTO.BancoRef)),"(abra o arquivo 'Referência "&amp;Excel_BuiltIn_Database&amp;".xlsm)",IF(OR($C32&lt;&gt;"S",ORÇAMENTO.CodBarra=""),"(Sem Código)",IF(ISERROR(MATCH($AE32,INDIRECT(ORÇAMENTO.BancoRef),0)),"(Código não identificado nas referências)",MATCH($AE32,INDIRECT(ORÇAMENTO.BancoRef),0))))</f>
        <v>14219</v>
      </c>
      <c r="AG32" s="453">
        <f ca="1">ROUND(IF(DESONERACAO="sim",REFERENCIA.Desonerado,REFERENCIA.NaoDesonerado),2)</f>
        <v>101.85</v>
      </c>
      <c r="AH32" s="454">
        <f ca="1">ROUND(IF(ISNUMBER(ORÇAMENTO.OpcaoBDI),ORÇAMENTO.OpcaoBDI,IF(LEFT(ORÇAMENTO.OpcaoBDI,3)="BDI",HLOOKUP(ORÇAMENTO.OpcaoBDI,$F$4:$H$5,2,FALSE),0)),15-11*$AF$9)</f>
        <v>0.24199999999999999</v>
      </c>
      <c r="AJ32" s="456"/>
      <c r="AL32" s="471"/>
      <c r="AM32" s="348">
        <f t="shared" ca="1" si="18"/>
        <v>52140.77</v>
      </c>
      <c r="AN32" s="504">
        <f ca="1">ROUND(ORÇAMENTO.CustoUnitario*(1+$AH32),2)</f>
        <v>126.5</v>
      </c>
    </row>
    <row r="33" spans="1:40" ht="38.25" x14ac:dyDescent="0.2">
      <c r="A33" t="str">
        <f>CHOOSE(1+LOG(1+2*(ORÇAMENTO.Nivel="Meta")+4*(ORÇAMENTO.Nivel="Nível 2")+8*(ORÇAMENTO.Nivel="Nível 3")+16*(ORÇAMENTO.Nivel="Nível 4")+32*(ORÇAMENTO.Nivel="Serviço"),2),0,1,2,3,4,"S")</f>
        <v>S</v>
      </c>
      <c r="B33">
        <f t="shared" ca="1" si="49"/>
        <v>2</v>
      </c>
      <c r="C33" t="str">
        <f t="shared" ca="1" si="50"/>
        <v>S</v>
      </c>
      <c r="D33">
        <f t="shared" ca="1" si="51"/>
        <v>0</v>
      </c>
      <c r="E33">
        <f ca="1">IF($C33=1,OFFSET(E33,-1,0)+MAX(1,COUNTIF(QCI!$A$13:$A$24,OFFSET(ORÇAMENTO!E33,-1,0))),OFFSET(E33,-1,0))</f>
        <v>1</v>
      </c>
      <c r="F33">
        <f t="shared" ca="1" si="52"/>
        <v>4</v>
      </c>
      <c r="G33">
        <f t="shared" ca="1" si="53"/>
        <v>0</v>
      </c>
      <c r="H33">
        <f t="shared" ca="1" si="54"/>
        <v>0</v>
      </c>
      <c r="I33">
        <f t="shared" ca="1" si="55"/>
        <v>4</v>
      </c>
      <c r="J33">
        <f t="shared" ca="1" si="9"/>
        <v>0</v>
      </c>
      <c r="K33">
        <f ca="1">IF(OR($C33="S",$C33=0),0,MATCH(OFFSET($D33,0,$C33)+IF($C33&lt;&gt;1,1,COUNTIF(QCI!$A$13:$A$24,ORÇAMENTO!E33)),OFFSET($D33,1,$C33,ROW($C$131)-ROW($C33)),0))</f>
        <v>0</v>
      </c>
      <c r="L33" s="116" t="str">
        <f t="shared" ca="1" si="56"/>
        <v>F</v>
      </c>
      <c r="M33" s="117" t="s">
        <v>197</v>
      </c>
      <c r="N33" s="118" t="str">
        <f t="shared" ca="1" si="57"/>
        <v>Serviço</v>
      </c>
      <c r="O33" s="119" t="str">
        <f t="shared" ca="1" si="58"/>
        <v>1.4.0.0.4.</v>
      </c>
      <c r="P33" s="120" t="s">
        <v>245</v>
      </c>
      <c r="Q33" s="121" t="s">
        <v>977</v>
      </c>
      <c r="R33" s="122" t="str">
        <f ca="1">IF($C33="S",REFERENCIA.Descricao,"(digite a descrição aqui)")</f>
        <v>EXECUÇÃO DE PAVIMENTO EM PISO INTERTRAVADO, COM BLOCO RETANGULAR COR NATURAL DE 20 X 10 CM, ESPESSURA 8 CM. AF_10/2022</v>
      </c>
      <c r="S33" s="123" t="str">
        <f ca="1">REFERENCIA.Unidade</f>
        <v>M2</v>
      </c>
      <c r="T33" s="124">
        <f ca="1">OFFSET(CÁLCULO!H$15,ROW($T33)-ROW(T$15),0)</f>
        <v>56.94</v>
      </c>
      <c r="U33" s="125">
        <f t="shared" ca="1" si="17"/>
        <v>84.09</v>
      </c>
      <c r="V33" s="126" t="s">
        <v>155</v>
      </c>
      <c r="W33" s="124">
        <f ca="1">IF($C33="S",ROUND(IF(TIPOORCAMENTO="Proposto",ORÇAMENTO.CustoUnitario*(1+$AH33),ORÇAMENTO.PrecoUnitarioLicitado),15-13*$AF$10),0)</f>
        <v>104.44</v>
      </c>
      <c r="X33" s="127">
        <f ca="1">IF($C33="S",IF(OR(Import.TipoArredondamento&lt;&gt;"TransfereGOV",ACOMPANHAMENTO="BM"),VTOTAL1,SUM(OFFSET(CÁLCULO!$AI$15,ROW($X33)-ROW($X$15),1):OFFSET(CÁLCULO!$BB$15,ROW($X33)-ROW($X$15),-1))),IF($C33=0,0,ROUND(SomaAgrup,15-13*$AF$11)))</f>
        <v>5946.81</v>
      </c>
      <c r="Y33" s="128" t="s">
        <v>243</v>
      </c>
      <c r="Z33" t="str">
        <f t="shared" ca="1" si="59"/>
        <v>RA</v>
      </c>
      <c r="AA33" s="129">
        <f ca="1">IF($C33="S",IF($Z33="CP",$X33,IF($Z33="RA",(($X33)*QCI!$AA$3),0)),SomaAgrup)</f>
        <v>5946.81</v>
      </c>
      <c r="AB33" s="130">
        <f ca="1">IF($C33="S",IF($Z33="OU",ROUND($X33,2),0),SomaAgrup)</f>
        <v>0</v>
      </c>
      <c r="AC33" s="619" t="str">
        <f ca="1">IF($N33=""," ",
IF(AND($C33&lt;&gt;"S",OR($R33="",$R33="(digite a descrição aqui)")),"DESCRIÇÃO",
IF(AND($C33="S",OR($Q33&lt;&gt;0,$T33&gt;0,$U33&gt;0),$P33=0),"FONTE",
IF(AND($C33="S",$P33&lt;&gt;0,OR($T33&gt;0,$U33&gt;0),$Q33=0),"CÓDIGO",
IF(AND($C33="S",$P33&lt;&gt;0,$Q33&lt;&gt;0,$R33="(Código não identificado nas referências)"),"CÓDIGO N/ID",
IF(AND($C33="S",OR($R33="",$R33="(digite a descrição aqui)"),OR($Q33&lt;&gt;0,$T33&gt;0,$U33&gt;0)),"DESCRIÇÃO",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f ca="1">IF(AND($C33="S",ORÇAMENTO.CodBarra&lt;&gt;""),IF(ORÇAMENTO.Fonte="",ORÇAMENTO.CodBarra,CONCATENATE(ORÇAMENTO.Fonte," ",ORÇAMENTO.CodBarra)))</f>
        <v>SINAPI 92398</v>
      </c>
      <c r="AF33" s="13">
        <f ca="1">IF(ISERROR(INDIRECT(ORÇAMENTO.BancoRef)),"(abra o arquivo 'Referência "&amp;Excel_BuiltIn_Database&amp;".xlsm)",IF(OR($C33&lt;&gt;"S",ORÇAMENTO.CodBarra=""),"(Sem Código)",IF(ISERROR(MATCH($AE33,INDIRECT(ORÇAMENTO.BancoRef),0)),"(Código não identificado nas referências)",MATCH($AE33,INDIRECT(ORÇAMENTO.BancoRef),0))))</f>
        <v>14252</v>
      </c>
      <c r="AG33" s="453">
        <f ca="1">ROUND(IF(DESONERACAO="sim",REFERENCIA.Desonerado,REFERENCIA.NaoDesonerado),2)</f>
        <v>84.09</v>
      </c>
      <c r="AH33" s="454">
        <f ca="1">ROUND(IF(ISNUMBER(ORÇAMENTO.OpcaoBDI),ORÇAMENTO.OpcaoBDI,IF(LEFT(ORÇAMENTO.OpcaoBDI,3)="BDI",HLOOKUP(ORÇAMENTO.OpcaoBDI,$F$4:$H$5,2,FALSE),0)),15-11*$AF$9)</f>
        <v>0.24199999999999999</v>
      </c>
      <c r="AJ33" s="456"/>
      <c r="AL33" s="471"/>
      <c r="AM33" s="348">
        <f t="shared" ca="1" si="18"/>
        <v>5946.81</v>
      </c>
      <c r="AN33" s="504">
        <f ca="1">ROUND(ORÇAMENTO.CustoUnitario*(1+$AH33),2)</f>
        <v>104.44</v>
      </c>
    </row>
    <row r="34" spans="1:40" ht="25.5" x14ac:dyDescent="0.2">
      <c r="A34">
        <f t="shared" ref="A34" si="60">CHOOSE(1+LOG(1+2*(ORÇAMENTO.Nivel="Meta")+4*(ORÇAMENTO.Nivel="Nível 2")+8*(ORÇAMENTO.Nivel="Nível 3")+16*(ORÇAMENTO.Nivel="Nível 4")+32*(ORÇAMENTO.Nivel="Serviço"),2),0,1,2,3,4,"S")</f>
        <v>2</v>
      </c>
      <c r="B34">
        <f t="shared" ref="B34" ca="1" si="61">IF(OR(C34="s",C34=0),OFFSET(B34,-1,0),C34)</f>
        <v>2</v>
      </c>
      <c r="C34">
        <f t="shared" ref="C34" ca="1" si="62">IF(OFFSET(C34,-1,0)="L",1,IF(OFFSET(C34,-1,0)=1,2,IF(OR(A34="s",A34=0),"S",IF(AND(OFFSET(C34,-1,0)=2,A34=4),3,IF(AND(OR(OFFSET(C34,-1,0)="s",OFFSET(C34,-1,0)=0),A34&lt;&gt;"s",A34&gt;OFFSET(B34,-1,0)),OFFSET(B34,-1,0),A34)))))</f>
        <v>2</v>
      </c>
      <c r="D34">
        <f t="shared" ref="D34" ca="1" si="63">IF(OR(C34="S",C34=0),0,IF(ISERROR(K34),J34,SMALL(J34:K34,1)))</f>
        <v>21</v>
      </c>
      <c r="E34">
        <f ca="1">IF($C34=1,OFFSET(E34,-1,0)+MAX(1,COUNTIF(QCI!$A$13:$A$24,OFFSET(ORÇAMENTO!E34,-1,0))),OFFSET(E34,-1,0))</f>
        <v>1</v>
      </c>
      <c r="F34">
        <f t="shared" ref="F34" ca="1" si="64">IF($C34=1,0,IF($C34=2,OFFSET(F34,-1,0)+1,OFFSET(F34,-1,0)))</f>
        <v>5</v>
      </c>
      <c r="G34">
        <f t="shared" ref="G34" ca="1" si="65">IF(AND($C34&lt;=2,$C34&lt;&gt;0),0,IF($C34=3,OFFSET(G34,-1,0)+1,OFFSET(G34,-1,0)))</f>
        <v>0</v>
      </c>
      <c r="H34">
        <f t="shared" ref="H34" ca="1" si="66">IF(AND($C34&lt;=3,$C34&lt;&gt;0),0,IF($C34=4,OFFSET(H34,-1,0)+1,OFFSET(H34,-1,0)))</f>
        <v>0</v>
      </c>
      <c r="I34">
        <f t="shared" ref="I34" ca="1" si="67">IF(AND($C34&lt;=4,$C34&lt;&gt;0),0,IF(AND($C34="S",$X34&gt;0),OFFSET(I34,-1,0)+1,OFFSET(I34,-1,0)))</f>
        <v>0</v>
      </c>
      <c r="J34">
        <f t="shared" ca="1" si="9"/>
        <v>97</v>
      </c>
      <c r="K34">
        <f ca="1">IF(OR($C34="S",$C34=0),0,MATCH(OFFSET($D34,0,$C34)+IF($C34&lt;&gt;1,1,COUNTIF(QCI!$A$13:$A$24,ORÇAMENTO!E34)),OFFSET($D34,1,$C34,ROW($C$131)-ROW($C34)),0))</f>
        <v>21</v>
      </c>
      <c r="L34" s="116" t="str">
        <f t="shared" ref="L34" ca="1" si="68">IF(OR($X34&gt;0,$C34=1,$C34=2,$C34=3,$C34=4),"F","")</f>
        <v>F</v>
      </c>
      <c r="M34" s="117" t="s">
        <v>194</v>
      </c>
      <c r="N34" s="118" t="str">
        <f t="shared" ref="N34" ca="1" si="69">CHOOSE(1+LOG(1+2*(C34=1)+4*(C34=2)+8*(C34=3)+16*(C34=4)+32*(C34="S"),2),"","Meta","Nível 2","Nível 3","Nível 4","Serviço")</f>
        <v>Nível 2</v>
      </c>
      <c r="O34" s="119" t="str">
        <f t="shared" ref="O34" ca="1" si="70">IF(OR($C34=0,$L34=""),"-",CONCATENATE(E34&amp;".",IF(AND($A$5&gt;=2,$C34&gt;=2),F34&amp;".",""),IF(AND($A$5&gt;=3,$C34&gt;=3),G34&amp;".",""),IF(AND($A$5&gt;=4,$C34&gt;=4),H34&amp;".",""),IF($C34="S",I34&amp;".","")))</f>
        <v>1.5.</v>
      </c>
      <c r="P34" s="120"/>
      <c r="Q34" s="121"/>
      <c r="R34" s="122" t="s">
        <v>1063</v>
      </c>
      <c r="S34" s="123" t="str">
        <f ca="1">REFERENCIA.Unidade</f>
        <v>-</v>
      </c>
      <c r="T34" s="124">
        <f ca="1">OFFSET(CÁLCULO!H$15,ROW($T34)-ROW(T$15),0)</f>
        <v>0</v>
      </c>
      <c r="U34" s="125">
        <f t="shared" ca="1" si="17"/>
        <v>0</v>
      </c>
      <c r="V34" s="126" t="s">
        <v>155</v>
      </c>
      <c r="W34" s="124">
        <f ca="1">IF($C34="S",ROUND(IF(TIPOORCAMENTO="Proposto",ORÇAMENTO.CustoUnitario*(1+$AH34),ORÇAMENTO.PrecoUnitarioLicitado),15-13*$AF$10),0)</f>
        <v>0</v>
      </c>
      <c r="X34" s="127">
        <f ca="1">IF($C34="S",IF(OR(Import.TipoArredondamento&lt;&gt;"TransfereGOV",ACOMPANHAMENTO="BM"),VTOTAL1,SUM(OFFSET(CÁLCULO!$AI$15,ROW($X34)-ROW($X$15),1):OFFSET(CÁLCULO!$BB$15,ROW($X34)-ROW($X$15),-1))),IF($C34=0,0,ROUND(SomaAgrup,15-13*$AF$11)))</f>
        <v>943277.74</v>
      </c>
      <c r="Y34" s="128" t="s">
        <v>243</v>
      </c>
      <c r="Z34" t="str">
        <f t="shared" ref="Z34" ca="1" si="71">IF(AND($C34="S",$X34&gt;0),IF(ISBLANK($Y34),"RA",LEFT($Y34,2)),"")</f>
        <v/>
      </c>
      <c r="AA34" s="129">
        <f ca="1">IF($C34="S",IF($Z34="CP",$X34,IF($Z34="RA",(($X34)*QCI!$AA$3),0)),SomaAgrup)</f>
        <v>943277.74</v>
      </c>
      <c r="AB34" s="130">
        <f t="shared" ref="AB34" ca="1" si="72">IF($C34="S",IF($Z34="OU",ROUND($X34,2),0),SomaAgrup)</f>
        <v>0</v>
      </c>
      <c r="AC34" s="619" t="str">
        <f ca="1">IF($N34=""," ",
IF(AND($C34&lt;&gt;"S",OR($R34="",$R34="(digite a descrição aqui)")),"DESCRIÇÃO",
IF(AND($C34="S",OR($Q34&lt;&gt;0,$T34&gt;0,$U34&gt;0),$P34=0),"FONTE",
IF(AND($C34="S",$P34&lt;&gt;0,OR($T34&gt;0,$U34&gt;0),$Q34=0),"CÓDIGO",
IF(AND($C34="S",$P34&lt;&gt;0,$Q34&lt;&gt;0,$R34="(Código não identificado nas referências)"),"CÓDIGO N/ID",
IF(AND($C34="S",OR($R34="",$R34="(digite a descrição aqui)"),OR($Q34&lt;&gt;0,$T34&gt;0,$U34&gt;0)),"DESCRIÇÃO",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6</v>
      </c>
      <c r="AE34" s="7" t="b">
        <f ca="1">IF(AND($C34="S",ORÇAMENTO.CodBarra&lt;&gt;""),IF(ORÇAMENTO.Fonte="",ORÇAMENTO.CodBarra,CONCATENATE(ORÇAMENTO.Fonte," ",ORÇAMENTO.CodBarra)))</f>
        <v>0</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(Sem Código)</v>
      </c>
      <c r="AG34" s="453">
        <f ca="1">ROUND(IF(DESONERACAO="sim",REFERENCIA.Desonerado,REFERENCIA.NaoDesonerado),2)</f>
        <v>0</v>
      </c>
      <c r="AH34" s="454">
        <f t="shared" ref="AH34" ca="1" si="73">ROUND(IF(ISNUMBER(ORÇAMENTO.OpcaoBDI),ORÇAMENTO.OpcaoBDI,IF(LEFT(ORÇAMENTO.OpcaoBDI,3)="BDI",HLOOKUP(ORÇAMENTO.OpcaoBDI,$F$4:$H$5,2,FALSE),0)),15-11*$AF$9)</f>
        <v>0.24199999999999999</v>
      </c>
      <c r="AJ34" s="456"/>
      <c r="AL34" s="471"/>
      <c r="AM34" s="348">
        <f t="shared" ca="1" si="18"/>
        <v>943277.74</v>
      </c>
      <c r="AN34" s="504">
        <f t="shared" ref="AN34" ca="1" si="74">ROUND(ORÇAMENTO.CustoUnitario*(1+$AH34),2)</f>
        <v>0</v>
      </c>
    </row>
    <row r="35" spans="1:40" x14ac:dyDescent="0.2">
      <c r="A35">
        <f t="shared" ref="A35:A53" si="75">CHOOSE(1+LOG(1+2*(ORÇAMENTO.Nivel="Meta")+4*(ORÇAMENTO.Nivel="Nível 2")+8*(ORÇAMENTO.Nivel="Nível 3")+16*(ORÇAMENTO.Nivel="Nível 4")+32*(ORÇAMENTO.Nivel="Serviço"),2),0,1,2,3,4,"S")</f>
        <v>3</v>
      </c>
      <c r="B35">
        <f ca="1">IF(OR(C35="s",C35=0),OFFSET(B35,-1,0),C35)</f>
        <v>3</v>
      </c>
      <c r="C35">
        <f ca="1">IF(OFFSET(C35,-1,0)="L",1,IF(OFFSET(C35,-1,0)=1,2,IF(OR(A35="s",A35=0),"S",IF(AND(OFFSET(C35,-1,0)=2,A35=4),3,IF(AND(OR(OFFSET(C35,-1,0)="s",OFFSET(C35,-1,0)=0),A35&lt;&gt;"s",A35&gt;OFFSET(B35,-1,0)),OFFSET(B35,-1,0),A35)))))</f>
        <v>3</v>
      </c>
      <c r="D35">
        <f ca="1">IF(OR(C35="S",C35=0),0,IF(ISERROR(K35),J35,SMALL(J35:K35,1)))</f>
        <v>3</v>
      </c>
      <c r="E35">
        <f ca="1">IF($C35=1,OFFSET(E35,-1,0)+MAX(1,COUNTIF(QCI!$A$13:$A$24,OFFSET(ORÇAMENTO!E35,-1,0))),OFFSET(E35,-1,0))</f>
        <v>1</v>
      </c>
      <c r="F35">
        <f ca="1">IF($C35=1,0,IF($C35=2,OFFSET(F35,-1,0)+1,OFFSET(F35,-1,0)))</f>
        <v>5</v>
      </c>
      <c r="G35">
        <f ca="1">IF(AND($C35&lt;=2,$C35&lt;&gt;0),0,IF($C35=3,OFFSET(G35,-1,0)+1,OFFSET(G35,-1,0)))</f>
        <v>1</v>
      </c>
      <c r="H35">
        <f ca="1">IF(AND($C35&lt;=3,$C35&lt;&gt;0),0,IF($C35=4,OFFSET(H35,-1,0)+1,OFFSET(H35,-1,0)))</f>
        <v>0</v>
      </c>
      <c r="I35">
        <f ca="1">IF(AND($C35&lt;=4,$C35&lt;&gt;0),0,IF(AND($C35="S",$X35&gt;0),OFFSET(I35,-1,0)+1,OFFSET(I35,-1,0)))</f>
        <v>0</v>
      </c>
      <c r="J35">
        <f t="shared" ca="1" si="9"/>
        <v>20</v>
      </c>
      <c r="K35">
        <f ca="1">IF(OR($C35="S",$C35=0),0,MATCH(OFFSET($D35,0,$C35)+IF($C35&lt;&gt;1,1,COUNTIF(QCI!$A$13:$A$24,ORÇAMENTO!E35)),OFFSET($D35,1,$C35,ROW($C$131)-ROW($C35)),0))</f>
        <v>3</v>
      </c>
      <c r="L35" s="116" t="str">
        <f ca="1">IF(OR($X35&gt;0,$C35=1,$C35=2,$C35=3,$C35=4),"F","")</f>
        <v>F</v>
      </c>
      <c r="M35" s="117" t="s">
        <v>195</v>
      </c>
      <c r="N35" s="118" t="str">
        <f ca="1">CHOOSE(1+LOG(1+2*(C35=1)+4*(C35=2)+8*(C35=3)+16*(C35=4)+32*(C35="S"),2),"","Meta","Nível 2","Nível 3","Nível 4","Serviço")</f>
        <v>Nível 3</v>
      </c>
      <c r="O35" s="119" t="str">
        <f ca="1">IF(OR($C35=0,$L35=""),"-",CONCATENATE(E35&amp;".",IF(AND($A$5&gt;=2,$C35&gt;=2),F35&amp;".",""),IF(AND($A$5&gt;=3,$C35&gt;=3),G35&amp;".",""),IF(AND($A$5&gt;=4,$C35&gt;=4),H35&amp;".",""),IF($C35="S",I35&amp;".","")))</f>
        <v>1.5.1.</v>
      </c>
      <c r="P35" s="120" t="s">
        <v>245</v>
      </c>
      <c r="Q35" s="121"/>
      <c r="R35" s="122" t="s">
        <v>1054</v>
      </c>
      <c r="S35" s="123" t="str">
        <f ca="1">REFERENCIA.Unidade</f>
        <v>-</v>
      </c>
      <c r="T35" s="124">
        <f ca="1">OFFSET(CÁLCULO!H$15,ROW($T35)-ROW(T$15),0)</f>
        <v>0</v>
      </c>
      <c r="U35" s="125">
        <f t="shared" ca="1" si="17"/>
        <v>0</v>
      </c>
      <c r="V35" s="126" t="s">
        <v>155</v>
      </c>
      <c r="W35" s="124">
        <f ca="1">IF($C35="S",ROUND(IF(TIPOORCAMENTO="Proposto",ORÇAMENTO.CustoUnitario*(1+$AH35),ORÇAMENTO.PrecoUnitarioLicitado),15-13*$AF$10),0)</f>
        <v>0</v>
      </c>
      <c r="X35" s="127">
        <f ca="1">IF($C35="S",IF(OR(Import.TipoArredondamento&lt;&gt;"TransfereGOV",ACOMPANHAMENTO="BM"),VTOTAL1,SUM(OFFSET(CÁLCULO!$AI$15,ROW($X35)-ROW($X$15),1):OFFSET(CÁLCULO!$BB$15,ROW($X35)-ROW($X$15),-1))),IF($C35=0,0,ROUND(SomaAgrup,15-13*$AF$11)))</f>
        <v>9182.01</v>
      </c>
      <c r="Y35" s="128" t="s">
        <v>243</v>
      </c>
      <c r="Z35" t="str">
        <f ca="1">IF(AND($C35="S",$X35&gt;0),IF(ISBLANK($Y35),"RA",LEFT($Y35,2)),"")</f>
        <v/>
      </c>
      <c r="AA35" s="129">
        <f ca="1">IF($C35="S",IF($Z35="CP",$X35,IF($Z35="RA",(($X35)*QCI!$AA$3),0)),SomaAgrup)</f>
        <v>9182.01</v>
      </c>
      <c r="AB35" s="130">
        <f t="shared" ref="AB35:AB53" ca="1" si="76">IF($C35="S",IF($Z35="OU",ROUND($X35,2),0),SomaAgrup)</f>
        <v>0</v>
      </c>
      <c r="AC35" s="619" t="str">
        <f ca="1">IF($N35=""," ",
IF(AND($C35&lt;&gt;"S",OR($R35="",$R35="(digite a descrição aqui)")),"DESCRIÇÃO",
IF(AND($C35="S",OR($Q35&lt;&gt;0,$T35&gt;0,$U35&gt;0),$P35=0),"FONTE",
IF(AND($C35="S",$P35&lt;&gt;0,OR($T35&gt;0,$U35&gt;0),$Q35=0),"CÓDIGO",
IF(AND($C35="S",$P35&lt;&gt;0,$Q35&lt;&gt;0,$R35="(Código não identificado nas referências)"),"CÓDIGO N/ID",
IF(AND($C35="S",OR($R35="",$R35="(digite a descrição aqui)"),OR($Q35&lt;&gt;0,$T35&gt;0,$U35&gt;0)),"DESCRIÇÃO",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b">
        <f ca="1">IF(AND($C35="S",ORÇAMENTO.CodBarra&lt;&gt;""),IF(ORÇAMENTO.Fonte="",ORÇAMENTO.CodBarra,CONCATENATE(ORÇAMENTO.Fonte," ",ORÇAMENTO.CodBarra)))</f>
        <v>0</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(Sem Código)</v>
      </c>
      <c r="AG35" s="453">
        <f ca="1">ROUND(IF(DESONERACAO="sim",REFERENCIA.Desonerado,REFERENCIA.NaoDesonerado),2)</f>
        <v>0</v>
      </c>
      <c r="AH35" s="454">
        <f t="shared" ref="AH35:AH53" ca="1" si="77">ROUND(IF(ISNUMBER(ORÇAMENTO.OpcaoBDI),ORÇAMENTO.OpcaoBDI,IF(LEFT(ORÇAMENTO.OpcaoBDI,3)="BDI",HLOOKUP(ORÇAMENTO.OpcaoBDI,$F$4:$H$5,2,FALSE),0)),15-11*$AF$9)</f>
        <v>0.24199999999999999</v>
      </c>
      <c r="AJ35" s="456"/>
      <c r="AL35" s="471"/>
      <c r="AM35" s="348">
        <f t="shared" ca="1" si="18"/>
        <v>9182.01</v>
      </c>
      <c r="AN35" s="504">
        <f t="shared" ref="AN35:AN53" ca="1" si="78">ROUND(ORÇAMENTO.CustoUnitario*(1+$AH35),2)</f>
        <v>0</v>
      </c>
    </row>
    <row r="36" spans="1:40" ht="63.75" x14ac:dyDescent="0.2">
      <c r="A36" t="str">
        <f t="shared" si="75"/>
        <v>S</v>
      </c>
      <c r="B36">
        <f ca="1">IF(OR(C36="s",C36=0),OFFSET(B36,-1,0),C36)</f>
        <v>3</v>
      </c>
      <c r="C36" t="str">
        <f ca="1">IF(OFFSET(C36,-1,0)="L",1,IF(OFFSET(C36,-1,0)=1,2,IF(OR(A36="s",A36=0),"S",IF(AND(OFFSET(C36,-1,0)=2,A36=4),3,IF(AND(OR(OFFSET(C36,-1,0)="s",OFFSET(C36,-1,0)=0),A36&lt;&gt;"s",A36&gt;OFFSET(B36,-1,0)),OFFSET(B36,-1,0),A36)))))</f>
        <v>S</v>
      </c>
      <c r="D36">
        <f ca="1">IF(OR(C36="S",C36=0),0,IF(ISERROR(K36),J36,SMALL(J36:K36,1)))</f>
        <v>0</v>
      </c>
      <c r="E36">
        <f ca="1">IF($C36=1,OFFSET(E36,-1,0)+MAX(1,COUNTIF(QCI!$A$13:$A$24,OFFSET(ORÇAMENTO!E36,-1,0))),OFFSET(E36,-1,0))</f>
        <v>1</v>
      </c>
      <c r="F36">
        <f ca="1">IF($C36=1,0,IF($C36=2,OFFSET(F36,-1,0)+1,OFFSET(F36,-1,0)))</f>
        <v>5</v>
      </c>
      <c r="G36">
        <f ca="1">IF(AND($C36&lt;=2,$C36&lt;&gt;0),0,IF($C36=3,OFFSET(G36,-1,0)+1,OFFSET(G36,-1,0)))</f>
        <v>1</v>
      </c>
      <c r="H36">
        <f ca="1">IF(AND($C36&lt;=3,$C36&lt;&gt;0),0,IF($C36=4,OFFSET(H36,-1,0)+1,OFFSET(H36,-1,0)))</f>
        <v>0</v>
      </c>
      <c r="I36">
        <f ca="1">IF(AND($C36&lt;=4,$C36&lt;&gt;0),0,IF(AND($C36="S",$X36&gt;0),OFFSET(I36,-1,0)+1,OFFSET(I36,-1,0)))</f>
        <v>1</v>
      </c>
      <c r="J36">
        <f t="shared" ca="1" si="9"/>
        <v>0</v>
      </c>
      <c r="K36">
        <f ca="1">IF(OR($C36="S",$C36=0),0,MATCH(OFFSET($D36,0,$C36)+IF($C36&lt;&gt;1,1,COUNTIF(QCI!$A$13:$A$24,ORÇAMENTO!E36)),OFFSET($D36,1,$C36,ROW($C$131)-ROW($C36)),0))</f>
        <v>0</v>
      </c>
      <c r="L36" s="116" t="str">
        <f ca="1">IF(OR($X36&gt;0,$C36=1,$C36=2,$C36=3,$C36=4),"F","")</f>
        <v>F</v>
      </c>
      <c r="M36" s="117" t="s">
        <v>197</v>
      </c>
      <c r="N36" s="118" t="str">
        <f ca="1">CHOOSE(1+LOG(1+2*(C36=1)+4*(C36=2)+8*(C36=3)+16*(C36=4)+32*(C36="S"),2),"","Meta","Nível 2","Nível 3","Nível 4","Serviço")</f>
        <v>Serviço</v>
      </c>
      <c r="O36" s="119" t="str">
        <f ca="1">IF(OR($C36=0,$L36=""),"-",CONCATENATE(E36&amp;".",IF(AND($A$5&gt;=2,$C36&gt;=2),F36&amp;".",""),IF(AND($A$5&gt;=3,$C36&gt;=3),G36&amp;".",""),IF(AND($A$5&gt;=4,$C36&gt;=4),H36&amp;".",""),IF($C36="S",I36&amp;".","")))</f>
        <v>1.5.1.0.1.</v>
      </c>
      <c r="P36" s="120" t="s">
        <v>245</v>
      </c>
      <c r="Q36" s="121" t="s">
        <v>1052</v>
      </c>
      <c r="R36" s="122" t="str">
        <f ca="1">IF($C36="S",REFERENCIA.Descricao,"(digite a descrição aqui)")</f>
        <v>ESCAVAÇÃO MECANIZADA DE VALA COM PROF. MAIOR QUE 1,5 M ATÉ 3,0 M (MÉDIA MONTANTE E JUSANTE/UMA COMPOSIÇÃO POR TRECHO), RETROESCAV. (0,26 M3), LARG. DE 0,8 M A 1,5 M, EM SOLO DE 2A CATEGORIA, EM LOCAIS COM BAIXO NÍVEL DE INTERFERÊNCIA. AF_09/2024</v>
      </c>
      <c r="S36" s="123" t="str">
        <f ca="1">REFERENCIA.Unidade</f>
        <v>M3</v>
      </c>
      <c r="T36" s="124">
        <f ca="1">OFFSET(CÁLCULO!H$15,ROW($T36)-ROW(T$15),0)</f>
        <v>281.60000000000002</v>
      </c>
      <c r="U36" s="125">
        <f t="shared" ca="1" si="17"/>
        <v>10.3</v>
      </c>
      <c r="V36" s="126" t="s">
        <v>189</v>
      </c>
      <c r="W36" s="124">
        <f ca="1">IF($C36="S",ROUND(IF(TIPOORCAMENTO="Proposto",ORÇAMENTO.CustoUnitario*(1+$AH36),ORÇAMENTO.PrecoUnitarioLicitado),15-13*$AF$10),0)</f>
        <v>12.78</v>
      </c>
      <c r="X36" s="127">
        <f ca="1">IF($C36="S",IF(OR(Import.TipoArredondamento&lt;&gt;"TransfereGOV",ACOMPANHAMENTO="BM"),VTOTAL1,SUM(OFFSET(CÁLCULO!$AI$15,ROW($X36)-ROW($X$15),1):OFFSET(CÁLCULO!$BB$15,ROW($X36)-ROW($X$15),-1))),IF($C36=0,0,ROUND(SomaAgrup,15-13*$AF$11)))</f>
        <v>3598.85</v>
      </c>
      <c r="Y36" s="128" t="s">
        <v>243</v>
      </c>
      <c r="Z36" t="str">
        <f ca="1">IF(AND($C36="S",$X36&gt;0),IF(ISBLANK($Y36),"RA",LEFT($Y36,2)),"")</f>
        <v>RA</v>
      </c>
      <c r="AA36" s="129">
        <f ca="1">IF($C36="S",IF($Z36="CP",$X36,IF($Z36="RA",(($X36)*QCI!$AA$3),0)),SomaAgrup)</f>
        <v>3598.85</v>
      </c>
      <c r="AB36" s="130">
        <f t="shared" ca="1" si="76"/>
        <v>0</v>
      </c>
      <c r="AC36" s="619" t="str">
        <f ca="1">IF($N36=""," ",
IF(AND($C36&lt;&gt;"S",OR($R36="",$R36="(digite a descrição aqui)")),"DESCRIÇÃO",
IF(AND($C36="S",OR($Q36&lt;&gt;0,$T36&gt;0,$U36&gt;0),$P36=0),"FONTE",
IF(AND($C36="S",$P36&lt;&gt;0,OR($T36&gt;0,$U36&gt;0),$Q36=0),"CÓDIGO",
IF(AND($C36="S",$P36&lt;&gt;0,$Q36&lt;&gt;0,$R36="(Código não identificado nas referências)"),"CÓDIGO N/ID",
IF(AND($C36="S",OR($R36="",$R36="(digite a descrição aqui)"),OR($Q36&lt;&gt;0,$T36&gt;0,$U36&gt;0)),"DESCRIÇÃO",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SINAPI 102329</v>
      </c>
      <c r="AF36" s="13">
        <f ca="1">IF(ISERROR(INDIRECT(ORÇAMENTO.BancoRef)),"(abra o arquivo 'Referência "&amp;Excel_BuiltIn_Database&amp;".xlsm)",IF(OR($C36&lt;&gt;"S",ORÇAMENTO.CodBarra=""),"(Sem Código)",IF(ISERROR(MATCH($AE36,INDIRECT(ORÇAMENTO.BancoRef),0)),"(Código não identificado nas referências)",MATCH($AE36,INDIRECT(ORÇAMENTO.BancoRef),0))))</f>
        <v>9662</v>
      </c>
      <c r="AG36" s="453">
        <f ca="1">ROUND(IF(DESONERACAO="sim",REFERENCIA.Desonerado,REFERENCIA.NaoDesonerado),2)</f>
        <v>10.3</v>
      </c>
      <c r="AH36" s="454">
        <f t="shared" ca="1" si="77"/>
        <v>0.2412</v>
      </c>
      <c r="AJ36" s="456"/>
      <c r="AL36" s="471"/>
      <c r="AM36" s="348">
        <f t="shared" ca="1" si="18"/>
        <v>3598.85</v>
      </c>
      <c r="AN36" s="504">
        <f t="shared" ca="1" si="78"/>
        <v>12.78</v>
      </c>
    </row>
    <row r="37" spans="1:40" ht="63.75" x14ac:dyDescent="0.2">
      <c r="A37" t="str">
        <f t="shared" si="75"/>
        <v>S</v>
      </c>
      <c r="B37">
        <f ca="1">IF(OR(C37="s",C37=0),OFFSET(B37,-1,0),C37)</f>
        <v>3</v>
      </c>
      <c r="C37" t="str">
        <f ca="1">IF(OFFSET(C37,-1,0)="L",1,IF(OFFSET(C37,-1,0)=1,2,IF(OR(A37="s",A37=0),"S",IF(AND(OFFSET(C37,-1,0)=2,A37=4),3,IF(AND(OR(OFFSET(C37,-1,0)="s",OFFSET(C37,-1,0)=0),A37&lt;&gt;"s",A37&gt;OFFSET(B37,-1,0)),OFFSET(B37,-1,0),A37)))))</f>
        <v>S</v>
      </c>
      <c r="D37">
        <f ca="1">IF(OR(C37="S",C37=0),0,IF(ISERROR(K37),J37,SMALL(J37:K37,1)))</f>
        <v>0</v>
      </c>
      <c r="E37">
        <f ca="1">IF($C37=1,OFFSET(E37,-1,0)+MAX(1,COUNTIF(QCI!$A$13:$A$24,OFFSET(ORÇAMENTO!E37,-1,0))),OFFSET(E37,-1,0))</f>
        <v>1</v>
      </c>
      <c r="F37">
        <f ca="1">IF($C37=1,0,IF($C37=2,OFFSET(F37,-1,0)+1,OFFSET(F37,-1,0)))</f>
        <v>5</v>
      </c>
      <c r="G37">
        <f ca="1">IF(AND($C37&lt;=2,$C37&lt;&gt;0),0,IF($C37=3,OFFSET(G37,-1,0)+1,OFFSET(G37,-1,0)))</f>
        <v>1</v>
      </c>
      <c r="H37">
        <f ca="1">IF(AND($C37&lt;=3,$C37&lt;&gt;0),0,IF($C37=4,OFFSET(H37,-1,0)+1,OFFSET(H37,-1,0)))</f>
        <v>0</v>
      </c>
      <c r="I37">
        <f ca="1">IF(AND($C37&lt;=4,$C37&lt;&gt;0),0,IF(AND($C37="S",$X37&gt;0),OFFSET(I37,-1,0)+1,OFFSET(I37,-1,0)))</f>
        <v>2</v>
      </c>
      <c r="J37">
        <f t="shared" ca="1" si="9"/>
        <v>0</v>
      </c>
      <c r="K37">
        <f ca="1">IF(OR($C37="S",$C37=0),0,MATCH(OFFSET($D37,0,$C37)+IF($C37&lt;&gt;1,1,COUNTIF(QCI!$A$13:$A$24,ORÇAMENTO!E37)),OFFSET($D37,1,$C37,ROW($C$131)-ROW($C37)),0))</f>
        <v>0</v>
      </c>
      <c r="L37" s="116" t="str">
        <f ca="1">IF(OR($X37&gt;0,$C37=1,$C37=2,$C37=3,$C37=4),"F","")</f>
        <v>F</v>
      </c>
      <c r="M37" s="117" t="s">
        <v>197</v>
      </c>
      <c r="N37" s="118" t="str">
        <f ca="1">CHOOSE(1+LOG(1+2*(C37=1)+4*(C37=2)+8*(C37=3)+16*(C37=4)+32*(C37="S"),2),"","Meta","Nível 2","Nível 3","Nível 4","Serviço")</f>
        <v>Serviço</v>
      </c>
      <c r="O37" s="119" t="str">
        <f ca="1">IF(OR($C37=0,$L37=""),"-",CONCATENATE(E37&amp;".",IF(AND($A$5&gt;=2,$C37&gt;=2),F37&amp;".",""),IF(AND($A$5&gt;=3,$C37&gt;=3),G37&amp;".",""),IF(AND($A$5&gt;=4,$C37&gt;=4),H37&amp;".",""),IF($C37="S",I37&amp;".","")))</f>
        <v>1.5.1.0.2.</v>
      </c>
      <c r="P37" s="120" t="s">
        <v>245</v>
      </c>
      <c r="Q37" s="121" t="s">
        <v>1053</v>
      </c>
      <c r="R37" s="122" t="str">
        <f ca="1">IF($C37="S",REFERENCIA.Descricao,"(digite a descrição aqui)")</f>
        <v>REATERRO MECANIZADO DE VALA COM ESCAVADEIRA HIDRÁULICA (CAPACIDADE DA CAÇAMBA: 0,8 M³/POTÊNCIA: 111 HP), LARGURA 1,5 A 2,5 M, PROFUNDIDADE 1,5 A 3,0 M, COM SOLO (SEM SUBSTITUIÇÃO) DE 1ª CATEGORIA, COM COMPACTADOR DE SOLOS DE PERCUSSÃO. AF_08/2023</v>
      </c>
      <c r="S37" s="123" t="str">
        <f ca="1">REFERENCIA.Unidade</f>
        <v>M3</v>
      </c>
      <c r="T37" s="124">
        <f ca="1">OFFSET(CÁLCULO!H$15,ROW($T37)-ROW(T$15),0)</f>
        <v>230.9</v>
      </c>
      <c r="U37" s="125">
        <f t="shared" ca="1" si="17"/>
        <v>19.48</v>
      </c>
      <c r="V37" s="126" t="s">
        <v>189</v>
      </c>
      <c r="W37" s="124">
        <f ca="1">IF($C37="S",ROUND(IF(TIPOORCAMENTO="Proposto",ORÇAMENTO.CustoUnitario*(1+$AH37),ORÇAMENTO.PrecoUnitarioLicitado),15-13*$AF$10),0)</f>
        <v>24.18</v>
      </c>
      <c r="X37" s="127">
        <f ca="1">IF($C37="S",IF(OR(Import.TipoArredondamento&lt;&gt;"TransfereGOV",ACOMPANHAMENTO="BM"),VTOTAL1,SUM(OFFSET(CÁLCULO!$AI$15,ROW($X37)-ROW($X$15),1):OFFSET(CÁLCULO!$BB$15,ROW($X37)-ROW($X$15),-1))),IF($C37=0,0,ROUND(SomaAgrup,15-13*$AF$11)))</f>
        <v>5583.16</v>
      </c>
      <c r="Y37" s="128" t="s">
        <v>243</v>
      </c>
      <c r="Z37" t="str">
        <f ca="1">IF(AND($C37="S",$X37&gt;0),IF(ISBLANK($Y37),"RA",LEFT($Y37,2)),"")</f>
        <v>RA</v>
      </c>
      <c r="AA37" s="129">
        <f ca="1">IF($C37="S",IF($Z37="CP",$X37,IF($Z37="RA",(($X37)*QCI!$AA$3),0)),SomaAgrup)</f>
        <v>5583.16</v>
      </c>
      <c r="AB37" s="130">
        <f t="shared" ca="1" si="76"/>
        <v>0</v>
      </c>
      <c r="AC37" s="619" t="str">
        <f ca="1">IF($N37=""," ",
IF(AND($C37&lt;&gt;"S",OR($R37="",$R37="(digite a descrição aqui)")),"DESCRIÇÃO",
IF(AND($C37="S",OR($Q37&lt;&gt;0,$T37&gt;0,$U37&gt;0),$P37=0),"FONTE",
IF(AND($C37="S",$P37&lt;&gt;0,OR($T37&gt;0,$U37&gt;0),$Q37=0),"CÓDIGO",
IF(AND($C37="S",$P37&lt;&gt;0,$Q37&lt;&gt;0,$R37="(Código não identificado nas referências)"),"CÓDIGO N/ID",
IF(AND($C37="S",OR($R37="",$R37="(digite a descrição aqui)"),OR($Q37&lt;&gt;0,$T37&gt;0,$U37&gt;0)),"DESCRIÇÃO",
IF(AND($C37="S",$P37&lt;&gt;0,$Q37&lt;&gt;0,$S37=""),"UNIDADE",
IF(AND($C37="S",$P37&lt;&gt;0,$Q37&lt;&gt;0,$U37=0),"SEM CUSTO",
IF(AND(TIPOORCAMENTO="Licitado",$AL37=0,$AN37&gt;0),"SEM PREÇO",
IF(AND($C37="S",$P37&lt;&gt;0,$Q37&lt;&gt;0,$U37&gt;0,$V37=0),"BDI",
IF(OR(AND(TIPOORCAMENTO="Proposto",$AG37&lt;&gt;"",$AG37&gt;0,ORÇAMENTO.CustoUnitario&gt;$AG37),AND(TIPOORCAMENTO="LICITADO",ORÇAMENTO.PrecoUnitarioLicitado&gt;$AN37)),"ACIMA REF.",
IF(AND($C37="S",$P37&lt;&gt;0,$Q37&lt;&gt;0,$T37=0,$U37&gt;0),"QUANT.",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f ca="1">IF(AND($C37="S",ORÇAMENTO.CodBarra&lt;&gt;""),IF(ORÇAMENTO.Fonte="",ORÇAMENTO.CodBarra,CONCATENATE(ORÇAMENTO.Fonte," ",ORÇAMENTO.CodBarra)))</f>
        <v>SINAPI 93369</v>
      </c>
      <c r="AF37" s="13">
        <f ca="1">IF(ISERROR(INDIRECT(ORÇAMENTO.BancoRef)),"(abra o arquivo 'Referência "&amp;Excel_BuiltIn_Database&amp;".xlsm)",IF(OR($C37&lt;&gt;"S",ORÇAMENTO.CodBarra=""),"(Sem Código)",IF(ISERROR(MATCH($AE37,INDIRECT(ORÇAMENTO.BancoRef),0)),"(Código não identificado nas referências)",MATCH($AE37,INDIRECT(ORÇAMENTO.BancoRef),0))))</f>
        <v>6923</v>
      </c>
      <c r="AG37" s="453">
        <f ca="1">ROUND(IF(DESONERACAO="sim",REFERENCIA.Desonerado,REFERENCIA.NaoDesonerado),2)</f>
        <v>19.48</v>
      </c>
      <c r="AH37" s="454">
        <f t="shared" ca="1" si="77"/>
        <v>0.2412</v>
      </c>
      <c r="AJ37" s="456"/>
      <c r="AL37" s="471"/>
      <c r="AM37" s="348">
        <f t="shared" ca="1" si="18"/>
        <v>5583.16</v>
      </c>
      <c r="AN37" s="504">
        <f t="shared" ca="1" si="78"/>
        <v>24.18</v>
      </c>
    </row>
    <row r="38" spans="1:40" x14ac:dyDescent="0.2">
      <c r="A38">
        <f t="shared" si="75"/>
        <v>3</v>
      </c>
      <c r="B38">
        <f ca="1">IF(OR(C38="s",C38=0),OFFSET(B38,-1,0),C38)</f>
        <v>3</v>
      </c>
      <c r="C38">
        <f ca="1">IF(OFFSET(C38,-1,0)="L",1,IF(OFFSET(C38,-1,0)=1,2,IF(OR(A38="s",A38=0),"S",IF(AND(OFFSET(C38,-1,0)=2,A38=4),3,IF(AND(OR(OFFSET(C38,-1,0)="s",OFFSET(C38,-1,0)=0),A38&lt;&gt;"s",A38&gt;OFFSET(B38,-1,0)),OFFSET(B38,-1,0),A38)))))</f>
        <v>3</v>
      </c>
      <c r="D38">
        <f ca="1">IF(OR(C38="S",C38=0),0,IF(ISERROR(K38),J38,SMALL(J38:K38,1)))</f>
        <v>10</v>
      </c>
      <c r="E38">
        <f ca="1">IF($C38=1,OFFSET(E38,-1,0)+MAX(1,COUNTIF(QCI!$A$13:$A$24,OFFSET(ORÇAMENTO!E38,-1,0))),OFFSET(E38,-1,0))</f>
        <v>1</v>
      </c>
      <c r="F38">
        <f ca="1">IF($C38=1,0,IF($C38=2,OFFSET(F38,-1,0)+1,OFFSET(F38,-1,0)))</f>
        <v>5</v>
      </c>
      <c r="G38">
        <f ca="1">IF(AND($C38&lt;=2,$C38&lt;&gt;0),0,IF($C38=3,OFFSET(G38,-1,0)+1,OFFSET(G38,-1,0)))</f>
        <v>2</v>
      </c>
      <c r="H38">
        <f ca="1">IF(AND($C38&lt;=3,$C38&lt;&gt;0),0,IF($C38=4,OFFSET(H38,-1,0)+1,OFFSET(H38,-1,0)))</f>
        <v>0</v>
      </c>
      <c r="I38">
        <f ca="1">IF(AND($C38&lt;=4,$C38&lt;&gt;0),0,IF(AND($C38="S",$X38&gt;0),OFFSET(I38,-1,0)+1,OFFSET(I38,-1,0)))</f>
        <v>0</v>
      </c>
      <c r="J38">
        <f t="shared" ca="1" si="9"/>
        <v>17</v>
      </c>
      <c r="K38">
        <f ca="1">IF(OR($C38="S",$C38=0),0,MATCH(OFFSET($D38,0,$C38)+IF($C38&lt;&gt;1,1,COUNTIF(QCI!$A$13:$A$24,ORÇAMENTO!E38)),OFFSET($D38,1,$C38,ROW($C$131)-ROW($C38)),0))</f>
        <v>10</v>
      </c>
      <c r="L38" s="116" t="str">
        <f ca="1">IF(OR($X38&gt;0,$C38=1,$C38=2,$C38=3,$C38=4),"F","")</f>
        <v>F</v>
      </c>
      <c r="M38" s="117" t="s">
        <v>195</v>
      </c>
      <c r="N38" s="118" t="str">
        <f ca="1">CHOOSE(1+LOG(1+2*(C38=1)+4*(C38=2)+8*(C38=3)+16*(C38=4)+32*(C38="S"),2),"","Meta","Nível 2","Nível 3","Nível 4","Serviço")</f>
        <v>Nível 3</v>
      </c>
      <c r="O38" s="119" t="str">
        <f ca="1">IF(OR($C38=0,$L38=""),"-",CONCATENATE(E38&amp;".",IF(AND($A$5&gt;=2,$C38&gt;=2),F38&amp;".",""),IF(AND($A$5&gt;=3,$C38&gt;=3),G38&amp;".",""),IF(AND($A$5&gt;=4,$C38&gt;=4),H38&amp;".",""),IF($C38="S",I38&amp;".","")))</f>
        <v>1.5.2.</v>
      </c>
      <c r="P38" s="120" t="s">
        <v>245</v>
      </c>
      <c r="Q38" s="121"/>
      <c r="R38" s="122" t="s">
        <v>1056</v>
      </c>
      <c r="S38" s="123" t="str">
        <f ca="1">REFERENCIA.Unidade</f>
        <v>-</v>
      </c>
      <c r="T38" s="124">
        <f ca="1">OFFSET(CÁLCULO!H$15,ROW($T38)-ROW(T$15),0)</f>
        <v>0</v>
      </c>
      <c r="U38" s="125">
        <f t="shared" ca="1" si="17"/>
        <v>0</v>
      </c>
      <c r="V38" s="126" t="s">
        <v>155</v>
      </c>
      <c r="W38" s="124">
        <f ca="1">IF($C38="S",ROUND(IF(TIPOORCAMENTO="Proposto",ORÇAMENTO.CustoUnitario*(1+$AH38),ORÇAMENTO.PrecoUnitarioLicitado),15-13*$AF$10),0)</f>
        <v>0</v>
      </c>
      <c r="X38" s="127">
        <f ca="1">IF($C38="S",IF(OR(Import.TipoArredondamento&lt;&gt;"TransfereGOV",ACOMPANHAMENTO="BM"),VTOTAL1,SUM(OFFSET(CÁLCULO!$AI$15,ROW($X38)-ROW($X$15),1):OFFSET(CÁLCULO!$BB$15,ROW($X38)-ROW($X$15),-1))),IF($C38=0,0,ROUND(SomaAgrup,15-13*$AF$11)))</f>
        <v>58354.73</v>
      </c>
      <c r="Y38" s="128" t="s">
        <v>243</v>
      </c>
      <c r="Z38" t="str">
        <f ca="1">IF(AND($C38="S",$X38&gt;0),IF(ISBLANK($Y38),"RA",LEFT($Y38,2)),"")</f>
        <v/>
      </c>
      <c r="AA38" s="129">
        <f ca="1">IF($C38="S",IF($Z38="CP",$X38,IF($Z38="RA",(($X38)*QCI!$AA$3),0)),SomaAgrup)</f>
        <v>58354.729999999996</v>
      </c>
      <c r="AB38" s="130">
        <f t="shared" ca="1" si="76"/>
        <v>0</v>
      </c>
      <c r="AC38" s="619" t="str">
        <f ca="1">IF($N38=""," ",
IF(AND($C38&lt;&gt;"S",OR($R38="",$R38="(digite a descrição aqui)")),"DESCRIÇÃO",
IF(AND($C38="S",OR($Q38&lt;&gt;0,$T38&gt;0,$U38&gt;0),$P38=0),"FONTE",
IF(AND($C38="S",$P38&lt;&gt;0,OR($T38&gt;0,$U38&gt;0),$Q38=0),"CÓDIGO",
IF(AND($C38="S",$P38&lt;&gt;0,$Q38&lt;&gt;0,$R38="(Código não identificado nas referências)"),"CÓDIGO N/ID",
IF(AND($C38="S",OR($R38="",$R38="(digite a descrição aqui)"),OR($Q38&lt;&gt;0,$T38&gt;0,$U38&gt;0)),"DESCRIÇÃO",
IF(AND($C38="S",$P38&lt;&gt;0,$Q38&lt;&gt;0,$S38=""),"UNIDADE",
IF(AND($C38="S",$P38&lt;&gt;0,$Q38&lt;&gt;0,$U38=0),"SEM CUSTO",
IF(AND(TIPOORCAMENTO="Licitado",$AL38=0,$AN38&gt;0),"SEM PREÇO",
IF(AND($C38="S",$P38&lt;&gt;0,$Q38&lt;&gt;0,$U38&gt;0,$V38=0),"BDI",
IF(OR(AND(TIPOORCAMENTO="Proposto",$AG38&lt;&gt;"",$AG38&gt;0,ORÇAMENTO.CustoUnitario&gt;$AG38),AND(TIPOORCAMENTO="LICITADO",ORÇAMENTO.PrecoUnitarioLicitado&gt;$AN38)),"ACIMA REF.",
IF(AND($C38="S",$P38&lt;&gt;0,$Q38&lt;&gt;0,$T38=0,$U38&gt;0),"QUANT.",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b">
        <f ca="1">IF(AND($C38="S",ORÇAMENTO.CodBarra&lt;&gt;""),IF(ORÇAMENTO.Fonte="",ORÇAMENTO.CodBarra,CONCATENATE(ORÇAMENTO.Fonte," ",ORÇAMENTO.CodBarra)))</f>
        <v>0</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(Sem Código)</v>
      </c>
      <c r="AG38" s="453">
        <f ca="1">ROUND(IF(DESONERACAO="sim",REFERENCIA.Desonerado,REFERENCIA.NaoDesonerado),2)</f>
        <v>0</v>
      </c>
      <c r="AH38" s="454">
        <f t="shared" ca="1" si="77"/>
        <v>0.24199999999999999</v>
      </c>
      <c r="AJ38" s="456"/>
      <c r="AL38" s="471"/>
      <c r="AM38" s="348">
        <f t="shared" ca="1" si="18"/>
        <v>58354.73</v>
      </c>
      <c r="AN38" s="504">
        <f t="shared" ca="1" si="78"/>
        <v>0</v>
      </c>
    </row>
    <row r="39" spans="1:40" x14ac:dyDescent="0.2">
      <c r="A39">
        <f t="shared" si="75"/>
        <v>4</v>
      </c>
      <c r="B39">
        <f t="shared" ref="B39:B40" ca="1" si="79">IF(OR(C39="s",C39=0),OFFSET(B39,-1,0),C39)</f>
        <v>4</v>
      </c>
      <c r="C39">
        <f t="shared" ref="C39:C40" ca="1" si="80">IF(OFFSET(C39,-1,0)="L",1,IF(OFFSET(C39,-1,0)=1,2,IF(OR(A39="s",A39=0),"S",IF(AND(OFFSET(C39,-1,0)=2,A39=4),3,IF(AND(OR(OFFSET(C39,-1,0)="s",OFFSET(C39,-1,0)=0),A39&lt;&gt;"s",A39&gt;OFFSET(B39,-1,0)),OFFSET(B39,-1,0),A39)))))</f>
        <v>4</v>
      </c>
      <c r="D39">
        <f t="shared" ref="D39:D40" ca="1" si="81">IF(OR(C39="S",C39=0),0,IF(ISERROR(K39),J39,SMALL(J39:K39,1)))</f>
        <v>2</v>
      </c>
      <c r="E39">
        <f ca="1">IF($C39=1,OFFSET(E39,-1,0)+MAX(1,COUNTIF(QCI!$A$13:$A$24,OFFSET(ORÇAMENTO!E39,-1,0))),OFFSET(E39,-1,0))</f>
        <v>1</v>
      </c>
      <c r="F39">
        <f t="shared" ref="F39:F40" ca="1" si="82">IF($C39=1,0,IF($C39=2,OFFSET(F39,-1,0)+1,OFFSET(F39,-1,0)))</f>
        <v>5</v>
      </c>
      <c r="G39">
        <f t="shared" ref="G39:G40" ca="1" si="83">IF(AND($C39&lt;=2,$C39&lt;&gt;0),0,IF($C39=3,OFFSET(G39,-1,0)+1,OFFSET(G39,-1,0)))</f>
        <v>2</v>
      </c>
      <c r="H39">
        <f t="shared" ref="H39:H40" ca="1" si="84">IF(AND($C39&lt;=3,$C39&lt;&gt;0),0,IF($C39=4,OFFSET(H39,-1,0)+1,OFFSET(H39,-1,0)))</f>
        <v>1</v>
      </c>
      <c r="I39">
        <f t="shared" ref="I39:I40" ca="1" si="85">IF(AND($C39&lt;=4,$C39&lt;&gt;0),0,IF(AND($C39="S",$X39&gt;0),OFFSET(I39,-1,0)+1,OFFSET(I39,-1,0)))</f>
        <v>0</v>
      </c>
      <c r="J39">
        <f t="shared" ca="1" si="9"/>
        <v>9</v>
      </c>
      <c r="K39">
        <f ca="1">IF(OR($C39="S",$C39=0),0,MATCH(OFFSET($D39,0,$C39)+IF($C39&lt;&gt;1,1,COUNTIF(QCI!$A$13:$A$24,ORÇAMENTO!E39)),OFFSET($D39,1,$C39,ROW($C$131)-ROW($C39)),0))</f>
        <v>2</v>
      </c>
      <c r="L39" s="116" t="str">
        <f t="shared" ref="L39:L40" ca="1" si="86">IF(OR($X39&gt;0,$C39=1,$C39=2,$C39=3,$C39=4),"F","")</f>
        <v>F</v>
      </c>
      <c r="M39" s="117" t="s">
        <v>196</v>
      </c>
      <c r="N39" s="118" t="str">
        <f t="shared" ref="N39:N40" ca="1" si="87">CHOOSE(1+LOG(1+2*(C39=1)+4*(C39=2)+8*(C39=3)+16*(C39=4)+32*(C39="S"),2),"","Meta","Nível 2","Nível 3","Nível 4","Serviço")</f>
        <v>Nível 4</v>
      </c>
      <c r="O39" s="119" t="str">
        <f t="shared" ref="O39:O40" ca="1" si="88">IF(OR($C39=0,$L39=""),"-",CONCATENATE(E39&amp;".",IF(AND($A$5&gt;=2,$C39&gt;=2),F39&amp;".",""),IF(AND($A$5&gt;=3,$C39&gt;=3),G39&amp;".",""),IF(AND($A$5&gt;=4,$C39&gt;=4),H39&amp;".",""),IF($C39="S",I39&amp;".","")))</f>
        <v>1.5.2.1.</v>
      </c>
      <c r="P39" s="120" t="s">
        <v>245</v>
      </c>
      <c r="Q39" s="121"/>
      <c r="R39" s="122" t="s">
        <v>1081</v>
      </c>
      <c r="S39" s="123" t="str">
        <f ca="1">REFERENCIA.Unidade</f>
        <v>-</v>
      </c>
      <c r="T39" s="124">
        <f ca="1">OFFSET(CÁLCULO!H$15,ROW($T39)-ROW(T$15),0)</f>
        <v>0</v>
      </c>
      <c r="U39" s="125">
        <f t="shared" ca="1" si="17"/>
        <v>0</v>
      </c>
      <c r="V39" s="126" t="s">
        <v>155</v>
      </c>
      <c r="W39" s="124">
        <f ca="1">IF($C39="S",ROUND(IF(TIPOORCAMENTO="Proposto",ORÇAMENTO.CustoUnitario*(1+$AH39),ORÇAMENTO.PrecoUnitarioLicitado),15-13*$AF$10),0)</f>
        <v>0</v>
      </c>
      <c r="X39" s="127">
        <f ca="1">IF($C39="S",IF(OR(Import.TipoArredondamento&lt;&gt;"TransfereGOV",ACOMPANHAMENTO="BM"),VTOTAL1,SUM(OFFSET(CÁLCULO!$AI$15,ROW($X39)-ROW($X$15),1):OFFSET(CÁLCULO!$BB$15,ROW($X39)-ROW($X$15),-1))),IF($C39=0,0,ROUND(SomaAgrup,15-13*$AF$11)))</f>
        <v>7557.68</v>
      </c>
      <c r="Y39" s="128" t="s">
        <v>243</v>
      </c>
      <c r="Z39" t="str">
        <f t="shared" ref="Z39:Z40" ca="1" si="89">IF(AND($C39="S",$X39&gt;0),IF(ISBLANK($Y39),"RA",LEFT($Y39,2)),"")</f>
        <v/>
      </c>
      <c r="AA39" s="129">
        <f ca="1">IF($C39="S",IF($Z39="CP",$X39,IF($Z39="RA",(($X39)*QCI!$AA$3),0)),SomaAgrup)</f>
        <v>7557.68</v>
      </c>
      <c r="AB39" s="130">
        <f t="shared" ca="1" si="76"/>
        <v>0</v>
      </c>
      <c r="AC39" s="619" t="str">
        <f ca="1">IF($N39=""," ",
IF(AND($C39&lt;&gt;"S",OR($R39="",$R39="(digite a descrição aqui)")),"DESCRIÇÃO",
IF(AND($C39="S",OR($Q39&lt;&gt;0,$T39&gt;0,$U39&gt;0),$P39=0),"FONTE",
IF(AND($C39="S",$P39&lt;&gt;0,OR($T39&gt;0,$U39&gt;0),$Q39=0),"CÓDIGO",
IF(AND($C39="S",$P39&lt;&gt;0,$Q39&lt;&gt;0,$R39="(Código não identificado nas referências)"),"CÓDIGO N/ID",
IF(AND($C39="S",OR($R39="",$R39="(digite a descrição aqui)"),OR($Q39&lt;&gt;0,$T39&gt;0,$U39&gt;0)),"DESCRIÇÃO",
IF(AND($C39="S",$P39&lt;&gt;0,$Q39&lt;&gt;0,$S39=""),"UNIDADE",
IF(AND($C39="S",$P39&lt;&gt;0,$Q39&lt;&gt;0,$U39=0),"SEM CUSTO",
IF(AND(TIPOORCAMENTO="Licitado",$AL39=0,$AN39&gt;0),"SEM PREÇO",
IF(AND($C39="S",$P39&lt;&gt;0,$Q39&lt;&gt;0,$U39&gt;0,$V39=0),"BDI",
IF(OR(AND(TIPOORCAMENTO="Proposto",$AG39&lt;&gt;"",$AG39&gt;0,ORÇAMENTO.CustoUnitario&gt;$AG39),AND(TIPOORCAMENTO="LICITADO",ORÇAMENTO.PrecoUnitarioLicitado&gt;$AN39)),"ACIMA REF.",
IF(AND($C39="S",$P39&lt;&gt;0,$Q39&lt;&gt;0,$T39=0,$U39&gt;0),"QUANT.",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b">
        <f ca="1">IF(AND($C39="S",ORÇAMENTO.CodBarra&lt;&gt;""),IF(ORÇAMENTO.Fonte="",ORÇAMENTO.CodBarra,CONCATENATE(ORÇAMENTO.Fonte," ",ORÇAMENTO.CodBarra)))</f>
        <v>0</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(Sem Código)</v>
      </c>
      <c r="AG39" s="453">
        <f ca="1">ROUND(IF(DESONERACAO="sim",REFERENCIA.Desonerado,REFERENCIA.NaoDesonerado),2)</f>
        <v>0</v>
      </c>
      <c r="AH39" s="454">
        <f t="shared" ca="1" si="77"/>
        <v>0.24199999999999999</v>
      </c>
      <c r="AJ39" s="456"/>
      <c r="AL39" s="471"/>
      <c r="AM39" s="348">
        <f t="shared" ca="1" si="18"/>
        <v>7557.68</v>
      </c>
      <c r="AN39" s="504">
        <f t="shared" ca="1" si="78"/>
        <v>0</v>
      </c>
    </row>
    <row r="40" spans="1:40" ht="38.25" x14ac:dyDescent="0.2">
      <c r="A40" t="str">
        <f t="shared" si="75"/>
        <v>S</v>
      </c>
      <c r="B40">
        <f t="shared" ca="1" si="79"/>
        <v>4</v>
      </c>
      <c r="C40" t="str">
        <f t="shared" ca="1" si="80"/>
        <v>S</v>
      </c>
      <c r="D40">
        <f t="shared" ca="1" si="81"/>
        <v>0</v>
      </c>
      <c r="E40">
        <f ca="1">IF($C40=1,OFFSET(E40,-1,0)+MAX(1,COUNTIF(QCI!$A$13:$A$24,OFFSET(ORÇAMENTO!E40,-1,0))),OFFSET(E40,-1,0))</f>
        <v>1</v>
      </c>
      <c r="F40">
        <f t="shared" ca="1" si="82"/>
        <v>5</v>
      </c>
      <c r="G40">
        <f t="shared" ca="1" si="83"/>
        <v>2</v>
      </c>
      <c r="H40">
        <f t="shared" ca="1" si="84"/>
        <v>1</v>
      </c>
      <c r="I40">
        <f t="shared" ca="1" si="85"/>
        <v>1</v>
      </c>
      <c r="J40">
        <f t="shared" ca="1" si="9"/>
        <v>0</v>
      </c>
      <c r="K40">
        <f ca="1">IF(OR($C40="S",$C40=0),0,MATCH(OFFSET($D40,0,$C40)+IF($C40&lt;&gt;1,1,COUNTIF(QCI!$A$13:$A$24,ORÇAMENTO!E40)),OFFSET($D40,1,$C40,ROW($C$131)-ROW($C40)),0))</f>
        <v>0</v>
      </c>
      <c r="L40" s="116" t="str">
        <f t="shared" ca="1" si="86"/>
        <v>F</v>
      </c>
      <c r="M40" s="117" t="s">
        <v>197</v>
      </c>
      <c r="N40" s="118" t="str">
        <f t="shared" ca="1" si="87"/>
        <v>Serviço</v>
      </c>
      <c r="O40" s="119" t="str">
        <f t="shared" ca="1" si="88"/>
        <v>1.5.2.1.1.</v>
      </c>
      <c r="P40" s="120" t="s">
        <v>939</v>
      </c>
      <c r="Q40" s="121" t="s">
        <v>1082</v>
      </c>
      <c r="R40" s="122" t="str">
        <f ca="1">IF($C40="S",REFERENCIA.Descricao,"(digite a descrição aqui)")</f>
        <v>COM-34700947 ESTACA ESCAVADA MECANICAMENTE, SEM FLUIDO ESTABILIZANTE, COM 30CM DE DIÂMETRO, CONCRETO LANÇADO POR
CAMINHÃO BETONEIRA - FORNECIMENTO E INSTALAÇÃO (M)</v>
      </c>
      <c r="S40" s="123" t="str">
        <f ca="1">REFERENCIA.Unidade</f>
        <v>M</v>
      </c>
      <c r="T40" s="124">
        <f ca="1">OFFSET(CÁLCULO!H$15,ROW($T40)-ROW(T$15),0)</f>
        <v>52</v>
      </c>
      <c r="U40" s="125">
        <f t="shared" ca="1" si="17"/>
        <v>117.02</v>
      </c>
      <c r="V40" s="126" t="s">
        <v>155</v>
      </c>
      <c r="W40" s="124">
        <f ca="1">IF($C40="S",ROUND(IF(TIPOORCAMENTO="Proposto",ORÇAMENTO.CustoUnitario*(1+$AH40),ORÇAMENTO.PrecoUnitarioLicitado),15-13*$AF$10),0)</f>
        <v>145.34</v>
      </c>
      <c r="X40" s="127">
        <f ca="1">IF($C40="S",IF(OR(Import.TipoArredondamento&lt;&gt;"TransfereGOV",ACOMPANHAMENTO="BM"),VTOTAL1,SUM(OFFSET(CÁLCULO!$AI$15,ROW($X40)-ROW($X$15),1):OFFSET(CÁLCULO!$BB$15,ROW($X40)-ROW($X$15),-1))),IF($C40=0,0,ROUND(SomaAgrup,15-13*$AF$11)))</f>
        <v>7557.68</v>
      </c>
      <c r="Y40" s="128" t="s">
        <v>243</v>
      </c>
      <c r="Z40" t="str">
        <f t="shared" ca="1" si="89"/>
        <v>RA</v>
      </c>
      <c r="AA40" s="129">
        <f ca="1">IF($C40="S",IF($Z40="CP",$X40,IF($Z40="RA",(($X40)*QCI!$AA$3),0)),SomaAgrup)</f>
        <v>7557.68</v>
      </c>
      <c r="AB40" s="130">
        <f t="shared" ca="1" si="76"/>
        <v>0</v>
      </c>
      <c r="AC40" s="619" t="str">
        <f ca="1">IF($N40=""," ",
IF(AND($C40&lt;&gt;"S",OR($R40="",$R40="(digite a descrição aqui)")),"DESCRIÇÃO",
IF(AND($C40="S",OR($Q40&lt;&gt;0,$T40&gt;0,$U40&gt;0),$P40=0),"FONTE",
IF(AND($C40="S",$P40&lt;&gt;0,OR($T40&gt;0,$U40&gt;0),$Q40=0),"CÓDIGO",
IF(AND($C40="S",$P40&lt;&gt;0,$Q40&lt;&gt;0,$R40="(Código não identificado nas referências)"),"CÓDIGO N/ID",
IF(AND($C40="S",OR($R40="",$R40="(digite a descrição aqui)"),OR($Q40&lt;&gt;0,$T40&gt;0,$U40&gt;0)),"DESCRIÇÃO",
IF(AND($C40="S",$P40&lt;&gt;0,$Q40&lt;&gt;0,$S40=""),"UNIDADE",
IF(AND($C40="S",$P40&lt;&gt;0,$Q40&lt;&gt;0,$U40=0),"SEM CUSTO",
IF(AND(TIPOORCAMENTO="Licitado",$AL40=0,$AN40&gt;0),"SEM PREÇO",
IF(AND($C40="S",$P40&lt;&gt;0,$Q40&lt;&gt;0,$U40&gt;0,$V40=0),"BDI",
IF(OR(AND(TIPOORCAMENTO="Proposto",$AG40&lt;&gt;"",$AG40&gt;0,ORÇAMENTO.CustoUnitario&gt;$AG40),AND(TIPOORCAMENTO="LICITADO",ORÇAMENTO.PrecoUnitarioLicitado&gt;$AN40)),"ACIMA REF.",
IF(AND($C40="S",$P40&lt;&gt;0,$Q40&lt;&gt;0,$T40=0,$U40&gt;0),"QUANT.",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Composição AZ ENG. 04</v>
      </c>
      <c r="AF40" s="13">
        <f ca="1">IF(ISERROR(INDIRECT(ORÇAMENTO.BancoRef)),"(abra o arquivo 'Referência "&amp;Excel_BuiltIn_Database&amp;".xlsm)",IF(OR($C40&lt;&gt;"S",ORÇAMENTO.CodBarra=""),"(Sem Código)",IF(ISERROR(MATCH($AE40,INDIRECT(ORÇAMENTO.BancoRef),0)),"(Código não identificado nas referências)",MATCH($AE40,INDIRECT(ORÇAMENTO.BancoRef),0))))</f>
        <v>90</v>
      </c>
      <c r="AG40" s="453">
        <f ca="1">ROUND(IF(DESONERACAO="sim",REFERENCIA.Desonerado,REFERENCIA.NaoDesonerado),2)</f>
        <v>117.02</v>
      </c>
      <c r="AH40" s="454">
        <f t="shared" ca="1" si="77"/>
        <v>0.24199999999999999</v>
      </c>
      <c r="AJ40" s="456"/>
      <c r="AL40" s="471"/>
      <c r="AM40" s="348">
        <f t="shared" ca="1" si="18"/>
        <v>7557.68</v>
      </c>
      <c r="AN40" s="504">
        <f t="shared" ca="1" si="78"/>
        <v>145.34</v>
      </c>
    </row>
    <row r="41" spans="1:40" x14ac:dyDescent="0.2">
      <c r="A41">
        <f t="shared" si="75"/>
        <v>4</v>
      </c>
      <c r="B41">
        <f ca="1">IF(OR(C41="s",C41=0),OFFSET(B41,-1,0),C41)</f>
        <v>4</v>
      </c>
      <c r="C41">
        <f ca="1">IF(OFFSET(C41,-1,0)="L",1,IF(OFFSET(C41,-1,0)=1,2,IF(OR(A41="s",A41=0),"S",IF(AND(OFFSET(C41,-1,0)=2,A41=4),3,IF(AND(OR(OFFSET(C41,-1,0)="s",OFFSET(C41,-1,0)=0),A41&lt;&gt;"s",A41&gt;OFFSET(B41,-1,0)),OFFSET(B41,-1,0),A41)))))</f>
        <v>4</v>
      </c>
      <c r="D41">
        <f ca="1">IF(OR(C41="S",C41=0),0,IF(ISERROR(K41),J41,SMALL(J41:K41,1)))</f>
        <v>7</v>
      </c>
      <c r="E41">
        <f ca="1">IF($C41=1,OFFSET(E41,-1,0)+MAX(1,COUNTIF(QCI!$A$13:$A$24,OFFSET(ORÇAMENTO!E41,-1,0))),OFFSET(E41,-1,0))</f>
        <v>1</v>
      </c>
      <c r="F41">
        <f ca="1">IF($C41=1,0,IF($C41=2,OFFSET(F41,-1,0)+1,OFFSET(F41,-1,0)))</f>
        <v>5</v>
      </c>
      <c r="G41">
        <f ca="1">IF(AND($C41&lt;=2,$C41&lt;&gt;0),0,IF($C41=3,OFFSET(G41,-1,0)+1,OFFSET(G41,-1,0)))</f>
        <v>2</v>
      </c>
      <c r="H41">
        <f ca="1">IF(AND($C41&lt;=3,$C41&lt;&gt;0),0,IF($C41=4,OFFSET(H41,-1,0)+1,OFFSET(H41,-1,0)))</f>
        <v>2</v>
      </c>
      <c r="I41">
        <f ca="1">IF(AND($C41&lt;=4,$C41&lt;&gt;0),0,IF(AND($C41="S",$X41&gt;0),OFFSET(I41,-1,0)+1,OFFSET(I41,-1,0)))</f>
        <v>0</v>
      </c>
      <c r="J41">
        <f t="shared" ca="1" si="9"/>
        <v>7</v>
      </c>
      <c r="K41">
        <f ca="1">IF(OR($C41="S",$C41=0),0,MATCH(OFFSET($D41,0,$C41)+IF($C41&lt;&gt;1,1,COUNTIF(QCI!$A$13:$A$24,ORÇAMENTO!E41)),OFFSET($D41,1,$C41,ROW($C$131)-ROW($C41)),0))</f>
        <v>12</v>
      </c>
      <c r="L41" s="116" t="str">
        <f ca="1">IF(OR($X41&gt;0,$C41=1,$C41=2,$C41=3,$C41=4),"F","")</f>
        <v>F</v>
      </c>
      <c r="M41" s="117" t="s">
        <v>196</v>
      </c>
      <c r="N41" s="118" t="str">
        <f ca="1">CHOOSE(1+LOG(1+2*(C41=1)+4*(C41=2)+8*(C41=3)+16*(C41=4)+32*(C41="S"),2),"","Meta","Nível 2","Nível 3","Nível 4","Serviço")</f>
        <v>Nível 4</v>
      </c>
      <c r="O41" s="119" t="str">
        <f ca="1">IF(OR($C41=0,$L41=""),"-",CONCATENATE(E41&amp;".",IF(AND($A$5&gt;=2,$C41&gt;=2),F41&amp;".",""),IF(AND($A$5&gt;=3,$C41&gt;=3),G41&amp;".",""),IF(AND($A$5&gt;=4,$C41&gt;=4),H41&amp;".",""),IF($C41="S",I41&amp;".","")))</f>
        <v>1.5.2.2.</v>
      </c>
      <c r="P41" s="120" t="s">
        <v>245</v>
      </c>
      <c r="Q41" s="121"/>
      <c r="R41" s="122" t="s">
        <v>1083</v>
      </c>
      <c r="S41" s="123" t="str">
        <f ca="1">REFERENCIA.Unidade</f>
        <v>-</v>
      </c>
      <c r="T41" s="124">
        <f ca="1">OFFSET(CÁLCULO!H$15,ROW($T41)-ROW(T$15),0)</f>
        <v>0</v>
      </c>
      <c r="U41" s="125">
        <f t="shared" ca="1" si="17"/>
        <v>0</v>
      </c>
      <c r="V41" s="126" t="s">
        <v>155</v>
      </c>
      <c r="W41" s="124">
        <f ca="1">IF($C41="S",ROUND(IF(TIPOORCAMENTO="Proposto",ORÇAMENTO.CustoUnitario*(1+$AH41),ORÇAMENTO.PrecoUnitarioLicitado),15-13*$AF$10),0)</f>
        <v>0</v>
      </c>
      <c r="X41" s="127">
        <f ca="1">IF($C41="S",IF(OR(Import.TipoArredondamento&lt;&gt;"TransfereGOV",ACOMPANHAMENTO="BM"),VTOTAL1,SUM(OFFSET(CÁLCULO!$AI$15,ROW($X41)-ROW($X$15),1):OFFSET(CÁLCULO!$BB$15,ROW($X41)-ROW($X$15),-1))),IF($C41=0,0,ROUND(SomaAgrup,15-13*$AF$11)))</f>
        <v>50797.05</v>
      </c>
      <c r="Y41" s="128" t="s">
        <v>243</v>
      </c>
      <c r="Z41" t="str">
        <f ca="1">IF(AND($C41="S",$X41&gt;0),IF(ISBLANK($Y41),"RA",LEFT($Y41,2)),"")</f>
        <v/>
      </c>
      <c r="AA41" s="129">
        <f ca="1">IF($C41="S",IF($Z41="CP",$X41,IF($Z41="RA",(($X41)*QCI!$AA$3),0)),SomaAgrup)</f>
        <v>50797.05</v>
      </c>
      <c r="AB41" s="130">
        <f t="shared" ca="1" si="76"/>
        <v>0</v>
      </c>
      <c r="AC41" s="619" t="str">
        <f ca="1">IF($N41=""," ",
IF(AND($C41&lt;&gt;"S",OR($R41="",$R41="(digite a descrição aqui)")),"DESCRIÇÃO",
IF(AND($C41="S",OR($Q41&lt;&gt;0,$T41&gt;0,$U41&gt;0),$P41=0),"FONTE",
IF(AND($C41="S",$P41&lt;&gt;0,OR($T41&gt;0,$U41&gt;0),$Q41=0),"CÓDIGO",
IF(AND($C41="S",$P41&lt;&gt;0,$Q41&lt;&gt;0,$R41="(Código não identificado nas referências)"),"CÓDIGO N/ID",
IF(AND($C41="S",OR($R41="",$R41="(digite a descrição aqui)"),OR($Q41&lt;&gt;0,$T41&gt;0,$U41&gt;0)),"DESCRIÇÃO",
IF(AND($C41="S",$P41&lt;&gt;0,$Q41&lt;&gt;0,$S41=""),"UNIDADE",
IF(AND($C41="S",$P41&lt;&gt;0,$Q41&lt;&gt;0,$U41=0),"SEM CUSTO",
IF(AND(TIPOORCAMENTO="Licitado",$AL41=0,$AN41&gt;0),"SEM PREÇO",
IF(AND($C41="S",$P41&lt;&gt;0,$Q41&lt;&gt;0,$U41&gt;0,$V41=0),"BDI",
IF(OR(AND(TIPOORCAMENTO="Proposto",$AG41&lt;&gt;"",$AG41&gt;0,ORÇAMENTO.CustoUnitario&gt;$AG41),AND(TIPOORCAMENTO="LICITADO",ORÇAMENTO.PrecoUnitarioLicitado&gt;$AN41)),"ACIMA REF.",
IF(AND($C41="S",$P41&lt;&gt;0,$Q41&lt;&gt;0,$T41=0,$U41&gt;0),"QUANT.",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b">
        <f ca="1">IF(AND($C41="S",ORÇAMENTO.CodBarra&lt;&gt;""),IF(ORÇAMENTO.Fonte="",ORÇAMENTO.CodBarra,CONCATENATE(ORÇAMENTO.Fonte," ",ORÇAMENTO.CodBarra)))</f>
        <v>0</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(Sem Código)</v>
      </c>
      <c r="AG41" s="453">
        <f ca="1">ROUND(IF(DESONERACAO="sim",REFERENCIA.Desonerado,REFERENCIA.NaoDesonerado),2)</f>
        <v>0</v>
      </c>
      <c r="AH41" s="454">
        <f t="shared" ca="1" si="77"/>
        <v>0.24199999999999999</v>
      </c>
      <c r="AJ41" s="456"/>
      <c r="AL41" s="471"/>
      <c r="AM41" s="348">
        <f t="shared" ca="1" si="18"/>
        <v>50797.05</v>
      </c>
      <c r="AN41" s="504">
        <f t="shared" ca="1" si="78"/>
        <v>0</v>
      </c>
    </row>
    <row r="42" spans="1:40" ht="38.25" x14ac:dyDescent="0.2">
      <c r="A42" t="str">
        <f t="shared" si="75"/>
        <v>S</v>
      </c>
      <c r="B42">
        <f t="shared" ref="B42:B53" ca="1" si="90">IF(OR(C42="s",C42=0),OFFSET(B42,-1,0),C42)</f>
        <v>4</v>
      </c>
      <c r="C42" t="str">
        <f t="shared" ref="C42:C53" ca="1" si="91">IF(OFFSET(C42,-1,0)="L",1,IF(OFFSET(C42,-1,0)=1,2,IF(OR(A42="s",A42=0),"S",IF(AND(OFFSET(C42,-1,0)=2,A42=4),3,IF(AND(OR(OFFSET(C42,-1,0)="s",OFFSET(C42,-1,0)=0),A42&lt;&gt;"s",A42&gt;OFFSET(B42,-1,0)),OFFSET(B42,-1,0),A42)))))</f>
        <v>S</v>
      </c>
      <c r="D42">
        <f t="shared" ref="D42:D53" ca="1" si="92">IF(OR(C42="S",C42=0),0,IF(ISERROR(K42),J42,SMALL(J42:K42,1)))</f>
        <v>0</v>
      </c>
      <c r="E42">
        <f ca="1">IF($C42=1,OFFSET(E42,-1,0)+MAX(1,COUNTIF(QCI!$A$13:$A$24,OFFSET(ORÇAMENTO!E42,-1,0))),OFFSET(E42,-1,0))</f>
        <v>1</v>
      </c>
      <c r="F42">
        <f t="shared" ref="F42:F53" ca="1" si="93">IF($C42=1,0,IF($C42=2,OFFSET(F42,-1,0)+1,OFFSET(F42,-1,0)))</f>
        <v>5</v>
      </c>
      <c r="G42">
        <f t="shared" ref="G42:G53" ca="1" si="94">IF(AND($C42&lt;=2,$C42&lt;&gt;0),0,IF($C42=3,OFFSET(G42,-1,0)+1,OFFSET(G42,-1,0)))</f>
        <v>2</v>
      </c>
      <c r="H42">
        <f t="shared" ref="H42:H53" ca="1" si="95">IF(AND($C42&lt;=3,$C42&lt;&gt;0),0,IF($C42=4,OFFSET(H42,-1,0)+1,OFFSET(H42,-1,0)))</f>
        <v>2</v>
      </c>
      <c r="I42">
        <f t="shared" ref="I42:I53" ca="1" si="96">IF(AND($C42&lt;=4,$C42&lt;&gt;0),0,IF(AND($C42="S",$X42&gt;0),OFFSET(I42,-1,0)+1,OFFSET(I42,-1,0)))</f>
        <v>1</v>
      </c>
      <c r="J42">
        <f t="shared" ca="1" si="9"/>
        <v>0</v>
      </c>
      <c r="K42">
        <f ca="1">IF(OR($C42="S",$C42=0),0,MATCH(OFFSET($D42,0,$C42)+IF($C42&lt;&gt;1,1,COUNTIF(QCI!$A$13:$A$24,ORÇAMENTO!E42)),OFFSET($D42,1,$C42,ROW($C$131)-ROW($C42)),0))</f>
        <v>0</v>
      </c>
      <c r="L42" s="116" t="str">
        <f t="shared" ref="L42:L53" ca="1" si="97">IF(OR($X42&gt;0,$C42=1,$C42=2,$C42=3,$C42=4),"F","")</f>
        <v>F</v>
      </c>
      <c r="M42" s="117" t="s">
        <v>197</v>
      </c>
      <c r="N42" s="118" t="str">
        <f t="shared" ref="N42:N53" ca="1" si="98">CHOOSE(1+LOG(1+2*(C42=1)+4*(C42=2)+8*(C42=3)+16*(C42=4)+32*(C42="S"),2),"","Meta","Nível 2","Nível 3","Nível 4","Serviço")</f>
        <v>Serviço</v>
      </c>
      <c r="O42" s="119" t="str">
        <f t="shared" ref="O42:O53" ca="1" si="99">IF(OR($C42=0,$L42=""),"-",CONCATENATE(E42&amp;".",IF(AND($A$5&gt;=2,$C42&gt;=2),F42&amp;".",""),IF(AND($A$5&gt;=3,$C42&gt;=3),G42&amp;".",""),IF(AND($A$5&gt;=4,$C42&gt;=4),H42&amp;".",""),IF($C42="S",I42&amp;".","")))</f>
        <v>1.5.2.2.1.</v>
      </c>
      <c r="P42" s="120" t="s">
        <v>245</v>
      </c>
      <c r="Q42" s="121" t="s">
        <v>1057</v>
      </c>
      <c r="R42" s="122" t="str">
        <f ca="1">IF($C42="S",REFERENCIA.Descricao,"(digite a descrição aqui)")</f>
        <v>FABRICAÇÃO, MONTAGEM E DESMONTAGEM DE FÔRMA PARA BLOCO DE COROAMENTO, EM MADEIRA SERRADA, E=25 MM, 2 UTILIZAÇÕES. AF_01/2024</v>
      </c>
      <c r="S42" s="123" t="str">
        <f ca="1">REFERENCIA.Unidade</f>
        <v>M2</v>
      </c>
      <c r="T42" s="124">
        <f ca="1">OFFSET(CÁLCULO!H$15,ROW($T42)-ROW(T$15),0)</f>
        <v>75.459999999999994</v>
      </c>
      <c r="U42" s="125">
        <f t="shared" ca="1" si="17"/>
        <v>115.23</v>
      </c>
      <c r="V42" s="126" t="s">
        <v>189</v>
      </c>
      <c r="W42" s="124">
        <f ca="1">IF($C42="S",ROUND(IF(TIPOORCAMENTO="Proposto",ORÇAMENTO.CustoUnitario*(1+$AH42),ORÇAMENTO.PrecoUnitarioLicitado),15-13*$AF$10),0)</f>
        <v>143.02000000000001</v>
      </c>
      <c r="X42" s="127">
        <f ca="1">IF($C42="S",IF(OR(Import.TipoArredondamento&lt;&gt;"TransfereGOV",ACOMPANHAMENTO="BM"),VTOTAL1,SUM(OFFSET(CÁLCULO!$AI$15,ROW($X42)-ROW($X$15),1):OFFSET(CÁLCULO!$BB$15,ROW($X42)-ROW($X$15),-1))),IF($C42=0,0,ROUND(SomaAgrup,15-13*$AF$11)))</f>
        <v>10792.29</v>
      </c>
      <c r="Y42" s="128" t="s">
        <v>243</v>
      </c>
      <c r="Z42" t="str">
        <f t="shared" ref="Z42:Z53" ca="1" si="100">IF(AND($C42="S",$X42&gt;0),IF(ISBLANK($Y42),"RA",LEFT($Y42,2)),"")</f>
        <v>RA</v>
      </c>
      <c r="AA42" s="129">
        <f ca="1">IF($C42="S",IF($Z42="CP",$X42,IF($Z42="RA",(($X42)*QCI!$AA$3),0)),SomaAgrup)</f>
        <v>10792.29</v>
      </c>
      <c r="AB42" s="130">
        <f t="shared" ca="1" si="76"/>
        <v>0</v>
      </c>
      <c r="AC42" s="619" t="str">
        <f ca="1">IF($N42=""," ",
IF(AND($C42&lt;&gt;"S",OR($R42="",$R42="(digite a descrição aqui)")),"DESCRIÇÃO",
IF(AND($C42="S",OR($Q42&lt;&gt;0,$T42&gt;0,$U42&gt;0),$P42=0),"FONTE",
IF(AND($C42="S",$P42&lt;&gt;0,OR($T42&gt;0,$U42&gt;0),$Q42=0),"CÓDIGO",
IF(AND($C42="S",$P42&lt;&gt;0,$Q42&lt;&gt;0,$R42="(Código não identificado nas referências)"),"CÓDIGO N/ID",
IF(AND($C42="S",OR($R42="",$R42="(digite a descrição aqui)"),OR($Q42&lt;&gt;0,$T42&gt;0,$U42&gt;0)),"DESCRIÇÃO",
IF(AND($C42="S",$P42&lt;&gt;0,$Q42&lt;&gt;0,$S42=""),"UNIDADE",
IF(AND($C42="S",$P42&lt;&gt;0,$Q42&lt;&gt;0,$U42=0),"SEM CUSTO",
IF(AND(TIPOORCAMENTO="Licitado",$AL42=0,$AN42&gt;0),"SEM PREÇO",
IF(AND($C42="S",$P42&lt;&gt;0,$Q42&lt;&gt;0,$U42&gt;0,$V42=0),"BDI",
IF(OR(AND(TIPOORCAMENTO="Proposto",$AG42&lt;&gt;"",$AG42&gt;0,ORÇAMENTO.CustoUnitario&gt;$AG42),AND(TIPOORCAMENTO="LICITADO",ORÇAMENTO.PrecoUnitarioLicitado&gt;$AN42)),"ACIMA REF.",
IF(AND($C42="S",$P42&lt;&gt;0,$Q42&lt;&gt;0,$T42=0,$U42&gt;0),"QUANT.",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ca="1">IF(AND($C42="S",ORÇAMENTO.CodBarra&lt;&gt;""),IF(ORÇAMENTO.Fonte="",ORÇAMENTO.CodBarra,CONCATENATE(ORÇAMENTO.Fonte," ",ORÇAMENTO.CodBarra)))</f>
        <v>SINAPI 96531</v>
      </c>
      <c r="AF42" s="13">
        <f ca="1">IF(ISERROR(INDIRECT(ORÇAMENTO.BancoRef)),"(abra o arquivo 'Referência "&amp;Excel_BuiltIn_Database&amp;".xlsm)",IF(OR($C42&lt;&gt;"S",ORÇAMENTO.CodBarra=""),"(Sem Código)",IF(ISERROR(MATCH($AE42,INDIRECT(ORÇAMENTO.BancoRef),0)),"(Código não identificado nas referências)",MATCH($AE42,INDIRECT(ORÇAMENTO.BancoRef),0))))</f>
        <v>10400</v>
      </c>
      <c r="AG42" s="453">
        <f ca="1">ROUND(IF(DESONERACAO="sim",REFERENCIA.Desonerado,REFERENCIA.NaoDesonerado),2)</f>
        <v>115.23</v>
      </c>
      <c r="AH42" s="454">
        <f t="shared" ca="1" si="77"/>
        <v>0.2412</v>
      </c>
      <c r="AJ42" s="456"/>
      <c r="AL42" s="471"/>
      <c r="AM42" s="348">
        <f t="shared" ca="1" si="18"/>
        <v>10792.29</v>
      </c>
      <c r="AN42" s="504">
        <f t="shared" ca="1" si="78"/>
        <v>143.02000000000001</v>
      </c>
    </row>
    <row r="43" spans="1:40" ht="25.5" x14ac:dyDescent="0.2">
      <c r="A43" t="str">
        <f t="shared" si="75"/>
        <v>S</v>
      </c>
      <c r="B43">
        <f t="shared" ca="1" si="90"/>
        <v>4</v>
      </c>
      <c r="C43" t="str">
        <f t="shared" ca="1" si="91"/>
        <v>S</v>
      </c>
      <c r="D43">
        <f t="shared" ca="1" si="92"/>
        <v>0</v>
      </c>
      <c r="E43">
        <f ca="1">IF($C43=1,OFFSET(E43,-1,0)+MAX(1,COUNTIF(QCI!$A$13:$A$24,OFFSET(ORÇAMENTO!E43,-1,0))),OFFSET(E43,-1,0))</f>
        <v>1</v>
      </c>
      <c r="F43">
        <f t="shared" ca="1" si="93"/>
        <v>5</v>
      </c>
      <c r="G43">
        <f t="shared" ca="1" si="94"/>
        <v>2</v>
      </c>
      <c r="H43">
        <f t="shared" ca="1" si="95"/>
        <v>2</v>
      </c>
      <c r="I43">
        <f t="shared" ca="1" si="96"/>
        <v>2</v>
      </c>
      <c r="J43">
        <f t="shared" ca="1" si="9"/>
        <v>0</v>
      </c>
      <c r="K43">
        <f ca="1">IF(OR($C43="S",$C43=0),0,MATCH(OFFSET($D43,0,$C43)+IF($C43&lt;&gt;1,1,COUNTIF(QCI!$A$13:$A$24,ORÇAMENTO!E43)),OFFSET($D43,1,$C43,ROW($C$131)-ROW($C43)),0))</f>
        <v>0</v>
      </c>
      <c r="L43" s="116" t="str">
        <f t="shared" ca="1" si="97"/>
        <v>F</v>
      </c>
      <c r="M43" s="117" t="s">
        <v>197</v>
      </c>
      <c r="N43" s="118" t="str">
        <f t="shared" ca="1" si="98"/>
        <v>Serviço</v>
      </c>
      <c r="O43" s="119" t="str">
        <f t="shared" ca="1" si="99"/>
        <v>1.5.2.2.2.</v>
      </c>
      <c r="P43" s="120" t="s">
        <v>245</v>
      </c>
      <c r="Q43" s="121" t="s">
        <v>1058</v>
      </c>
      <c r="R43" s="122" t="str">
        <f ca="1">IF($C43="S",REFERENCIA.Descricao,"(digite a descrição aqui)")</f>
        <v>ARMAÇÃO DE SAPATA ISOLADA, VIGA BALDRAME E SAPATA CORRIDA UTILIZANDO AÇO CA-60 DE 5 MM - MONTAGEM. AF_01/2024</v>
      </c>
      <c r="S43" s="123" t="str">
        <f ca="1">REFERENCIA.Unidade</f>
        <v>KG</v>
      </c>
      <c r="T43" s="124">
        <f ca="1">OFFSET(CÁLCULO!H$15,ROW($T43)-ROW(T$15),0)</f>
        <v>133.5</v>
      </c>
      <c r="U43" s="125">
        <f t="shared" ca="1" si="17"/>
        <v>17.68</v>
      </c>
      <c r="V43" s="126" t="s">
        <v>189</v>
      </c>
      <c r="W43" s="124">
        <f ca="1">IF($C43="S",ROUND(IF(TIPOORCAMENTO="Proposto",ORÇAMENTO.CustoUnitario*(1+$AH43),ORÇAMENTO.PrecoUnitarioLicitado),15-13*$AF$10),0)</f>
        <v>21.94</v>
      </c>
      <c r="X43" s="127">
        <f ca="1">IF($C43="S",IF(OR(Import.TipoArredondamento&lt;&gt;"TransfereGOV",ACOMPANHAMENTO="BM"),VTOTAL1,SUM(OFFSET(CÁLCULO!$AI$15,ROW($X43)-ROW($X$15),1):OFFSET(CÁLCULO!$BB$15,ROW($X43)-ROW($X$15),-1))),IF($C43=0,0,ROUND(SomaAgrup,15-13*$AF$11)))</f>
        <v>2928.99</v>
      </c>
      <c r="Y43" s="128" t="s">
        <v>243</v>
      </c>
      <c r="Z43" t="str">
        <f t="shared" ca="1" si="100"/>
        <v>RA</v>
      </c>
      <c r="AA43" s="129">
        <f ca="1">IF($C43="S",IF($Z43="CP",$X43,IF($Z43="RA",(($X43)*QCI!$AA$3),0)),SomaAgrup)</f>
        <v>2928.99</v>
      </c>
      <c r="AB43" s="130">
        <f t="shared" ca="1" si="76"/>
        <v>0</v>
      </c>
      <c r="AC43" s="619" t="str">
        <f ca="1">IF($N43=""," ",
IF(AND($C43&lt;&gt;"S",OR($R43="",$R43="(digite a descrição aqui)")),"DESCRIÇÃO",
IF(AND($C43="S",OR($Q43&lt;&gt;0,$T43&gt;0,$U43&gt;0),$P43=0),"FONTE",
IF(AND($C43="S",$P43&lt;&gt;0,OR($T43&gt;0,$U43&gt;0),$Q43=0),"CÓDIGO",
IF(AND($C43="S",$P43&lt;&gt;0,$Q43&lt;&gt;0,$R43="(Código não identificado nas referências)"),"CÓDIGO N/ID",
IF(AND($C43="S",OR($R43="",$R43="(digite a descrição aqui)"),OR($Q43&lt;&gt;0,$T43&gt;0,$U43&gt;0)),"DESCRIÇÃO",
IF(AND($C43="S",$P43&lt;&gt;0,$Q43&lt;&gt;0,$S43=""),"UNIDADE",
IF(AND($C43="S",$P43&lt;&gt;0,$Q43&lt;&gt;0,$U43=0),"SEM CUSTO",
IF(AND(TIPOORCAMENTO="Licitado",$AL43=0,$AN43&gt;0),"SEM PREÇO",
IF(AND($C43="S",$P43&lt;&gt;0,$Q43&lt;&gt;0,$U43&gt;0,$V43=0),"BDI",
IF(OR(AND(TIPOORCAMENTO="Proposto",$AG43&lt;&gt;"",$AG43&gt;0,ORÇAMENTO.CustoUnitario&gt;$AG43),AND(TIPOORCAMENTO="LICITADO",ORÇAMENTO.PrecoUnitarioLicitado&gt;$AN43)),"ACIMA REF.",
IF(AND($C43="S",$P43&lt;&gt;0,$Q43&lt;&gt;0,$T43=0,$U43&gt;0),"QUANT.",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f ca="1">IF(AND($C43="S",ORÇAMENTO.CodBarra&lt;&gt;""),IF(ORÇAMENTO.Fonte="",ORÇAMENTO.CodBarra,CONCATENATE(ORÇAMENTO.Fonte," ",ORÇAMENTO.CodBarra)))</f>
        <v>SINAPI 104916</v>
      </c>
      <c r="AF43" s="13">
        <f ca="1">IF(ISERROR(INDIRECT(ORÇAMENTO.BancoRef)),"(abra o arquivo 'Referência "&amp;Excel_BuiltIn_Database&amp;".xlsm)",IF(OR($C43&lt;&gt;"S",ORÇAMENTO.CodBarra=""),"(Sem Código)",IF(ISERROR(MATCH($AE43,INDIRECT(ORÇAMENTO.BancoRef),0)),"(Código não identificado nas referências)",MATCH($AE43,INDIRECT(ORÇAMENTO.BancoRef),0))))</f>
        <v>10382</v>
      </c>
      <c r="AG43" s="453">
        <f ca="1">ROUND(IF(DESONERACAO="sim",REFERENCIA.Desonerado,REFERENCIA.NaoDesonerado),2)</f>
        <v>17.68</v>
      </c>
      <c r="AH43" s="454">
        <f t="shared" ca="1" si="77"/>
        <v>0.2412</v>
      </c>
      <c r="AJ43" s="456"/>
      <c r="AL43" s="471"/>
      <c r="AM43" s="348">
        <f t="shared" ca="1" si="18"/>
        <v>2928.99</v>
      </c>
      <c r="AN43" s="504">
        <f t="shared" ca="1" si="78"/>
        <v>21.94</v>
      </c>
    </row>
    <row r="44" spans="1:40" ht="25.5" x14ac:dyDescent="0.2">
      <c r="A44" t="str">
        <f t="shared" si="75"/>
        <v>S</v>
      </c>
      <c r="B44">
        <f t="shared" ca="1" si="90"/>
        <v>4</v>
      </c>
      <c r="C44" t="str">
        <f t="shared" ca="1" si="91"/>
        <v>S</v>
      </c>
      <c r="D44">
        <f t="shared" ca="1" si="92"/>
        <v>0</v>
      </c>
      <c r="E44">
        <f ca="1">IF($C44=1,OFFSET(E44,-1,0)+MAX(1,COUNTIF(QCI!$A$13:$A$24,OFFSET(ORÇAMENTO!E44,-1,0))),OFFSET(E44,-1,0))</f>
        <v>1</v>
      </c>
      <c r="F44">
        <f t="shared" ca="1" si="93"/>
        <v>5</v>
      </c>
      <c r="G44">
        <f t="shared" ca="1" si="94"/>
        <v>2</v>
      </c>
      <c r="H44">
        <f t="shared" ca="1" si="95"/>
        <v>2</v>
      </c>
      <c r="I44">
        <f t="shared" ca="1" si="96"/>
        <v>3</v>
      </c>
      <c r="J44">
        <f t="shared" ca="1" si="9"/>
        <v>0</v>
      </c>
      <c r="K44">
        <f ca="1">IF(OR($C44="S",$C44=0),0,MATCH(OFFSET($D44,0,$C44)+IF($C44&lt;&gt;1,1,COUNTIF(QCI!$A$13:$A$24,ORÇAMENTO!E44)),OFFSET($D44,1,$C44,ROW($C$131)-ROW($C44)),0))</f>
        <v>0</v>
      </c>
      <c r="L44" s="116" t="str">
        <f t="shared" ca="1" si="97"/>
        <v>F</v>
      </c>
      <c r="M44" s="117" t="s">
        <v>197</v>
      </c>
      <c r="N44" s="118" t="str">
        <f t="shared" ca="1" si="98"/>
        <v>Serviço</v>
      </c>
      <c r="O44" s="119" t="str">
        <f t="shared" ca="1" si="99"/>
        <v>1.5.2.2.3.</v>
      </c>
      <c r="P44" s="120" t="s">
        <v>245</v>
      </c>
      <c r="Q44" s="121" t="s">
        <v>1059</v>
      </c>
      <c r="R44" s="122" t="str">
        <f ca="1">IF($C44="S",REFERENCIA.Descricao,"(digite a descrição aqui)")</f>
        <v>ARMAÇÃO DE SAPATA ISOLADA, VIGA BALDRAME E SAPATA CORRIDA UTILIZANDO AÇO CA-50 DE 8 MM - MONTAGEM. AF_01/2024</v>
      </c>
      <c r="S44" s="123" t="str">
        <f ca="1">REFERENCIA.Unidade</f>
        <v>KG</v>
      </c>
      <c r="T44" s="124">
        <f ca="1">OFFSET(CÁLCULO!H$15,ROW($T44)-ROW(T$15),0)</f>
        <v>240.1</v>
      </c>
      <c r="U44" s="125">
        <f t="shared" ca="1" si="17"/>
        <v>14.4</v>
      </c>
      <c r="V44" s="126" t="s">
        <v>189</v>
      </c>
      <c r="W44" s="124">
        <f ca="1">IF($C44="S",ROUND(IF(TIPOORCAMENTO="Proposto",ORÇAMENTO.CustoUnitario*(1+$AH44),ORÇAMENTO.PrecoUnitarioLicitado),15-13*$AF$10),0)</f>
        <v>17.87</v>
      </c>
      <c r="X44" s="127">
        <f ca="1">IF($C44="S",IF(OR(Import.TipoArredondamento&lt;&gt;"TransfereGOV",ACOMPANHAMENTO="BM"),VTOTAL1,SUM(OFFSET(CÁLCULO!$AI$15,ROW($X44)-ROW($X$15),1):OFFSET(CÁLCULO!$BB$15,ROW($X44)-ROW($X$15),-1))),IF($C44=0,0,ROUND(SomaAgrup,15-13*$AF$11)))</f>
        <v>4290.59</v>
      </c>
      <c r="Y44" s="128" t="s">
        <v>243</v>
      </c>
      <c r="Z44" t="str">
        <f t="shared" ca="1" si="100"/>
        <v>RA</v>
      </c>
      <c r="AA44" s="129">
        <f ca="1">IF($C44="S",IF($Z44="CP",$X44,IF($Z44="RA",(($X44)*QCI!$AA$3),0)),SomaAgrup)</f>
        <v>4290.59</v>
      </c>
      <c r="AB44" s="130">
        <f t="shared" ca="1" si="76"/>
        <v>0</v>
      </c>
      <c r="AC44" s="619" t="str">
        <f ca="1">IF($N44=""," ",
IF(AND($C44&lt;&gt;"S",OR($R44="",$R44="(digite a descrição aqui)")),"DESCRIÇÃO",
IF(AND($C44="S",OR($Q44&lt;&gt;0,$T44&gt;0,$U44&gt;0),$P44=0),"FONTE",
IF(AND($C44="S",$P44&lt;&gt;0,OR($T44&gt;0,$U44&gt;0),$Q44=0),"CÓDIGO",
IF(AND($C44="S",$P44&lt;&gt;0,$Q44&lt;&gt;0,$R44="(Código não identificado nas referências)"),"CÓDIGO N/ID",
IF(AND($C44="S",OR($R44="",$R44="(digite a descrição aqui)"),OR($Q44&lt;&gt;0,$T44&gt;0,$U44&gt;0)),"DESCRIÇÃO",
IF(AND($C44="S",$P44&lt;&gt;0,$Q44&lt;&gt;0,$S44=""),"UNIDADE",
IF(AND($C44="S",$P44&lt;&gt;0,$Q44&lt;&gt;0,$U44=0),"SEM CUSTO",
IF(AND(TIPOORCAMENTO="Licitado",$AL44=0,$AN44&gt;0),"SEM PREÇO",
IF(AND($C44="S",$P44&lt;&gt;0,$Q44&lt;&gt;0,$U44&gt;0,$V44=0),"BDI",
IF(OR(AND(TIPOORCAMENTO="Proposto",$AG44&lt;&gt;"",$AG44&gt;0,ORÇAMENTO.CustoUnitario&gt;$AG44),AND(TIPOORCAMENTO="LICITADO",ORÇAMENTO.PrecoUnitarioLicitado&gt;$AN44)),"ACIMA REF.",
IF(AND($C44="S",$P44&lt;&gt;0,$Q44&lt;&gt;0,$T44=0,$U44&gt;0),"QUANT.",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ca="1">IF(AND($C44="S",ORÇAMENTO.CodBarra&lt;&gt;""),IF(ORÇAMENTO.Fonte="",ORÇAMENTO.CodBarra,CONCATENATE(ORÇAMENTO.Fonte," ",ORÇAMENTO.CodBarra)))</f>
        <v>SINAPI 104918</v>
      </c>
      <c r="AF44" s="13">
        <f ca="1">IF(ISERROR(INDIRECT(ORÇAMENTO.BancoRef)),"(abra o arquivo 'Referência "&amp;Excel_BuiltIn_Database&amp;".xlsm)",IF(OR($C44&lt;&gt;"S",ORÇAMENTO.CodBarra=""),"(Sem Código)",IF(ISERROR(MATCH($AE44,INDIRECT(ORÇAMENTO.BancoRef),0)),"(Código não identificado nas referências)",MATCH($AE44,INDIRECT(ORÇAMENTO.BancoRef),0))))</f>
        <v>10381</v>
      </c>
      <c r="AG44" s="453">
        <f ca="1">ROUND(IF(DESONERACAO="sim",REFERENCIA.Desonerado,REFERENCIA.NaoDesonerado),2)</f>
        <v>14.4</v>
      </c>
      <c r="AH44" s="454">
        <f t="shared" ca="1" si="77"/>
        <v>0.2412</v>
      </c>
      <c r="AJ44" s="456"/>
      <c r="AL44" s="471"/>
      <c r="AM44" s="348">
        <f t="shared" ca="1" si="18"/>
        <v>4290.59</v>
      </c>
      <c r="AN44" s="504">
        <f t="shared" ca="1" si="78"/>
        <v>17.87</v>
      </c>
    </row>
    <row r="45" spans="1:40" ht="25.5" x14ac:dyDescent="0.2">
      <c r="A45" t="str">
        <f t="shared" si="75"/>
        <v>S</v>
      </c>
      <c r="B45">
        <f t="shared" ca="1" si="90"/>
        <v>4</v>
      </c>
      <c r="C45" t="str">
        <f t="shared" ca="1" si="91"/>
        <v>S</v>
      </c>
      <c r="D45">
        <f t="shared" ca="1" si="92"/>
        <v>0</v>
      </c>
      <c r="E45">
        <f ca="1">IF($C45=1,OFFSET(E45,-1,0)+MAX(1,COUNTIF(QCI!$A$13:$A$24,OFFSET(ORÇAMENTO!E45,-1,0))),OFFSET(E45,-1,0))</f>
        <v>1</v>
      </c>
      <c r="F45">
        <f t="shared" ca="1" si="93"/>
        <v>5</v>
      </c>
      <c r="G45">
        <f t="shared" ca="1" si="94"/>
        <v>2</v>
      </c>
      <c r="H45">
        <f t="shared" ca="1" si="95"/>
        <v>2</v>
      </c>
      <c r="I45">
        <f t="shared" ca="1" si="96"/>
        <v>4</v>
      </c>
      <c r="J45">
        <f t="shared" ca="1" si="9"/>
        <v>0</v>
      </c>
      <c r="K45">
        <f ca="1">IF(OR($C45="S",$C45=0),0,MATCH(OFFSET($D45,0,$C45)+IF($C45&lt;&gt;1,1,COUNTIF(QCI!$A$13:$A$24,ORÇAMENTO!E45)),OFFSET($D45,1,$C45,ROW($C$131)-ROW($C45)),0))</f>
        <v>0</v>
      </c>
      <c r="L45" s="116" t="str">
        <f t="shared" ca="1" si="97"/>
        <v>F</v>
      </c>
      <c r="M45" s="117" t="s">
        <v>197</v>
      </c>
      <c r="N45" s="118" t="str">
        <f t="shared" ca="1" si="98"/>
        <v>Serviço</v>
      </c>
      <c r="O45" s="119" t="str">
        <f t="shared" ca="1" si="99"/>
        <v>1.5.2.2.4.</v>
      </c>
      <c r="P45" s="120" t="s">
        <v>245</v>
      </c>
      <c r="Q45" s="121" t="s">
        <v>1060</v>
      </c>
      <c r="R45" s="122" t="str">
        <f ca="1">IF($C45="S",REFERENCIA.Descricao,"(digite a descrição aqui)")</f>
        <v>ARMAÇÃO DE SAPATA ISOLADA, VIGA BALDRAME E SAPATA CORRIDA UTILIZANDO AÇO CA-50 DE 10 MM - MONTAGEM. AF_01/2024</v>
      </c>
      <c r="S45" s="123" t="str">
        <f ca="1">REFERENCIA.Unidade</f>
        <v>KG</v>
      </c>
      <c r="T45" s="124">
        <f ca="1">OFFSET(CÁLCULO!H$15,ROW($T45)-ROW(T$15),0)</f>
        <v>262.39999999999998</v>
      </c>
      <c r="U45" s="125">
        <f t="shared" ca="1" si="17"/>
        <v>12.68</v>
      </c>
      <c r="V45" s="126" t="s">
        <v>189</v>
      </c>
      <c r="W45" s="124">
        <f ca="1">IF($C45="S",ROUND(IF(TIPOORCAMENTO="Proposto",ORÇAMENTO.CustoUnitario*(1+$AH45),ORÇAMENTO.PrecoUnitarioLicitado),15-13*$AF$10),0)</f>
        <v>15.74</v>
      </c>
      <c r="X45" s="127">
        <f ca="1">IF($C45="S",IF(OR(Import.TipoArredondamento&lt;&gt;"TransfereGOV",ACOMPANHAMENTO="BM"),VTOTAL1,SUM(OFFSET(CÁLCULO!$AI$15,ROW($X45)-ROW($X$15),1):OFFSET(CÁLCULO!$BB$15,ROW($X45)-ROW($X$15),-1))),IF($C45=0,0,ROUND(SomaAgrup,15-13*$AF$11)))</f>
        <v>4130.18</v>
      </c>
      <c r="Y45" s="128" t="s">
        <v>243</v>
      </c>
      <c r="Z45" t="str">
        <f t="shared" ca="1" si="100"/>
        <v>RA</v>
      </c>
      <c r="AA45" s="129">
        <f ca="1">IF($C45="S",IF($Z45="CP",$X45,IF($Z45="RA",(($X45)*QCI!$AA$3),0)),SomaAgrup)</f>
        <v>4130.18</v>
      </c>
      <c r="AB45" s="130">
        <f t="shared" ca="1" si="76"/>
        <v>0</v>
      </c>
      <c r="AC45" s="619" t="str">
        <f ca="1">IF($N45=""," ",
IF(AND($C45&lt;&gt;"S",OR($R45="",$R45="(digite a descrição aqui)")),"DESCRIÇÃO",
IF(AND($C45="S",OR($Q45&lt;&gt;0,$T45&gt;0,$U45&gt;0),$P45=0),"FONTE",
IF(AND($C45="S",$P45&lt;&gt;0,OR($T45&gt;0,$U45&gt;0),$Q45=0),"CÓDIGO",
IF(AND($C45="S",$P45&lt;&gt;0,$Q45&lt;&gt;0,$R45="(Código não identificado nas referências)"),"CÓDIGO N/ID",
IF(AND($C45="S",OR($R45="",$R45="(digite a descrição aqui)"),OR($Q45&lt;&gt;0,$T45&gt;0,$U45&gt;0)),"DESCRIÇÃO",
IF(AND($C45="S",$P45&lt;&gt;0,$Q45&lt;&gt;0,$S45=""),"UNIDADE",
IF(AND($C45="S",$P45&lt;&gt;0,$Q45&lt;&gt;0,$U45=0),"SEM CUSTO",
IF(AND(TIPOORCAMENTO="Licitado",$AL45=0,$AN45&gt;0),"SEM PREÇO",
IF(AND($C45="S",$P45&lt;&gt;0,$Q45&lt;&gt;0,$U45&gt;0,$V45=0),"BDI",
IF(OR(AND(TIPOORCAMENTO="Proposto",$AG45&lt;&gt;"",$AG45&gt;0,ORÇAMENTO.CustoUnitario&gt;$AG45),AND(TIPOORCAMENTO="LICITADO",ORÇAMENTO.PrecoUnitarioLicitado&gt;$AN45)),"ACIMA REF.",
IF(AND($C45="S",$P45&lt;&gt;0,$Q45&lt;&gt;0,$T45=0,$U45&gt;0),"QUANT.",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f ca="1">IF(AND($C45="S",ORÇAMENTO.CodBarra&lt;&gt;""),IF(ORÇAMENTO.Fonte="",ORÇAMENTO.CodBarra,CONCATENATE(ORÇAMENTO.Fonte," ",ORÇAMENTO.CodBarra)))</f>
        <v>SINAPI 104919</v>
      </c>
      <c r="AF45" s="13">
        <f ca="1">IF(ISERROR(INDIRECT(ORÇAMENTO.BancoRef)),"(abra o arquivo 'Referência "&amp;Excel_BuiltIn_Database&amp;".xlsm)",IF(OR($C45&lt;&gt;"S",ORÇAMENTO.CodBarra=""),"(Sem Código)",IF(ISERROR(MATCH($AE45,INDIRECT(ORÇAMENTO.BancoRef),0)),"(Código não identificado nas referências)",MATCH($AE45,INDIRECT(ORÇAMENTO.BancoRef),0))))</f>
        <v>10379</v>
      </c>
      <c r="AG45" s="453">
        <f ca="1">ROUND(IF(DESONERACAO="sim",REFERENCIA.Desonerado,REFERENCIA.NaoDesonerado),2)</f>
        <v>12.68</v>
      </c>
      <c r="AH45" s="454">
        <f t="shared" ca="1" si="77"/>
        <v>0.2412</v>
      </c>
      <c r="AJ45" s="456"/>
      <c r="AL45" s="471"/>
      <c r="AM45" s="348">
        <f t="shared" ca="1" si="18"/>
        <v>4130.18</v>
      </c>
      <c r="AN45" s="504">
        <f t="shared" ca="1" si="78"/>
        <v>15.74</v>
      </c>
    </row>
    <row r="46" spans="1:40" ht="38.25" x14ac:dyDescent="0.2">
      <c r="A46" t="str">
        <f t="shared" si="75"/>
        <v>S</v>
      </c>
      <c r="B46">
        <f t="shared" ca="1" si="90"/>
        <v>4</v>
      </c>
      <c r="C46" t="str">
        <f t="shared" ca="1" si="91"/>
        <v>S</v>
      </c>
      <c r="D46">
        <f t="shared" ca="1" si="92"/>
        <v>0</v>
      </c>
      <c r="E46">
        <f ca="1">IF($C46=1,OFFSET(E46,-1,0)+MAX(1,COUNTIF(QCI!$A$13:$A$24,OFFSET(ORÇAMENTO!E46,-1,0))),OFFSET(E46,-1,0))</f>
        <v>1</v>
      </c>
      <c r="F46">
        <f t="shared" ca="1" si="93"/>
        <v>5</v>
      </c>
      <c r="G46">
        <f t="shared" ca="1" si="94"/>
        <v>2</v>
      </c>
      <c r="H46">
        <f t="shared" ca="1" si="95"/>
        <v>2</v>
      </c>
      <c r="I46">
        <f t="shared" ca="1" si="96"/>
        <v>5</v>
      </c>
      <c r="J46">
        <f t="shared" ca="1" si="9"/>
        <v>0</v>
      </c>
      <c r="K46">
        <f ca="1">IF(OR($C46="S",$C46=0),0,MATCH(OFFSET($D46,0,$C46)+IF($C46&lt;&gt;1,1,COUNTIF(QCI!$A$13:$A$24,ORÇAMENTO!E46)),OFFSET($D46,1,$C46,ROW($C$131)-ROW($C46)),0))</f>
        <v>0</v>
      </c>
      <c r="L46" s="116" t="str">
        <f t="shared" ca="1" si="97"/>
        <v>F</v>
      </c>
      <c r="M46" s="117" t="s">
        <v>197</v>
      </c>
      <c r="N46" s="118" t="str">
        <f t="shared" ca="1" si="98"/>
        <v>Serviço</v>
      </c>
      <c r="O46" s="119" t="str">
        <f t="shared" ca="1" si="99"/>
        <v>1.5.2.2.5.</v>
      </c>
      <c r="P46" s="120" t="s">
        <v>245</v>
      </c>
      <c r="Q46" s="121" t="s">
        <v>1061</v>
      </c>
      <c r="R46" s="122" t="str">
        <f ca="1">IF($C46="S",REFERENCIA.Descricao,"(digite a descrição aqui)")</f>
        <v>ARMAÇÃO DE BLOCO, SAPATA ISOLADA, VIGA BALDRAME E SAPATA CORRIDA UTILIZANDO AÇO CA-50 DE 12,5 MM - MONTAGEM. AF_01/2024</v>
      </c>
      <c r="S46" s="123" t="str">
        <f ca="1">REFERENCIA.Unidade</f>
        <v>KG</v>
      </c>
      <c r="T46" s="124">
        <f ca="1">OFFSET(CÁLCULO!H$15,ROW($T46)-ROW(T$15),0)</f>
        <v>184.6</v>
      </c>
      <c r="U46" s="125">
        <f t="shared" ca="1" si="17"/>
        <v>10.71</v>
      </c>
      <c r="V46" s="126" t="s">
        <v>189</v>
      </c>
      <c r="W46" s="124">
        <f ca="1">IF($C46="S",ROUND(IF(TIPOORCAMENTO="Proposto",ORÇAMENTO.CustoUnitario*(1+$AH46),ORÇAMENTO.PrecoUnitarioLicitado),15-13*$AF$10),0)</f>
        <v>13.29</v>
      </c>
      <c r="X46" s="127">
        <f ca="1">IF($C46="S",IF(OR(Import.TipoArredondamento&lt;&gt;"TransfereGOV",ACOMPANHAMENTO="BM"),VTOTAL1,SUM(OFFSET(CÁLCULO!$AI$15,ROW($X46)-ROW($X$15),1):OFFSET(CÁLCULO!$BB$15,ROW($X46)-ROW($X$15),-1))),IF($C46=0,0,ROUND(SomaAgrup,15-13*$AF$11)))</f>
        <v>2453.33</v>
      </c>
      <c r="Y46" s="128" t="s">
        <v>243</v>
      </c>
      <c r="Z46" t="str">
        <f t="shared" ca="1" si="100"/>
        <v>RA</v>
      </c>
      <c r="AA46" s="129">
        <f ca="1">IF($C46="S",IF($Z46="CP",$X46,IF($Z46="RA",(($X46)*QCI!$AA$3),0)),SomaAgrup)</f>
        <v>2453.33</v>
      </c>
      <c r="AB46" s="130">
        <f t="shared" ca="1" si="76"/>
        <v>0</v>
      </c>
      <c r="AC46" s="619" t="str">
        <f ca="1">IF($N46=""," ",
IF(AND($C46&lt;&gt;"S",OR($R46="",$R46="(digite a descrição aqui)")),"DESCRIÇÃO",
IF(AND($C46="S",OR($Q46&lt;&gt;0,$T46&gt;0,$U46&gt;0),$P46=0),"FONTE",
IF(AND($C46="S",$P46&lt;&gt;0,OR($T46&gt;0,$U46&gt;0),$Q46=0),"CÓDIGO",
IF(AND($C46="S",$P46&lt;&gt;0,$Q46&lt;&gt;0,$R46="(Código não identificado nas referências)"),"CÓDIGO N/ID",
IF(AND($C46="S",OR($R46="",$R46="(digite a descrição aqui)"),OR($Q46&lt;&gt;0,$T46&gt;0,$U46&gt;0)),"DESCRIÇÃO",
IF(AND($C46="S",$P46&lt;&gt;0,$Q46&lt;&gt;0,$S46=""),"UNIDADE",
IF(AND($C46="S",$P46&lt;&gt;0,$Q46&lt;&gt;0,$U46=0),"SEM CUSTO",
IF(AND(TIPOORCAMENTO="Licitado",$AL46=0,$AN46&gt;0),"SEM PREÇO",
IF(AND($C46="S",$P46&lt;&gt;0,$Q46&lt;&gt;0,$U46&gt;0,$V46=0),"BDI",
IF(OR(AND(TIPOORCAMENTO="Proposto",$AG46&lt;&gt;"",$AG46&gt;0,ORÇAMENTO.CustoUnitario&gt;$AG46),AND(TIPOORCAMENTO="LICITADO",ORÇAMENTO.PrecoUnitarioLicitado&gt;$AN46)),"ACIMA REF.",
IF(AND($C46="S",$P46&lt;&gt;0,$Q46&lt;&gt;0,$T46=0,$U46&gt;0),"QUANT.",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f ca="1">IF(AND($C46="S",ORÇAMENTO.CodBarra&lt;&gt;""),IF(ORÇAMENTO.Fonte="",ORÇAMENTO.CodBarra,CONCATENATE(ORÇAMENTO.Fonte," ",ORÇAMENTO.CodBarra)))</f>
        <v>SINAPI 104920</v>
      </c>
      <c r="AF46" s="13">
        <f ca="1">IF(ISERROR(INDIRECT(ORÇAMENTO.BancoRef)),"(abra o arquivo 'Referência "&amp;Excel_BuiltIn_Database&amp;".xlsm)",IF(OR($C46&lt;&gt;"S",ORÇAMENTO.CodBarra=""),"(Sem Código)",IF(ISERROR(MATCH($AE46,INDIRECT(ORÇAMENTO.BancoRef),0)),"(Código não identificado nas referências)",MATCH($AE46,INDIRECT(ORÇAMENTO.BancoRef),0))))</f>
        <v>10377</v>
      </c>
      <c r="AG46" s="453">
        <f ca="1">ROUND(IF(DESONERACAO="sim",REFERENCIA.Desonerado,REFERENCIA.NaoDesonerado),2)</f>
        <v>10.71</v>
      </c>
      <c r="AH46" s="454">
        <f t="shared" ca="1" si="77"/>
        <v>0.2412</v>
      </c>
      <c r="AJ46" s="456"/>
      <c r="AL46" s="471"/>
      <c r="AM46" s="348">
        <f t="shared" ca="1" si="18"/>
        <v>2453.33</v>
      </c>
      <c r="AN46" s="504">
        <f t="shared" ca="1" si="78"/>
        <v>13.29</v>
      </c>
    </row>
    <row r="47" spans="1:40" ht="38.25" x14ac:dyDescent="0.2">
      <c r="A47" t="str">
        <f t="shared" si="75"/>
        <v>S</v>
      </c>
      <c r="B47">
        <f t="shared" ca="1" si="90"/>
        <v>4</v>
      </c>
      <c r="C47" t="str">
        <f t="shared" ca="1" si="91"/>
        <v>S</v>
      </c>
      <c r="D47">
        <f t="shared" ca="1" si="92"/>
        <v>0</v>
      </c>
      <c r="E47">
        <f ca="1">IF($C47=1,OFFSET(E47,-1,0)+MAX(1,COUNTIF(QCI!$A$13:$A$24,OFFSET(ORÇAMENTO!E47,-1,0))),OFFSET(E47,-1,0))</f>
        <v>1</v>
      </c>
      <c r="F47">
        <f t="shared" ca="1" si="93"/>
        <v>5</v>
      </c>
      <c r="G47">
        <f t="shared" ca="1" si="94"/>
        <v>2</v>
      </c>
      <c r="H47">
        <f t="shared" ca="1" si="95"/>
        <v>2</v>
      </c>
      <c r="I47">
        <f t="shared" ca="1" si="96"/>
        <v>6</v>
      </c>
      <c r="J47">
        <f t="shared" ca="1" si="9"/>
        <v>0</v>
      </c>
      <c r="K47">
        <f ca="1">IF(OR($C47="S",$C47=0),0,MATCH(OFFSET($D47,0,$C47)+IF($C47&lt;&gt;1,1,COUNTIF(QCI!$A$13:$A$24,ORÇAMENTO!E47)),OFFSET($D47,1,$C47,ROW($C$131)-ROW($C47)),0))</f>
        <v>0</v>
      </c>
      <c r="L47" s="116" t="str">
        <f t="shared" ca="1" si="97"/>
        <v>F</v>
      </c>
      <c r="M47" s="117" t="s">
        <v>197</v>
      </c>
      <c r="N47" s="118" t="str">
        <f t="shared" ca="1" si="98"/>
        <v>Serviço</v>
      </c>
      <c r="O47" s="119" t="str">
        <f t="shared" ca="1" si="99"/>
        <v>1.5.2.2.6.</v>
      </c>
      <c r="P47" s="120" t="s">
        <v>245</v>
      </c>
      <c r="Q47" s="121" t="s">
        <v>1062</v>
      </c>
      <c r="R47" s="122" t="str">
        <f ca="1">IF($C47="S",REFERENCIA.Descricao,"(digite a descrição aqui)")</f>
        <v>CONCRETAGEM DE BLOCO DE COROAMENTO OU VIGA BALDRAME, FCK 30 MPA, COM USO DE BOMBA - LANÇAMENTO, ADENSAMENTO E ACABAMENTO. AF_01/2024</v>
      </c>
      <c r="S47" s="123" t="str">
        <f ca="1">REFERENCIA.Unidade</f>
        <v>M3</v>
      </c>
      <c r="T47" s="124">
        <f ca="1">OFFSET(CÁLCULO!H$15,ROW($T47)-ROW(T$15),0)</f>
        <v>23.62</v>
      </c>
      <c r="U47" s="125">
        <f t="shared" ca="1" si="17"/>
        <v>893.73</v>
      </c>
      <c r="V47" s="126" t="s">
        <v>189</v>
      </c>
      <c r="W47" s="124">
        <f ca="1">IF($C47="S",ROUND(IF(TIPOORCAMENTO="Proposto",ORÇAMENTO.CustoUnitario*(1+$AH47),ORÇAMENTO.PrecoUnitarioLicitado),15-13*$AF$10),0)</f>
        <v>1109.3</v>
      </c>
      <c r="X47" s="127">
        <f ca="1">IF($C47="S",IF(OR(Import.TipoArredondamento&lt;&gt;"TransfereGOV",ACOMPANHAMENTO="BM"),VTOTAL1,SUM(OFFSET(CÁLCULO!$AI$15,ROW($X47)-ROW($X$15),1):OFFSET(CÁLCULO!$BB$15,ROW($X47)-ROW($X$15),-1))),IF($C47=0,0,ROUND(SomaAgrup,15-13*$AF$11)))</f>
        <v>26201.67</v>
      </c>
      <c r="Y47" s="128" t="s">
        <v>243</v>
      </c>
      <c r="Z47" t="str">
        <f t="shared" ca="1" si="100"/>
        <v>RA</v>
      </c>
      <c r="AA47" s="129">
        <f ca="1">IF($C47="S",IF($Z47="CP",$X47,IF($Z47="RA",(($X47)*QCI!$AA$3),0)),SomaAgrup)</f>
        <v>26201.67</v>
      </c>
      <c r="AB47" s="130">
        <f t="shared" ca="1" si="76"/>
        <v>0</v>
      </c>
      <c r="AC47" s="619" t="str">
        <f ca="1">IF($N47=""," ",
IF(AND($C47&lt;&gt;"S",OR($R47="",$R47="(digite a descrição aqui)")),"DESCRIÇÃO",
IF(AND($C47="S",OR($Q47&lt;&gt;0,$T47&gt;0,$U47&gt;0),$P47=0),"FONTE",
IF(AND($C47="S",$P47&lt;&gt;0,OR($T47&gt;0,$U47&gt;0),$Q47=0),"CÓDIGO",
IF(AND($C47="S",$P47&lt;&gt;0,$Q47&lt;&gt;0,$R47="(Código não identificado nas referências)"),"CÓDIGO N/ID",
IF(AND($C47="S",OR($R47="",$R47="(digite a descrição aqui)"),OR($Q47&lt;&gt;0,$T47&gt;0,$U47&gt;0)),"DESCRIÇÃO",
IF(AND($C47="S",$P47&lt;&gt;0,$Q47&lt;&gt;0,$S47=""),"UNIDADE",
IF(AND($C47="S",$P47&lt;&gt;0,$Q47&lt;&gt;0,$U47=0),"SEM CUSTO",
IF(AND(TIPOORCAMENTO="Licitado",$AL47=0,$AN47&gt;0),"SEM PREÇO",
IF(AND($C47="S",$P47&lt;&gt;0,$Q47&lt;&gt;0,$U47&gt;0,$V47=0),"BDI",
IF(OR(AND(TIPOORCAMENTO="Proposto",$AG47&lt;&gt;"",$AG47&gt;0,ORÇAMENTO.CustoUnitario&gt;$AG47),AND(TIPOORCAMENTO="LICITADO",ORÇAMENTO.PrecoUnitarioLicitado&gt;$AN47)),"ACIMA REF.",
IF(AND($C47="S",$P47&lt;&gt;0,$Q47&lt;&gt;0,$T47=0,$U47&gt;0),"QUANT.",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f ca="1">IF(AND($C47="S",ORÇAMENTO.CodBarra&lt;&gt;""),IF(ORÇAMENTO.Fonte="",ORÇAMENTO.CodBarra,CONCATENATE(ORÇAMENTO.Fonte," ",ORÇAMENTO.CodBarra)))</f>
        <v>SINAPI 96557</v>
      </c>
      <c r="AF47" s="13">
        <f ca="1">IF(ISERROR(INDIRECT(ORÇAMENTO.BancoRef)),"(abra o arquivo 'Referência "&amp;Excel_BuiltIn_Database&amp;".xlsm)",IF(OR($C47&lt;&gt;"S",ORÇAMENTO.CodBarra=""),"(Sem Código)",IF(ISERROR(MATCH($AE47,INDIRECT(ORÇAMENTO.BancoRef),0)),"(Código não identificado nas referências)",MATCH($AE47,INDIRECT(ORÇAMENTO.BancoRef),0))))</f>
        <v>10383</v>
      </c>
      <c r="AG47" s="453">
        <f ca="1">ROUND(IF(DESONERACAO="sim",REFERENCIA.Desonerado,REFERENCIA.NaoDesonerado),2)</f>
        <v>893.73</v>
      </c>
      <c r="AH47" s="454">
        <f t="shared" ca="1" si="77"/>
        <v>0.2412</v>
      </c>
      <c r="AJ47" s="456"/>
      <c r="AL47" s="471"/>
      <c r="AM47" s="348">
        <f t="shared" ca="1" si="18"/>
        <v>26201.67</v>
      </c>
      <c r="AN47" s="504">
        <f t="shared" ca="1" si="78"/>
        <v>1109.3</v>
      </c>
    </row>
    <row r="48" spans="1:40" x14ac:dyDescent="0.2">
      <c r="A48">
        <f t="shared" si="75"/>
        <v>3</v>
      </c>
      <c r="B48">
        <f t="shared" ca="1" si="90"/>
        <v>3</v>
      </c>
      <c r="C48">
        <f t="shared" ca="1" si="91"/>
        <v>3</v>
      </c>
      <c r="D48">
        <f t="shared" ca="1" si="92"/>
        <v>7</v>
      </c>
      <c r="E48">
        <f ca="1">IF($C48=1,OFFSET(E48,-1,0)+MAX(1,COUNTIF(QCI!$A$13:$A$24,OFFSET(ORÇAMENTO!E48,-1,0))),OFFSET(E48,-1,0))</f>
        <v>1</v>
      </c>
      <c r="F48">
        <f t="shared" ca="1" si="93"/>
        <v>5</v>
      </c>
      <c r="G48">
        <f t="shared" ca="1" si="94"/>
        <v>3</v>
      </c>
      <c r="H48">
        <f t="shared" ca="1" si="95"/>
        <v>0</v>
      </c>
      <c r="I48">
        <f t="shared" ca="1" si="96"/>
        <v>0</v>
      </c>
      <c r="J48">
        <f t="shared" ca="1" si="9"/>
        <v>7</v>
      </c>
      <c r="K48" t="e">
        <f ca="1">IF(OR($C48="S",$C48=0),0,MATCH(OFFSET($D48,0,$C48)+IF($C48&lt;&gt;1,1,COUNTIF(QCI!$A$13:$A$24,ORÇAMENTO!E48)),OFFSET($D48,1,$C48,ROW($C$131)-ROW($C48)),0))</f>
        <v>#N/A</v>
      </c>
      <c r="L48" s="116" t="str">
        <f t="shared" ca="1" si="97"/>
        <v>F</v>
      </c>
      <c r="M48" s="117" t="s">
        <v>195</v>
      </c>
      <c r="N48" s="118" t="str">
        <f t="shared" ca="1" si="98"/>
        <v>Nível 3</v>
      </c>
      <c r="O48" s="119" t="str">
        <f t="shared" ca="1" si="99"/>
        <v>1.5.3.</v>
      </c>
      <c r="P48" s="120" t="s">
        <v>245</v>
      </c>
      <c r="Q48" s="121"/>
      <c r="R48" s="122" t="s">
        <v>956</v>
      </c>
      <c r="S48" s="123" t="str">
        <f ca="1">REFERENCIA.Unidade</f>
        <v>-</v>
      </c>
      <c r="T48" s="124">
        <f ca="1">OFFSET(CÁLCULO!H$15,ROW($T48)-ROW(T$15),0)</f>
        <v>0</v>
      </c>
      <c r="U48" s="125">
        <f t="shared" ca="1" si="17"/>
        <v>0</v>
      </c>
      <c r="V48" s="126" t="s">
        <v>155</v>
      </c>
      <c r="W48" s="124">
        <f ca="1">IF($C48="S",ROUND(IF(TIPOORCAMENTO="Proposto",ORÇAMENTO.CustoUnitario*(1+$AH48),ORÇAMENTO.PrecoUnitarioLicitado),15-13*$AF$10),0)</f>
        <v>0</v>
      </c>
      <c r="X48" s="127">
        <f ca="1">IF($C48="S",IF(OR(Import.TipoArredondamento&lt;&gt;"TransfereGOV",ACOMPANHAMENTO="BM"),VTOTAL1,SUM(OFFSET(CÁLCULO!$AI$15,ROW($X48)-ROW($X$15),1):OFFSET(CÁLCULO!$BB$15,ROW($X48)-ROW($X$15),-1))),IF($C48=0,0,ROUND(SomaAgrup,15-13*$AF$11)))</f>
        <v>875741</v>
      </c>
      <c r="Y48" s="128" t="s">
        <v>243</v>
      </c>
      <c r="Z48" t="str">
        <f t="shared" ca="1" si="100"/>
        <v/>
      </c>
      <c r="AA48" s="129">
        <f ca="1">IF($C48="S",IF($Z48="CP",$X48,IF($Z48="RA",(($X48)*QCI!$AA$3),0)),SomaAgrup)</f>
        <v>875741</v>
      </c>
      <c r="AB48" s="130">
        <f t="shared" ca="1" si="76"/>
        <v>0</v>
      </c>
      <c r="AC48" s="619" t="str">
        <f ca="1">IF($N48=""," ",
IF(AND($C48&lt;&gt;"S",OR($R48="",$R48="(digite a descrição aqui)")),"DESCRIÇÃO",
IF(AND($C48="S",OR($Q48&lt;&gt;0,$T48&gt;0,$U48&gt;0),$P48=0),"FONTE",
IF(AND($C48="S",$P48&lt;&gt;0,OR($T48&gt;0,$U48&gt;0),$Q48=0),"CÓDIGO",
IF(AND($C48="S",$P48&lt;&gt;0,$Q48&lt;&gt;0,$R48="(Código não identificado nas referências)"),"CÓDIGO N/ID",
IF(AND($C48="S",OR($R48="",$R48="(digite a descrição aqui)"),OR($Q48&lt;&gt;0,$T48&gt;0,$U48&gt;0)),"DESCRIÇÃO",
IF(AND($C48="S",$P48&lt;&gt;0,$Q48&lt;&gt;0,$S48=""),"UNIDADE",
IF(AND($C48="S",$P48&lt;&gt;0,$Q48&lt;&gt;0,$U48=0),"SEM CUSTO",
IF(AND(TIPOORCAMENTO="Licitado",$AL48=0,$AN48&gt;0),"SEM PREÇO",
IF(AND($C48="S",$P48&lt;&gt;0,$Q48&lt;&gt;0,$U48&gt;0,$V48=0),"BDI",
IF(OR(AND(TIPOORCAMENTO="Proposto",$AG48&lt;&gt;"",$AG48&gt;0,ORÇAMENTO.CustoUnitario&gt;$AG48),AND(TIPOORCAMENTO="LICITADO",ORÇAMENTO.PrecoUnitarioLicitado&gt;$AN48)),"ACIMA REF.",
IF(AND($C48="S",$P48&lt;&gt;0,$Q48&lt;&gt;0,$T48=0,$U48&gt;0),"QUANT.",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f ca="1">IF(AND($C48="S",ORÇAMENTO.CodBarra&lt;&gt;""),IF(ORÇAMENTO.Fonte="",ORÇAMENTO.CodBarra,CONCATENATE(ORÇAMENTO.Fonte," ",ORÇAMENTO.CodBarra)))</f>
        <v>0</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(Sem Código)</v>
      </c>
      <c r="AG48" s="453">
        <f ca="1">ROUND(IF(DESONERACAO="sim",REFERENCIA.Desonerado,REFERENCIA.NaoDesonerado),2)</f>
        <v>0</v>
      </c>
      <c r="AH48" s="454">
        <f t="shared" ca="1" si="77"/>
        <v>0.24199999999999999</v>
      </c>
      <c r="AJ48" s="456"/>
      <c r="AL48" s="471"/>
      <c r="AM48" s="348">
        <f t="shared" ca="1" si="18"/>
        <v>875741</v>
      </c>
      <c r="AN48" s="504">
        <f t="shared" ca="1" si="78"/>
        <v>0</v>
      </c>
    </row>
    <row r="49" spans="1:40" x14ac:dyDescent="0.2">
      <c r="A49">
        <f t="shared" si="75"/>
        <v>4</v>
      </c>
      <c r="B49">
        <f t="shared" ca="1" si="90"/>
        <v>4</v>
      </c>
      <c r="C49">
        <f t="shared" ca="1" si="91"/>
        <v>4</v>
      </c>
      <c r="D49">
        <f t="shared" ca="1" si="92"/>
        <v>2</v>
      </c>
      <c r="E49">
        <f ca="1">IF($C49=1,OFFSET(E49,-1,0)+MAX(1,COUNTIF(QCI!$A$13:$A$24,OFFSET(ORÇAMENTO!E49,-1,0))),OFFSET(E49,-1,0))</f>
        <v>1</v>
      </c>
      <c r="F49">
        <f t="shared" ca="1" si="93"/>
        <v>5</v>
      </c>
      <c r="G49">
        <f t="shared" ca="1" si="94"/>
        <v>3</v>
      </c>
      <c r="H49">
        <f t="shared" ca="1" si="95"/>
        <v>1</v>
      </c>
      <c r="I49">
        <f t="shared" ca="1" si="96"/>
        <v>0</v>
      </c>
      <c r="J49">
        <f t="shared" ca="1" si="9"/>
        <v>6</v>
      </c>
      <c r="K49">
        <f ca="1">IF(OR($C49="S",$C49=0),0,MATCH(OFFSET($D49,0,$C49)+IF($C49&lt;&gt;1,1,COUNTIF(QCI!$A$13:$A$24,ORÇAMENTO!E49)),OFFSET($D49,1,$C49,ROW($C$131)-ROW($C49)),0))</f>
        <v>2</v>
      </c>
      <c r="L49" s="116" t="str">
        <f t="shared" ca="1" si="97"/>
        <v>F</v>
      </c>
      <c r="M49" s="117" t="s">
        <v>196</v>
      </c>
      <c r="N49" s="118" t="str">
        <f t="shared" ca="1" si="98"/>
        <v>Nível 4</v>
      </c>
      <c r="O49" s="119" t="str">
        <f t="shared" ca="1" si="99"/>
        <v>1.5.3.1.</v>
      </c>
      <c r="P49" s="120" t="s">
        <v>245</v>
      </c>
      <c r="Q49" s="121"/>
      <c r="R49" s="122" t="s">
        <v>1064</v>
      </c>
      <c r="S49" s="123" t="str">
        <f ca="1">REFERENCIA.Unidade</f>
        <v>-</v>
      </c>
      <c r="T49" s="124">
        <f ca="1">OFFSET(CÁLCULO!H$15,ROW($T49)-ROW(T$15),0)</f>
        <v>0</v>
      </c>
      <c r="U49" s="125">
        <f t="shared" ca="1" si="17"/>
        <v>0</v>
      </c>
      <c r="V49" s="126" t="s">
        <v>155</v>
      </c>
      <c r="W49" s="124">
        <f ca="1">IF($C49="S",ROUND(IF(TIPOORCAMENTO="Proposto",ORÇAMENTO.CustoUnitario*(1+$AH49),ORÇAMENTO.PrecoUnitarioLicitado),15-13*$AF$10),0)</f>
        <v>0</v>
      </c>
      <c r="X49" s="127">
        <f ca="1">IF($C49="S",IF(OR(Import.TipoArredondamento&lt;&gt;"TransfereGOV",ACOMPANHAMENTO="BM"),VTOTAL1,SUM(OFFSET(CÁLCULO!$AI$15,ROW($X49)-ROW($X$15),1):OFFSET(CÁLCULO!$BB$15,ROW($X49)-ROW($X$15),-1))),IF($C49=0,0,ROUND(SomaAgrup,15-13*$AF$11)))</f>
        <v>16133.09</v>
      </c>
      <c r="Y49" s="128" t="s">
        <v>243</v>
      </c>
      <c r="Z49" t="str">
        <f t="shared" ca="1" si="100"/>
        <v/>
      </c>
      <c r="AA49" s="129">
        <f ca="1">IF($C49="S",IF($Z49="CP",$X49,IF($Z49="RA",(($X49)*QCI!$AA$3),0)),SomaAgrup)</f>
        <v>16133.09</v>
      </c>
      <c r="AB49" s="130">
        <f t="shared" ca="1" si="76"/>
        <v>0</v>
      </c>
      <c r="AC49" s="619" t="str">
        <f ca="1">IF($N49=""," ",
IF(AND($C49&lt;&gt;"S",OR($R49="",$R49="(digite a descrição aqui)")),"DESCRIÇÃO",
IF(AND($C49="S",OR($Q49&lt;&gt;0,$T49&gt;0,$U49&gt;0),$P49=0),"FONTE",
IF(AND($C49="S",$P49&lt;&gt;0,OR($T49&gt;0,$U49&gt;0),$Q49=0),"CÓDIGO",
IF(AND($C49="S",$P49&lt;&gt;0,$Q49&lt;&gt;0,$R49="(Código não identificado nas referências)"),"CÓDIGO N/ID",
IF(AND($C49="S",OR($R49="",$R49="(digite a descrição aqui)"),OR($Q49&lt;&gt;0,$T49&gt;0,$U49&gt;0)),"DESCRIÇÃO",
IF(AND($C49="S",$P49&lt;&gt;0,$Q49&lt;&gt;0,$S49=""),"UNIDADE",
IF(AND($C49="S",$P49&lt;&gt;0,$Q49&lt;&gt;0,$U49=0),"SEM CUSTO",
IF(AND(TIPOORCAMENTO="Licitado",$AL49=0,$AN49&gt;0),"SEM PREÇO",
IF(AND($C49="S",$P49&lt;&gt;0,$Q49&lt;&gt;0,$U49&gt;0,$V49=0),"BDI",
IF(OR(AND(TIPOORCAMENTO="Proposto",$AG49&lt;&gt;"",$AG49&gt;0,ORÇAMENTO.CustoUnitario&gt;$AG49),AND(TIPOORCAMENTO="LICITADO",ORÇAMENTO.PrecoUnitarioLicitado&gt;$AN49)),"ACIMA REF.",
IF(AND($C49="S",$P49&lt;&gt;0,$Q49&lt;&gt;0,$T49=0,$U49&gt;0),"QUANT.",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b">
        <f ca="1">IF(AND($C49="S",ORÇAMENTO.CodBarra&lt;&gt;""),IF(ORÇAMENTO.Fonte="",ORÇAMENTO.CodBarra,CONCATENATE(ORÇAMENTO.Fonte," ",ORÇAMENTO.CodBarra)))</f>
        <v>0</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(Sem Código)</v>
      </c>
      <c r="AG49" s="453">
        <f ca="1">ROUND(IF(DESONERACAO="sim",REFERENCIA.Desonerado,REFERENCIA.NaoDesonerado),2)</f>
        <v>0</v>
      </c>
      <c r="AH49" s="454">
        <f t="shared" ca="1" si="77"/>
        <v>0.24199999999999999</v>
      </c>
      <c r="AJ49" s="456"/>
      <c r="AL49" s="471"/>
      <c r="AM49" s="348">
        <f t="shared" ca="1" si="18"/>
        <v>16133.09</v>
      </c>
      <c r="AN49" s="504">
        <f t="shared" ca="1" si="78"/>
        <v>0</v>
      </c>
    </row>
    <row r="50" spans="1:40" ht="38.25" x14ac:dyDescent="0.2">
      <c r="A50" t="str">
        <f t="shared" si="75"/>
        <v>S</v>
      </c>
      <c r="B50">
        <f t="shared" ca="1" si="90"/>
        <v>4</v>
      </c>
      <c r="C50" t="str">
        <f t="shared" ca="1" si="91"/>
        <v>S</v>
      </c>
      <c r="D50">
        <f t="shared" ca="1" si="92"/>
        <v>0</v>
      </c>
      <c r="E50">
        <f ca="1">IF($C50=1,OFFSET(E50,-1,0)+MAX(1,COUNTIF(QCI!$A$13:$A$24,OFFSET(ORÇAMENTO!E50,-1,0))),OFFSET(E50,-1,0))</f>
        <v>1</v>
      </c>
      <c r="F50">
        <f t="shared" ca="1" si="93"/>
        <v>5</v>
      </c>
      <c r="G50">
        <f t="shared" ca="1" si="94"/>
        <v>3</v>
      </c>
      <c r="H50">
        <f t="shared" ca="1" si="95"/>
        <v>1</v>
      </c>
      <c r="I50">
        <f t="shared" ca="1" si="96"/>
        <v>1</v>
      </c>
      <c r="J50">
        <f t="shared" ref="J50:J76" ca="1" si="101">IF(OR($C50="S",$C50=0),0,MATCH(0,OFFSET($D50,1,$C50,ROW($C$131)-ROW($C50)),0))</f>
        <v>0</v>
      </c>
      <c r="K50">
        <f ca="1">IF(OR($C50="S",$C50=0),0,MATCH(OFFSET($D50,0,$C50)+IF($C50&lt;&gt;1,1,COUNTIF(QCI!$A$13:$A$24,ORÇAMENTO!E50)),OFFSET($D50,1,$C50,ROW($C$131)-ROW($C50)),0))</f>
        <v>0</v>
      </c>
      <c r="L50" s="116" t="str">
        <f t="shared" ca="1" si="97"/>
        <v>F</v>
      </c>
      <c r="M50" s="117" t="s">
        <v>197</v>
      </c>
      <c r="N50" s="118" t="str">
        <f t="shared" ca="1" si="98"/>
        <v>Serviço</v>
      </c>
      <c r="O50" s="119" t="str">
        <f t="shared" ca="1" si="99"/>
        <v>1.5.3.1.1.</v>
      </c>
      <c r="P50" s="120" t="s">
        <v>939</v>
      </c>
      <c r="Q50" s="121" t="s">
        <v>1067</v>
      </c>
      <c r="R50" s="122" t="str">
        <f ca="1">IF($C50="S",REFERENCIA.Descricao,"(digite a descrição aqui)")</f>
        <v>​COM-13231562​ BLANCK DE FIXAÇÃO EM CHAPA DE AÇO, ESPESSURA 3/4", DIMENSÕES 50X25CM - FORNECIMENTO E INSTALAÇÃO​ (UND)</v>
      </c>
      <c r="S50" s="123" t="str">
        <f ca="1">REFERENCIA.Unidade</f>
        <v>UN</v>
      </c>
      <c r="T50" s="124">
        <f ca="1">OFFSET(CÁLCULO!H$15,ROW($T50)-ROW(T$15),0)</f>
        <v>41</v>
      </c>
      <c r="U50" s="125">
        <f t="shared" ca="1" si="17"/>
        <v>317.02</v>
      </c>
      <c r="V50" s="126" t="s">
        <v>189</v>
      </c>
      <c r="W50" s="124">
        <f ca="1">IF($C50="S",ROUND(IF(TIPOORCAMENTO="Proposto",ORÇAMENTO.CustoUnitario*(1+$AH50),ORÇAMENTO.PrecoUnitarioLicitado),15-13*$AF$10),0)</f>
        <v>393.49</v>
      </c>
      <c r="X50" s="127">
        <f ca="1">IF($C50="S",IF(OR(Import.TipoArredondamento&lt;&gt;"TransfereGOV",ACOMPANHAMENTO="BM"),VTOTAL1,SUM(OFFSET(CÁLCULO!$AI$15,ROW($X50)-ROW($X$15),1):OFFSET(CÁLCULO!$BB$15,ROW($X50)-ROW($X$15),-1))),IF($C50=0,0,ROUND(SomaAgrup,15-13*$AF$11)))</f>
        <v>16133.09</v>
      </c>
      <c r="Y50" s="128" t="s">
        <v>243</v>
      </c>
      <c r="Z50" t="str">
        <f t="shared" ca="1" si="100"/>
        <v>RA</v>
      </c>
      <c r="AA50" s="129">
        <f ca="1">IF($C50="S",IF($Z50="CP",$X50,IF($Z50="RA",(($X50)*QCI!$AA$3),0)),SomaAgrup)</f>
        <v>16133.09</v>
      </c>
      <c r="AB50" s="130">
        <f t="shared" ca="1" si="76"/>
        <v>0</v>
      </c>
      <c r="AC50" s="619" t="str">
        <f ca="1">IF($N50=""," ",
IF(AND($C50&lt;&gt;"S",OR($R50="",$R50="(digite a descrição aqui)")),"DESCRIÇÃO",
IF(AND($C50="S",OR($Q50&lt;&gt;0,$T50&gt;0,$U50&gt;0),$P50=0),"FONTE",
IF(AND($C50="S",$P50&lt;&gt;0,OR($T50&gt;0,$U50&gt;0),$Q50=0),"CÓDIGO",
IF(AND($C50="S",$P50&lt;&gt;0,$Q50&lt;&gt;0,$R50="(Código não identificado nas referências)"),"CÓDIGO N/ID",
IF(AND($C50="S",OR($R50="",$R50="(digite a descrição aqui)"),OR($Q50&lt;&gt;0,$T50&gt;0,$U50&gt;0)),"DESCRIÇÃO",
IF(AND($C50="S",$P50&lt;&gt;0,$Q50&lt;&gt;0,$S50=""),"UNIDADE",
IF(AND($C50="S",$P50&lt;&gt;0,$Q50&lt;&gt;0,$U50=0),"SEM CUSTO",
IF(AND(TIPOORCAMENTO="Licitado",$AL50=0,$AN50&gt;0),"SEM PREÇO",
IF(AND($C50="S",$P50&lt;&gt;0,$Q50&lt;&gt;0,$U50&gt;0,$V50=0),"BDI",
IF(OR(AND(TIPOORCAMENTO="Proposto",$AG50&lt;&gt;"",$AG50&gt;0,ORÇAMENTO.CustoUnitario&gt;$AG50),AND(TIPOORCAMENTO="LICITADO",ORÇAMENTO.PrecoUnitarioLicitado&gt;$AN50)),"ACIMA REF.",
IF(AND($C50="S",$P50&lt;&gt;0,$Q50&lt;&gt;0,$T50=0,$U50&gt;0),"QUANT.",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f ca="1">IF(AND($C50="S",ORÇAMENTO.CodBarra&lt;&gt;""),IF(ORÇAMENTO.Fonte="",ORÇAMENTO.CodBarra,CONCATENATE(ORÇAMENTO.Fonte," ",ORÇAMENTO.CodBarra)))</f>
        <v>Composição AZ ENG. 01</v>
      </c>
      <c r="AF50" s="13">
        <f ca="1">IF(ISERROR(INDIRECT(ORÇAMENTO.BancoRef)),"(abra o arquivo 'Referência "&amp;Excel_BuiltIn_Database&amp;".xlsm)",IF(OR($C50&lt;&gt;"S",ORÇAMENTO.CodBarra=""),"(Sem Código)",IF(ISERROR(MATCH($AE50,INDIRECT(ORÇAMENTO.BancoRef),0)),"(Código não identificado nas referências)",MATCH($AE50,INDIRECT(ORÇAMENTO.BancoRef),0))))</f>
        <v>87</v>
      </c>
      <c r="AG50" s="453">
        <f ca="1">ROUND(IF(DESONERACAO="sim",REFERENCIA.Desonerado,REFERENCIA.NaoDesonerado),2)</f>
        <v>317.02</v>
      </c>
      <c r="AH50" s="454">
        <f t="shared" ca="1" si="77"/>
        <v>0.2412</v>
      </c>
      <c r="AJ50" s="456"/>
      <c r="AL50" s="471"/>
      <c r="AM50" s="348">
        <f t="shared" ca="1" si="18"/>
        <v>16133.09</v>
      </c>
      <c r="AN50" s="504">
        <f t="shared" ca="1" si="78"/>
        <v>393.49</v>
      </c>
    </row>
    <row r="51" spans="1:40" x14ac:dyDescent="0.2">
      <c r="A51">
        <f t="shared" si="75"/>
        <v>4</v>
      </c>
      <c r="B51">
        <f t="shared" ca="1" si="90"/>
        <v>4</v>
      </c>
      <c r="C51">
        <f t="shared" ca="1" si="91"/>
        <v>4</v>
      </c>
      <c r="D51">
        <f t="shared" ca="1" si="92"/>
        <v>2</v>
      </c>
      <c r="E51">
        <f ca="1">IF($C51=1,OFFSET(E51,-1,0)+MAX(1,COUNTIF(QCI!$A$13:$A$24,OFFSET(ORÇAMENTO!E51,-1,0))),OFFSET(E51,-1,0))</f>
        <v>1</v>
      </c>
      <c r="F51">
        <f t="shared" ca="1" si="93"/>
        <v>5</v>
      </c>
      <c r="G51">
        <f t="shared" ca="1" si="94"/>
        <v>3</v>
      </c>
      <c r="H51">
        <f t="shared" ca="1" si="95"/>
        <v>2</v>
      </c>
      <c r="I51">
        <f t="shared" ca="1" si="96"/>
        <v>0</v>
      </c>
      <c r="J51">
        <f t="shared" ca="1" si="101"/>
        <v>4</v>
      </c>
      <c r="K51">
        <f ca="1">IF(OR($C51="S",$C51=0),0,MATCH(OFFSET($D51,0,$C51)+IF($C51&lt;&gt;1,1,COUNTIF(QCI!$A$13:$A$24,ORÇAMENTO!E51)),OFFSET($D51,1,$C51,ROW($C$131)-ROW($C51)),0))</f>
        <v>2</v>
      </c>
      <c r="L51" s="116" t="str">
        <f t="shared" ca="1" si="97"/>
        <v>F</v>
      </c>
      <c r="M51" s="117" t="s">
        <v>196</v>
      </c>
      <c r="N51" s="118" t="str">
        <f t="shared" ca="1" si="98"/>
        <v>Nível 4</v>
      </c>
      <c r="O51" s="119" t="str">
        <f t="shared" ca="1" si="99"/>
        <v>1.5.3.2.</v>
      </c>
      <c r="P51" s="120" t="s">
        <v>939</v>
      </c>
      <c r="Q51" s="121"/>
      <c r="R51" s="122" t="s">
        <v>1065</v>
      </c>
      <c r="S51" s="123" t="str">
        <f ca="1">REFERENCIA.Unidade</f>
        <v>-</v>
      </c>
      <c r="T51" s="124">
        <f ca="1">OFFSET(CÁLCULO!H$15,ROW($T51)-ROW(T$15),0)</f>
        <v>0</v>
      </c>
      <c r="U51" s="125">
        <f t="shared" ca="1" si="17"/>
        <v>0</v>
      </c>
      <c r="V51" s="126" t="s">
        <v>155</v>
      </c>
      <c r="W51" s="124">
        <f ca="1">IF($C51="S",ROUND(IF(TIPOORCAMENTO="Proposto",ORÇAMENTO.CustoUnitario*(1+$AH51),ORÇAMENTO.PrecoUnitarioLicitado),15-13*$AF$10),0)</f>
        <v>0</v>
      </c>
      <c r="X51" s="127">
        <f ca="1">IF($C51="S",IF(OR(Import.TipoArredondamento&lt;&gt;"TransfereGOV",ACOMPANHAMENTO="BM"),VTOTAL1,SUM(OFFSET(CÁLCULO!$AI$15,ROW($X51)-ROW($X$15),1):OFFSET(CÁLCULO!$BB$15,ROW($X51)-ROW($X$15),-1))),IF($C51=0,0,ROUND(SomaAgrup,15-13*$AF$11)))</f>
        <v>653268.12</v>
      </c>
      <c r="Y51" s="128" t="s">
        <v>243</v>
      </c>
      <c r="Z51" t="str">
        <f t="shared" ca="1" si="100"/>
        <v/>
      </c>
      <c r="AA51" s="129">
        <f ca="1">IF($C51="S",IF($Z51="CP",$X51,IF($Z51="RA",(($X51)*QCI!$AA$3),0)),SomaAgrup)</f>
        <v>653268.12</v>
      </c>
      <c r="AB51" s="130">
        <f t="shared" ca="1" si="76"/>
        <v>0</v>
      </c>
      <c r="AC51" s="619" t="str">
        <f ca="1">IF($N51=""," ",
IF(AND($C51&lt;&gt;"S",OR($R51="",$R51="(digite a descrição aqui)")),"DESCRIÇÃO",
IF(AND($C51="S",OR($Q51&lt;&gt;0,$T51&gt;0,$U51&gt;0),$P51=0),"FONTE",
IF(AND($C51="S",$P51&lt;&gt;0,OR($T51&gt;0,$U51&gt;0),$Q51=0),"CÓDIGO",
IF(AND($C51="S",$P51&lt;&gt;0,$Q51&lt;&gt;0,$R51="(Código não identificado nas referências)"),"CÓDIGO N/ID",
IF(AND($C51="S",OR($R51="",$R51="(digite a descrição aqui)"),OR($Q51&lt;&gt;0,$T51&gt;0,$U51&gt;0)),"DESCRIÇÃO",
IF(AND($C51="S",$P51&lt;&gt;0,$Q51&lt;&gt;0,$S51=""),"UNIDADE",
IF(AND($C51="S",$P51&lt;&gt;0,$Q51&lt;&gt;0,$U51=0),"SEM CUSTO",
IF(AND(TIPOORCAMENTO="Licitado",$AL51=0,$AN51&gt;0),"SEM PREÇO",
IF(AND($C51="S",$P51&lt;&gt;0,$Q51&lt;&gt;0,$U51&gt;0,$V51=0),"BDI",
IF(OR(AND(TIPOORCAMENTO="Proposto",$AG51&lt;&gt;"",$AG51&gt;0,ORÇAMENTO.CustoUnitario&gt;$AG51),AND(TIPOORCAMENTO="LICITADO",ORÇAMENTO.PrecoUnitarioLicitado&gt;$AN51)),"ACIMA REF.",
IF(AND($C51="S",$P51&lt;&gt;0,$Q51&lt;&gt;0,$T51=0,$U51&gt;0),"QUANT.",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b">
        <f ca="1">IF(AND($C51="S",ORÇAMENTO.CodBarra&lt;&gt;""),IF(ORÇAMENTO.Fonte="",ORÇAMENTO.CodBarra,CONCATENATE(ORÇAMENTO.Fonte," ",ORÇAMENTO.CodBarra)))</f>
        <v>0</v>
      </c>
      <c r="AF51" s="13" t="str">
        <f ca="1">IF(ISERROR(INDIRECT(ORÇAMENTO.BancoRef)),"(abra o arquivo 'Referência "&amp;Excel_BuiltIn_Database&amp;".xlsm)",IF(OR($C51&lt;&gt;"S",ORÇAMENTO.CodBarra=""),"(Sem Código)",IF(ISERROR(MATCH($AE51,INDIRECT(ORÇAMENTO.BancoRef),0)),"(Código não identificado nas referências)",MATCH($AE51,INDIRECT(ORÇAMENTO.BancoRef),0))))</f>
        <v>(Sem Código)</v>
      </c>
      <c r="AG51" s="453">
        <f ca="1">ROUND(IF(DESONERACAO="sim",REFERENCIA.Desonerado,REFERENCIA.NaoDesonerado),2)</f>
        <v>0</v>
      </c>
      <c r="AH51" s="454">
        <f t="shared" ca="1" si="77"/>
        <v>0.24199999999999999</v>
      </c>
      <c r="AJ51" s="456"/>
      <c r="AL51" s="471"/>
      <c r="AM51" s="348">
        <f t="shared" ca="1" si="18"/>
        <v>653268.12</v>
      </c>
      <c r="AN51" s="504">
        <f t="shared" ca="1" si="78"/>
        <v>0</v>
      </c>
    </row>
    <row r="52" spans="1:40" ht="51" x14ac:dyDescent="0.2">
      <c r="A52" t="str">
        <f>CHOOSE(1+LOG(1+2*(ORÇAMENTO.Nivel="Meta")+4*(ORÇAMENTO.Nivel="Nível 2")+8*(ORÇAMENTO.Nivel="Nível 3")+16*(ORÇAMENTO.Nivel="Nível 4")+32*(ORÇAMENTO.Nivel="Serviço"),2),0,1,2,3,4,"S")</f>
        <v>S</v>
      </c>
      <c r="B52">
        <f ca="1">IF(OR(C52="s",C52=0),OFFSET(B52,-1,0),C52)</f>
        <v>4</v>
      </c>
      <c r="C52" t="str">
        <f ca="1">IF(OFFSET(C52,-1,0)="L",1,IF(OFFSET(C52,-1,0)=1,2,IF(OR(A52="s",A52=0),"S",IF(AND(OFFSET(C52,-1,0)=2,A52=4),3,IF(AND(OR(OFFSET(C52,-1,0)="s",OFFSET(C52,-1,0)=0),A52&lt;&gt;"s",A52&gt;OFFSET(B52,-1,0)),OFFSET(B52,-1,0),A52)))))</f>
        <v>S</v>
      </c>
      <c r="D52">
        <f ca="1">IF(OR(C52="S",C52=0),0,IF(ISERROR(K52),J52,SMALL(J52:K52,1)))</f>
        <v>0</v>
      </c>
      <c r="E52">
        <f ca="1">IF($C52=1,OFFSET(E52,-1,0)+MAX(1,COUNTIF(QCI!$A$13:$A$24,OFFSET(ORÇAMENTO!E52,-1,0))),OFFSET(E52,-1,0))</f>
        <v>1</v>
      </c>
      <c r="F52">
        <f ca="1">IF($C52=1,0,IF($C52=2,OFFSET(F52,-1,0)+1,OFFSET(F52,-1,0)))</f>
        <v>5</v>
      </c>
      <c r="G52">
        <f ca="1">IF(AND($C52&lt;=2,$C52&lt;&gt;0),0,IF($C52=3,OFFSET(G52,-1,0)+1,OFFSET(G52,-1,0)))</f>
        <v>3</v>
      </c>
      <c r="H52">
        <f ca="1">IF(AND($C52&lt;=3,$C52&lt;&gt;0),0,IF($C52=4,OFFSET(H52,-1,0)+1,OFFSET(H52,-1,0)))</f>
        <v>2</v>
      </c>
      <c r="I52">
        <f ca="1">IF(AND($C52&lt;=4,$C52&lt;&gt;0),0,IF(AND($C52="S",$X52&gt;0),OFFSET(I52,-1,0)+1,OFFSET(I52,-1,0)))</f>
        <v>1</v>
      </c>
      <c r="J52">
        <f t="shared" ca="1" si="101"/>
        <v>0</v>
      </c>
      <c r="K52">
        <f ca="1">IF(OR($C52="S",$C52=0),0,MATCH(OFFSET($D52,0,$C52)+IF($C52&lt;&gt;1,1,COUNTIF(QCI!$A$13:$A$24,ORÇAMENTO!E52)),OFFSET($D52,1,$C52,ROW($C$131)-ROW($C52)),0))</f>
        <v>0</v>
      </c>
      <c r="L52" s="116" t="str">
        <f ca="1">IF(OR($X52&gt;0,$C52=1,$C52=2,$C52=3,$C52=4),"F","")</f>
        <v>F</v>
      </c>
      <c r="M52" s="117" t="s">
        <v>197</v>
      </c>
      <c r="N52" s="118" t="str">
        <f ca="1">CHOOSE(1+LOG(1+2*(C52=1)+4*(C52=2)+8*(C52=3)+16*(C52=4)+32*(C52="S"),2),"","Meta","Nível 2","Nível 3","Nível 4","Serviço")</f>
        <v>Serviço</v>
      </c>
      <c r="O52" s="119" t="str">
        <f ca="1">IF(OR($C52=0,$L52=""),"-",CONCATENATE(E52&amp;".",IF(AND($A$5&gt;=2,$C52&gt;=2),F52&amp;".",""),IF(AND($A$5&gt;=3,$C52&gt;=3),G52&amp;".",""),IF(AND($A$5&gt;=4,$C52&gt;=4),H52&amp;".",""),IF($C52="S",I52&amp;".","")))</f>
        <v>1.5.3.2.1.</v>
      </c>
      <c r="P52" s="120" t="s">
        <v>939</v>
      </c>
      <c r="Q52" s="121" t="s">
        <v>1068</v>
      </c>
      <c r="R52" s="122" t="str">
        <f ca="1">IF($C52="S",REFERENCIA.Descricao,"(digite a descrição aqui)")</f>
        <v>​COM-17140380​ ESTRUTURA TRELIÇADA DE COBERTURA, TIPO FINK, COM LIGAÇÕES SOLDADAS, INCLUSOS PERFIS METÁLICOS, CHAPAS METÁLICAS, MÃO DE OBRA E TRANSPORTE COM GUINDASTE - FORNECIMENTO E INSTALAÇÃO​ (KG)</v>
      </c>
      <c r="S52" s="123" t="str">
        <f ca="1">REFERENCIA.Unidade</f>
        <v>KG</v>
      </c>
      <c r="T52" s="124">
        <f ca="1">OFFSET(CÁLCULO!H$15,ROW($T52)-ROW(T$15),0)</f>
        <v>35658.74</v>
      </c>
      <c r="U52" s="125">
        <f t="shared" ca="1" si="17"/>
        <v>14.76</v>
      </c>
      <c r="V52" s="126" t="s">
        <v>189</v>
      </c>
      <c r="W52" s="124">
        <f ca="1">IF($C52="S",ROUND(IF(TIPOORCAMENTO="Proposto",ORÇAMENTO.CustoUnitario*(1+$AH52),ORÇAMENTO.PrecoUnitarioLicitado),15-13*$AF$10),0)</f>
        <v>18.32</v>
      </c>
      <c r="X52" s="127">
        <f ca="1">IF($C52="S",IF(OR(Import.TipoArredondamento&lt;&gt;"TransfereGOV",ACOMPANHAMENTO="BM"),VTOTAL1,SUM(OFFSET(CÁLCULO!$AI$15,ROW($X52)-ROW($X$15),1):OFFSET(CÁLCULO!$BB$15,ROW($X52)-ROW($X$15),-1))),IF($C52=0,0,ROUND(SomaAgrup,15-13*$AF$11)))</f>
        <v>653268.12</v>
      </c>
      <c r="Y52" s="128" t="s">
        <v>243</v>
      </c>
      <c r="Z52" t="str">
        <f ca="1">IF(AND($C52="S",$X52&gt;0),IF(ISBLANK($Y52),"RA",LEFT($Y52,2)),"")</f>
        <v>RA</v>
      </c>
      <c r="AA52" s="129">
        <f ca="1">IF($C52="S",IF($Z52="CP",$X52,IF($Z52="RA",(($X52)*QCI!$AA$3),0)),SomaAgrup)</f>
        <v>653268.12</v>
      </c>
      <c r="AB52" s="130">
        <f ca="1">IF($C52="S",IF($Z52="OU",ROUND($X52,2),0),SomaAgrup)</f>
        <v>0</v>
      </c>
      <c r="AC52" s="619" t="str">
        <f ca="1">IF($N52=""," ",
IF(AND($C52&lt;&gt;"S",OR($R52="",$R52="(digite a descrição aqui)")),"DESCRIÇÃO",
IF(AND($C52="S",OR($Q52&lt;&gt;0,$T52&gt;0,$U52&gt;0),$P52=0),"FONTE",
IF(AND($C52="S",$P52&lt;&gt;0,OR($T52&gt;0,$U52&gt;0),$Q52=0),"CÓDIGO",
IF(AND($C52="S",$P52&lt;&gt;0,$Q52&lt;&gt;0,$R52="(Código não identificado nas referências)"),"CÓDIGO N/ID",
IF(AND($C52="S",OR($R52="",$R52="(digite a descrição aqui)"),OR($Q52&lt;&gt;0,$T52&gt;0,$U52&gt;0)),"DESCRIÇÃO",
IF(AND($C52="S",$P52&lt;&gt;0,$Q52&lt;&gt;0,$S52=""),"UNIDADE",
IF(AND($C52="S",$P52&lt;&gt;0,$Q52&lt;&gt;0,$U52=0),"SEM CUSTO",
IF(AND(TIPOORCAMENTO="Licitado",$AL52=0,$AN52&gt;0),"SEM PREÇO",
IF(AND($C52="S",$P52&lt;&gt;0,$Q52&lt;&gt;0,$U52&gt;0,$V52=0),"BDI",
IF(OR(AND(TIPOORCAMENTO="Proposto",$AG52&lt;&gt;"",$AG52&gt;0,ORÇAMENTO.CustoUnitario&gt;$AG52),AND(TIPOORCAMENTO="LICITADO",ORÇAMENTO.PrecoUnitarioLicitado&gt;$AN52)),"ACIMA REF.",
IF(AND($C52="S",$P52&lt;&gt;0,$Q52&lt;&gt;0,$T52=0,$U52&gt;0),"QUANT.",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f ca="1">IF(AND($C52="S",ORÇAMENTO.CodBarra&lt;&gt;""),IF(ORÇAMENTO.Fonte="",ORÇAMENTO.CodBarra,CONCATENATE(ORÇAMENTO.Fonte," ",ORÇAMENTO.CodBarra)))</f>
        <v>Composição AZ ENG. 02</v>
      </c>
      <c r="AF52" s="13">
        <f ca="1">IF(ISERROR(INDIRECT(ORÇAMENTO.BancoRef)),"(abra o arquivo 'Referência "&amp;Excel_BuiltIn_Database&amp;".xlsm)",IF(OR($C52&lt;&gt;"S",ORÇAMENTO.CodBarra=""),"(Sem Código)",IF(ISERROR(MATCH($AE52,INDIRECT(ORÇAMENTO.BancoRef),0)),"(Código não identificado nas referências)",MATCH($AE52,INDIRECT(ORÇAMENTO.BancoRef),0))))</f>
        <v>88</v>
      </c>
      <c r="AG52" s="453">
        <f ca="1">ROUND(IF(DESONERACAO="sim",REFERENCIA.Desonerado,REFERENCIA.NaoDesonerado),2)</f>
        <v>14.76</v>
      </c>
      <c r="AH52" s="454">
        <f ca="1">ROUND(IF(ISNUMBER(ORÇAMENTO.OpcaoBDI),ORÇAMENTO.OpcaoBDI,IF(LEFT(ORÇAMENTO.OpcaoBDI,3)="BDI",HLOOKUP(ORÇAMENTO.OpcaoBDI,$F$4:$H$5,2,FALSE),0)),15-11*$AF$9)</f>
        <v>0.2412</v>
      </c>
      <c r="AJ52" s="456"/>
      <c r="AL52" s="471"/>
      <c r="AM52" s="348">
        <f t="shared" ca="1" si="18"/>
        <v>653268.12</v>
      </c>
      <c r="AN52" s="504">
        <f ca="1">ROUND(ORÇAMENTO.CustoUnitario*(1+$AH52),2)</f>
        <v>18.32</v>
      </c>
    </row>
    <row r="53" spans="1:40" x14ac:dyDescent="0.2">
      <c r="A53">
        <f t="shared" si="75"/>
        <v>4</v>
      </c>
      <c r="B53">
        <f t="shared" ca="1" si="90"/>
        <v>4</v>
      </c>
      <c r="C53">
        <f t="shared" ca="1" si="91"/>
        <v>4</v>
      </c>
      <c r="D53">
        <f t="shared" ca="1" si="92"/>
        <v>2</v>
      </c>
      <c r="E53">
        <f ca="1">IF($C53=1,OFFSET(E53,-1,0)+MAX(1,COUNTIF(QCI!$A$13:$A$24,OFFSET(ORÇAMENTO!E53,-1,0))),OFFSET(E53,-1,0))</f>
        <v>1</v>
      </c>
      <c r="F53">
        <f t="shared" ca="1" si="93"/>
        <v>5</v>
      </c>
      <c r="G53">
        <f t="shared" ca="1" si="94"/>
        <v>3</v>
      </c>
      <c r="H53">
        <f t="shared" ca="1" si="95"/>
        <v>3</v>
      </c>
      <c r="I53">
        <f t="shared" ca="1" si="96"/>
        <v>0</v>
      </c>
      <c r="J53">
        <f t="shared" ca="1" si="101"/>
        <v>2</v>
      </c>
      <c r="K53" t="e">
        <f ca="1">IF(OR($C53="S",$C53=0),0,MATCH(OFFSET($D53,0,$C53)+IF($C53&lt;&gt;1,1,COUNTIF(QCI!$A$13:$A$24,ORÇAMENTO!E53)),OFFSET($D53,1,$C53,ROW($C$131)-ROW($C53)),0))</f>
        <v>#N/A</v>
      </c>
      <c r="L53" s="116" t="str">
        <f t="shared" ca="1" si="97"/>
        <v>F</v>
      </c>
      <c r="M53" s="117" t="s">
        <v>196</v>
      </c>
      <c r="N53" s="118" t="str">
        <f t="shared" ca="1" si="98"/>
        <v>Nível 4</v>
      </c>
      <c r="O53" s="119" t="str">
        <f t="shared" ca="1" si="99"/>
        <v>1.5.3.3.</v>
      </c>
      <c r="P53" s="120" t="s">
        <v>939</v>
      </c>
      <c r="Q53" s="121"/>
      <c r="R53" s="122" t="s">
        <v>1066</v>
      </c>
      <c r="S53" s="123" t="str">
        <f ca="1">REFERENCIA.Unidade</f>
        <v>-</v>
      </c>
      <c r="T53" s="124">
        <f ca="1">OFFSET(CÁLCULO!H$15,ROW($T53)-ROW(T$15),0)</f>
        <v>0</v>
      </c>
      <c r="U53" s="125">
        <f t="shared" ca="1" si="17"/>
        <v>0</v>
      </c>
      <c r="V53" s="126" t="s">
        <v>155</v>
      </c>
      <c r="W53" s="124">
        <f ca="1">IF($C53="S",ROUND(IF(TIPOORCAMENTO="Proposto",ORÇAMENTO.CustoUnitario*(1+$AH53),ORÇAMENTO.PrecoUnitarioLicitado),15-13*$AF$10),0)</f>
        <v>0</v>
      </c>
      <c r="X53" s="127">
        <f ca="1">IF($C53="S",IF(OR(Import.TipoArredondamento&lt;&gt;"TransfereGOV",ACOMPANHAMENTO="BM"),VTOTAL1,SUM(OFFSET(CÁLCULO!$AI$15,ROW($X53)-ROW($X$15),1):OFFSET(CÁLCULO!$BB$15,ROW($X53)-ROW($X$15),-1))),IF($C53=0,0,ROUND(SomaAgrup,15-13*$AF$11)))</f>
        <v>206339.79</v>
      </c>
      <c r="Y53" s="128" t="s">
        <v>243</v>
      </c>
      <c r="Z53" t="str">
        <f t="shared" ca="1" si="100"/>
        <v/>
      </c>
      <c r="AA53" s="129">
        <f ca="1">IF($C53="S",IF($Z53="CP",$X53,IF($Z53="RA",(($X53)*QCI!$AA$3),0)),SomaAgrup)</f>
        <v>206339.79</v>
      </c>
      <c r="AB53" s="130">
        <f t="shared" ca="1" si="76"/>
        <v>0</v>
      </c>
      <c r="AC53" s="619" t="str">
        <f ca="1">IF($N53=""," ",
IF(AND($C53&lt;&gt;"S",OR($R53="",$R53="(digite a descrição aqui)")),"DESCRIÇÃO",
IF(AND($C53="S",OR($Q53&lt;&gt;0,$T53&gt;0,$U53&gt;0),$P53=0),"FONTE",
IF(AND($C53="S",$P53&lt;&gt;0,OR($T53&gt;0,$U53&gt;0),$Q53=0),"CÓDIGO",
IF(AND($C53="S",$P53&lt;&gt;0,$Q53&lt;&gt;0,$R53="(Código não identificado nas referências)"),"CÓDIGO N/ID",
IF(AND($C53="S",OR($R53="",$R53="(digite a descrição aqui)"),OR($Q53&lt;&gt;0,$T53&gt;0,$U53&gt;0)),"DESCRIÇÃO",
IF(AND($C53="S",$P53&lt;&gt;0,$Q53&lt;&gt;0,$S53=""),"UNIDADE",
IF(AND($C53="S",$P53&lt;&gt;0,$Q53&lt;&gt;0,$U53=0),"SEM CUSTO",
IF(AND(TIPOORCAMENTO="Licitado",$AL53=0,$AN53&gt;0),"SEM PREÇO",
IF(AND($C53="S",$P53&lt;&gt;0,$Q53&lt;&gt;0,$U53&gt;0,$V53=0),"BDI",
IF(OR(AND(TIPOORCAMENTO="Proposto",$AG53&lt;&gt;"",$AG53&gt;0,ORÇAMENTO.CustoUnitario&gt;$AG53),AND(TIPOORCAMENTO="LICITADO",ORÇAMENTO.PrecoUnitarioLicitado&gt;$AN53)),"ACIMA REF.",
IF(AND($C53="S",$P53&lt;&gt;0,$Q53&lt;&gt;0,$T53=0,$U53&gt;0),"QUANT.",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b">
        <f ca="1">IF(AND($C53="S",ORÇAMENTO.CodBarra&lt;&gt;""),IF(ORÇAMENTO.Fonte="",ORÇAMENTO.CodBarra,CONCATENATE(ORÇAMENTO.Fonte," ",ORÇAMENTO.CodBarra)))</f>
        <v>0</v>
      </c>
      <c r="AF53" s="13" t="str">
        <f ca="1">IF(ISERROR(INDIRECT(ORÇAMENTO.BancoRef)),"(abra o arquivo 'Referência "&amp;Excel_BuiltIn_Database&amp;".xlsm)",IF(OR($C53&lt;&gt;"S",ORÇAMENTO.CodBarra=""),"(Sem Código)",IF(ISERROR(MATCH($AE53,INDIRECT(ORÇAMENTO.BancoRef),0)),"(Código não identificado nas referências)",MATCH($AE53,INDIRECT(ORÇAMENTO.BancoRef),0))))</f>
        <v>(Sem Código)</v>
      </c>
      <c r="AG53" s="453">
        <f ca="1">ROUND(IF(DESONERACAO="sim",REFERENCIA.Desonerado,REFERENCIA.NaoDesonerado),2)</f>
        <v>0</v>
      </c>
      <c r="AH53" s="454">
        <f t="shared" ca="1" si="77"/>
        <v>0.24199999999999999</v>
      </c>
      <c r="AJ53" s="456"/>
      <c r="AL53" s="471"/>
      <c r="AM53" s="348">
        <f t="shared" ca="1" si="18"/>
        <v>206339.79</v>
      </c>
      <c r="AN53" s="504">
        <f t="shared" ca="1" si="78"/>
        <v>0</v>
      </c>
    </row>
    <row r="54" spans="1:40" ht="38.25" x14ac:dyDescent="0.2">
      <c r="A54" t="str">
        <f>CHOOSE(1+LOG(1+2*(ORÇAMENTO.Nivel="Meta")+4*(ORÇAMENTO.Nivel="Nível 2")+8*(ORÇAMENTO.Nivel="Nível 3")+16*(ORÇAMENTO.Nivel="Nível 4")+32*(ORÇAMENTO.Nivel="Serviço"),2),0,1,2,3,4,"S")</f>
        <v>S</v>
      </c>
      <c r="B54">
        <f ca="1">IF(OR(C54="s",C54=0),OFFSET(B54,-1,0),C54)</f>
        <v>4</v>
      </c>
      <c r="C54" t="str">
        <f ca="1">IF(OFFSET(C54,-1,0)="L",1,IF(OFFSET(C54,-1,0)=1,2,IF(OR(A54="s",A54=0),"S",IF(AND(OFFSET(C54,-1,0)=2,A54=4),3,IF(AND(OR(OFFSET(C54,-1,0)="s",OFFSET(C54,-1,0)=0),A54&lt;&gt;"s",A54&gt;OFFSET(B54,-1,0)),OFFSET(B54,-1,0),A54)))))</f>
        <v>S</v>
      </c>
      <c r="D54">
        <f ca="1">IF(OR(C54="S",C54=0),0,IF(ISERROR(K54),J54,SMALL(J54:K54,1)))</f>
        <v>0</v>
      </c>
      <c r="E54">
        <f ca="1">IF($C54=1,OFFSET(E54,-1,0)+MAX(1,COUNTIF(QCI!$A$13:$A$24,OFFSET(ORÇAMENTO!E54,-1,0))),OFFSET(E54,-1,0))</f>
        <v>1</v>
      </c>
      <c r="F54">
        <f ca="1">IF($C54=1,0,IF($C54=2,OFFSET(F54,-1,0)+1,OFFSET(F54,-1,0)))</f>
        <v>5</v>
      </c>
      <c r="G54">
        <f ca="1">IF(AND($C54&lt;=2,$C54&lt;&gt;0),0,IF($C54=3,OFFSET(G54,-1,0)+1,OFFSET(G54,-1,0)))</f>
        <v>3</v>
      </c>
      <c r="H54">
        <f ca="1">IF(AND($C54&lt;=3,$C54&lt;&gt;0),0,IF($C54=4,OFFSET(H54,-1,0)+1,OFFSET(H54,-1,0)))</f>
        <v>3</v>
      </c>
      <c r="I54">
        <f ca="1">IF(AND($C54&lt;=4,$C54&lt;&gt;0),0,IF(AND($C54="S",$X54&gt;0),OFFSET(I54,-1,0)+1,OFFSET(I54,-1,0)))</f>
        <v>1</v>
      </c>
      <c r="J54">
        <f t="shared" ca="1" si="101"/>
        <v>0</v>
      </c>
      <c r="K54">
        <f ca="1">IF(OR($C54="S",$C54=0),0,MATCH(OFFSET($D54,0,$C54)+IF($C54&lt;&gt;1,1,COUNTIF(QCI!$A$13:$A$24,ORÇAMENTO!E54)),OFFSET($D54,1,$C54,ROW($C$131)-ROW($C54)),0))</f>
        <v>0</v>
      </c>
      <c r="L54" s="116" t="str">
        <f ca="1">IF(OR($X54&gt;0,$C54=1,$C54=2,$C54=3,$C54=4),"F","")</f>
        <v>F</v>
      </c>
      <c r="M54" s="117" t="s">
        <v>197</v>
      </c>
      <c r="N54" s="118" t="str">
        <f ca="1">CHOOSE(1+LOG(1+2*(C54=1)+4*(C54=2)+8*(C54=3)+16*(C54=4)+32*(C54="S"),2),"","Meta","Nível 2","Nível 3","Nível 4","Serviço")</f>
        <v>Serviço</v>
      </c>
      <c r="O54" s="119" t="str">
        <f ca="1">IF(OR($C54=0,$L54=""),"-",CONCATENATE(E54&amp;".",IF(AND($A$5&gt;=2,$C54&gt;=2),F54&amp;".",""),IF(AND($A$5&gt;=3,$C54&gt;=3),G54&amp;".",""),IF(AND($A$5&gt;=4,$C54&gt;=4),H54&amp;".",""),IF($C54="S",I54&amp;".","")))</f>
        <v>1.5.3.3.1.</v>
      </c>
      <c r="P54" s="120" t="s">
        <v>939</v>
      </c>
      <c r="Q54" s="121" t="s">
        <v>1069</v>
      </c>
      <c r="R54" s="122" t="str">
        <f ca="1">IF($C54="S",REFERENCIA.Descricao,"(digite a descrição aqui)")</f>
        <v>​COM-68564105​ ESTRUTURA METÁLICA PARA MARQUIZE, EXECUTADA COM TUBOS DE AÇO QUADRADO 150X150X3,00MM - FORNECIMENTO E INSTALAÇÃO​ (M)</v>
      </c>
      <c r="S54" s="123" t="str">
        <f ca="1">REFERENCIA.Unidade</f>
        <v>M</v>
      </c>
      <c r="T54" s="124">
        <f ca="1">OFFSET(CÁLCULO!H$15,ROW($T54)-ROW(T$15),0)</f>
        <v>861.58</v>
      </c>
      <c r="U54" s="125">
        <f t="shared" ca="1" si="17"/>
        <v>192.95</v>
      </c>
      <c r="V54" s="126" t="s">
        <v>189</v>
      </c>
      <c r="W54" s="124">
        <f ca="1">IF($C54="S",ROUND(IF(TIPOORCAMENTO="Proposto",ORÇAMENTO.CustoUnitario*(1+$AH54),ORÇAMENTO.PrecoUnitarioLicitado),15-13*$AF$10),0)</f>
        <v>239.49</v>
      </c>
      <c r="X54" s="127">
        <f ca="1">IF($C54="S",IF(OR(Import.TipoArredondamento&lt;&gt;"TransfereGOV",ACOMPANHAMENTO="BM"),VTOTAL1,SUM(OFFSET(CÁLCULO!$AI$15,ROW($X54)-ROW($X$15),1):OFFSET(CÁLCULO!$BB$15,ROW($X54)-ROW($X$15),-1))),IF($C54=0,0,ROUND(SomaAgrup,15-13*$AF$11)))</f>
        <v>206339.79</v>
      </c>
      <c r="Y54" s="128" t="s">
        <v>243</v>
      </c>
      <c r="Z54" t="str">
        <f ca="1">IF(AND($C54="S",$X54&gt;0),IF(ISBLANK($Y54),"RA",LEFT($Y54,2)),"")</f>
        <v>RA</v>
      </c>
      <c r="AA54" s="129">
        <f ca="1">IF($C54="S",IF($Z54="CP",$X54,IF($Z54="RA",(($X54)*QCI!$AA$3),0)),SomaAgrup)</f>
        <v>206339.79</v>
      </c>
      <c r="AB54" s="130">
        <f ca="1">IF($C54="S",IF($Z54="OU",ROUND($X54,2),0),SomaAgrup)</f>
        <v>0</v>
      </c>
      <c r="AC54" s="619" t="str">
        <f ca="1">IF($N54=""," ",
IF(AND($C54&lt;&gt;"S",OR($R54="",$R54="(digite a descrição aqui)")),"DESCRIÇÃO",
IF(AND($C54="S",OR($Q54&lt;&gt;0,$T54&gt;0,$U54&gt;0),$P54=0),"FONTE",
IF(AND($C54="S",$P54&lt;&gt;0,OR($T54&gt;0,$U54&gt;0),$Q54=0),"CÓDIGO",
IF(AND($C54="S",$P54&lt;&gt;0,$Q54&lt;&gt;0,$R54="(Código não identificado nas referências)"),"CÓDIGO N/ID",
IF(AND($C54="S",OR($R54="",$R54="(digite a descrição aqui)"),OR($Q54&lt;&gt;0,$T54&gt;0,$U54&gt;0)),"DESCRIÇÃO",
IF(AND($C54="S",$P54&lt;&gt;0,$Q54&lt;&gt;0,$S54=""),"UNIDADE",
IF(AND($C54="S",$P54&lt;&gt;0,$Q54&lt;&gt;0,$U54=0),"SEM CUSTO",
IF(AND(TIPOORCAMENTO="Licitado",$AL54=0,$AN54&gt;0),"SEM PREÇO",
IF(AND($C54="S",$P54&lt;&gt;0,$Q54&lt;&gt;0,$U54&gt;0,$V54=0),"BDI",
IF(OR(AND(TIPOORCAMENTO="Proposto",$AG54&lt;&gt;"",$AG54&gt;0,ORÇAMENTO.CustoUnitario&gt;$AG54),AND(TIPOORCAMENTO="LICITADO",ORÇAMENTO.PrecoUnitarioLicitado&gt;$AN54)),"ACIMA REF.",
IF(AND($C54="S",$P54&lt;&gt;0,$Q54&lt;&gt;0,$T54=0,$U54&gt;0),"QUANT.",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ca="1">IF(AND($C54="S",ORÇAMENTO.CodBarra&lt;&gt;""),IF(ORÇAMENTO.Fonte="",ORÇAMENTO.CodBarra,CONCATENATE(ORÇAMENTO.Fonte," ",ORÇAMENTO.CodBarra)))</f>
        <v>Composição AZ ENG. 03</v>
      </c>
      <c r="AF54" s="13">
        <f ca="1">IF(ISERROR(INDIRECT(ORÇAMENTO.BancoRef)),"(abra o arquivo 'Referência "&amp;Excel_BuiltIn_Database&amp;".xlsm)",IF(OR($C54&lt;&gt;"S",ORÇAMENTO.CodBarra=""),"(Sem Código)",IF(ISERROR(MATCH($AE54,INDIRECT(ORÇAMENTO.BancoRef),0)),"(Código não identificado nas referências)",MATCH($AE54,INDIRECT(ORÇAMENTO.BancoRef),0))))</f>
        <v>89</v>
      </c>
      <c r="AG54" s="453">
        <f ca="1">ROUND(IF(DESONERACAO="sim",REFERENCIA.Desonerado,REFERENCIA.NaoDesonerado),2)</f>
        <v>192.95</v>
      </c>
      <c r="AH54" s="454">
        <f ca="1">ROUND(IF(ISNUMBER(ORÇAMENTO.OpcaoBDI),ORÇAMENTO.OpcaoBDI,IF(LEFT(ORÇAMENTO.OpcaoBDI,3)="BDI",HLOOKUP(ORÇAMENTO.OpcaoBDI,$F$4:$H$5,2,FALSE),0)),15-11*$AF$9)</f>
        <v>0.2412</v>
      </c>
      <c r="AJ54" s="456"/>
      <c r="AL54" s="471"/>
      <c r="AM54" s="348">
        <f t="shared" ca="1" si="18"/>
        <v>206339.79</v>
      </c>
      <c r="AN54" s="504">
        <f ca="1">ROUND(ORÇAMENTO.CustoUnitario*(1+$AH54),2)</f>
        <v>239.49</v>
      </c>
    </row>
    <row r="55" spans="1:40" x14ac:dyDescent="0.2">
      <c r="A55">
        <f t="shared" ref="A55:A66" si="102">CHOOSE(1+LOG(1+2*(ORÇAMENTO.Nivel="Meta")+4*(ORÇAMENTO.Nivel="Nível 2")+8*(ORÇAMENTO.Nivel="Nível 3")+16*(ORÇAMENTO.Nivel="Nível 4")+32*(ORÇAMENTO.Nivel="Serviço"),2),0,1,2,3,4,"S")</f>
        <v>2</v>
      </c>
      <c r="B55">
        <f t="shared" ref="B55:B66" ca="1" si="103">IF(OR(C55="s",C55=0),OFFSET(B55,-1,0),C55)</f>
        <v>2</v>
      </c>
      <c r="C55">
        <f t="shared" ref="C55:C66" ca="1" si="104">IF(OFFSET(C55,-1,0)="L",1,IF(OFFSET(C55,-1,0)=1,2,IF(OR(A55="s",A55=0),"S",IF(AND(OFFSET(C55,-1,0)=2,A55=4),3,IF(AND(OR(OFFSET(C55,-1,0)="s",OFFSET(C55,-1,0)=0),A55&lt;&gt;"s",A55&gt;OFFSET(B55,-1,0)),OFFSET(B55,-1,0),A55)))))</f>
        <v>2</v>
      </c>
      <c r="D55">
        <f t="shared" ref="D55:D66" ca="1" si="105">IF(OR(C55="S",C55=0),0,IF(ISERROR(K55),J55,SMALL(J55:K55,1)))</f>
        <v>8</v>
      </c>
      <c r="E55">
        <f ca="1">IF($C55=1,OFFSET(E55,-1,0)+MAX(1,COUNTIF(QCI!$A$13:$A$24,OFFSET(ORÇAMENTO!E55,-1,0))),OFFSET(E55,-1,0))</f>
        <v>1</v>
      </c>
      <c r="F55">
        <f t="shared" ref="F55:F66" ca="1" si="106">IF($C55=1,0,IF($C55=2,OFFSET(F55,-1,0)+1,OFFSET(F55,-1,0)))</f>
        <v>6</v>
      </c>
      <c r="G55">
        <f t="shared" ref="G55:G66" ca="1" si="107">IF(AND($C55&lt;=2,$C55&lt;&gt;0),0,IF($C55=3,OFFSET(G55,-1,0)+1,OFFSET(G55,-1,0)))</f>
        <v>0</v>
      </c>
      <c r="H55">
        <f t="shared" ref="H55:H66" ca="1" si="108">IF(AND($C55&lt;=3,$C55&lt;&gt;0),0,IF($C55=4,OFFSET(H55,-1,0)+1,OFFSET(H55,-1,0)))</f>
        <v>0</v>
      </c>
      <c r="I55">
        <f t="shared" ref="I55:I66" ca="1" si="109">IF(AND($C55&lt;=4,$C55&lt;&gt;0),0,IF(AND($C55="S",$X55&gt;0),OFFSET(I55,-1,0)+1,OFFSET(I55,-1,0)))</f>
        <v>0</v>
      </c>
      <c r="J55">
        <f t="shared" ca="1" si="101"/>
        <v>76</v>
      </c>
      <c r="K55">
        <f ca="1">IF(OR($C55="S",$C55=0),0,MATCH(OFFSET($D55,0,$C55)+IF($C55&lt;&gt;1,1,COUNTIF(QCI!$A$13:$A$24,ORÇAMENTO!E55)),OFFSET($D55,1,$C55,ROW($C$131)-ROW($C55)),0))</f>
        <v>8</v>
      </c>
      <c r="L55" s="116" t="str">
        <f t="shared" ref="L55:L66" ca="1" si="110">IF(OR($X55&gt;0,$C55=1,$C55=2,$C55=3,$C55=4),"F","")</f>
        <v>F</v>
      </c>
      <c r="M55" s="117" t="s">
        <v>194</v>
      </c>
      <c r="N55" s="118" t="str">
        <f t="shared" ref="N55:N66" ca="1" si="111">CHOOSE(1+LOG(1+2*(C55=1)+4*(C55=2)+8*(C55=3)+16*(C55=4)+32*(C55="S"),2),"","Meta","Nível 2","Nível 3","Nível 4","Serviço")</f>
        <v>Nível 2</v>
      </c>
      <c r="O55" s="119" t="str">
        <f t="shared" ref="O55:O66" ca="1" si="112">IF(OR($C55=0,$L55=""),"-",CONCATENATE(E55&amp;".",IF(AND($A$5&gt;=2,$C55&gt;=2),F55&amp;".",""),IF(AND($A$5&gt;=3,$C55&gt;=3),G55&amp;".",""),IF(AND($A$5&gt;=4,$C55&gt;=4),H55&amp;".",""),IF($C55="S",I55&amp;".","")))</f>
        <v>1.6.</v>
      </c>
      <c r="P55" s="120"/>
      <c r="Q55" s="121"/>
      <c r="R55" s="122" t="s">
        <v>960</v>
      </c>
      <c r="S55" s="123" t="str">
        <f ca="1">REFERENCIA.Unidade</f>
        <v>-</v>
      </c>
      <c r="T55" s="124">
        <f ca="1">OFFSET(CÁLCULO!H$15,ROW($T55)-ROW(T$15),0)</f>
        <v>0</v>
      </c>
      <c r="U55" s="125">
        <f t="shared" ca="1" si="17"/>
        <v>0</v>
      </c>
      <c r="V55" s="126" t="s">
        <v>155</v>
      </c>
      <c r="W55" s="124">
        <f ca="1">IF($C55="S",ROUND(IF(TIPOORCAMENTO="Proposto",ORÇAMENTO.CustoUnitario*(1+$AH55),ORÇAMENTO.PrecoUnitarioLicitado),15-13*$AF$10),0)</f>
        <v>0</v>
      </c>
      <c r="X55" s="127">
        <f ca="1">IF($C55="S",IF(OR(Import.TipoArredondamento&lt;&gt;"TransfereGOV",ACOMPANHAMENTO="BM"),VTOTAL1,SUM(OFFSET(CÁLCULO!$AI$15,ROW($X55)-ROW($X$15),1):OFFSET(CÁLCULO!$BB$15,ROW($X55)-ROW($X$15),-1))),IF($C55=0,0,ROUND(SomaAgrup,15-13*$AF$11)))</f>
        <v>39517.21</v>
      </c>
      <c r="Y55" s="128" t="s">
        <v>243</v>
      </c>
      <c r="Z55" t="str">
        <f t="shared" ref="Z55:Z66" ca="1" si="113">IF(AND($C55="S",$X55&gt;0),IF(ISBLANK($Y55),"RA",LEFT($Y55,2)),"")</f>
        <v/>
      </c>
      <c r="AA55" s="129">
        <f ca="1">IF($C55="S",IF($Z55="CP",$X55,IF($Z55="RA",(($X55)*QCI!$AA$3),0)),SomaAgrup)</f>
        <v>39517.210000000006</v>
      </c>
      <c r="AB55" s="130">
        <f t="shared" ref="AB55:AB66" ca="1" si="114">IF($C55="S",IF($Z55="OU",ROUND($X55,2),0),SomaAgrup)</f>
        <v>0</v>
      </c>
      <c r="AC55" s="619" t="str">
        <f ca="1">IF($N55=""," ",
IF(AND($C55&lt;&gt;"S",OR($R55="",$R55="(digite a descrição aqui)")),"DESCRIÇÃO",
IF(AND($C55="S",OR($Q55&lt;&gt;0,$T55&gt;0,$U55&gt;0),$P55=0),"FONTE",
IF(AND($C55="S",$P55&lt;&gt;0,OR($T55&gt;0,$U55&gt;0),$Q55=0),"CÓDIGO",
IF(AND($C55="S",$P55&lt;&gt;0,$Q55&lt;&gt;0,$R55="(Código não identificado nas referências)"),"CÓDIGO N/ID",
IF(AND($C55="S",OR($R55="",$R55="(digite a descrição aqui)"),OR($Q55&lt;&gt;0,$T55&gt;0,$U55&gt;0)),"DESCRIÇÃO",
IF(AND($C55="S",$P55&lt;&gt;0,$Q55&lt;&gt;0,$S55=""),"UNIDADE",
IF(AND($C55="S",$P55&lt;&gt;0,$Q55&lt;&gt;0,$U55=0),"SEM CUSTO",
IF(AND(TIPOORCAMENTO="Licitado",$AL55=0,$AN55&gt;0),"SEM PREÇO",
IF(AND($C55="S",$P55&lt;&gt;0,$Q55&lt;&gt;0,$U55&gt;0,$V55=0),"BDI",
IF(OR(AND(TIPOORCAMENTO="Proposto",$AG55&lt;&gt;"",$AG55&gt;0,ORÇAMENTO.CustoUnitario&gt;$AG55),AND(TIPOORCAMENTO="LICITADO",ORÇAMENTO.PrecoUnitarioLicitado&gt;$AN55)),"ACIMA REF.",
IF(AND($C55="S",$P55&lt;&gt;0,$Q55&lt;&gt;0,$T55=0,$U55&gt;0),"QUANT.",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f ca="1">IF(C55&lt;=CRONO.NivelExibicao,MAX($AD$15:OFFSET(AD55,-1,0))+IF($C55&lt;&gt;1,1,MAX(1,COUNTIF(QCI!$A$13:$A$24,OFFSET($E55,-1,0)))),"")</f>
        <v>7</v>
      </c>
      <c r="AE55" s="7" t="b">
        <f ca="1">IF(AND($C55="S",ORÇAMENTO.CodBarra&lt;&gt;""),IF(ORÇAMENTO.Fonte="",ORÇAMENTO.CodBarra,CONCATENATE(ORÇAMENTO.Fonte," ",ORÇAMENTO.CodBarra)))</f>
        <v>0</v>
      </c>
      <c r="AF55" s="13" t="str">
        <f ca="1">IF(ISERROR(INDIRECT(ORÇAMENTO.BancoRef)),"(abra o arquivo 'Referência "&amp;Excel_BuiltIn_Database&amp;".xlsm)",IF(OR($C55&lt;&gt;"S",ORÇAMENTO.CodBarra=""),"(Sem Código)",IF(ISERROR(MATCH($AE55,INDIRECT(ORÇAMENTO.BancoRef),0)),"(Código não identificado nas referências)",MATCH($AE55,INDIRECT(ORÇAMENTO.BancoRef),0))))</f>
        <v>(Sem Código)</v>
      </c>
      <c r="AG55" s="453">
        <f ca="1">ROUND(IF(DESONERACAO="sim",REFERENCIA.Desonerado,REFERENCIA.NaoDesonerado),2)</f>
        <v>0</v>
      </c>
      <c r="AH55" s="454">
        <f t="shared" ref="AH55:AH66" ca="1" si="115">ROUND(IF(ISNUMBER(ORÇAMENTO.OpcaoBDI),ORÇAMENTO.OpcaoBDI,IF(LEFT(ORÇAMENTO.OpcaoBDI,3)="BDI",HLOOKUP(ORÇAMENTO.OpcaoBDI,$F$4:$H$5,2,FALSE),0)),15-11*$AF$9)</f>
        <v>0.24199999999999999</v>
      </c>
      <c r="AJ55" s="456"/>
      <c r="AL55" s="471"/>
      <c r="AM55" s="348">
        <f t="shared" ref="AM55:AM69" ca="1" si="116">$X55</f>
        <v>39517.21</v>
      </c>
      <c r="AN55" s="504">
        <f t="shared" ref="AN55:AN66" ca="1" si="117">ROUND(ORÇAMENTO.CustoUnitario*(1+$AH55),2)</f>
        <v>0</v>
      </c>
    </row>
    <row r="56" spans="1:40" x14ac:dyDescent="0.2">
      <c r="A56">
        <f>CHOOSE(1+LOG(1+2*(ORÇAMENTO.Nivel="Meta")+4*(ORÇAMENTO.Nivel="Nível 2")+8*(ORÇAMENTO.Nivel="Nível 3")+16*(ORÇAMENTO.Nivel="Nível 4")+32*(ORÇAMENTO.Nivel="Serviço"),2),0,1,2,3,4,"S")</f>
        <v>3</v>
      </c>
      <c r="B56">
        <f ca="1">IF(OR(C56="s",C56=0),OFFSET(B56,-1,0),C56)</f>
        <v>3</v>
      </c>
      <c r="C56">
        <f ca="1">IF(OFFSET(C56,-1,0)="L",1,IF(OFFSET(C56,-1,0)=1,2,IF(OR(A56="s",A56=0),"S",IF(AND(OFFSET(C56,-1,0)=2,A56=4),3,IF(AND(OR(OFFSET(C56,-1,0)="s",OFFSET(C56,-1,0)=0),A56&lt;&gt;"s",A56&gt;OFFSET(B56,-1,0)),OFFSET(B56,-1,0),A56)))))</f>
        <v>3</v>
      </c>
      <c r="D56">
        <f ca="1">IF(OR(C56="S",C56=0),0,IF(ISERROR(K56),J56,SMALL(J56:K56,1)))</f>
        <v>4</v>
      </c>
      <c r="E56">
        <f ca="1">IF($C56=1,OFFSET(E56,-1,0)+MAX(1,COUNTIF(QCI!$A$13:$A$24,OFFSET(ORÇAMENTO!E56,-1,0))),OFFSET(E56,-1,0))</f>
        <v>1</v>
      </c>
      <c r="F56">
        <f ca="1">IF($C56=1,0,IF($C56=2,OFFSET(F56,-1,0)+1,OFFSET(F56,-1,0)))</f>
        <v>6</v>
      </c>
      <c r="G56">
        <f ca="1">IF(AND($C56&lt;=2,$C56&lt;&gt;0),0,IF($C56=3,OFFSET(G56,-1,0)+1,OFFSET(G56,-1,0)))</f>
        <v>1</v>
      </c>
      <c r="H56">
        <f ca="1">IF(AND($C56&lt;=3,$C56&lt;&gt;0),0,IF($C56=4,OFFSET(H56,-1,0)+1,OFFSET(H56,-1,0)))</f>
        <v>0</v>
      </c>
      <c r="I56">
        <f ca="1">IF(AND($C56&lt;=4,$C56&lt;&gt;0),0,IF(AND($C56="S",$X56&gt;0),OFFSET(I56,-1,0)+1,OFFSET(I56,-1,0)))</f>
        <v>0</v>
      </c>
      <c r="J56">
        <f t="shared" ca="1" si="101"/>
        <v>7</v>
      </c>
      <c r="K56">
        <f ca="1">IF(OR($C56="S",$C56=0),0,MATCH(OFFSET($D56,0,$C56)+IF($C56&lt;&gt;1,1,COUNTIF(QCI!$A$13:$A$24,ORÇAMENTO!E56)),OFFSET($D56,1,$C56,ROW($C$131)-ROW($C56)),0))</f>
        <v>4</v>
      </c>
      <c r="L56" s="116" t="str">
        <f ca="1">IF(OR($X56&gt;0,$C56=1,$C56=2,$C56=3,$C56=4),"F","")</f>
        <v>F</v>
      </c>
      <c r="M56" s="117" t="s">
        <v>195</v>
      </c>
      <c r="N56" s="118" t="str">
        <f ca="1">CHOOSE(1+LOG(1+2*(C56=1)+4*(C56=2)+8*(C56=3)+16*(C56=4)+32*(C56="S"),2),"","Meta","Nível 2","Nível 3","Nível 4","Serviço")</f>
        <v>Nível 3</v>
      </c>
      <c r="O56" s="119" t="str">
        <f ca="1">IF(OR($C56=0,$L56=""),"-",CONCATENATE(E56&amp;".",IF(AND($A$5&gt;=2,$C56&gt;=2),F56&amp;".",""),IF(AND($A$5&gt;=3,$C56&gt;=3),G56&amp;".",""),IF(AND($A$5&gt;=4,$C56&gt;=4),H56&amp;".",""),IF($C56="S",I56&amp;".","")))</f>
        <v>1.6.1.</v>
      </c>
      <c r="P56" s="120" t="s">
        <v>245</v>
      </c>
      <c r="Q56" s="121"/>
      <c r="R56" s="122" t="s">
        <v>990</v>
      </c>
      <c r="S56" s="123" t="str">
        <f ca="1">REFERENCIA.Unidade</f>
        <v>-</v>
      </c>
      <c r="T56" s="124">
        <f ca="1">OFFSET(CÁLCULO!H$15,ROW($T56)-ROW(T$15),0)</f>
        <v>0</v>
      </c>
      <c r="U56" s="125"/>
      <c r="V56" s="126" t="s">
        <v>155</v>
      </c>
      <c r="W56" s="124">
        <f ca="1">IF($C56="S",ROUND(IF(TIPOORCAMENTO="Proposto",ORÇAMENTO.CustoUnitario*(1+$AH56),ORÇAMENTO.PrecoUnitarioLicitado),15-13*$AF$10),0)</f>
        <v>0</v>
      </c>
      <c r="X56" s="127">
        <f ca="1">IF($C56="S",IF(OR(Import.TipoArredondamento&lt;&gt;"TransfereGOV",ACOMPANHAMENTO="BM"),VTOTAL1,SUM(OFFSET(CÁLCULO!$AI$15,ROW($X56)-ROW($X$15),1):OFFSET(CÁLCULO!$BB$15,ROW($X56)-ROW($X$15),-1))),IF($C56=0,0,ROUND(SomaAgrup,15-13*$AF$11)))</f>
        <v>34409.050000000003</v>
      </c>
      <c r="Y56" s="128" t="s">
        <v>243</v>
      </c>
      <c r="Z56" t="str">
        <f ca="1">IF(AND($C56="S",$X56&gt;0),IF(ISBLANK($Y56),"RA",LEFT($Y56,2)),"")</f>
        <v/>
      </c>
      <c r="AA56" s="129">
        <f ca="1">IF($C56="S",IF($Z56="CP",$X56,IF($Z56="RA",(($X56)*QCI!$AA$3),0)),SomaAgrup)</f>
        <v>34409.050000000003</v>
      </c>
      <c r="AB56" s="130">
        <f ca="1">IF($C56="S",IF($Z56="OU",ROUND($X56,2),0),SomaAgrup)</f>
        <v>0</v>
      </c>
      <c r="AC56" s="619" t="str">
        <f ca="1">IF($N56=""," ",
IF(AND($C56&lt;&gt;"S",OR($R56="",$R56="(digite a descrição aqui)")),"DESCRIÇÃO",
IF(AND($C56="S",OR($Q56&lt;&gt;0,$T56&gt;0,$U56&gt;0),$P56=0),"FONTE",
IF(AND($C56="S",$P56&lt;&gt;0,OR($T56&gt;0,$U56&gt;0),$Q56=0),"CÓDIGO",
IF(AND($C56="S",$P56&lt;&gt;0,$Q56&lt;&gt;0,$R56="(Código não identificado nas referências)"),"CÓDIGO N/ID",
IF(AND($C56="S",OR($R56="",$R56="(digite a descrição aqui)"),OR($Q56&lt;&gt;0,$T56&gt;0,$U56&gt;0)),"DESCRIÇÃO",
IF(AND($C56="S",$P56&lt;&gt;0,$Q56&lt;&gt;0,$S56=""),"UNIDADE",
IF(AND($C56="S",$P56&lt;&gt;0,$Q56&lt;&gt;0,$U56=0),"SEM CUSTO",
IF(AND(TIPOORCAMENTO="Licitado",$AL56=0,$AN56&gt;0),"SEM PREÇO",
IF(AND($C56="S",$P56&lt;&gt;0,$Q56&lt;&gt;0,$U56&gt;0,$V56=0),"BDI",
IF(OR(AND(TIPOORCAMENTO="Proposto",$AG56&lt;&gt;"",$AG56&gt;0,ORÇAMENTO.CustoUnitario&gt;$AG56),AND(TIPOORCAMENTO="LICITADO",ORÇAMENTO.PrecoUnitarioLicitado&gt;$AN56)),"ACIMA REF.",
IF(AND($C56="S",$P56&lt;&gt;0,$Q56&lt;&gt;0,$T56=0,$U56&gt;0),"QUANT.",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b">
        <f ca="1">IF(AND($C56="S",ORÇAMENTO.CodBarra&lt;&gt;""),IF(ORÇAMENTO.Fonte="",ORÇAMENTO.CodBarra,CONCATENATE(ORÇAMENTO.Fonte," ",ORÇAMENTO.CodBarra)))</f>
        <v>0</v>
      </c>
      <c r="AF56" s="13" t="str">
        <f ca="1">IF(ISERROR(INDIRECT(ORÇAMENTO.BancoRef)),"(abra o arquivo 'Referência "&amp;Excel_BuiltIn_Database&amp;".xlsm)",IF(OR($C56&lt;&gt;"S",ORÇAMENTO.CodBarra=""),"(Sem Código)",IF(ISERROR(MATCH($AE56,INDIRECT(ORÇAMENTO.BancoRef),0)),"(Código não identificado nas referências)",MATCH($AE56,INDIRECT(ORÇAMENTO.BancoRef),0))))</f>
        <v>(Sem Código)</v>
      </c>
      <c r="AG56" s="453">
        <f ca="1">ROUND(IF(DESONERACAO="sim",REFERENCIA.Desonerado,REFERENCIA.NaoDesonerado),2)</f>
        <v>0</v>
      </c>
      <c r="AH56" s="454">
        <f ca="1">ROUND(IF(ISNUMBER(ORÇAMENTO.OpcaoBDI),ORÇAMENTO.OpcaoBDI,IF(LEFT(ORÇAMENTO.OpcaoBDI,3)="BDI",HLOOKUP(ORÇAMENTO.OpcaoBDI,$F$4:$H$5,2,FALSE),0)),15-11*$AF$9)</f>
        <v>0.24199999999999999</v>
      </c>
      <c r="AJ56" s="456"/>
      <c r="AL56" s="471"/>
      <c r="AM56" s="348">
        <f t="shared" ca="1" si="116"/>
        <v>34409.050000000003</v>
      </c>
      <c r="AN56" s="504">
        <f ca="1">ROUND(ORÇAMENTO.CustoUnitario*(1+$AH56),2)</f>
        <v>0</v>
      </c>
    </row>
    <row r="57" spans="1:40" ht="51" x14ac:dyDescent="0.2">
      <c r="A57" t="str">
        <f t="shared" si="102"/>
        <v>S</v>
      </c>
      <c r="B57">
        <f t="shared" ca="1" si="103"/>
        <v>3</v>
      </c>
      <c r="C57" t="str">
        <f t="shared" ca="1" si="104"/>
        <v>S</v>
      </c>
      <c r="D57">
        <f t="shared" ca="1" si="105"/>
        <v>0</v>
      </c>
      <c r="E57">
        <f ca="1">IF($C57=1,OFFSET(E57,-1,0)+MAX(1,COUNTIF(QCI!$A$13:$A$24,OFFSET(ORÇAMENTO!E57,-1,0))),OFFSET(E57,-1,0))</f>
        <v>1</v>
      </c>
      <c r="F57">
        <f t="shared" ca="1" si="106"/>
        <v>6</v>
      </c>
      <c r="G57">
        <f t="shared" ca="1" si="107"/>
        <v>1</v>
      </c>
      <c r="H57">
        <f t="shared" ca="1" si="108"/>
        <v>0</v>
      </c>
      <c r="I57">
        <f t="shared" ca="1" si="109"/>
        <v>1</v>
      </c>
      <c r="J57">
        <f t="shared" ca="1" si="101"/>
        <v>0</v>
      </c>
      <c r="K57">
        <f ca="1">IF(OR($C57="S",$C57=0),0,MATCH(OFFSET($D57,0,$C57)+IF($C57&lt;&gt;1,1,COUNTIF(QCI!$A$13:$A$24,ORÇAMENTO!E57)),OFFSET($D57,1,$C57,ROW($C$131)-ROW($C57)),0))</f>
        <v>0</v>
      </c>
      <c r="L57" s="116" t="str">
        <f t="shared" ca="1" si="110"/>
        <v>F</v>
      </c>
      <c r="M57" s="117" t="s">
        <v>197</v>
      </c>
      <c r="N57" s="118" t="str">
        <f t="shared" ca="1" si="111"/>
        <v>Serviço</v>
      </c>
      <c r="O57" s="119" t="str">
        <f t="shared" ca="1" si="112"/>
        <v>1.6.1.0.1.</v>
      </c>
      <c r="P57" s="120" t="s">
        <v>245</v>
      </c>
      <c r="Q57" s="121" t="s">
        <v>986</v>
      </c>
      <c r="R57" s="122" t="str">
        <f ca="1">IF($C57="S",REFERENCIA.Descricao,"(digite a descrição aqui)")</f>
        <v>ALVENARIA DE VEDAÇÃO DE BLOCOS CERÂMICOS FURADOS NA HORIZONTAL DE 11,5X19X19 CM (ESPESSURA 11,5 CM) E ARGAMASSA DE ASSENTAMENTO COM PREPARO EM BETONEIRA. AF_12/2021</v>
      </c>
      <c r="S57" s="123" t="str">
        <f ca="1">REFERENCIA.Unidade</f>
        <v>M2</v>
      </c>
      <c r="T57" s="124">
        <f ca="1">OFFSET(CÁLCULO!H$15,ROW($T57)-ROW(T$15),0)</f>
        <v>160.46</v>
      </c>
      <c r="U57" s="125">
        <f t="shared" ca="1" si="17"/>
        <v>100.23</v>
      </c>
      <c r="V57" s="126" t="s">
        <v>155</v>
      </c>
      <c r="W57" s="124">
        <f ca="1">IF($C57="S",ROUND(IF(TIPOORCAMENTO="Proposto",ORÇAMENTO.CustoUnitario*(1+$AH57),ORÇAMENTO.PrecoUnitarioLicitado),15-13*$AF$10),0)</f>
        <v>124.49</v>
      </c>
      <c r="X57" s="127">
        <f ca="1">IF($C57="S",IF(OR(Import.TipoArredondamento&lt;&gt;"TransfereGOV",ACOMPANHAMENTO="BM"),VTOTAL1,SUM(OFFSET(CÁLCULO!$AI$15,ROW($X57)-ROW($X$15),1):OFFSET(CÁLCULO!$BB$15,ROW($X57)-ROW($X$15),-1))),IF($C57=0,0,ROUND(SomaAgrup,15-13*$AF$11)))</f>
        <v>19975.669999999998</v>
      </c>
      <c r="Y57" s="128" t="s">
        <v>243</v>
      </c>
      <c r="Z57" t="str">
        <f t="shared" ca="1" si="113"/>
        <v>RA</v>
      </c>
      <c r="AA57" s="129">
        <f ca="1">IF($C57="S",IF($Z57="CP",$X57,IF($Z57="RA",(($X57)*QCI!$AA$3),0)),SomaAgrup)</f>
        <v>19975.669999999998</v>
      </c>
      <c r="AB57" s="130">
        <f t="shared" ca="1" si="114"/>
        <v>0</v>
      </c>
      <c r="AC57" s="619" t="str">
        <f ca="1">IF($N57=""," ",
IF(AND($C57&lt;&gt;"S",OR($R57="",$R57="(digite a descrição aqui)")),"DESCRIÇÃO",
IF(AND($C57="S",OR($Q57&lt;&gt;0,$T57&gt;0,$U57&gt;0),$P57=0),"FONTE",
IF(AND($C57="S",$P57&lt;&gt;0,OR($T57&gt;0,$U57&gt;0),$Q57=0),"CÓDIGO",
IF(AND($C57="S",$P57&lt;&gt;0,$Q57&lt;&gt;0,$R57="(Código não identificado nas referências)"),"CÓDIGO N/ID",
IF(AND($C57="S",OR($R57="",$R57="(digite a descrição aqui)"),OR($Q57&lt;&gt;0,$T57&gt;0,$U57&gt;0)),"DESCRIÇÃO",
IF(AND($C57="S",$P57&lt;&gt;0,$Q57&lt;&gt;0,$S57=""),"UNIDADE",
IF(AND($C57="S",$P57&lt;&gt;0,$Q57&lt;&gt;0,$U57=0),"SEM CUSTO",
IF(AND(TIPOORCAMENTO="Licitado",$AL57=0,$AN57&gt;0),"SEM PREÇO",
IF(AND($C57="S",$P57&lt;&gt;0,$Q57&lt;&gt;0,$U57&gt;0,$V57=0),"BDI",
IF(OR(AND(TIPOORCAMENTO="Proposto",$AG57&lt;&gt;"",$AG57&gt;0,ORÇAMENTO.CustoUnitario&gt;$AG57),AND(TIPOORCAMENTO="LICITADO",ORÇAMENTO.PrecoUnitarioLicitado&gt;$AN57)),"ACIMA REF.",
IF(AND($C57="S",$P57&lt;&gt;0,$Q57&lt;&gt;0,$T57=0,$U57&gt;0),"QUANT.",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ca="1">IF(AND($C57="S",ORÇAMENTO.CodBarra&lt;&gt;""),IF(ORÇAMENTO.Fonte="",ORÇAMENTO.CodBarra,CONCATENATE(ORÇAMENTO.Fonte," ",ORÇAMENTO.CodBarra)))</f>
        <v>SINAPI 103330</v>
      </c>
      <c r="AF57" s="13">
        <f ca="1">IF(ISERROR(INDIRECT(ORÇAMENTO.BancoRef)),"(abra o arquivo 'Referência "&amp;Excel_BuiltIn_Database&amp;".xlsm)",IF(OR($C57&lt;&gt;"S",ORÇAMENTO.CodBarra=""),"(Sem Código)",IF(ISERROR(MATCH($AE57,INDIRECT(ORÇAMENTO.BancoRef),0)),"(Código não identificado nas referências)",MATCH($AE57,INDIRECT(ORÇAMENTO.BancoRef),0))))</f>
        <v>6216</v>
      </c>
      <c r="AG57" s="453">
        <f ca="1">ROUND(IF(DESONERACAO="sim",REFERENCIA.Desonerado,REFERENCIA.NaoDesonerado),2)</f>
        <v>100.23</v>
      </c>
      <c r="AH57" s="454">
        <f t="shared" ca="1" si="115"/>
        <v>0.24199999999999999</v>
      </c>
      <c r="AJ57" s="456"/>
      <c r="AL57" s="471"/>
      <c r="AM57" s="348">
        <f t="shared" ca="1" si="116"/>
        <v>19975.669999999998</v>
      </c>
      <c r="AN57" s="504">
        <f t="shared" ca="1" si="117"/>
        <v>124.49</v>
      </c>
    </row>
    <row r="58" spans="1:40" ht="51" x14ac:dyDescent="0.2">
      <c r="A58" t="str">
        <f t="shared" si="102"/>
        <v>S</v>
      </c>
      <c r="B58">
        <f t="shared" ca="1" si="103"/>
        <v>3</v>
      </c>
      <c r="C58" t="str">
        <f t="shared" ca="1" si="104"/>
        <v>S</v>
      </c>
      <c r="D58">
        <f t="shared" ca="1" si="105"/>
        <v>0</v>
      </c>
      <c r="E58">
        <f ca="1">IF($C58=1,OFFSET(E58,-1,0)+MAX(1,COUNTIF(QCI!$A$13:$A$24,OFFSET(ORÇAMENTO!E58,-1,0))),OFFSET(E58,-1,0))</f>
        <v>1</v>
      </c>
      <c r="F58">
        <f t="shared" ca="1" si="106"/>
        <v>6</v>
      </c>
      <c r="G58">
        <f t="shared" ca="1" si="107"/>
        <v>1</v>
      </c>
      <c r="H58">
        <f t="shared" ca="1" si="108"/>
        <v>0</v>
      </c>
      <c r="I58">
        <f t="shared" ca="1" si="109"/>
        <v>2</v>
      </c>
      <c r="J58">
        <f t="shared" ca="1" si="101"/>
        <v>0</v>
      </c>
      <c r="K58">
        <f ca="1">IF(OR($C58="S",$C58=0),0,MATCH(OFFSET($D58,0,$C58)+IF($C58&lt;&gt;1,1,COUNTIF(QCI!$A$13:$A$24,ORÇAMENTO!E58)),OFFSET($D58,1,$C58,ROW($C$131)-ROW($C58)),0))</f>
        <v>0</v>
      </c>
      <c r="L58" s="116" t="str">
        <f t="shared" ca="1" si="110"/>
        <v>F</v>
      </c>
      <c r="M58" s="117" t="s">
        <v>197</v>
      </c>
      <c r="N58" s="118" t="str">
        <f t="shared" ca="1" si="111"/>
        <v>Serviço</v>
      </c>
      <c r="O58" s="119" t="str">
        <f t="shared" ca="1" si="112"/>
        <v>1.6.1.0.2.</v>
      </c>
      <c r="P58" s="120" t="s">
        <v>245</v>
      </c>
      <c r="Q58" s="121" t="s">
        <v>987</v>
      </c>
      <c r="R58" s="122" t="str">
        <f ca="1">IF($C58="S",REFERENCIA.Descricao,"(digite a descrição aqui)")</f>
        <v>CHAPISCO APLICADO EM ALVENARIA (COM PRESENÇA DE VÃOS) E ESTRUTURAS DE CONCRETO DE FACHADA, COM COLHER DE PEDREIRO. ARGAMASSA TRAÇO 1:3 COM PREPARO EM BETONEIRA 400L. AF_10/2022</v>
      </c>
      <c r="S58" s="123" t="str">
        <f ca="1">REFERENCIA.Unidade</f>
        <v>M2</v>
      </c>
      <c r="T58" s="124">
        <f ca="1">OFFSET(CÁLCULO!H$15,ROW($T58)-ROW(T$15),0)</f>
        <v>160.46</v>
      </c>
      <c r="U58" s="125">
        <f t="shared" ca="1" si="17"/>
        <v>9.7799999999999994</v>
      </c>
      <c r="V58" s="126" t="s">
        <v>155</v>
      </c>
      <c r="W58" s="124">
        <f ca="1">IF($C58="S",ROUND(IF(TIPOORCAMENTO="Proposto",ORÇAMENTO.CustoUnitario*(1+$AH58),ORÇAMENTO.PrecoUnitarioLicitado),15-13*$AF$10),0)</f>
        <v>12.15</v>
      </c>
      <c r="X58" s="127">
        <f ca="1">IF($C58="S",IF(OR(Import.TipoArredondamento&lt;&gt;"TransfereGOV",ACOMPANHAMENTO="BM"),VTOTAL1,SUM(OFFSET(CÁLCULO!$AI$15,ROW($X58)-ROW($X$15),1):OFFSET(CÁLCULO!$BB$15,ROW($X58)-ROW($X$15),-1))),IF($C58=0,0,ROUND(SomaAgrup,15-13*$AF$11)))</f>
        <v>1949.59</v>
      </c>
      <c r="Y58" s="128" t="s">
        <v>243</v>
      </c>
      <c r="Z58" t="str">
        <f t="shared" ca="1" si="113"/>
        <v>RA</v>
      </c>
      <c r="AA58" s="129">
        <f ca="1">IF($C58="S",IF($Z58="CP",$X58,IF($Z58="RA",(($X58)*QCI!$AA$3),0)),SomaAgrup)</f>
        <v>1949.59</v>
      </c>
      <c r="AB58" s="130">
        <f t="shared" ca="1" si="114"/>
        <v>0</v>
      </c>
      <c r="AC58" s="619" t="str">
        <f ca="1">IF($N58=""," ",
IF(AND($C58&lt;&gt;"S",OR($R58="",$R58="(digite a descrição aqui)")),"DESCRIÇÃO",
IF(AND($C58="S",OR($Q58&lt;&gt;0,$T58&gt;0,$U58&gt;0),$P58=0),"FONTE",
IF(AND($C58="S",$P58&lt;&gt;0,OR($T58&gt;0,$U58&gt;0),$Q58=0),"CÓDIGO",
IF(AND($C58="S",$P58&lt;&gt;0,$Q58&lt;&gt;0,$R58="(Código não identificado nas referências)"),"CÓDIGO N/ID",
IF(AND($C58="S",OR($R58="",$R58="(digite a descrição aqui)"),OR($Q58&lt;&gt;0,$T58&gt;0,$U58&gt;0)),"DESCRIÇÃO",
IF(AND($C58="S",$P58&lt;&gt;0,$Q58&lt;&gt;0,$S58=""),"UNIDADE",
IF(AND($C58="S",$P58&lt;&gt;0,$Q58&lt;&gt;0,$U58=0),"SEM CUSTO",
IF(AND(TIPOORCAMENTO="Licitado",$AL58=0,$AN58&gt;0),"SEM PREÇO",
IF(AND($C58="S",$P58&lt;&gt;0,$Q58&lt;&gt;0,$U58&gt;0,$V58=0),"BDI",
IF(OR(AND(TIPOORCAMENTO="Proposto",$AG58&lt;&gt;"",$AG58&gt;0,ORÇAMENTO.CustoUnitario&gt;$AG58),AND(TIPOORCAMENTO="LICITADO",ORÇAMENTO.PrecoUnitarioLicitado&gt;$AN58)),"ACIMA REF.",
IF(AND($C58="S",$P58&lt;&gt;0,$Q58&lt;&gt;0,$T58=0,$U58&gt;0),"QUANT.",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ca="1">IF(AND($C58="S",ORÇAMENTO.CodBarra&lt;&gt;""),IF(ORÇAMENTO.Fonte="",ORÇAMENTO.CodBarra,CONCATENATE(ORÇAMENTO.Fonte," ",ORÇAMENTO.CodBarra)))</f>
        <v>SINAPI 87905</v>
      </c>
      <c r="AF58" s="13">
        <f ca="1">IF(ISERROR(INDIRECT(ORÇAMENTO.BancoRef)),"(abra o arquivo 'Referência "&amp;Excel_BuiltIn_Database&amp;".xlsm)",IF(OR($C58&lt;&gt;"S",ORÇAMENTO.CodBarra=""),"(Sem Código)",IF(ISERROR(MATCH($AE58,INDIRECT(ORÇAMENTO.BancoRef),0)),"(Código não identificado nas referências)",MATCH($AE58,INDIRECT(ORÇAMENTO.BancoRef),0))))</f>
        <v>7470</v>
      </c>
      <c r="AG58" s="453">
        <f ca="1">ROUND(IF(DESONERACAO="sim",REFERENCIA.Desonerado,REFERENCIA.NaoDesonerado),2)</f>
        <v>9.7799999999999994</v>
      </c>
      <c r="AH58" s="454">
        <f t="shared" ca="1" si="115"/>
        <v>0.24199999999999999</v>
      </c>
      <c r="AJ58" s="456"/>
      <c r="AL58" s="471"/>
      <c r="AM58" s="348">
        <f t="shared" ca="1" si="116"/>
        <v>1949.59</v>
      </c>
      <c r="AN58" s="504">
        <f t="shared" ca="1" si="117"/>
        <v>12.15</v>
      </c>
    </row>
    <row r="59" spans="1:40" ht="51" x14ac:dyDescent="0.2">
      <c r="A59" t="str">
        <f t="shared" si="102"/>
        <v>S</v>
      </c>
      <c r="B59">
        <f t="shared" ca="1" si="103"/>
        <v>3</v>
      </c>
      <c r="C59" t="str">
        <f t="shared" ca="1" si="104"/>
        <v>S</v>
      </c>
      <c r="D59">
        <f t="shared" ca="1" si="105"/>
        <v>0</v>
      </c>
      <c r="E59">
        <f ca="1">IF($C59=1,OFFSET(E59,-1,0)+MAX(1,COUNTIF(QCI!$A$13:$A$24,OFFSET(ORÇAMENTO!E59,-1,0))),OFFSET(E59,-1,0))</f>
        <v>1</v>
      </c>
      <c r="F59">
        <f t="shared" ca="1" si="106"/>
        <v>6</v>
      </c>
      <c r="G59">
        <f t="shared" ca="1" si="107"/>
        <v>1</v>
      </c>
      <c r="H59">
        <f t="shared" ca="1" si="108"/>
        <v>0</v>
      </c>
      <c r="I59">
        <f t="shared" ca="1" si="109"/>
        <v>3</v>
      </c>
      <c r="J59">
        <f t="shared" ca="1" si="101"/>
        <v>0</v>
      </c>
      <c r="K59">
        <f ca="1">IF(OR($C59="S",$C59=0),0,MATCH(OFFSET($D59,0,$C59)+IF($C59&lt;&gt;1,1,COUNTIF(QCI!$A$13:$A$24,ORÇAMENTO!E59)),OFFSET($D59,1,$C59,ROW($C$131)-ROW($C59)),0))</f>
        <v>0</v>
      </c>
      <c r="L59" s="116" t="str">
        <f t="shared" ca="1" si="110"/>
        <v>F</v>
      </c>
      <c r="M59" s="117" t="s">
        <v>197</v>
      </c>
      <c r="N59" s="118" t="str">
        <f t="shared" ca="1" si="111"/>
        <v>Serviço</v>
      </c>
      <c r="O59" s="119" t="str">
        <f t="shared" ca="1" si="112"/>
        <v>1.6.1.0.3.</v>
      </c>
      <c r="P59" s="120" t="s">
        <v>245</v>
      </c>
      <c r="Q59" s="121" t="s">
        <v>988</v>
      </c>
      <c r="R59" s="122" t="str">
        <f ca="1">IF($C59="S",REFERENCIA.Descricao,"(digite a descrição aqui)")</f>
        <v>EMBOÇO OU MASSA ÚNICA EM ARGAMASSA TRAÇO 1:2:8, PREPARO MANUAL, APLICADA MANUALMENTE EM PANOS DE FACHADA COM PRESENÇA DE VÃOS, ESPESSURA DE 25 MM, ACESSO POR ANDAIME. AF_08/2022</v>
      </c>
      <c r="S59" s="123" t="str">
        <f ca="1">REFERENCIA.Unidade</f>
        <v>M2</v>
      </c>
      <c r="T59" s="124">
        <f ca="1">OFFSET(CÁLCULO!H$15,ROW($T59)-ROW(T$15),0)</f>
        <v>160.46</v>
      </c>
      <c r="U59" s="125">
        <f t="shared" ca="1" si="17"/>
        <v>62.64</v>
      </c>
      <c r="V59" s="126" t="s">
        <v>155</v>
      </c>
      <c r="W59" s="124">
        <f ca="1">IF($C59="S",ROUND(IF(TIPOORCAMENTO="Proposto",ORÇAMENTO.CustoUnitario*(1+$AH59),ORÇAMENTO.PrecoUnitarioLicitado),15-13*$AF$10),0)</f>
        <v>77.8</v>
      </c>
      <c r="X59" s="127">
        <f ca="1">IF($C59="S",IF(OR(Import.TipoArredondamento&lt;&gt;"TransfereGOV",ACOMPANHAMENTO="BM"),VTOTAL1,SUM(OFFSET(CÁLCULO!$AI$15,ROW($X59)-ROW($X$15),1):OFFSET(CÁLCULO!$BB$15,ROW($X59)-ROW($X$15),-1))),IF($C59=0,0,ROUND(SomaAgrup,15-13*$AF$11)))</f>
        <v>12483.79</v>
      </c>
      <c r="Y59" s="128" t="s">
        <v>243</v>
      </c>
      <c r="Z59" t="str">
        <f t="shared" ca="1" si="113"/>
        <v>RA</v>
      </c>
      <c r="AA59" s="129">
        <f ca="1">IF($C59="S",IF($Z59="CP",$X59,IF($Z59="RA",(($X59)*QCI!$AA$3),0)),SomaAgrup)</f>
        <v>12483.79</v>
      </c>
      <c r="AB59" s="130">
        <f t="shared" ca="1" si="114"/>
        <v>0</v>
      </c>
      <c r="AC59" s="619" t="str">
        <f ca="1">IF($N59=""," ",
IF(AND($C59&lt;&gt;"S",OR($R59="",$R59="(digite a descrição aqui)")),"DESCRIÇÃO",
IF(AND($C59="S",OR($Q59&lt;&gt;0,$T59&gt;0,$U59&gt;0),$P59=0),"FONTE",
IF(AND($C59="S",$P59&lt;&gt;0,OR($T59&gt;0,$U59&gt;0),$Q59=0),"CÓDIGO",
IF(AND($C59="S",$P59&lt;&gt;0,$Q59&lt;&gt;0,$R59="(Código não identificado nas referências)"),"CÓDIGO N/ID",
IF(AND($C59="S",OR($R59="",$R59="(digite a descrição aqui)"),OR($Q59&lt;&gt;0,$T59&gt;0,$U59&gt;0)),"DESCRIÇÃO",
IF(AND($C59="S",$P59&lt;&gt;0,$Q59&lt;&gt;0,$S59=""),"UNIDADE",
IF(AND($C59="S",$P59&lt;&gt;0,$Q59&lt;&gt;0,$U59=0),"SEM CUSTO",
IF(AND(TIPOORCAMENTO="Licitado",$AL59=0,$AN59&gt;0),"SEM PREÇO",
IF(AND($C59="S",$P59&lt;&gt;0,$Q59&lt;&gt;0,$U59&gt;0,$V59=0),"BDI",
IF(OR(AND(TIPOORCAMENTO="Proposto",$AG59&lt;&gt;"",$AG59&gt;0,ORÇAMENTO.CustoUnitario&gt;$AG59),AND(TIPOORCAMENTO="LICITADO",ORÇAMENTO.PrecoUnitarioLicitado&gt;$AN59)),"ACIMA REF.",
IF(AND($C59="S",$P59&lt;&gt;0,$Q59&lt;&gt;0,$T59=0,$U59&gt;0),"QUANT.",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f ca="1">IF(AND($C59="S",ORÇAMENTO.CodBarra&lt;&gt;""),IF(ORÇAMENTO.Fonte="",ORÇAMENTO.CodBarra,CONCATENATE(ORÇAMENTO.Fonte," ",ORÇAMENTO.CodBarra)))</f>
        <v>SINAPI 104218</v>
      </c>
      <c r="AF59" s="13">
        <f ca="1">IF(ISERROR(INDIRECT(ORÇAMENTO.BancoRef)),"(abra o arquivo 'Referência "&amp;Excel_BuiltIn_Database&amp;".xlsm)",IF(OR($C59&lt;&gt;"S",ORÇAMENTO.CodBarra=""),"(Sem Código)",IF(ISERROR(MATCH($AE59,INDIRECT(ORÇAMENTO.BancoRef),0)),"(Código não identificado nas referências)",MATCH($AE59,INDIRECT(ORÇAMENTO.BancoRef),0))))</f>
        <v>13789</v>
      </c>
      <c r="AG59" s="453">
        <f ca="1">ROUND(IF(DESONERACAO="sim",REFERENCIA.Desonerado,REFERENCIA.NaoDesonerado),2)</f>
        <v>62.64</v>
      </c>
      <c r="AH59" s="454">
        <f t="shared" ca="1" si="115"/>
        <v>0.24199999999999999</v>
      </c>
      <c r="AJ59" s="456"/>
      <c r="AL59" s="471"/>
      <c r="AM59" s="348">
        <f t="shared" ca="1" si="116"/>
        <v>12483.79</v>
      </c>
      <c r="AN59" s="504">
        <f t="shared" ca="1" si="117"/>
        <v>77.8</v>
      </c>
    </row>
    <row r="60" spans="1:40" x14ac:dyDescent="0.2">
      <c r="A60">
        <f t="shared" si="102"/>
        <v>3</v>
      </c>
      <c r="B60">
        <f t="shared" ca="1" si="103"/>
        <v>3</v>
      </c>
      <c r="C60">
        <f t="shared" ca="1" si="104"/>
        <v>3</v>
      </c>
      <c r="D60">
        <f t="shared" ca="1" si="105"/>
        <v>3</v>
      </c>
      <c r="E60">
        <f ca="1">IF($C60=1,OFFSET(E60,-1,0)+MAX(1,COUNTIF(QCI!$A$13:$A$24,OFFSET(ORÇAMENTO!E60,-1,0))),OFFSET(E60,-1,0))</f>
        <v>1</v>
      </c>
      <c r="F60">
        <f t="shared" ca="1" si="106"/>
        <v>6</v>
      </c>
      <c r="G60">
        <f t="shared" ca="1" si="107"/>
        <v>2</v>
      </c>
      <c r="H60">
        <f t="shared" ca="1" si="108"/>
        <v>0</v>
      </c>
      <c r="I60">
        <f t="shared" ca="1" si="109"/>
        <v>0</v>
      </c>
      <c r="J60">
        <f t="shared" ca="1" si="101"/>
        <v>3</v>
      </c>
      <c r="K60" t="e">
        <f ca="1">IF(OR($C60="S",$C60=0),0,MATCH(OFFSET($D60,0,$C60)+IF($C60&lt;&gt;1,1,COUNTIF(QCI!$A$13:$A$24,ORÇAMENTO!E60)),OFFSET($D60,1,$C60,ROW($C$131)-ROW($C60)),0))</f>
        <v>#N/A</v>
      </c>
      <c r="L60" s="116" t="str">
        <f t="shared" ca="1" si="110"/>
        <v>F</v>
      </c>
      <c r="M60" s="117" t="s">
        <v>195</v>
      </c>
      <c r="N60" s="118" t="str">
        <f t="shared" ca="1" si="111"/>
        <v>Nível 3</v>
      </c>
      <c r="O60" s="119" t="str">
        <f t="shared" ca="1" si="112"/>
        <v>1.6.2.</v>
      </c>
      <c r="P60" s="120" t="s">
        <v>245</v>
      </c>
      <c r="Q60" s="121"/>
      <c r="R60" s="122" t="s">
        <v>991</v>
      </c>
      <c r="S60" s="123" t="str">
        <f ca="1">REFERENCIA.Unidade</f>
        <v>-</v>
      </c>
      <c r="T60" s="124">
        <f ca="1">OFFSET(CÁLCULO!H$15,ROW($T60)-ROW(T$15),0)</f>
        <v>0</v>
      </c>
      <c r="U60" s="125">
        <f t="shared" ca="1" si="17"/>
        <v>0</v>
      </c>
      <c r="V60" s="126" t="s">
        <v>155</v>
      </c>
      <c r="W60" s="124">
        <f ca="1">IF($C60="S",ROUND(IF(TIPOORCAMENTO="Proposto",ORÇAMENTO.CustoUnitario*(1+$AH60),ORÇAMENTO.PrecoUnitarioLicitado),15-13*$AF$10),0)</f>
        <v>0</v>
      </c>
      <c r="X60" s="127">
        <f ca="1">IF($C60="S",IF(OR(Import.TipoArredondamento&lt;&gt;"TransfereGOV",ACOMPANHAMENTO="BM"),VTOTAL1,SUM(OFFSET(CÁLCULO!$AI$15,ROW($X60)-ROW($X$15),1):OFFSET(CÁLCULO!$BB$15,ROW($X60)-ROW($X$15),-1))),IF($C60=0,0,ROUND(SomaAgrup,15-13*$AF$11)))</f>
        <v>5108.16</v>
      </c>
      <c r="Y60" s="128" t="s">
        <v>243</v>
      </c>
      <c r="Z60" t="str">
        <f t="shared" ca="1" si="113"/>
        <v/>
      </c>
      <c r="AA60" s="129">
        <f ca="1">IF($C60="S",IF($Z60="CP",$X60,IF($Z60="RA",(($X60)*QCI!$AA$3),0)),SomaAgrup)</f>
        <v>5108.16</v>
      </c>
      <c r="AB60" s="130">
        <f t="shared" ca="1" si="114"/>
        <v>0</v>
      </c>
      <c r="AC60" s="619" t="str">
        <f ca="1">IF($N60=""," ",
IF(AND($C60&lt;&gt;"S",OR($R60="",$R60="(digite a descrição aqui)")),"DESCRIÇÃO",
IF(AND($C60="S",OR($Q60&lt;&gt;0,$T60&gt;0,$U60&gt;0),$P60=0),"FONTE",
IF(AND($C60="S",$P60&lt;&gt;0,OR($T60&gt;0,$U60&gt;0),$Q60=0),"CÓDIGO",
IF(AND($C60="S",$P60&lt;&gt;0,$Q60&lt;&gt;0,$R60="(Código não identificado nas referências)"),"CÓDIGO N/ID",
IF(AND($C60="S",OR($R60="",$R60="(digite a descrição aqui)"),OR($Q60&lt;&gt;0,$T60&gt;0,$U60&gt;0)),"DESCRIÇÃO",
IF(AND($C60="S",$P60&lt;&gt;0,$Q60&lt;&gt;0,$S60=""),"UNIDADE",
IF(AND($C60="S",$P60&lt;&gt;0,$Q60&lt;&gt;0,$U60=0),"SEM CUSTO",
IF(AND(TIPOORCAMENTO="Licitado",$AL60=0,$AN60&gt;0),"SEM PREÇO",
IF(AND($C60="S",$P60&lt;&gt;0,$Q60&lt;&gt;0,$U60&gt;0,$V60=0),"BDI",
IF(OR(AND(TIPOORCAMENTO="Proposto",$AG60&lt;&gt;"",$AG60&gt;0,ORÇAMENTO.CustoUnitario&gt;$AG60),AND(TIPOORCAMENTO="LICITADO",ORÇAMENTO.PrecoUnitarioLicitado&gt;$AN60)),"ACIMA REF.",
IF(AND($C60="S",$P60&lt;&gt;0,$Q60&lt;&gt;0,$T60=0,$U60&gt;0),"QUANT.",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b">
        <f ca="1">IF(AND($C60="S",ORÇAMENTO.CodBarra&lt;&gt;""),IF(ORÇAMENTO.Fonte="",ORÇAMENTO.CodBarra,CONCATENATE(ORÇAMENTO.Fonte," ",ORÇAMENTO.CodBarra)))</f>
        <v>0</v>
      </c>
      <c r="AF60" s="13" t="str">
        <f ca="1">IF(ISERROR(INDIRECT(ORÇAMENTO.BancoRef)),"(abra o arquivo 'Referência "&amp;Excel_BuiltIn_Database&amp;".xlsm)",IF(OR($C60&lt;&gt;"S",ORÇAMENTO.CodBarra=""),"(Sem Código)",IF(ISERROR(MATCH($AE60,INDIRECT(ORÇAMENTO.BancoRef),0)),"(Código não identificado nas referências)",MATCH($AE60,INDIRECT(ORÇAMENTO.BancoRef),0))))</f>
        <v>(Sem Código)</v>
      </c>
      <c r="AG60" s="453">
        <f ca="1">ROUND(IF(DESONERACAO="sim",REFERENCIA.Desonerado,REFERENCIA.NaoDesonerado),2)</f>
        <v>0</v>
      </c>
      <c r="AH60" s="454">
        <f t="shared" ca="1" si="115"/>
        <v>0.24199999999999999</v>
      </c>
      <c r="AJ60" s="456"/>
      <c r="AL60" s="471"/>
      <c r="AM60" s="348">
        <f t="shared" ca="1" si="116"/>
        <v>5108.16</v>
      </c>
      <c r="AN60" s="504">
        <f t="shared" ca="1" si="117"/>
        <v>0</v>
      </c>
    </row>
    <row r="61" spans="1:40" ht="25.5" x14ac:dyDescent="0.2">
      <c r="A61" t="str">
        <f t="shared" si="102"/>
        <v>S</v>
      </c>
      <c r="B61">
        <f t="shared" ca="1" si="103"/>
        <v>3</v>
      </c>
      <c r="C61" t="str">
        <f t="shared" ca="1" si="104"/>
        <v>S</v>
      </c>
      <c r="D61">
        <f t="shared" ca="1" si="105"/>
        <v>0</v>
      </c>
      <c r="E61">
        <f ca="1">IF($C61=1,OFFSET(E61,-1,0)+MAX(1,COUNTIF(QCI!$A$13:$A$24,OFFSET(ORÇAMENTO!E61,-1,0))),OFFSET(E61,-1,0))</f>
        <v>1</v>
      </c>
      <c r="F61">
        <f t="shared" ca="1" si="106"/>
        <v>6</v>
      </c>
      <c r="G61">
        <f t="shared" ca="1" si="107"/>
        <v>2</v>
      </c>
      <c r="H61">
        <f t="shared" ca="1" si="108"/>
        <v>0</v>
      </c>
      <c r="I61">
        <f t="shared" ca="1" si="109"/>
        <v>1</v>
      </c>
      <c r="J61">
        <f t="shared" ca="1" si="101"/>
        <v>0</v>
      </c>
      <c r="K61">
        <f ca="1">IF(OR($C61="S",$C61=0),0,MATCH(OFFSET($D61,0,$C61)+IF($C61&lt;&gt;1,1,COUNTIF(QCI!$A$13:$A$24,ORÇAMENTO!E61)),OFFSET($D61,1,$C61,ROW($C$131)-ROW($C61)),0))</f>
        <v>0</v>
      </c>
      <c r="L61" s="116" t="str">
        <f t="shared" ca="1" si="110"/>
        <v>F</v>
      </c>
      <c r="M61" s="117" t="s">
        <v>197</v>
      </c>
      <c r="N61" s="118" t="str">
        <f t="shared" ca="1" si="111"/>
        <v>Serviço</v>
      </c>
      <c r="O61" s="119" t="str">
        <f t="shared" ca="1" si="112"/>
        <v>1.6.2.0.1.</v>
      </c>
      <c r="P61" s="120" t="s">
        <v>245</v>
      </c>
      <c r="Q61" s="121" t="s">
        <v>992</v>
      </c>
      <c r="R61" s="122" t="str">
        <f ca="1">IF($C61="S",REFERENCIA.Descricao,"(digite a descrição aqui)")</f>
        <v>VERGA MOLDADA IN LOCO COM UTILIZAÇÃO DE BLOCOS CANALETA, ESPESSURA DE *10* CM. AF_03/2024</v>
      </c>
      <c r="S61" s="123" t="str">
        <f ca="1">REFERENCIA.Unidade</f>
        <v>M</v>
      </c>
      <c r="T61" s="124">
        <f ca="1">OFFSET(CÁLCULO!H$15,ROW($T61)-ROW(T$15),0)</f>
        <v>48</v>
      </c>
      <c r="U61" s="125">
        <f t="shared" ca="1" si="17"/>
        <v>49.52</v>
      </c>
      <c r="V61" s="126" t="s">
        <v>155</v>
      </c>
      <c r="W61" s="124">
        <f ca="1">IF($C61="S",ROUND(IF(TIPOORCAMENTO="Proposto",ORÇAMENTO.CustoUnitario*(1+$AH61),ORÇAMENTO.PrecoUnitarioLicitado),15-13*$AF$10),0)</f>
        <v>61.5</v>
      </c>
      <c r="X61" s="127">
        <f ca="1">IF($C61="S",IF(OR(Import.TipoArredondamento&lt;&gt;"TransfereGOV",ACOMPANHAMENTO="BM"),VTOTAL1,SUM(OFFSET(CÁLCULO!$AI$15,ROW($X61)-ROW($X$15),1):OFFSET(CÁLCULO!$BB$15,ROW($X61)-ROW($X$15),-1))),IF($C61=0,0,ROUND(SomaAgrup,15-13*$AF$11)))</f>
        <v>2952</v>
      </c>
      <c r="Y61" s="128" t="s">
        <v>243</v>
      </c>
      <c r="Z61" t="str">
        <f t="shared" ca="1" si="113"/>
        <v>RA</v>
      </c>
      <c r="AA61" s="129">
        <f ca="1">IF($C61="S",IF($Z61="CP",$X61,IF($Z61="RA",(($X61)*QCI!$AA$3),0)),SomaAgrup)</f>
        <v>2952</v>
      </c>
      <c r="AB61" s="130">
        <f t="shared" ca="1" si="114"/>
        <v>0</v>
      </c>
      <c r="AC61" s="619" t="str">
        <f ca="1">IF($N61=""," ",
IF(AND($C61&lt;&gt;"S",OR($R61="",$R61="(digite a descrição aqui)")),"DESCRIÇÃO",
IF(AND($C61="S",OR($Q61&lt;&gt;0,$T61&gt;0,$U61&gt;0),$P61=0),"FONTE",
IF(AND($C61="S",$P61&lt;&gt;0,OR($T61&gt;0,$U61&gt;0),$Q61=0),"CÓDIGO",
IF(AND($C61="S",$P61&lt;&gt;0,$Q61&lt;&gt;0,$R61="(Código não identificado nas referências)"),"CÓDIGO N/ID",
IF(AND($C61="S",OR($R61="",$R61="(digite a descrição aqui)"),OR($Q61&lt;&gt;0,$T61&gt;0,$U61&gt;0)),"DESCRIÇÃO",
IF(AND($C61="S",$P61&lt;&gt;0,$Q61&lt;&gt;0,$S61=""),"UNIDADE",
IF(AND($C61="S",$P61&lt;&gt;0,$Q61&lt;&gt;0,$U61=0),"SEM CUSTO",
IF(AND(TIPOORCAMENTO="Licitado",$AL61=0,$AN61&gt;0),"SEM PREÇO",
IF(AND($C61="S",$P61&lt;&gt;0,$Q61&lt;&gt;0,$U61&gt;0,$V61=0),"BDI",
IF(OR(AND(TIPOORCAMENTO="Proposto",$AG61&lt;&gt;"",$AG61&gt;0,ORÇAMENTO.CustoUnitario&gt;$AG61),AND(TIPOORCAMENTO="LICITADO",ORÇAMENTO.PrecoUnitarioLicitado&gt;$AN61)),"ACIMA REF.",
IF(AND($C61="S",$P61&lt;&gt;0,$Q61&lt;&gt;0,$T61=0,$U61&gt;0),"QUANT.",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f ca="1">IF(AND($C61="S",ORÇAMENTO.CodBarra&lt;&gt;""),IF(ORÇAMENTO.Fonte="",ORÇAMENTO.CodBarra,CONCATENATE(ORÇAMENTO.Fonte," ",ORÇAMENTO.CodBarra)))</f>
        <v>SINAPI 105026</v>
      </c>
      <c r="AF61" s="13">
        <f ca="1">IF(ISERROR(INDIRECT(ORÇAMENTO.BancoRef)),"(abra o arquivo 'Referência "&amp;Excel_BuiltIn_Database&amp;".xlsm)",IF(OR($C61&lt;&gt;"S",ORÇAMENTO.CodBarra=""),"(Sem Código)",IF(ISERROR(MATCH($AE61,INDIRECT(ORÇAMENTO.BancoRef),0)),"(Código não identificado nas referências)",MATCH($AE61,INDIRECT(ORÇAMENTO.BancoRef),0))))</f>
        <v>16338</v>
      </c>
      <c r="AG61" s="453">
        <f ca="1">ROUND(IF(DESONERACAO="sim",REFERENCIA.Desonerado,REFERENCIA.NaoDesonerado),2)</f>
        <v>49.52</v>
      </c>
      <c r="AH61" s="454">
        <f t="shared" ca="1" si="115"/>
        <v>0.24199999999999999</v>
      </c>
      <c r="AJ61" s="456"/>
      <c r="AL61" s="471"/>
      <c r="AM61" s="348">
        <f t="shared" ca="1" si="116"/>
        <v>2952</v>
      </c>
      <c r="AN61" s="504">
        <f t="shared" ca="1" si="117"/>
        <v>61.5</v>
      </c>
    </row>
    <row r="62" spans="1:40" ht="25.5" x14ac:dyDescent="0.2">
      <c r="A62" t="str">
        <f t="shared" si="102"/>
        <v>S</v>
      </c>
      <c r="B62">
        <f t="shared" ca="1" si="103"/>
        <v>3</v>
      </c>
      <c r="C62" t="str">
        <f t="shared" ca="1" si="104"/>
        <v>S</v>
      </c>
      <c r="D62">
        <f t="shared" ca="1" si="105"/>
        <v>0</v>
      </c>
      <c r="E62">
        <f ca="1">IF($C62=1,OFFSET(E62,-1,0)+MAX(1,COUNTIF(QCI!$A$13:$A$24,OFFSET(ORÇAMENTO!E62,-1,0))),OFFSET(E62,-1,0))</f>
        <v>1</v>
      </c>
      <c r="F62">
        <f t="shared" ca="1" si="106"/>
        <v>6</v>
      </c>
      <c r="G62">
        <f t="shared" ca="1" si="107"/>
        <v>2</v>
      </c>
      <c r="H62">
        <f t="shared" ca="1" si="108"/>
        <v>0</v>
      </c>
      <c r="I62">
        <f t="shared" ca="1" si="109"/>
        <v>2</v>
      </c>
      <c r="J62">
        <f t="shared" ca="1" si="101"/>
        <v>0</v>
      </c>
      <c r="K62">
        <f ca="1">IF(OR($C62="S",$C62=0),0,MATCH(OFFSET($D62,0,$C62)+IF($C62&lt;&gt;1,1,COUNTIF(QCI!$A$13:$A$24,ORÇAMENTO!E62)),OFFSET($D62,1,$C62,ROW($C$131)-ROW($C62)),0))</f>
        <v>0</v>
      </c>
      <c r="L62" s="116" t="str">
        <f t="shared" ca="1" si="110"/>
        <v>F</v>
      </c>
      <c r="M62" s="117" t="s">
        <v>197</v>
      </c>
      <c r="N62" s="118" t="str">
        <f t="shared" ca="1" si="111"/>
        <v>Serviço</v>
      </c>
      <c r="O62" s="119" t="str">
        <f t="shared" ca="1" si="112"/>
        <v>1.6.2.0.2.</v>
      </c>
      <c r="P62" s="120" t="s">
        <v>245</v>
      </c>
      <c r="Q62" s="121" t="s">
        <v>993</v>
      </c>
      <c r="R62" s="122" t="str">
        <f ca="1">IF($C62="S",REFERENCIA.Descricao,"(digite a descrição aqui)")</f>
        <v>CONTRAVERGA MOLDADA IN LOCO COM UTILIZAÇÃO DE BLOCOS CANALETA, ESPESSURA DE *10* CM. AF_03/2024</v>
      </c>
      <c r="S62" s="123" t="str">
        <f ca="1">REFERENCIA.Unidade</f>
        <v>M</v>
      </c>
      <c r="T62" s="124">
        <f ca="1">OFFSET(CÁLCULO!H$15,ROW($T62)-ROW(T$15),0)</f>
        <v>48</v>
      </c>
      <c r="U62" s="125">
        <f t="shared" ca="1" si="17"/>
        <v>36.17</v>
      </c>
      <c r="V62" s="126" t="s">
        <v>155</v>
      </c>
      <c r="W62" s="124">
        <f ca="1">IF($C62="S",ROUND(IF(TIPOORCAMENTO="Proposto",ORÇAMENTO.CustoUnitario*(1+$AH62),ORÇAMENTO.PrecoUnitarioLicitado),15-13*$AF$10),0)</f>
        <v>44.92</v>
      </c>
      <c r="X62" s="127">
        <f ca="1">IF($C62="S",IF(OR(Import.TipoArredondamento&lt;&gt;"TransfereGOV",ACOMPANHAMENTO="BM"),VTOTAL1,SUM(OFFSET(CÁLCULO!$AI$15,ROW($X62)-ROW($X$15),1):OFFSET(CÁLCULO!$BB$15,ROW($X62)-ROW($X$15),-1))),IF($C62=0,0,ROUND(SomaAgrup,15-13*$AF$11)))</f>
        <v>2156.16</v>
      </c>
      <c r="Y62" s="128" t="s">
        <v>243</v>
      </c>
      <c r="Z62" t="str">
        <f t="shared" ca="1" si="113"/>
        <v>RA</v>
      </c>
      <c r="AA62" s="129">
        <f ca="1">IF($C62="S",IF($Z62="CP",$X62,IF($Z62="RA",(($X62)*QCI!$AA$3),0)),SomaAgrup)</f>
        <v>2156.16</v>
      </c>
      <c r="AB62" s="130">
        <f t="shared" ca="1" si="114"/>
        <v>0</v>
      </c>
      <c r="AC62" s="619" t="str">
        <f ca="1">IF($N62=""," ",
IF(AND($C62&lt;&gt;"S",OR($R62="",$R62="(digite a descrição aqui)")),"DESCRIÇÃO",
IF(AND($C62="S",OR($Q62&lt;&gt;0,$T62&gt;0,$U62&gt;0),$P62=0),"FONTE",
IF(AND($C62="S",$P62&lt;&gt;0,OR($T62&gt;0,$U62&gt;0),$Q62=0),"CÓDIGO",
IF(AND($C62="S",$P62&lt;&gt;0,$Q62&lt;&gt;0,$R62="(Código não identificado nas referências)"),"CÓDIGO N/ID",
IF(AND($C62="S",OR($R62="",$R62="(digite a descrição aqui)"),OR($Q62&lt;&gt;0,$T62&gt;0,$U62&gt;0)),"DESCRIÇÃO",
IF(AND($C62="S",$P62&lt;&gt;0,$Q62&lt;&gt;0,$S62=""),"UNIDADE",
IF(AND($C62="S",$P62&lt;&gt;0,$Q62&lt;&gt;0,$U62=0),"SEM CUSTO",
IF(AND(TIPOORCAMENTO="Licitado",$AL62=0,$AN62&gt;0),"SEM PREÇO",
IF(AND($C62="S",$P62&lt;&gt;0,$Q62&lt;&gt;0,$U62&gt;0,$V62=0),"BDI",
IF(OR(AND(TIPOORCAMENTO="Proposto",$AG62&lt;&gt;"",$AG62&gt;0,ORÇAMENTO.CustoUnitario&gt;$AG62),AND(TIPOORCAMENTO="LICITADO",ORÇAMENTO.PrecoUnitarioLicitado&gt;$AN62)),"ACIMA REF.",
IF(AND($C62="S",$P62&lt;&gt;0,$Q62&lt;&gt;0,$T62=0,$U62&gt;0),"QUANT.",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f ca="1">IF(AND($C62="S",ORÇAMENTO.CodBarra&lt;&gt;""),IF(ORÇAMENTO.Fonte="",ORÇAMENTO.CodBarra,CONCATENATE(ORÇAMENTO.Fonte," ",ORÇAMENTO.CodBarra)))</f>
        <v>SINAPI 105032</v>
      </c>
      <c r="AF62" s="13">
        <f ca="1">IF(ISERROR(INDIRECT(ORÇAMENTO.BancoRef)),"(abra o arquivo 'Referência "&amp;Excel_BuiltIn_Database&amp;".xlsm)",IF(OR($C62&lt;&gt;"S",ORÇAMENTO.CodBarra=""),"(Sem Código)",IF(ISERROR(MATCH($AE62,INDIRECT(ORÇAMENTO.BancoRef),0)),"(Código não identificado nas referências)",MATCH($AE62,INDIRECT(ORÇAMENTO.BancoRef),0))))</f>
        <v>16323</v>
      </c>
      <c r="AG62" s="453">
        <f ca="1">ROUND(IF(DESONERACAO="sim",REFERENCIA.Desonerado,REFERENCIA.NaoDesonerado),2)</f>
        <v>36.17</v>
      </c>
      <c r="AH62" s="454">
        <f t="shared" ca="1" si="115"/>
        <v>0.24199999999999999</v>
      </c>
      <c r="AJ62" s="456"/>
      <c r="AL62" s="471"/>
      <c r="AM62" s="348">
        <f t="shared" ca="1" si="116"/>
        <v>2156.16</v>
      </c>
      <c r="AN62" s="504">
        <f t="shared" ca="1" si="117"/>
        <v>44.92</v>
      </c>
    </row>
    <row r="63" spans="1:40" x14ac:dyDescent="0.2">
      <c r="A63">
        <f t="shared" si="102"/>
        <v>2</v>
      </c>
      <c r="B63">
        <f t="shared" ca="1" si="103"/>
        <v>2</v>
      </c>
      <c r="C63">
        <f t="shared" ca="1" si="104"/>
        <v>2</v>
      </c>
      <c r="D63">
        <f t="shared" ca="1" si="105"/>
        <v>2</v>
      </c>
      <c r="E63">
        <f ca="1">IF($C63=1,OFFSET(E63,-1,0)+MAX(1,COUNTIF(QCI!$A$13:$A$24,OFFSET(ORÇAMENTO!E63,-1,0))),OFFSET(E63,-1,0))</f>
        <v>1</v>
      </c>
      <c r="F63">
        <f t="shared" ca="1" si="106"/>
        <v>7</v>
      </c>
      <c r="G63">
        <f t="shared" ca="1" si="107"/>
        <v>0</v>
      </c>
      <c r="H63">
        <f t="shared" ca="1" si="108"/>
        <v>0</v>
      </c>
      <c r="I63">
        <f t="shared" ca="1" si="109"/>
        <v>0</v>
      </c>
      <c r="J63">
        <f t="shared" ca="1" si="101"/>
        <v>68</v>
      </c>
      <c r="K63">
        <f ca="1">IF(OR($C63="S",$C63=0),0,MATCH(OFFSET($D63,0,$C63)+IF($C63&lt;&gt;1,1,COUNTIF(QCI!$A$13:$A$24,ORÇAMENTO!E63)),OFFSET($D63,1,$C63,ROW($C$131)-ROW($C63)),0))</f>
        <v>2</v>
      </c>
      <c r="L63" s="116" t="str">
        <f t="shared" ca="1" si="110"/>
        <v>F</v>
      </c>
      <c r="M63" s="117" t="s">
        <v>194</v>
      </c>
      <c r="N63" s="118" t="str">
        <f t="shared" ca="1" si="111"/>
        <v>Nível 2</v>
      </c>
      <c r="O63" s="119" t="str">
        <f t="shared" ca="1" si="112"/>
        <v>1.7.</v>
      </c>
      <c r="P63" s="120" t="s">
        <v>245</v>
      </c>
      <c r="Q63" s="121"/>
      <c r="R63" s="122" t="s">
        <v>940</v>
      </c>
      <c r="S63" s="123" t="str">
        <f ca="1">REFERENCIA.Unidade</f>
        <v>-</v>
      </c>
      <c r="T63" s="124">
        <f ca="1">OFFSET(CÁLCULO!H$15,ROW($T63)-ROW(T$15),0)</f>
        <v>0</v>
      </c>
      <c r="U63" s="125">
        <f t="shared" ca="1" si="17"/>
        <v>0</v>
      </c>
      <c r="V63" s="126" t="s">
        <v>155</v>
      </c>
      <c r="W63" s="124">
        <f ca="1">IF($C63="S",ROUND(IF(TIPOORCAMENTO="Proposto",ORÇAMENTO.CustoUnitario*(1+$AH63),ORÇAMENTO.PrecoUnitarioLicitado),15-13*$AF$10),0)</f>
        <v>0</v>
      </c>
      <c r="X63" s="127">
        <f ca="1">IF($C63="S",IF(OR(Import.TipoArredondamento&lt;&gt;"TransfereGOV",ACOMPANHAMENTO="BM"),VTOTAL1,SUM(OFFSET(CÁLCULO!$AI$15,ROW($X63)-ROW($X$15),1):OFFSET(CÁLCULO!$BB$15,ROW($X63)-ROW($X$15),-1))),IF($C63=0,0,ROUND(SomaAgrup,15-13*$AF$11)))</f>
        <v>35832.15</v>
      </c>
      <c r="Y63" s="128" t="s">
        <v>243</v>
      </c>
      <c r="Z63" t="str">
        <f t="shared" ca="1" si="113"/>
        <v/>
      </c>
      <c r="AA63" s="129">
        <f ca="1">IF($C63="S",IF($Z63="CP",$X63,IF($Z63="RA",(($X63)*QCI!$AA$3),0)),SomaAgrup)</f>
        <v>35832.15</v>
      </c>
      <c r="AB63" s="130">
        <f t="shared" ca="1" si="114"/>
        <v>0</v>
      </c>
      <c r="AC63" s="619" t="str">
        <f ca="1">IF($N63=""," ",
IF(AND($C63&lt;&gt;"S",OR($R63="",$R63="(digite a descrição aqui)")),"DESCRIÇÃO",
IF(AND($C63="S",OR($Q63&lt;&gt;0,$T63&gt;0,$U63&gt;0),$P63=0),"FONTE",
IF(AND($C63="S",$P63&lt;&gt;0,OR($T63&gt;0,$U63&gt;0),$Q63=0),"CÓDIGO",
IF(AND($C63="S",$P63&lt;&gt;0,$Q63&lt;&gt;0,$R63="(Código não identificado nas referências)"),"CÓDIGO N/ID",
IF(AND($C63="S",OR($R63="",$R63="(digite a descrição aqui)"),OR($Q63&lt;&gt;0,$T63&gt;0,$U63&gt;0)),"DESCRIÇÃO",
IF(AND($C63="S",$P63&lt;&gt;0,$Q63&lt;&gt;0,$S63=""),"UNIDADE",
IF(AND($C63="S",$P63&lt;&gt;0,$Q63&lt;&gt;0,$U63=0),"SEM CUSTO",
IF(AND(TIPOORCAMENTO="Licitado",$AL63=0,$AN63&gt;0),"SEM PREÇO",
IF(AND($C63="S",$P63&lt;&gt;0,$Q63&lt;&gt;0,$U63&gt;0,$V63=0),"BDI",
IF(OR(AND(TIPOORCAMENTO="Proposto",$AG63&lt;&gt;"",$AG63&gt;0,ORÇAMENTO.CustoUnitario&gt;$AG63),AND(TIPOORCAMENTO="LICITADO",ORÇAMENTO.PrecoUnitarioLicitado&gt;$AN63)),"ACIMA REF.",
IF(AND($C63="S",$P63&lt;&gt;0,$Q63&lt;&gt;0,$T63=0,$U63&gt;0),"QUANT.",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f ca="1">IF(C63&lt;=CRONO.NivelExibicao,MAX($AD$15:OFFSET(AD63,-1,0))+IF($C63&lt;&gt;1,1,MAX(1,COUNTIF(QCI!$A$13:$A$24,OFFSET($E63,-1,0)))),"")</f>
        <v>8</v>
      </c>
      <c r="AE63" s="7" t="b">
        <f ca="1">IF(AND($C63="S",ORÇAMENTO.CodBarra&lt;&gt;""),IF(ORÇAMENTO.Fonte="",ORÇAMENTO.CodBarra,CONCATENATE(ORÇAMENTO.Fonte," ",ORÇAMENTO.CodBarra)))</f>
        <v>0</v>
      </c>
      <c r="AF63" s="13" t="str">
        <f ca="1">IF(ISERROR(INDIRECT(ORÇAMENTO.BancoRef)),"(abra o arquivo 'Referência "&amp;Excel_BuiltIn_Database&amp;".xlsm)",IF(OR($C63&lt;&gt;"S",ORÇAMENTO.CodBarra=""),"(Sem Código)",IF(ISERROR(MATCH($AE63,INDIRECT(ORÇAMENTO.BancoRef),0)),"(Código não identificado nas referências)",MATCH($AE63,INDIRECT(ORÇAMENTO.BancoRef),0))))</f>
        <v>(Sem Código)</v>
      </c>
      <c r="AG63" s="453">
        <f ca="1">ROUND(IF(DESONERACAO="sim",REFERENCIA.Desonerado,REFERENCIA.NaoDesonerado),2)</f>
        <v>0</v>
      </c>
      <c r="AH63" s="454">
        <f t="shared" ca="1" si="115"/>
        <v>0.24199999999999999</v>
      </c>
      <c r="AJ63" s="456"/>
      <c r="AL63" s="471"/>
      <c r="AM63" s="348">
        <f t="shared" ca="1" si="116"/>
        <v>35832.15</v>
      </c>
      <c r="AN63" s="504">
        <f t="shared" ca="1" si="117"/>
        <v>0</v>
      </c>
    </row>
    <row r="64" spans="1:40" ht="38.25" x14ac:dyDescent="0.2">
      <c r="A64" t="str">
        <f t="shared" si="102"/>
        <v>S</v>
      </c>
      <c r="B64">
        <f t="shared" ca="1" si="103"/>
        <v>2</v>
      </c>
      <c r="C64" t="str">
        <f t="shared" ca="1" si="104"/>
        <v>S</v>
      </c>
      <c r="D64">
        <f t="shared" ca="1" si="105"/>
        <v>0</v>
      </c>
      <c r="E64">
        <f ca="1">IF($C64=1,OFFSET(E64,-1,0)+MAX(1,COUNTIF(QCI!$A$13:$A$24,OFFSET(ORÇAMENTO!E64,-1,0))),OFFSET(E64,-1,0))</f>
        <v>1</v>
      </c>
      <c r="F64">
        <f t="shared" ca="1" si="106"/>
        <v>7</v>
      </c>
      <c r="G64">
        <f t="shared" ca="1" si="107"/>
        <v>0</v>
      </c>
      <c r="H64">
        <f t="shared" ca="1" si="108"/>
        <v>0</v>
      </c>
      <c r="I64">
        <f t="shared" ca="1" si="109"/>
        <v>1</v>
      </c>
      <c r="J64">
        <f t="shared" ca="1" si="101"/>
        <v>0</v>
      </c>
      <c r="K64">
        <f ca="1">IF(OR($C64="S",$C64=0),0,MATCH(OFFSET($D64,0,$C64)+IF($C64&lt;&gt;1,1,COUNTIF(QCI!$A$13:$A$24,ORÇAMENTO!E64)),OFFSET($D64,1,$C64,ROW($C$131)-ROW($C64)),0))</f>
        <v>0</v>
      </c>
      <c r="L64" s="116" t="str">
        <f t="shared" ca="1" si="110"/>
        <v>F</v>
      </c>
      <c r="M64" s="117" t="s">
        <v>197</v>
      </c>
      <c r="N64" s="118" t="str">
        <f t="shared" ca="1" si="111"/>
        <v>Serviço</v>
      </c>
      <c r="O64" s="119" t="str">
        <f t="shared" ca="1" si="112"/>
        <v>1.7.0.0.1.</v>
      </c>
      <c r="P64" s="120" t="s">
        <v>939</v>
      </c>
      <c r="Q64" s="121" t="s">
        <v>989</v>
      </c>
      <c r="R64" s="122" t="str">
        <f ca="1">IF($C64="S",REFERENCIA.Descricao,"(digite a descrição aqui)")</f>
        <v>JANELA RETANGULAR FIXA EM ALUMÍNIO BRANCO 60 X 90 CM COM GUARNIÇÃO EM PRETA E VIDRO FIXO INCOLOR 4 MM. INCLUSO FORNECIMENTO E INSTALAÇÃO</v>
      </c>
      <c r="S64" s="123" t="str">
        <f ca="1">REFERENCIA.Unidade</f>
        <v>M2</v>
      </c>
      <c r="T64" s="124">
        <f ca="1">OFFSET(CÁLCULO!H$15,ROW($T64)-ROW(T$15),0)</f>
        <v>34.56</v>
      </c>
      <c r="U64" s="125">
        <f t="shared" ca="1" si="17"/>
        <v>834.79</v>
      </c>
      <c r="V64" s="126" t="s">
        <v>155</v>
      </c>
      <c r="W64" s="124">
        <f ca="1">IF($C64="S",ROUND(IF(TIPOORCAMENTO="Proposto",ORÇAMENTO.CustoUnitario*(1+$AH64),ORÇAMENTO.PrecoUnitarioLicitado),15-13*$AF$10),0)</f>
        <v>1036.81</v>
      </c>
      <c r="X64" s="127">
        <f ca="1">IF($C64="S",IF(OR(Import.TipoArredondamento&lt;&gt;"TransfereGOV",ACOMPANHAMENTO="BM"),VTOTAL1,SUM(OFFSET(CÁLCULO!$AI$15,ROW($X64)-ROW($X$15),1):OFFSET(CÁLCULO!$BB$15,ROW($X64)-ROW($X$15),-1))),IF($C64=0,0,ROUND(SomaAgrup,15-13*$AF$11)))</f>
        <v>35832.15</v>
      </c>
      <c r="Y64" s="128" t="s">
        <v>243</v>
      </c>
      <c r="Z64" t="str">
        <f t="shared" ca="1" si="113"/>
        <v>RA</v>
      </c>
      <c r="AA64" s="129">
        <f ca="1">IF($C64="S",IF($Z64="CP",$X64,IF($Z64="RA",(($X64)*QCI!$AA$3),0)),SomaAgrup)</f>
        <v>35832.15</v>
      </c>
      <c r="AB64" s="130">
        <f t="shared" ca="1" si="114"/>
        <v>0</v>
      </c>
      <c r="AC64" s="619" t="str">
        <f ca="1">IF($N64=""," ",
IF(AND($C64&lt;&gt;"S",OR($R64="",$R64="(digite a descrição aqui)")),"DESCRIÇÃO",
IF(AND($C64="S",OR($Q64&lt;&gt;0,$T64&gt;0,$U64&gt;0),$P64=0),"FONTE",
IF(AND($C64="S",$P64&lt;&gt;0,OR($T64&gt;0,$U64&gt;0),$Q64=0),"CÓDIGO",
IF(AND($C64="S",$P64&lt;&gt;0,$Q64&lt;&gt;0,$R64="(Código não identificado nas referências)"),"CÓDIGO N/ID",
IF(AND($C64="S",OR($R64="",$R64="(digite a descrição aqui)"),OR($Q64&lt;&gt;0,$T64&gt;0,$U64&gt;0)),"DESCRIÇÃO",
IF(AND($C64="S",$P64&lt;&gt;0,$Q64&lt;&gt;0,$S64=""),"UNIDADE",
IF(AND($C64="S",$P64&lt;&gt;0,$Q64&lt;&gt;0,$U64=0),"SEM CUSTO",
IF(AND(TIPOORCAMENTO="Licitado",$AL64=0,$AN64&gt;0),"SEM PREÇO",
IF(AND($C64="S",$P64&lt;&gt;0,$Q64&lt;&gt;0,$U64&gt;0,$V64=0),"BDI",
IF(OR(AND(TIPOORCAMENTO="Proposto",$AG64&lt;&gt;"",$AG64&gt;0,ORÇAMENTO.CustoUnitario&gt;$AG64),AND(TIPOORCAMENTO="LICITADO",ORÇAMENTO.PrecoUnitarioLicitado&gt;$AN64)),"ACIMA REF.",
IF(AND($C64="S",$P64&lt;&gt;0,$Q64&lt;&gt;0,$T64=0,$U64&gt;0),"QUANT.",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f ca="1">IF(AND($C64="S",ORÇAMENTO.CodBarra&lt;&gt;""),IF(ORÇAMENTO.Fonte="",ORÇAMENTO.CodBarra,CONCATENATE(ORÇAMENTO.Fonte," ",ORÇAMENTO.CodBarra)))</f>
        <v>Composição Amauc 113</v>
      </c>
      <c r="AF64" s="13">
        <f ca="1">IF(ISERROR(INDIRECT(ORÇAMENTO.BancoRef)),"(abra o arquivo 'Referência "&amp;Excel_BuiltIn_Database&amp;".xlsm)",IF(OR($C64&lt;&gt;"S",ORÇAMENTO.CodBarra=""),"(Sem Código)",IF(ISERROR(MATCH($AE64,INDIRECT(ORÇAMENTO.BancoRef),0)),"(Código não identificado nas referências)",MATCH($AE64,INDIRECT(ORÇAMENTO.BancoRef),0))))</f>
        <v>83</v>
      </c>
      <c r="AG64" s="453">
        <f ca="1">ROUND(IF(DESONERACAO="sim",REFERENCIA.Desonerado,REFERENCIA.NaoDesonerado),2)</f>
        <v>834.79</v>
      </c>
      <c r="AH64" s="454">
        <f t="shared" ca="1" si="115"/>
        <v>0.24199999999999999</v>
      </c>
      <c r="AJ64" s="456"/>
      <c r="AL64" s="471"/>
      <c r="AM64" s="348">
        <f t="shared" ca="1" si="116"/>
        <v>35832.15</v>
      </c>
      <c r="AN64" s="504">
        <f t="shared" ca="1" si="117"/>
        <v>1036.81</v>
      </c>
    </row>
    <row r="65" spans="1:40" x14ac:dyDescent="0.2">
      <c r="A65">
        <f t="shared" si="102"/>
        <v>2</v>
      </c>
      <c r="B65">
        <f t="shared" ca="1" si="103"/>
        <v>2</v>
      </c>
      <c r="C65">
        <f t="shared" ca="1" si="104"/>
        <v>2</v>
      </c>
      <c r="D65">
        <f t="shared" ca="1" si="105"/>
        <v>5</v>
      </c>
      <c r="E65">
        <f ca="1">IF($C65=1,OFFSET(E65,-1,0)+MAX(1,COUNTIF(QCI!$A$13:$A$24,OFFSET(ORÇAMENTO!E65,-1,0))),OFFSET(E65,-1,0))</f>
        <v>1</v>
      </c>
      <c r="F65">
        <f t="shared" ca="1" si="106"/>
        <v>8</v>
      </c>
      <c r="G65">
        <f t="shared" ca="1" si="107"/>
        <v>0</v>
      </c>
      <c r="H65">
        <f t="shared" ca="1" si="108"/>
        <v>0</v>
      </c>
      <c r="I65">
        <f t="shared" ca="1" si="109"/>
        <v>0</v>
      </c>
      <c r="J65">
        <f t="shared" ca="1" si="101"/>
        <v>66</v>
      </c>
      <c r="K65">
        <f ca="1">IF(OR($C65="S",$C65=0),0,MATCH(OFFSET($D65,0,$C65)+IF($C65&lt;&gt;1,1,COUNTIF(QCI!$A$13:$A$24,ORÇAMENTO!E65)),OFFSET($D65,1,$C65,ROW($C$131)-ROW($C65)),0))</f>
        <v>5</v>
      </c>
      <c r="L65" s="116" t="str">
        <f t="shared" ca="1" si="110"/>
        <v>F</v>
      </c>
      <c r="M65" s="117" t="s">
        <v>194</v>
      </c>
      <c r="N65" s="118" t="str">
        <f t="shared" ca="1" si="111"/>
        <v>Nível 2</v>
      </c>
      <c r="O65" s="119" t="str">
        <f t="shared" ca="1" si="112"/>
        <v>1.8.</v>
      </c>
      <c r="P65" s="120"/>
      <c r="Q65" s="121"/>
      <c r="R65" s="122" t="s">
        <v>941</v>
      </c>
      <c r="S65" s="123" t="str">
        <f ca="1">REFERENCIA.Unidade</f>
        <v>-</v>
      </c>
      <c r="T65" s="124">
        <f ca="1">OFFSET(CÁLCULO!H$15,ROW($T65)-ROW(T$15),0)</f>
        <v>0</v>
      </c>
      <c r="U65" s="125">
        <f t="shared" ca="1" si="17"/>
        <v>0</v>
      </c>
      <c r="V65" s="126" t="s">
        <v>155</v>
      </c>
      <c r="W65" s="124">
        <f ca="1">IF($C65="S",ROUND(IF(TIPOORCAMENTO="Proposto",ORÇAMENTO.CustoUnitario*(1+$AH65),ORÇAMENTO.PrecoUnitarioLicitado),15-13*$AF$10),0)</f>
        <v>0</v>
      </c>
      <c r="X65" s="127">
        <f ca="1">IF($C65="S",IF(OR(Import.TipoArredondamento&lt;&gt;"TransfereGOV",ACOMPANHAMENTO="BM"),VTOTAL1,SUM(OFFSET(CÁLCULO!$AI$15,ROW($X65)-ROW($X$15),1):OFFSET(CÁLCULO!$BB$15,ROW($X65)-ROW($X$15),-1))),IF($C65=0,0,ROUND(SomaAgrup,15-13*$AF$11)))</f>
        <v>15539.26</v>
      </c>
      <c r="Y65" s="128" t="s">
        <v>243</v>
      </c>
      <c r="Z65" t="str">
        <f t="shared" ca="1" si="113"/>
        <v/>
      </c>
      <c r="AA65" s="129">
        <f ca="1">IF($C65="S",IF($Z65="CP",$X65,IF($Z65="RA",(($X65)*QCI!$AA$3),0)),SomaAgrup)</f>
        <v>15539.26</v>
      </c>
      <c r="AB65" s="130">
        <f t="shared" ca="1" si="114"/>
        <v>0</v>
      </c>
      <c r="AC65" s="619" t="str">
        <f ca="1">IF($N65=""," ",
IF(AND($C65&lt;&gt;"S",OR($R65="",$R65="(digite a descrição aqui)")),"DESCRIÇÃO",
IF(AND($C65="S",OR($Q65&lt;&gt;0,$T65&gt;0,$U65&gt;0),$P65=0),"FONTE",
IF(AND($C65="S",$P65&lt;&gt;0,OR($T65&gt;0,$U65&gt;0),$Q65=0),"CÓDIGO",
IF(AND($C65="S",$P65&lt;&gt;0,$Q65&lt;&gt;0,$R65="(Código não identificado nas referências)"),"CÓDIGO N/ID",
IF(AND($C65="S",OR($R65="",$R65="(digite a descrição aqui)"),OR($Q65&lt;&gt;0,$T65&gt;0,$U65&gt;0)),"DESCRIÇÃO",
IF(AND($C65="S",$P65&lt;&gt;0,$Q65&lt;&gt;0,$S65=""),"UNIDADE",
IF(AND($C65="S",$P65&lt;&gt;0,$Q65&lt;&gt;0,$U65=0),"SEM CUSTO",
IF(AND(TIPOORCAMENTO="Licitado",$AL65=0,$AN65&gt;0),"SEM PREÇO",
IF(AND($C65="S",$P65&lt;&gt;0,$Q65&lt;&gt;0,$U65&gt;0,$V65=0),"BDI",
IF(OR(AND(TIPOORCAMENTO="Proposto",$AG65&lt;&gt;"",$AG65&gt;0,ORÇAMENTO.CustoUnitario&gt;$AG65),AND(TIPOORCAMENTO="LICITADO",ORÇAMENTO.PrecoUnitarioLicitado&gt;$AN65)),"ACIMA REF.",
IF(AND($C65="S",$P65&lt;&gt;0,$Q65&lt;&gt;0,$T65=0,$U65&gt;0),"QUANT.",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f ca="1">IF(C65&lt;=CRONO.NivelExibicao,MAX($AD$15:OFFSET(AD65,-1,0))+IF($C65&lt;&gt;1,1,MAX(1,COUNTIF(QCI!$A$13:$A$24,OFFSET($E65,-1,0)))),"")</f>
        <v>9</v>
      </c>
      <c r="AE65" s="7" t="b">
        <f ca="1">IF(AND($C65="S",ORÇAMENTO.CodBarra&lt;&gt;""),IF(ORÇAMENTO.Fonte="",ORÇAMENTO.CodBarra,CONCATENATE(ORÇAMENTO.Fonte," ",ORÇAMENTO.CodBarra)))</f>
        <v>0</v>
      </c>
      <c r="AF65" s="13" t="str">
        <f ca="1">IF(ISERROR(INDIRECT(ORÇAMENTO.BancoRef)),"(abra o arquivo 'Referência "&amp;Excel_BuiltIn_Database&amp;".xlsm)",IF(OR($C65&lt;&gt;"S",ORÇAMENTO.CodBarra=""),"(Sem Código)",IF(ISERROR(MATCH($AE65,INDIRECT(ORÇAMENTO.BancoRef),0)),"(Código não identificado nas referências)",MATCH($AE65,INDIRECT(ORÇAMENTO.BancoRef),0))))</f>
        <v>(Sem Código)</v>
      </c>
      <c r="AG65" s="453">
        <f ca="1">ROUND(IF(DESONERACAO="sim",REFERENCIA.Desonerado,REFERENCIA.NaoDesonerado),2)</f>
        <v>0</v>
      </c>
      <c r="AH65" s="454">
        <f t="shared" ca="1" si="115"/>
        <v>0.24199999999999999</v>
      </c>
      <c r="AJ65" s="456"/>
      <c r="AL65" s="471"/>
      <c r="AM65" s="348">
        <f t="shared" ca="1" si="116"/>
        <v>15539.26</v>
      </c>
      <c r="AN65" s="504">
        <f t="shared" ca="1" si="117"/>
        <v>0</v>
      </c>
    </row>
    <row r="66" spans="1:40" ht="25.5" x14ac:dyDescent="0.2">
      <c r="A66" t="str">
        <f t="shared" si="102"/>
        <v>S</v>
      </c>
      <c r="B66">
        <f t="shared" ca="1" si="103"/>
        <v>2</v>
      </c>
      <c r="C66" t="str">
        <f t="shared" ca="1" si="104"/>
        <v>S</v>
      </c>
      <c r="D66">
        <f t="shared" ca="1" si="105"/>
        <v>0</v>
      </c>
      <c r="E66">
        <f ca="1">IF($C66=1,OFFSET(E66,-1,0)+MAX(1,COUNTIF(QCI!$A$13:$A$24,OFFSET(ORÇAMENTO!E66,-1,0))),OFFSET(E66,-1,0))</f>
        <v>1</v>
      </c>
      <c r="F66">
        <f t="shared" ca="1" si="106"/>
        <v>8</v>
      </c>
      <c r="G66">
        <f t="shared" ca="1" si="107"/>
        <v>0</v>
      </c>
      <c r="H66">
        <f t="shared" ca="1" si="108"/>
        <v>0</v>
      </c>
      <c r="I66">
        <f t="shared" ca="1" si="109"/>
        <v>1</v>
      </c>
      <c r="J66">
        <f t="shared" ca="1" si="101"/>
        <v>0</v>
      </c>
      <c r="K66">
        <f ca="1">IF(OR($C66="S",$C66=0),0,MATCH(OFFSET($D66,0,$C66)+IF($C66&lt;&gt;1,1,COUNTIF(QCI!$A$13:$A$24,ORÇAMENTO!E66)),OFFSET($D66,1,$C66,ROW($C$131)-ROW($C66)),0))</f>
        <v>0</v>
      </c>
      <c r="L66" s="116" t="str">
        <f t="shared" ca="1" si="110"/>
        <v>F</v>
      </c>
      <c r="M66" s="117" t="s">
        <v>197</v>
      </c>
      <c r="N66" s="118" t="str">
        <f t="shared" ca="1" si="111"/>
        <v>Serviço</v>
      </c>
      <c r="O66" s="119" t="str">
        <f t="shared" ca="1" si="112"/>
        <v>1.8.0.0.1.</v>
      </c>
      <c r="P66" s="120" t="s">
        <v>245</v>
      </c>
      <c r="Q66" s="121" t="s">
        <v>1077</v>
      </c>
      <c r="R66" s="122" t="str">
        <f ca="1">IF($C66="S",REFERENCIA.Descricao,"(digite a descrição aqui)")</f>
        <v>EMASSAMENTO COM MASSA LÁTEX, APLICAÇÃO EM PAREDE, DUAS DEMÃOS, LIXAMENTO MANUAL. AF_04/2023</v>
      </c>
      <c r="S66" s="123" t="str">
        <f ca="1">REFERENCIA.Unidade</f>
        <v>M2</v>
      </c>
      <c r="T66" s="124">
        <f ca="1">OFFSET(CÁLCULO!H$15,ROW($T66)-ROW(T$15),0)</f>
        <v>311.29000000000002</v>
      </c>
      <c r="U66" s="125">
        <f t="shared" ca="1" si="17"/>
        <v>21.58</v>
      </c>
      <c r="V66" s="126" t="s">
        <v>155</v>
      </c>
      <c r="W66" s="124">
        <f ca="1">IF($C66="S",ROUND(IF(TIPOORCAMENTO="Proposto",ORÇAMENTO.CustoUnitario*(1+$AH66),ORÇAMENTO.PrecoUnitarioLicitado),15-13*$AF$10),0)</f>
        <v>26.8</v>
      </c>
      <c r="X66" s="127">
        <f ca="1">IF($C66="S",IF(OR(Import.TipoArredondamento&lt;&gt;"TransfereGOV",ACOMPANHAMENTO="BM"),VTOTAL1,SUM(OFFSET(CÁLCULO!$AI$15,ROW($X66)-ROW($X$15),1):OFFSET(CÁLCULO!$BB$15,ROW($X66)-ROW($X$15),-1))),IF($C66=0,0,ROUND(SomaAgrup,15-13*$AF$11)))</f>
        <v>8342.57</v>
      </c>
      <c r="Y66" s="128" t="s">
        <v>243</v>
      </c>
      <c r="Z66" t="str">
        <f t="shared" ca="1" si="113"/>
        <v>RA</v>
      </c>
      <c r="AA66" s="129">
        <f ca="1">IF($C66="S",IF($Z66="CP",$X66,IF($Z66="RA",(($X66)*QCI!$AA$3),0)),SomaAgrup)</f>
        <v>8342.57</v>
      </c>
      <c r="AB66" s="130">
        <f t="shared" ca="1" si="114"/>
        <v>0</v>
      </c>
      <c r="AC66" s="619" t="str">
        <f ca="1">IF($N66=""," ",
IF(AND($C66&lt;&gt;"S",OR($R66="",$R66="(digite a descrição aqui)")),"DESCRIÇÃO",
IF(AND($C66="S",OR($Q66&lt;&gt;0,$T66&gt;0,$U66&gt;0),$P66=0),"FONTE",
IF(AND($C66="S",$P66&lt;&gt;0,OR($T66&gt;0,$U66&gt;0),$Q66=0),"CÓDIGO",
IF(AND($C66="S",$P66&lt;&gt;0,$Q66&lt;&gt;0,$R66="(Código não identificado nas referências)"),"CÓDIGO N/ID",
IF(AND($C66="S",OR($R66="",$R66="(digite a descrição aqui)"),OR($Q66&lt;&gt;0,$T66&gt;0,$U66&gt;0)),"DESCRIÇÃO",
IF(AND($C66="S",$P66&lt;&gt;0,$Q66&lt;&gt;0,$S66=""),"UNIDADE",
IF(AND($C66="S",$P66&lt;&gt;0,$Q66&lt;&gt;0,$U66=0),"SEM CUSTO",
IF(AND(TIPOORCAMENTO="Licitado",$AL66=0,$AN66&gt;0),"SEM PREÇO",
IF(AND($C66="S",$P66&lt;&gt;0,$Q66&lt;&gt;0,$U66&gt;0,$V66=0),"BDI",
IF(OR(AND(TIPOORCAMENTO="Proposto",$AG66&lt;&gt;"",$AG66&gt;0,ORÇAMENTO.CustoUnitario&gt;$AG66),AND(TIPOORCAMENTO="LICITADO",ORÇAMENTO.PrecoUnitarioLicitado&gt;$AN66)),"ACIMA REF.",
IF(AND($C66="S",$P66&lt;&gt;0,$Q66&lt;&gt;0,$T66=0,$U66&gt;0),"QUANT.",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f ca="1">IF(AND($C66="S",ORÇAMENTO.CodBarra&lt;&gt;""),IF(ORÇAMENTO.Fonte="",ORÇAMENTO.CodBarra,CONCATENATE(ORÇAMENTO.Fonte," ",ORÇAMENTO.CodBarra)))</f>
        <v>SINAPI 88497</v>
      </c>
      <c r="AF66" s="13">
        <f ca="1">IF(ISERROR(INDIRECT(ORÇAMENTO.BancoRef)),"(abra o arquivo 'Referência "&amp;Excel_BuiltIn_Database&amp;".xlsm)",IF(OR($C66&lt;&gt;"S",ORÇAMENTO.CodBarra=""),"(Sem Código)",IF(ISERROR(MATCH($AE66,INDIRECT(ORÇAMENTO.BancoRef),0)),"(Código não identificado nas referências)",MATCH($AE66,INDIRECT(ORÇAMENTO.BancoRef),0))))</f>
        <v>14406</v>
      </c>
      <c r="AG66" s="453">
        <f ca="1">ROUND(IF(DESONERACAO="sim",REFERENCIA.Desonerado,REFERENCIA.NaoDesonerado),2)</f>
        <v>21.58</v>
      </c>
      <c r="AH66" s="454">
        <f t="shared" ca="1" si="115"/>
        <v>0.24199999999999999</v>
      </c>
      <c r="AJ66" s="456"/>
      <c r="AL66" s="471"/>
      <c r="AM66" s="348">
        <f t="shared" ca="1" si="116"/>
        <v>8342.57</v>
      </c>
      <c r="AN66" s="504">
        <f t="shared" ca="1" si="117"/>
        <v>26.8</v>
      </c>
    </row>
    <row r="67" spans="1:40" ht="25.5" x14ac:dyDescent="0.2">
      <c r="A67" t="str">
        <f t="shared" ref="A67:A68" si="118">CHOOSE(1+LOG(1+2*(ORÇAMENTO.Nivel="Meta")+4*(ORÇAMENTO.Nivel="Nível 2")+8*(ORÇAMENTO.Nivel="Nível 3")+16*(ORÇAMENTO.Nivel="Nível 4")+32*(ORÇAMENTO.Nivel="Serviço"),2),0,1,2,3,4,"S")</f>
        <v>S</v>
      </c>
      <c r="B67">
        <f ca="1">IF(OR(C67="s",C67=0),OFFSET(B67,-1,0),C67)</f>
        <v>2</v>
      </c>
      <c r="C67" t="str">
        <f ca="1">IF(OFFSET(C67,-1,0)="L",1,IF(OFFSET(C67,-1,0)=1,2,IF(OR(A67="s",A67=0),"S",IF(AND(OFFSET(C67,-1,0)=2,A67=4),3,IF(AND(OR(OFFSET(C67,-1,0)="s",OFFSET(C67,-1,0)=0),A67&lt;&gt;"s",A67&gt;OFFSET(B67,-1,0)),OFFSET(B67,-1,0),A67)))))</f>
        <v>S</v>
      </c>
      <c r="D67">
        <f ca="1">IF(OR(C67="S",C67=0),0,IF(ISERROR(K67),J67,SMALL(J67:K67,1)))</f>
        <v>0</v>
      </c>
      <c r="E67">
        <f ca="1">IF($C67=1,OFFSET(E67,-1,0)+MAX(1,COUNTIF(QCI!$A$13:$A$24,OFFSET(ORÇAMENTO!E67,-1,0))),OFFSET(E67,-1,0))</f>
        <v>1</v>
      </c>
      <c r="F67">
        <f ca="1">IF($C67=1,0,IF($C67=2,OFFSET(F67,-1,0)+1,OFFSET(F67,-1,0)))</f>
        <v>8</v>
      </c>
      <c r="G67">
        <f ca="1">IF(AND($C67&lt;=2,$C67&lt;&gt;0),0,IF($C67=3,OFFSET(G67,-1,0)+1,OFFSET(G67,-1,0)))</f>
        <v>0</v>
      </c>
      <c r="H67">
        <f ca="1">IF(AND($C67&lt;=3,$C67&lt;&gt;0),0,IF($C67=4,OFFSET(H67,-1,0)+1,OFFSET(H67,-1,0)))</f>
        <v>0</v>
      </c>
      <c r="I67">
        <f ca="1">IF(AND($C67&lt;=4,$C67&lt;&gt;0),0,IF(AND($C67="S",$X67&gt;0),OFFSET(I67,-1,0)+1,OFFSET(I67,-1,0)))</f>
        <v>2</v>
      </c>
      <c r="J67">
        <f t="shared" ca="1" si="101"/>
        <v>0</v>
      </c>
      <c r="K67">
        <f ca="1">IF(OR($C67="S",$C67=0),0,MATCH(OFFSET($D67,0,$C67)+IF($C67&lt;&gt;1,1,COUNTIF(QCI!$A$13:$A$24,ORÇAMENTO!E67)),OFFSET($D67,1,$C67,ROW($C$131)-ROW($C67)),0))</f>
        <v>0</v>
      </c>
      <c r="L67" s="116" t="str">
        <f ca="1">IF(OR($X67&gt;0,$C67=1,$C67=2,$C67=3,$C67=4),"F","")</f>
        <v>F</v>
      </c>
      <c r="M67" s="117" t="s">
        <v>197</v>
      </c>
      <c r="N67" s="118" t="str">
        <f ca="1">CHOOSE(1+LOG(1+2*(C67=1)+4*(C67=2)+8*(C67=3)+16*(C67=4)+32*(C67="S"),2),"","Meta","Nível 2","Nível 3","Nível 4","Serviço")</f>
        <v>Serviço</v>
      </c>
      <c r="O67" s="119" t="str">
        <f ca="1">IF(OR($C67=0,$L67=""),"-",CONCATENATE(E67&amp;".",IF(AND($A$5&gt;=2,$C67&gt;=2),F67&amp;".",""),IF(AND($A$5&gt;=3,$C67&gt;=3),G67&amp;".",""),IF(AND($A$5&gt;=4,$C67&gt;=4),H67&amp;".",""),IF($C67="S",I67&amp;".","")))</f>
        <v>1.8.0.0.2.</v>
      </c>
      <c r="P67" s="120" t="s">
        <v>245</v>
      </c>
      <c r="Q67" s="121" t="s">
        <v>1078</v>
      </c>
      <c r="R67" s="122" t="str">
        <f ca="1">IF($C67="S",REFERENCIA.Descricao,"(digite a descrição aqui)")</f>
        <v>APLICAÇÃO MANUAL DE FUNDO SELADOR ACRÍLICO EM PAREDES EXTERNAS DE CASAS. AF_03/2024</v>
      </c>
      <c r="S67" s="123" t="str">
        <f ca="1">REFERENCIA.Unidade</f>
        <v>M2</v>
      </c>
      <c r="T67" s="124">
        <f ca="1">OFFSET(CÁLCULO!H$15,ROW($T67)-ROW(T$15),0)</f>
        <v>311.29000000000002</v>
      </c>
      <c r="U67" s="125">
        <f t="shared" ca="1" si="17"/>
        <v>4.5599999999999996</v>
      </c>
      <c r="V67" s="126" t="s">
        <v>155</v>
      </c>
      <c r="W67" s="124">
        <f ca="1">IF($C67="S",ROUND(IF(TIPOORCAMENTO="Proposto",ORÇAMENTO.CustoUnitario*(1+$AH67),ORÇAMENTO.PrecoUnitarioLicitado),15-13*$AF$10),0)</f>
        <v>5.66</v>
      </c>
      <c r="X67" s="127">
        <f ca="1">IF($C67="S",IF(OR(Import.TipoArredondamento&lt;&gt;"TransfereGOV",ACOMPANHAMENTO="BM"),VTOTAL1,SUM(OFFSET(CÁLCULO!$AI$15,ROW($X67)-ROW($X$15),1):OFFSET(CÁLCULO!$BB$15,ROW($X67)-ROW($X$15),-1))),IF($C67=0,0,ROUND(SomaAgrup,15-13*$AF$11)))</f>
        <v>1761.9</v>
      </c>
      <c r="Y67" s="128" t="s">
        <v>243</v>
      </c>
      <c r="Z67" t="str">
        <f ca="1">IF(AND($C67="S",$X67&gt;0),IF(ISBLANK($Y67),"RA",LEFT($Y67,2)),"")</f>
        <v>RA</v>
      </c>
      <c r="AA67" s="129">
        <f ca="1">IF($C67="S",IF($Z67="CP",$X67,IF($Z67="RA",(($X67)*QCI!$AA$3),0)),SomaAgrup)</f>
        <v>1761.9</v>
      </c>
      <c r="AB67" s="130">
        <f t="shared" ref="AB67:AB68" ca="1" si="119">IF($C67="S",IF($Z67="OU",ROUND($X67,2),0),SomaAgrup)</f>
        <v>0</v>
      </c>
      <c r="AC67" s="619" t="str">
        <f ca="1">IF($N67=""," ",
IF(AND($C67&lt;&gt;"S",OR($R67="",$R67="(digite a descrição aqui)")),"DESCRIÇÃO",
IF(AND($C67="S",OR($Q67&lt;&gt;0,$T67&gt;0,$U67&gt;0),$P67=0),"FONTE",
IF(AND($C67="S",$P67&lt;&gt;0,OR($T67&gt;0,$U67&gt;0),$Q67=0),"CÓDIGO",
IF(AND($C67="S",$P67&lt;&gt;0,$Q67&lt;&gt;0,$R67="(Código não identificado nas referências)"),"CÓDIGO N/ID",
IF(AND($C67="S",OR($R67="",$R67="(digite a descrição aqui)"),OR($Q67&lt;&gt;0,$T67&gt;0,$U67&gt;0)),"DESCRIÇÃO",
IF(AND($C67="S",$P67&lt;&gt;0,$Q67&lt;&gt;0,$S67=""),"UNIDADE",
IF(AND($C67="S",$P67&lt;&gt;0,$Q67&lt;&gt;0,$U67=0),"SEM CUSTO",
IF(AND(TIPOORCAMENTO="Licitado",$AL67=0,$AN67&gt;0),"SEM PREÇO",
IF(AND($C67="S",$P67&lt;&gt;0,$Q67&lt;&gt;0,$U67&gt;0,$V67=0),"BDI",
IF(OR(AND(TIPOORCAMENTO="Proposto",$AG67&lt;&gt;"",$AG67&gt;0,ORÇAMENTO.CustoUnitario&gt;$AG67),AND(TIPOORCAMENTO="LICITADO",ORÇAMENTO.PrecoUnitarioLicitado&gt;$AN67)),"ACIMA REF.",
IF(AND($C67="S",$P67&lt;&gt;0,$Q67&lt;&gt;0,$T67=0,$U67&gt;0),"QUANT.",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f ca="1">IF(AND($C67="S",ORÇAMENTO.CodBarra&lt;&gt;""),IF(ORÇAMENTO.Fonte="",ORÇAMENTO.CodBarra,CONCATENATE(ORÇAMENTO.Fonte," ",ORÇAMENTO.CodBarra)))</f>
        <v>SINAPI 88415</v>
      </c>
      <c r="AF67" s="13">
        <f ca="1">IF(ISERROR(INDIRECT(ORÇAMENTO.BancoRef)),"(abra o arquivo 'Referência "&amp;Excel_BuiltIn_Database&amp;".xlsm)",IF(OR($C67&lt;&gt;"S",ORÇAMENTO.CodBarra=""),"(Sem Código)",IF(ISERROR(MATCH($AE67,INDIRECT(ORÇAMENTO.BancoRef),0)),"(Código não identificado nas referências)",MATCH($AE67,INDIRECT(ORÇAMENTO.BancoRef),0))))</f>
        <v>14377</v>
      </c>
      <c r="AG67" s="453">
        <f ca="1">ROUND(IF(DESONERACAO="sim",REFERENCIA.Desonerado,REFERENCIA.NaoDesonerado),2)</f>
        <v>4.5599999999999996</v>
      </c>
      <c r="AH67" s="454">
        <f t="shared" ref="AH67:AH68" ca="1" si="120">ROUND(IF(ISNUMBER(ORÇAMENTO.OpcaoBDI),ORÇAMENTO.OpcaoBDI,IF(LEFT(ORÇAMENTO.OpcaoBDI,3)="BDI",HLOOKUP(ORÇAMENTO.OpcaoBDI,$F$4:$H$5,2,FALSE),0)),15-11*$AF$9)</f>
        <v>0.24199999999999999</v>
      </c>
      <c r="AJ67" s="456"/>
      <c r="AL67" s="471"/>
      <c r="AM67" s="348">
        <f t="shared" ca="1" si="116"/>
        <v>1761.9</v>
      </c>
      <c r="AN67" s="504">
        <f t="shared" ref="AN67:AN68" ca="1" si="121">ROUND(ORÇAMENTO.CustoUnitario*(1+$AH67),2)</f>
        <v>5.66</v>
      </c>
    </row>
    <row r="68" spans="1:40" ht="25.5" x14ac:dyDescent="0.2">
      <c r="A68" t="str">
        <f t="shared" si="118"/>
        <v>S</v>
      </c>
      <c r="B68">
        <f ca="1">IF(OR(C68="s",C68=0),OFFSET(B68,-1,0),C68)</f>
        <v>2</v>
      </c>
      <c r="C68" t="str">
        <f ca="1">IF(OFFSET(C68,-1,0)="L",1,IF(OFFSET(C68,-1,0)=1,2,IF(OR(A68="s",A68=0),"S",IF(AND(OFFSET(C68,-1,0)=2,A68=4),3,IF(AND(OR(OFFSET(C68,-1,0)="s",OFFSET(C68,-1,0)=0),A68&lt;&gt;"s",A68&gt;OFFSET(B68,-1,0)),OFFSET(B68,-1,0),A68)))))</f>
        <v>S</v>
      </c>
      <c r="D68">
        <f ca="1">IF(OR(C68="S",C68=0),0,IF(ISERROR(K68),J68,SMALL(J68:K68,1)))</f>
        <v>0</v>
      </c>
      <c r="E68">
        <f ca="1">IF($C68=1,OFFSET(E68,-1,0)+MAX(1,COUNTIF(QCI!$A$13:$A$24,OFFSET(ORÇAMENTO!E68,-1,0))),OFFSET(E68,-1,0))</f>
        <v>1</v>
      </c>
      <c r="F68">
        <f ca="1">IF($C68=1,0,IF($C68=2,OFFSET(F68,-1,0)+1,OFFSET(F68,-1,0)))</f>
        <v>8</v>
      </c>
      <c r="G68">
        <f ca="1">IF(AND($C68&lt;=2,$C68&lt;&gt;0),0,IF($C68=3,OFFSET(G68,-1,0)+1,OFFSET(G68,-1,0)))</f>
        <v>0</v>
      </c>
      <c r="H68">
        <f ca="1">IF(AND($C68&lt;=3,$C68&lt;&gt;0),0,IF($C68=4,OFFSET(H68,-1,0)+1,OFFSET(H68,-1,0)))</f>
        <v>0</v>
      </c>
      <c r="I68">
        <f ca="1">IF(AND($C68&lt;=4,$C68&lt;&gt;0),0,IF(AND($C68="S",$X68&gt;0),OFFSET(I68,-1,0)+1,OFFSET(I68,-1,0)))</f>
        <v>3</v>
      </c>
      <c r="J68">
        <f t="shared" ca="1" si="101"/>
        <v>0</v>
      </c>
      <c r="K68">
        <f ca="1">IF(OR($C68="S",$C68=0),0,MATCH(OFFSET($D68,0,$C68)+IF($C68&lt;&gt;1,1,COUNTIF(QCI!$A$13:$A$24,ORÇAMENTO!E68)),OFFSET($D68,1,$C68,ROW($C$131)-ROW($C68)),0))</f>
        <v>0</v>
      </c>
      <c r="L68" s="116" t="str">
        <f ca="1">IF(OR($X68&gt;0,$C68=1,$C68=2,$C68=3,$C68=4),"F","")</f>
        <v>F</v>
      </c>
      <c r="M68" s="117" t="s">
        <v>197</v>
      </c>
      <c r="N68" s="118" t="str">
        <f ca="1">CHOOSE(1+LOG(1+2*(C68=1)+4*(C68=2)+8*(C68=3)+16*(C68=4)+32*(C68="S"),2),"","Meta","Nível 2","Nível 3","Nível 4","Serviço")</f>
        <v>Serviço</v>
      </c>
      <c r="O68" s="119" t="str">
        <f ca="1">IF(OR($C68=0,$L68=""),"-",CONCATENATE(E68&amp;".",IF(AND($A$5&gt;=2,$C68&gt;=2),F68&amp;".",""),IF(AND($A$5&gt;=3,$C68&gt;=3),G68&amp;".",""),IF(AND($A$5&gt;=4,$C68&gt;=4),H68&amp;".",""),IF($C68="S",I68&amp;".","")))</f>
        <v>1.8.0.0.3.</v>
      </c>
      <c r="P68" s="120" t="s">
        <v>245</v>
      </c>
      <c r="Q68" s="121" t="s">
        <v>1079</v>
      </c>
      <c r="R68" s="122" t="str">
        <f ca="1">IF($C68="S",REFERENCIA.Descricao,"(digite a descrição aqui)")</f>
        <v>PINTURA LÁTEX ACRÍLICA PREMIUM, APLICAÇÃO MANUAL EM PAREDES, DUAS DEMÃOS. AF_04/2023</v>
      </c>
      <c r="S68" s="123" t="str">
        <f ca="1">REFERENCIA.Unidade</f>
        <v>M2</v>
      </c>
      <c r="T68" s="124">
        <f ca="1">OFFSET(CÁLCULO!H$15,ROW($T68)-ROW(T$15),0)</f>
        <v>311.29000000000002</v>
      </c>
      <c r="U68" s="125">
        <f t="shared" ca="1" si="17"/>
        <v>13.71</v>
      </c>
      <c r="V68" s="126" t="s">
        <v>155</v>
      </c>
      <c r="W68" s="124">
        <f ca="1">IF($C68="S",ROUND(IF(TIPOORCAMENTO="Proposto",ORÇAMENTO.CustoUnitario*(1+$AH68),ORÇAMENTO.PrecoUnitarioLicitado),15-13*$AF$10),0)</f>
        <v>17.03</v>
      </c>
      <c r="X68" s="127">
        <f ca="1">IF($C68="S",IF(OR(Import.TipoArredondamento&lt;&gt;"TransfereGOV",ACOMPANHAMENTO="BM"),VTOTAL1,SUM(OFFSET(CÁLCULO!$AI$15,ROW($X68)-ROW($X$15),1):OFFSET(CÁLCULO!$BB$15,ROW($X68)-ROW($X$15),-1))),IF($C68=0,0,ROUND(SomaAgrup,15-13*$AF$11)))</f>
        <v>5301.27</v>
      </c>
      <c r="Y68" s="128" t="s">
        <v>243</v>
      </c>
      <c r="Z68" t="str">
        <f ca="1">IF(AND($C68="S",$X68&gt;0),IF(ISBLANK($Y68),"RA",LEFT($Y68,2)),"")</f>
        <v>RA</v>
      </c>
      <c r="AA68" s="129">
        <f ca="1">IF($C68="S",IF($Z68="CP",$X68,IF($Z68="RA",(($X68)*QCI!$AA$3),0)),SomaAgrup)</f>
        <v>5301.27</v>
      </c>
      <c r="AB68" s="130">
        <f t="shared" ca="1" si="119"/>
        <v>0</v>
      </c>
      <c r="AC68" s="619" t="str">
        <f ca="1">IF($N68=""," ",
IF(AND($C68&lt;&gt;"S",OR($R68="",$R68="(digite a descrição aqui)")),"DESCRIÇÃO",
IF(AND($C68="S",OR($Q68&lt;&gt;0,$T68&gt;0,$U68&gt;0),$P68=0),"FONTE",
IF(AND($C68="S",$P68&lt;&gt;0,OR($T68&gt;0,$U68&gt;0),$Q68=0),"CÓDIGO",
IF(AND($C68="S",$P68&lt;&gt;0,$Q68&lt;&gt;0,$R68="(Código não identificado nas referências)"),"CÓDIGO N/ID",
IF(AND($C68="S",OR($R68="",$R68="(digite a descrição aqui)"),OR($Q68&lt;&gt;0,$T68&gt;0,$U68&gt;0)),"DESCRIÇÃO",
IF(AND($C68="S",$P68&lt;&gt;0,$Q68&lt;&gt;0,$S68=""),"UNIDADE",
IF(AND($C68="S",$P68&lt;&gt;0,$Q68&lt;&gt;0,$U68=0),"SEM CUSTO",
IF(AND(TIPOORCAMENTO="Licitado",$AL68=0,$AN68&gt;0),"SEM PREÇO",
IF(AND($C68="S",$P68&lt;&gt;0,$Q68&lt;&gt;0,$U68&gt;0,$V68=0),"BDI",
IF(OR(AND(TIPOORCAMENTO="Proposto",$AG68&lt;&gt;"",$AG68&gt;0,ORÇAMENTO.CustoUnitario&gt;$AG68),AND(TIPOORCAMENTO="LICITADO",ORÇAMENTO.PrecoUnitarioLicitado&gt;$AN68)),"ACIMA REF.",
IF(AND($C68="S",$P68&lt;&gt;0,$Q68&lt;&gt;0,$T68=0,$U68&gt;0),"QUANT.",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f ca="1">IF(AND($C68="S",ORÇAMENTO.CodBarra&lt;&gt;""),IF(ORÇAMENTO.Fonte="",ORÇAMENTO.CodBarra,CONCATENATE(ORÇAMENTO.Fonte," ",ORÇAMENTO.CodBarra)))</f>
        <v>SINAPI 88489</v>
      </c>
      <c r="AF68" s="13">
        <f ca="1">IF(ISERROR(INDIRECT(ORÇAMENTO.BancoRef)),"(abra o arquivo 'Referência "&amp;Excel_BuiltIn_Database&amp;".xlsm)",IF(OR($C68&lt;&gt;"S",ORÇAMENTO.CodBarra=""),"(Sem Código)",IF(ISERROR(MATCH($AE68,INDIRECT(ORÇAMENTO.BancoRef),0)),"(Código não identificado nas referências)",MATCH($AE68,INDIRECT(ORÇAMENTO.BancoRef),0))))</f>
        <v>14422</v>
      </c>
      <c r="AG68" s="453">
        <f ca="1">ROUND(IF(DESONERACAO="sim",REFERENCIA.Desonerado,REFERENCIA.NaoDesonerado),2)</f>
        <v>13.71</v>
      </c>
      <c r="AH68" s="454">
        <f t="shared" ca="1" si="120"/>
        <v>0.24199999999999999</v>
      </c>
      <c r="AJ68" s="456"/>
      <c r="AL68" s="471"/>
      <c r="AM68" s="348">
        <f t="shared" ca="1" si="116"/>
        <v>5301.27</v>
      </c>
      <c r="AN68" s="504">
        <f t="shared" ca="1" si="121"/>
        <v>17.03</v>
      </c>
    </row>
    <row r="69" spans="1:40" ht="25.5" x14ac:dyDescent="0.2">
      <c r="A69" t="str">
        <f>CHOOSE(1+LOG(1+2*(ORÇAMENTO.Nivel="Meta")+4*(ORÇAMENTO.Nivel="Nível 2")+8*(ORÇAMENTO.Nivel="Nível 3")+16*(ORÇAMENTO.Nivel="Nível 4")+32*(ORÇAMENTO.Nivel="Serviço"),2),0,1,2,3,4,"S")</f>
        <v>S</v>
      </c>
      <c r="B69">
        <f ca="1">IF(OR(C69="s",C69=0),OFFSET(B69,-1,0),C69)</f>
        <v>2</v>
      </c>
      <c r="C69" t="str">
        <f ca="1">IF(OFFSET(C69,-1,0)="L",1,IF(OFFSET(C69,-1,0)=1,2,IF(OR(A69="s",A69=0),"S",IF(AND(OFFSET(C69,-1,0)=2,A69=4),3,IF(AND(OR(OFFSET(C69,-1,0)="s",OFFSET(C69,-1,0)=0),A69&lt;&gt;"s",A69&gt;OFFSET(B69,-1,0)),OFFSET(B69,-1,0),A69)))))</f>
        <v>S</v>
      </c>
      <c r="D69">
        <f ca="1">IF(OR(C69="S",C69=0),0,IF(ISERROR(K69),J69,SMALL(J69:K69,1)))</f>
        <v>0</v>
      </c>
      <c r="E69">
        <f ca="1">IF($C69=1,OFFSET(E69,-1,0)+MAX(1,COUNTIF(QCI!$A$13:$A$24,OFFSET(ORÇAMENTO!E69,-1,0))),OFFSET(E69,-1,0))</f>
        <v>1</v>
      </c>
      <c r="F69">
        <f ca="1">IF($C69=1,0,IF($C69=2,OFFSET(F69,-1,0)+1,OFFSET(F69,-1,0)))</f>
        <v>8</v>
      </c>
      <c r="G69">
        <f ca="1">IF(AND($C69&lt;=2,$C69&lt;&gt;0),0,IF($C69=3,OFFSET(G69,-1,0)+1,OFFSET(G69,-1,0)))</f>
        <v>0</v>
      </c>
      <c r="H69">
        <f ca="1">IF(AND($C69&lt;=3,$C69&lt;&gt;0),0,IF($C69=4,OFFSET(H69,-1,0)+1,OFFSET(H69,-1,0)))</f>
        <v>0</v>
      </c>
      <c r="I69">
        <f ca="1">IF(AND($C69&lt;=4,$C69&lt;&gt;0),0,IF(AND($C69="S",$X69&gt;0),OFFSET(I69,-1,0)+1,OFFSET(I69,-1,0)))</f>
        <v>4</v>
      </c>
      <c r="J69">
        <f t="shared" ca="1" si="101"/>
        <v>0</v>
      </c>
      <c r="K69">
        <f ca="1">IF(OR($C69="S",$C69=0),0,MATCH(OFFSET($D69,0,$C69)+IF($C69&lt;&gt;1,1,COUNTIF(QCI!$A$13:$A$24,ORÇAMENTO!E69)),OFFSET($D69,1,$C69,ROW($C$131)-ROW($C69)),0))</f>
        <v>0</v>
      </c>
      <c r="L69" s="116" t="str">
        <f ca="1">IF(OR($X69&gt;0,$C69=1,$C69=2,$C69=3,$C69=4),"F","")</f>
        <v>F</v>
      </c>
      <c r="M69" s="117" t="s">
        <v>197</v>
      </c>
      <c r="N69" s="118" t="str">
        <f ca="1">CHOOSE(1+LOG(1+2*(C69=1)+4*(C69=2)+8*(C69=3)+16*(C69=4)+32*(C69="S"),2),"","Meta","Nível 2","Nível 3","Nível 4","Serviço")</f>
        <v>Serviço</v>
      </c>
      <c r="O69" s="119" t="str">
        <f ca="1">IF(OR($C69=0,$L69=""),"-",CONCATENATE(E69&amp;".",IF(AND($A$5&gt;=2,$C69&gt;=2),F69&amp;".",""),IF(AND($A$5&gt;=3,$C69&gt;=3),G69&amp;".",""),IF(AND($A$5&gt;=4,$C69&gt;=4),H69&amp;".",""),IF($C69="S",I69&amp;".","")))</f>
        <v>1.8.0.0.4.</v>
      </c>
      <c r="P69" s="120" t="s">
        <v>245</v>
      </c>
      <c r="Q69" s="121" t="s">
        <v>1079</v>
      </c>
      <c r="R69" s="122" t="str">
        <f ca="1">IF($C69="S",REFERENCIA.Descricao,"(digite a descrição aqui)")</f>
        <v>PINTURA LÁTEX ACRÍLICA PREMIUM, APLICAÇÃO MANUAL EM PAREDES, DUAS DEMÃOS. AF_04/2023</v>
      </c>
      <c r="S69" s="123" t="str">
        <f ca="1">REFERENCIA.Unidade</f>
        <v>M2</v>
      </c>
      <c r="T69" s="124">
        <f ca="1">OFFSET(CÁLCULO!H$15,ROW($T69)-ROW(T$15),0)</f>
        <v>7.84</v>
      </c>
      <c r="U69" s="125">
        <f t="shared" ca="1" si="17"/>
        <v>13.71</v>
      </c>
      <c r="V69" s="126" t="s">
        <v>155</v>
      </c>
      <c r="W69" s="124">
        <f ca="1">IF($C69="S",ROUND(IF(TIPOORCAMENTO="Proposto",ORÇAMENTO.CustoUnitario*(1+$AH69),ORÇAMENTO.PrecoUnitarioLicitado),15-13*$AF$10),0)</f>
        <v>17.03</v>
      </c>
      <c r="X69" s="127">
        <f ca="1">IF($C69="S",IF(OR(Import.TipoArredondamento&lt;&gt;"TransfereGOV",ACOMPANHAMENTO="BM"),VTOTAL1,SUM(OFFSET(CÁLCULO!$AI$15,ROW($X69)-ROW($X$15),1):OFFSET(CÁLCULO!$BB$15,ROW($X69)-ROW($X$15),-1))),IF($C69=0,0,ROUND(SomaAgrup,15-13*$AF$11)))</f>
        <v>133.52000000000001</v>
      </c>
      <c r="Y69" s="128" t="s">
        <v>243</v>
      </c>
      <c r="Z69" t="str">
        <f ca="1">IF(AND($C69="S",$X69&gt;0),IF(ISBLANK($Y69),"RA",LEFT($Y69,2)),"")</f>
        <v>RA</v>
      </c>
      <c r="AA69" s="129">
        <f ca="1">IF($C69="S",IF($Z69="CP",$X69,IF($Z69="RA",(($X69)*QCI!$AA$3),0)),SomaAgrup)</f>
        <v>133.52000000000001</v>
      </c>
      <c r="AB69" s="130">
        <f ca="1">IF($C69="S",IF($Z69="OU",ROUND($X69,2),0),SomaAgrup)</f>
        <v>0</v>
      </c>
      <c r="AC69" s="619" t="str">
        <f ca="1">IF($N69=""," ",
IF(AND($C69&lt;&gt;"S",OR($R69="",$R69="(digite a descrição aqui)")),"DESCRIÇÃO",
IF(AND($C69="S",OR($Q69&lt;&gt;0,$T69&gt;0,$U69&gt;0),$P69=0),"FONTE",
IF(AND($C69="S",$P69&lt;&gt;0,OR($T69&gt;0,$U69&gt;0),$Q69=0),"CÓDIGO",
IF(AND($C69="S",$P69&lt;&gt;0,$Q69&lt;&gt;0,$R69="(Código não identificado nas referências)"),"CÓDIGO N/ID",
IF(AND($C69="S",OR($R69="",$R69="(digite a descrição aqui)"),OR($Q69&lt;&gt;0,$T69&gt;0,$U69&gt;0)),"DESCRIÇÃO",
IF(AND($C69="S",$P69&lt;&gt;0,$Q69&lt;&gt;0,$S69=""),"UNIDADE",
IF(AND($C69="S",$P69&lt;&gt;0,$Q69&lt;&gt;0,$U69=0),"SEM CUSTO",
IF(AND(TIPOORCAMENTO="Licitado",$AL69=0,$AN69&gt;0),"SEM PREÇO",
IF(AND($C69="S",$P69&lt;&gt;0,$Q69&lt;&gt;0,$U69&gt;0,$V69=0),"BDI",
IF(OR(AND(TIPOORCAMENTO="Proposto",$AG69&lt;&gt;"",$AG69&gt;0,ORÇAMENTO.CustoUnitario&gt;$AG69),AND(TIPOORCAMENTO="LICITADO",ORÇAMENTO.PrecoUnitarioLicitado&gt;$AN69)),"ACIMA REF.",
IF(AND($C69="S",$P69&lt;&gt;0,$Q69&lt;&gt;0,$T69=0,$U69&gt;0),"QUANT.",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f ca="1">IF(AND($C69="S",ORÇAMENTO.CodBarra&lt;&gt;""),IF(ORÇAMENTO.Fonte="",ORÇAMENTO.CodBarra,CONCATENATE(ORÇAMENTO.Fonte," ",ORÇAMENTO.CodBarra)))</f>
        <v>SINAPI 88489</v>
      </c>
      <c r="AF69" s="13">
        <f ca="1">IF(ISERROR(INDIRECT(ORÇAMENTO.BancoRef)),"(abra o arquivo 'Referência "&amp;Excel_BuiltIn_Database&amp;".xlsm)",IF(OR($C69&lt;&gt;"S",ORÇAMENTO.CodBarra=""),"(Sem Código)",IF(ISERROR(MATCH($AE69,INDIRECT(ORÇAMENTO.BancoRef),0)),"(Código não identificado nas referências)",MATCH($AE69,INDIRECT(ORÇAMENTO.BancoRef),0))))</f>
        <v>14422</v>
      </c>
      <c r="AG69" s="453">
        <f ca="1">ROUND(IF(DESONERACAO="sim",REFERENCIA.Desonerado,REFERENCIA.NaoDesonerado),2)</f>
        <v>13.71</v>
      </c>
      <c r="AH69" s="454">
        <f ca="1">ROUND(IF(ISNUMBER(ORÇAMENTO.OpcaoBDI),ORÇAMENTO.OpcaoBDI,IF(LEFT(ORÇAMENTO.OpcaoBDI,3)="BDI",HLOOKUP(ORÇAMENTO.OpcaoBDI,$F$4:$H$5,2,FALSE),0)),15-11*$AF$9)</f>
        <v>0.24199999999999999</v>
      </c>
      <c r="AJ69" s="456"/>
      <c r="AL69" s="471"/>
      <c r="AM69" s="348">
        <f t="shared" ca="1" si="116"/>
        <v>133.52000000000001</v>
      </c>
      <c r="AN69" s="504">
        <f ca="1">ROUND(ORÇAMENTO.CustoUnitario*(1+$AH69),2)</f>
        <v>17.03</v>
      </c>
    </row>
    <row r="70" spans="1:40" x14ac:dyDescent="0.2">
      <c r="A70">
        <f t="shared" ref="A70:A130" si="122">CHOOSE(1+LOG(1+2*(ORÇAMENTO.Nivel="Meta")+4*(ORÇAMENTO.Nivel="Nível 2")+8*(ORÇAMENTO.Nivel="Nível 3")+16*(ORÇAMENTO.Nivel="Nível 4")+32*(ORÇAMENTO.Nivel="Serviço"),2),0,1,2,3,4,"S")</f>
        <v>2</v>
      </c>
      <c r="B70">
        <f t="shared" ref="B70:B130" ca="1" si="123">IF(OR(C70="s",C70=0),OFFSET(B70,-1,0),C70)</f>
        <v>2</v>
      </c>
      <c r="C70">
        <f t="shared" ref="C70:C130" ca="1" si="124">IF(OFFSET(C70,-1,0)="L",1,IF(OFFSET(C70,-1,0)=1,2,IF(OR(A70="s",A70=0),"S",IF(AND(OFFSET(C70,-1,0)=2,A70=4),3,IF(AND(OR(OFFSET(C70,-1,0)="s",OFFSET(C70,-1,0)=0),A70&lt;&gt;"s",A70&gt;OFFSET(B70,-1,0)),OFFSET(B70,-1,0),A70)))))</f>
        <v>2</v>
      </c>
      <c r="D70">
        <f t="shared" ref="D70:D130" ca="1" si="125">IF(OR(C70="S",C70=0),0,IF(ISERROR(K70),J70,SMALL(J70:K70,1)))</f>
        <v>7</v>
      </c>
      <c r="E70">
        <f ca="1">IF($C70=1,OFFSET(E70,-1,0)+MAX(1,COUNTIF(QCI!$A$13:$A$24,OFFSET(ORÇAMENTO!E70,-1,0))),OFFSET(E70,-1,0))</f>
        <v>1</v>
      </c>
      <c r="F70">
        <f t="shared" ref="F70:F130" ca="1" si="126">IF($C70=1,0,IF($C70=2,OFFSET(F70,-1,0)+1,OFFSET(F70,-1,0)))</f>
        <v>9</v>
      </c>
      <c r="G70">
        <f t="shared" ref="G70:G130" ca="1" si="127">IF(AND($C70&lt;=2,$C70&lt;&gt;0),0,IF($C70=3,OFFSET(G70,-1,0)+1,OFFSET(G70,-1,0)))</f>
        <v>0</v>
      </c>
      <c r="H70">
        <f t="shared" ref="H70:H130" ca="1" si="128">IF(AND($C70&lt;=3,$C70&lt;&gt;0),0,IF($C70=4,OFFSET(H70,-1,0)+1,OFFSET(H70,-1,0)))</f>
        <v>0</v>
      </c>
      <c r="I70">
        <f t="shared" ref="I70:I130" ca="1" si="129">IF(AND($C70&lt;=4,$C70&lt;&gt;0),0,IF(AND($C70="S",$X70&gt;0),OFFSET(I70,-1,0)+1,OFFSET(I70,-1,0)))</f>
        <v>0</v>
      </c>
      <c r="J70">
        <f t="shared" ca="1" si="101"/>
        <v>61</v>
      </c>
      <c r="K70">
        <f ca="1">IF(OR($C70="S",$C70=0),0,MATCH(OFFSET($D70,0,$C70)+IF($C70&lt;&gt;1,1,COUNTIF(QCI!$A$13:$A$24,ORÇAMENTO!E70)),OFFSET($D70,1,$C70,ROW($C$131)-ROW($C70)),0))</f>
        <v>7</v>
      </c>
      <c r="L70" s="116" t="str">
        <f t="shared" ref="L70:L130" ca="1" si="130">IF(OR($X70&gt;0,$C70=1,$C70=2,$C70=3,$C70=4),"F","")</f>
        <v>F</v>
      </c>
      <c r="M70" s="117" t="s">
        <v>194</v>
      </c>
      <c r="N70" s="118" t="str">
        <f t="shared" ref="N70:N130" ca="1" si="131">CHOOSE(1+LOG(1+2*(C70=1)+4*(C70=2)+8*(C70=3)+16*(C70=4)+32*(C70="S"),2),"","Meta","Nível 2","Nível 3","Nível 4","Serviço")</f>
        <v>Nível 2</v>
      </c>
      <c r="O70" s="119" t="str">
        <f t="shared" ref="O70:O130" ca="1" si="132">IF(OR($C70=0,$L70=""),"-",CONCATENATE(E70&amp;".",IF(AND($A$5&gt;=2,$C70&gt;=2),F70&amp;".",""),IF(AND($A$5&gt;=3,$C70&gt;=3),G70&amp;".",""),IF(AND($A$5&gt;=4,$C70&gt;=4),H70&amp;".",""),IF($C70="S",I70&amp;".","")))</f>
        <v>1.9.</v>
      </c>
      <c r="P70" s="120" t="s">
        <v>245</v>
      </c>
      <c r="Q70" s="121"/>
      <c r="R70" s="122" t="s">
        <v>983</v>
      </c>
      <c r="S70" s="123" t="str">
        <f ca="1">REFERENCIA.Unidade</f>
        <v>-</v>
      </c>
      <c r="T70" s="124">
        <f ca="1">OFFSET(CÁLCULO!H$15,ROW($T70)-ROW(T$15),0)</f>
        <v>0</v>
      </c>
      <c r="U70" s="125">
        <f t="shared" ca="1" si="17"/>
        <v>0</v>
      </c>
      <c r="V70" s="126" t="s">
        <v>155</v>
      </c>
      <c r="W70" s="124">
        <f ca="1">IF($C70="S",ROUND(IF(TIPOORCAMENTO="Proposto",ORÇAMENTO.CustoUnitario*(1+$AH70),ORÇAMENTO.PrecoUnitarioLicitado),15-13*$AF$10),0)</f>
        <v>0</v>
      </c>
      <c r="X70" s="127">
        <f ca="1">IF($C70="S",IF(OR(Import.TipoArredondamento&lt;&gt;"TransfereGOV",ACOMPANHAMENTO="BM"),VTOTAL1,SUM(OFFSET(CÁLCULO!$AI$15,ROW($X70)-ROW($X$15),1):OFFSET(CÁLCULO!$BB$15,ROW($X70)-ROW($X$15),-1))),IF($C70=0,0,ROUND(SomaAgrup,15-13*$AF$11)))</f>
        <v>74775.08</v>
      </c>
      <c r="Y70" s="128" t="s">
        <v>243</v>
      </c>
      <c r="Z70" t="str">
        <f t="shared" ref="Z70:Z130" ca="1" si="133">IF(AND($C70="S",$X70&gt;0),IF(ISBLANK($Y70),"RA",LEFT($Y70,2)),"")</f>
        <v/>
      </c>
      <c r="AA70" s="129">
        <f ca="1">IF($C70="S",IF($Z70="CP",$X70,IF($Z70="RA",(($X70)*QCI!$AA$3),0)),SomaAgrup)</f>
        <v>74775.079999999987</v>
      </c>
      <c r="AB70" s="130">
        <f t="shared" ref="AB70:AB130" ca="1" si="134">IF($C70="S",IF($Z70="OU",ROUND($X70,2),0),SomaAgrup)</f>
        <v>0</v>
      </c>
      <c r="AC70" s="619" t="str">
        <f ca="1">IF($N70=""," ",
IF(AND($C70&lt;&gt;"S",OR($R70="",$R70="(digite a descrição aqui)")),"DESCRIÇÃO",
IF(AND($C70="S",OR($Q70&lt;&gt;0,$T70&gt;0,$U70&gt;0),$P70=0),"FONTE",
IF(AND($C70="S",$P70&lt;&gt;0,OR($T70&gt;0,$U70&gt;0),$Q70=0),"CÓDIGO",
IF(AND($C70="S",$P70&lt;&gt;0,$Q70&lt;&gt;0,$R70="(Código não identificado nas referências)"),"CÓDIGO N/ID",
IF(AND($C70="S",OR($R70="",$R70="(digite a descrição aqui)"),OR($Q70&lt;&gt;0,$T70&gt;0,$U70&gt;0)),"DESCRIÇÃO",
IF(AND($C70="S",$P70&lt;&gt;0,$Q70&lt;&gt;0,$S70=""),"UNIDADE",
IF(AND($C70="S",$P70&lt;&gt;0,$Q70&lt;&gt;0,$U70=0),"SEM CUSTO",
IF(AND(TIPOORCAMENTO="Licitado",$AL70=0,$AN70&gt;0),"SEM PREÇO",
IF(AND($C70="S",$P70&lt;&gt;0,$Q70&lt;&gt;0,$U70&gt;0,$V70=0),"BDI",
IF(OR(AND(TIPOORCAMENTO="Proposto",$AG70&lt;&gt;"",$AG70&gt;0,ORÇAMENTO.CustoUnitario&gt;$AG70),AND(TIPOORCAMENTO="LICITADO",ORÇAMENTO.PrecoUnitarioLicitado&gt;$AN70)),"ACIMA REF.",
IF(AND($C70="S",$P70&lt;&gt;0,$Q70&lt;&gt;0,$T70=0,$U70&gt;0),"QUANT.",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f ca="1">IF(C70&lt;=CRONO.NivelExibicao,MAX($AD$15:OFFSET(AD70,-1,0))+IF($C70&lt;&gt;1,1,MAX(1,COUNTIF(QCI!$A$13:$A$24,OFFSET($E70,-1,0)))),"")</f>
        <v>10</v>
      </c>
      <c r="AE70" s="7" t="b">
        <f ca="1">IF(AND($C70="S",ORÇAMENTO.CodBarra&lt;&gt;""),IF(ORÇAMENTO.Fonte="",ORÇAMENTO.CodBarra,CONCATENATE(ORÇAMENTO.Fonte," ",ORÇAMENTO.CodBarra)))</f>
        <v>0</v>
      </c>
      <c r="AF70" s="13" t="str">
        <f ca="1">IF(ISERROR(INDIRECT(ORÇAMENTO.BancoRef)),"(abra o arquivo 'Referência "&amp;Excel_BuiltIn_Database&amp;".xlsm)",IF(OR($C70&lt;&gt;"S",ORÇAMENTO.CodBarra=""),"(Sem Código)",IF(ISERROR(MATCH($AE70,INDIRECT(ORÇAMENTO.BancoRef),0)),"(Código não identificado nas referências)",MATCH($AE70,INDIRECT(ORÇAMENTO.BancoRef),0))))</f>
        <v>(Sem Código)</v>
      </c>
      <c r="AG70" s="453">
        <f ca="1">ROUND(IF(DESONERACAO="sim",REFERENCIA.Desonerado,REFERENCIA.NaoDesonerado),2)</f>
        <v>0</v>
      </c>
      <c r="AH70" s="454">
        <f t="shared" ref="AH70:AH130" ca="1" si="135">ROUND(IF(ISNUMBER(ORÇAMENTO.OpcaoBDI),ORÇAMENTO.OpcaoBDI,IF(LEFT(ORÇAMENTO.OpcaoBDI,3)="BDI",HLOOKUP(ORÇAMENTO.OpcaoBDI,$F$4:$H$5,2,FALSE),0)),15-11*$AF$9)</f>
        <v>0.24199999999999999</v>
      </c>
      <c r="AJ70" s="456"/>
      <c r="AL70" s="471"/>
      <c r="AM70" s="348">
        <f t="shared" ref="AM70:AM130" ca="1" si="136">$X70</f>
        <v>74775.08</v>
      </c>
      <c r="AN70" s="504">
        <f t="shared" ref="AN70:AN130" ca="1" si="137">ROUND(ORÇAMENTO.CustoUnitario*(1+$AH70),2)</f>
        <v>0</v>
      </c>
    </row>
    <row r="71" spans="1:40" ht="38.25" x14ac:dyDescent="0.2">
      <c r="A71" t="str">
        <f>CHOOSE(1+LOG(1+2*(ORÇAMENTO.Nivel="Meta")+4*(ORÇAMENTO.Nivel="Nível 2")+8*(ORÇAMENTO.Nivel="Nível 3")+16*(ORÇAMENTO.Nivel="Nível 4")+32*(ORÇAMENTO.Nivel="Serviço"),2),0,1,2,3,4,"S")</f>
        <v>S</v>
      </c>
      <c r="B71">
        <f ca="1">IF(OR(C71="s",C71=0),OFFSET(B71,-1,0),C71)</f>
        <v>2</v>
      </c>
      <c r="C71" t="str">
        <f ca="1">IF(OFFSET(C71,-1,0)="L",1,IF(OFFSET(C71,-1,0)=1,2,IF(OR(A71="s",A71=0),"S",IF(AND(OFFSET(C71,-1,0)=2,A71=4),3,IF(AND(OR(OFFSET(C71,-1,0)="s",OFFSET(C71,-1,0)=0),A71&lt;&gt;"s",A71&gt;OFFSET(B71,-1,0)),OFFSET(B71,-1,0),A71)))))</f>
        <v>S</v>
      </c>
      <c r="D71">
        <f ca="1">IF(OR(C71="S",C71=0),0,IF(ISERROR(K71),J71,SMALL(J71:K71,1)))</f>
        <v>0</v>
      </c>
      <c r="E71">
        <f ca="1">IF($C71=1,OFFSET(E71,-1,0)+MAX(1,COUNTIF(QCI!$A$13:$A$24,OFFSET(ORÇAMENTO!E71,-1,0))),OFFSET(E71,-1,0))</f>
        <v>1</v>
      </c>
      <c r="F71">
        <f ca="1">IF($C71=1,0,IF($C71=2,OFFSET(F71,-1,0)+1,OFFSET(F71,-1,0)))</f>
        <v>9</v>
      </c>
      <c r="G71">
        <f ca="1">IF(AND($C71&lt;=2,$C71&lt;&gt;0),0,IF($C71=3,OFFSET(G71,-1,0)+1,OFFSET(G71,-1,0)))</f>
        <v>0</v>
      </c>
      <c r="H71">
        <f ca="1">IF(AND($C71&lt;=3,$C71&lt;&gt;0),0,IF($C71=4,OFFSET(H71,-1,0)+1,OFFSET(H71,-1,0)))</f>
        <v>0</v>
      </c>
      <c r="I71">
        <f ca="1">IF(AND($C71&lt;=4,$C71&lt;&gt;0),0,IF(AND($C71="S",$X71&gt;0),OFFSET(I71,-1,0)+1,OFFSET(I71,-1,0)))</f>
        <v>1</v>
      </c>
      <c r="J71">
        <f t="shared" ca="1" si="101"/>
        <v>0</v>
      </c>
      <c r="K71">
        <f ca="1">IF(OR($C71="S",$C71=0),0,MATCH(OFFSET($D71,0,$C71)+IF($C71&lt;&gt;1,1,COUNTIF(QCI!$A$13:$A$24,ORÇAMENTO!E71)),OFFSET($D71,1,$C71,ROW($C$131)-ROW($C71)),0))</f>
        <v>0</v>
      </c>
      <c r="L71" s="116" t="str">
        <f ca="1">IF(OR($X71&gt;0,$C71=1,$C71=2,$C71=3,$C71=4),"F","")</f>
        <v>F</v>
      </c>
      <c r="M71" s="117" t="s">
        <v>197</v>
      </c>
      <c r="N71" s="118" t="str">
        <f ca="1">CHOOSE(1+LOG(1+2*(C71=1)+4*(C71=2)+8*(C71=3)+16*(C71=4)+32*(C71="S"),2),"","Meta","Nível 2","Nível 3","Nível 4","Serviço")</f>
        <v>Serviço</v>
      </c>
      <c r="O71" s="119" t="str">
        <f ca="1">IF(OR($C71=0,$L71=""),"-",CONCATENATE(E71&amp;".",IF(AND($A$5&gt;=2,$C71&gt;=2),F71&amp;".",""),IF(AND($A$5&gt;=3,$C71&gt;=3),G71&amp;".",""),IF(AND($A$5&gt;=4,$C71&gt;=4),H71&amp;".",""),IF($C71="S",I71&amp;".","")))</f>
        <v>1.9.0.0.1.</v>
      </c>
      <c r="P71" s="120" t="s">
        <v>942</v>
      </c>
      <c r="Q71" s="121" t="s">
        <v>982</v>
      </c>
      <c r="R71" s="122" t="str">
        <f ca="1">IF($C71="S",REFERENCIA.Descricao,"(digite a descrição aqui)")</f>
        <v>GUARDA-CORPO DE FERRO COM FORMATO PERSONALIZADO E PINTURA ELETROSTÁTICA NA COR PRETA, FRABRICAÇÃO E INSTALAÇÃO.</v>
      </c>
      <c r="S71" s="123" t="str">
        <f ca="1">REFERENCIA.Unidade</f>
        <v>UN</v>
      </c>
      <c r="T71" s="124">
        <f ca="1">OFFSET(CÁLCULO!H$15,ROW($T71)-ROW(T$15),0)</f>
        <v>1</v>
      </c>
      <c r="U71" s="125">
        <f t="shared" ca="1" si="17"/>
        <v>45058</v>
      </c>
      <c r="V71" s="126" t="s">
        <v>155</v>
      </c>
      <c r="W71" s="124">
        <f ca="1">IF($C71="S",ROUND(IF(TIPOORCAMENTO="Proposto",ORÇAMENTO.CustoUnitario*(1+$AH71),ORÇAMENTO.PrecoUnitarioLicitado),15-13*$AF$10),0)</f>
        <v>55962.04</v>
      </c>
      <c r="X71" s="127">
        <f ca="1">IF($C71="S",IF(OR(Import.TipoArredondamento&lt;&gt;"TransfereGOV",ACOMPANHAMENTO="BM"),VTOTAL1,SUM(OFFSET(CÁLCULO!$AI$15,ROW($X71)-ROW($X$15),1):OFFSET(CÁLCULO!$BB$15,ROW($X71)-ROW($X$15),-1))),IF($C71=0,0,ROUND(SomaAgrup,15-13*$AF$11)))</f>
        <v>55962.04</v>
      </c>
      <c r="Y71" s="128" t="s">
        <v>243</v>
      </c>
      <c r="Z71" t="str">
        <f ca="1">IF(AND($C71="S",$X71&gt;0),IF(ISBLANK($Y71),"RA",LEFT($Y71,2)),"")</f>
        <v>RA</v>
      </c>
      <c r="AA71" s="129">
        <f ca="1">IF($C71="S",IF($Z71="CP",$X71,IF($Z71="RA",(($X71)*QCI!$AA$3),0)),SomaAgrup)</f>
        <v>55962.04</v>
      </c>
      <c r="AB71" s="130">
        <f ca="1">IF($C71="S",IF($Z71="OU",ROUND($X71,2),0),SomaAgrup)</f>
        <v>0</v>
      </c>
      <c r="AC71" s="619" t="str">
        <f ca="1">IF($N71=""," ",
IF(AND($C71&lt;&gt;"S",OR($R71="",$R71="(digite a descrição aqui)")),"DESCRIÇÃO",
IF(AND($C71="S",OR($Q71&lt;&gt;0,$T71&gt;0,$U71&gt;0),$P71=0),"FONTE",
IF(AND($C71="S",$P71&lt;&gt;0,OR($T71&gt;0,$U71&gt;0),$Q71=0),"CÓDIGO",
IF(AND($C71="S",$P71&lt;&gt;0,$Q71&lt;&gt;0,$R71="(Código não identificado nas referências)"),"CÓDIGO N/ID",
IF(AND($C71="S",OR($R71="",$R71="(digite a descrição aqui)"),OR($Q71&lt;&gt;0,$T71&gt;0,$U71&gt;0)),"DESCRIÇÃO",
IF(AND($C71="S",$P71&lt;&gt;0,$Q71&lt;&gt;0,$S71=""),"UNIDADE",
IF(AND($C71="S",$P71&lt;&gt;0,$Q71&lt;&gt;0,$U71=0),"SEM CUSTO",
IF(AND(TIPOORCAMENTO="Licitado",$AL71=0,$AN71&gt;0),"SEM PREÇO",
IF(AND($C71="S",$P71&lt;&gt;0,$Q71&lt;&gt;0,$U71&gt;0,$V71=0),"BDI",
IF(OR(AND(TIPOORCAMENTO="Proposto",$AG71&lt;&gt;"",$AG71&gt;0,ORÇAMENTO.CustoUnitario&gt;$AG71),AND(TIPOORCAMENTO="LICITADO",ORÇAMENTO.PrecoUnitarioLicitado&gt;$AN71)),"ACIMA REF.",
IF(AND($C71="S",$P71&lt;&gt;0,$Q71&lt;&gt;0,$T71=0,$U71&gt;0),"QUANT.",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f ca="1">IF(AND($C71="S",ORÇAMENTO.CodBarra&lt;&gt;""),IF(ORÇAMENTO.Fonte="",ORÇAMENTO.CodBarra,CONCATENATE(ORÇAMENTO.Fonte," ",ORÇAMENTO.CodBarra)))</f>
        <v>COTAÇÃO 65</v>
      </c>
      <c r="AF71" s="13">
        <f ca="1">IF(ISERROR(INDIRECT(ORÇAMENTO.BancoRef)),"(abra o arquivo 'Referência "&amp;Excel_BuiltIn_Database&amp;".xlsm)",IF(OR($C71&lt;&gt;"S",ORÇAMENTO.CodBarra=""),"(Sem Código)",IF(ISERROR(MATCH($AE71,INDIRECT(ORÇAMENTO.BancoRef),0)),"(Código não identificado nas referências)",MATCH($AE71,INDIRECT(ORÇAMENTO.BancoRef),0))))</f>
        <v>155</v>
      </c>
      <c r="AG71" s="453">
        <f ca="1">ROUND(IF(DESONERACAO="sim",REFERENCIA.Desonerado,REFERENCIA.NaoDesonerado),2)</f>
        <v>45058</v>
      </c>
      <c r="AH71" s="454">
        <f ca="1">ROUND(IF(ISNUMBER(ORÇAMENTO.OpcaoBDI),ORÇAMENTO.OpcaoBDI,IF(LEFT(ORÇAMENTO.OpcaoBDI,3)="BDI",HLOOKUP(ORÇAMENTO.OpcaoBDI,$F$4:$H$5,2,FALSE),0)),15-11*$AF$9)</f>
        <v>0.24199999999999999</v>
      </c>
      <c r="AJ71" s="456"/>
      <c r="AL71" s="471"/>
      <c r="AM71" s="348">
        <f t="shared" ca="1" si="136"/>
        <v>55962.04</v>
      </c>
      <c r="AN71" s="504">
        <f ca="1">ROUND(ORÇAMENTO.CustoUnitario*(1+$AH71),2)</f>
        <v>55962.04</v>
      </c>
    </row>
    <row r="72" spans="1:40" ht="51" x14ac:dyDescent="0.2">
      <c r="A72" t="str">
        <f t="shared" si="122"/>
        <v>S</v>
      </c>
      <c r="B72">
        <f t="shared" ca="1" si="123"/>
        <v>2</v>
      </c>
      <c r="C72" t="str">
        <f t="shared" ca="1" si="124"/>
        <v>S</v>
      </c>
      <c r="D72">
        <f t="shared" ca="1" si="125"/>
        <v>0</v>
      </c>
      <c r="E72">
        <f ca="1">IF($C72=1,OFFSET(E72,-1,0)+MAX(1,COUNTIF(QCI!$A$13:$A$24,OFFSET(ORÇAMENTO!E72,-1,0))),OFFSET(E72,-1,0))</f>
        <v>1</v>
      </c>
      <c r="F72">
        <f t="shared" ca="1" si="126"/>
        <v>9</v>
      </c>
      <c r="G72">
        <f t="shared" ca="1" si="127"/>
        <v>0</v>
      </c>
      <c r="H72">
        <f t="shared" ca="1" si="128"/>
        <v>0</v>
      </c>
      <c r="I72">
        <f t="shared" ca="1" si="129"/>
        <v>2</v>
      </c>
      <c r="J72">
        <f t="shared" ca="1" si="101"/>
        <v>0</v>
      </c>
      <c r="K72">
        <f ca="1">IF(OR($C72="S",$C72=0),0,MATCH(OFFSET($D72,0,$C72)+IF($C72&lt;&gt;1,1,COUNTIF(QCI!$A$13:$A$24,ORÇAMENTO!E72)),OFFSET($D72,1,$C72,ROW($C$131)-ROW($C72)),0))</f>
        <v>0</v>
      </c>
      <c r="L72" s="116" t="str">
        <f t="shared" ca="1" si="130"/>
        <v>F</v>
      </c>
      <c r="M72" s="117" t="s">
        <v>197</v>
      </c>
      <c r="N72" s="118" t="str">
        <f t="shared" ca="1" si="131"/>
        <v>Serviço</v>
      </c>
      <c r="O72" s="119" t="str">
        <f t="shared" ca="1" si="132"/>
        <v>1.9.0.0.2.</v>
      </c>
      <c r="P72" s="120" t="s">
        <v>245</v>
      </c>
      <c r="Q72" s="121" t="s">
        <v>984</v>
      </c>
      <c r="R72" s="122" t="str">
        <f ca="1">IF($C72="S",REFERENCIA.Descricao,"(digite a descrição aqui)")</f>
        <v>INSTALAÇÃO DE LIXEIRA METÁLICA DUPLA, CAPACIDADE DE 60 L, EM TUBO DE AÇO CARBONO E CESTOS EM CHAPA DE AÇO COM PINTURA ELETROSTÁTICA, SOBRE PISO DE CONCRETO EXISTENTE. AF_11/2021</v>
      </c>
      <c r="S72" s="123" t="str">
        <f ca="1">REFERENCIA.Unidade</f>
        <v>UN</v>
      </c>
      <c r="T72" s="124">
        <f ca="1">OFFSET(CÁLCULO!H$15,ROW($T72)-ROW(T$15),0)</f>
        <v>4</v>
      </c>
      <c r="U72" s="125">
        <f t="shared" ca="1" si="17"/>
        <v>1357.53</v>
      </c>
      <c r="V72" s="126" t="s">
        <v>155</v>
      </c>
      <c r="W72" s="124">
        <f ca="1">IF($C72="S",ROUND(IF(TIPOORCAMENTO="Proposto",ORÇAMENTO.CustoUnitario*(1+$AH72),ORÇAMENTO.PrecoUnitarioLicitado),15-13*$AF$10),0)</f>
        <v>1686.05</v>
      </c>
      <c r="X72" s="127">
        <f ca="1">IF($C72="S",IF(OR(Import.TipoArredondamento&lt;&gt;"TransfereGOV",ACOMPANHAMENTO="BM"),VTOTAL1,SUM(OFFSET(CÁLCULO!$AI$15,ROW($X72)-ROW($X$15),1):OFFSET(CÁLCULO!$BB$15,ROW($X72)-ROW($X$15),-1))),IF($C72=0,0,ROUND(SomaAgrup,15-13*$AF$11)))</f>
        <v>6744.2</v>
      </c>
      <c r="Y72" s="128" t="s">
        <v>243</v>
      </c>
      <c r="Z72" t="str">
        <f t="shared" ca="1" si="133"/>
        <v>RA</v>
      </c>
      <c r="AA72" s="129">
        <f ca="1">IF($C72="S",IF($Z72="CP",$X72,IF($Z72="RA",(($X72)*QCI!$AA$3),0)),SomaAgrup)</f>
        <v>6744.2</v>
      </c>
      <c r="AB72" s="130">
        <f t="shared" ca="1" si="134"/>
        <v>0</v>
      </c>
      <c r="AC72" s="619" t="str">
        <f ca="1">IF($N72=""," ",
IF(AND($C72&lt;&gt;"S",OR($R72="",$R72="(digite a descrição aqui)")),"DESCRIÇÃO",
IF(AND($C72="S",OR($Q72&lt;&gt;0,$T72&gt;0,$U72&gt;0),$P72=0),"FONTE",
IF(AND($C72="S",$P72&lt;&gt;0,OR($T72&gt;0,$U72&gt;0),$Q72=0),"CÓDIGO",
IF(AND($C72="S",$P72&lt;&gt;0,$Q72&lt;&gt;0,$R72="(Código não identificado nas referências)"),"CÓDIGO N/ID",
IF(AND($C72="S",OR($R72="",$R72="(digite a descrição aqui)"),OR($Q72&lt;&gt;0,$T72&gt;0,$U72&gt;0)),"DESCRIÇÃO",
IF(AND($C72="S",$P72&lt;&gt;0,$Q72&lt;&gt;0,$S72=""),"UNIDADE",
IF(AND($C72="S",$P72&lt;&gt;0,$Q72&lt;&gt;0,$U72=0),"SEM CUSTO",
IF(AND(TIPOORCAMENTO="Licitado",$AL72=0,$AN72&gt;0),"SEM PREÇO",
IF(AND($C72="S",$P72&lt;&gt;0,$Q72&lt;&gt;0,$U72&gt;0,$V72=0),"BDI",
IF(OR(AND(TIPOORCAMENTO="Proposto",$AG72&lt;&gt;"",$AG72&gt;0,ORÇAMENTO.CustoUnitario&gt;$AG72),AND(TIPOORCAMENTO="LICITADO",ORÇAMENTO.PrecoUnitarioLicitado&gt;$AN72)),"ACIMA REF.",
IF(AND($C72="S",$P72&lt;&gt;0,$Q72&lt;&gt;0,$T72=0,$U72&gt;0),"QUANT.",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f ca="1">IF(AND($C72="S",ORÇAMENTO.CodBarra&lt;&gt;""),IF(ORÇAMENTO.Fonte="",ORÇAMENTO.CodBarra,CONCATENATE(ORÇAMENTO.Fonte," ",ORÇAMENTO.CodBarra)))</f>
        <v>SINAPI 103307</v>
      </c>
      <c r="AF72" s="13">
        <f ca="1">IF(ISERROR(INDIRECT(ORÇAMENTO.BancoRef)),"(abra o arquivo 'Referência "&amp;Excel_BuiltIn_Database&amp;".xlsm)",IF(OR($C72&lt;&gt;"S",ORÇAMENTO.CodBarra=""),"(Sem Código)",IF(ISERROR(MATCH($AE72,INDIRECT(ORÇAMENTO.BancoRef),0)),"(Código não identificado nas referências)",MATCH($AE72,INDIRECT(ORÇAMENTO.BancoRef),0))))</f>
        <v>14018</v>
      </c>
      <c r="AG72" s="453">
        <f ca="1">ROUND(IF(DESONERACAO="sim",REFERENCIA.Desonerado,REFERENCIA.NaoDesonerado),2)</f>
        <v>1357.53</v>
      </c>
      <c r="AH72" s="454">
        <f t="shared" ca="1" si="135"/>
        <v>0.24199999999999999</v>
      </c>
      <c r="AJ72" s="456"/>
      <c r="AL72" s="471"/>
      <c r="AM72" s="348">
        <f t="shared" ca="1" si="136"/>
        <v>6744.2</v>
      </c>
      <c r="AN72" s="504">
        <f t="shared" ca="1" si="137"/>
        <v>1686.05</v>
      </c>
    </row>
    <row r="73" spans="1:40" ht="25.5" x14ac:dyDescent="0.2">
      <c r="A73" t="str">
        <f>CHOOSE(1+LOG(1+2*(ORÇAMENTO.Nivel="Meta")+4*(ORÇAMENTO.Nivel="Nível 2")+8*(ORÇAMENTO.Nivel="Nível 3")+16*(ORÇAMENTO.Nivel="Nível 4")+32*(ORÇAMENTO.Nivel="Serviço"),2),0,1,2,3,4,"S")</f>
        <v>S</v>
      </c>
      <c r="B73">
        <f ca="1">IF(OR(C73="s",C73=0),OFFSET(B73,-1,0),C73)</f>
        <v>2</v>
      </c>
      <c r="C73" t="str">
        <f ca="1">IF(OFFSET(C73,-1,0)="L",1,IF(OFFSET(C73,-1,0)=1,2,IF(OR(A73="s",A73=0),"S",IF(AND(OFFSET(C73,-1,0)=2,A73=4),3,IF(AND(OR(OFFSET(C73,-1,0)="s",OFFSET(C73,-1,0)=0),A73&lt;&gt;"s",A73&gt;OFFSET(B73,-1,0)),OFFSET(B73,-1,0),A73)))))</f>
        <v>S</v>
      </c>
      <c r="D73">
        <f ca="1">IF(OR(C73="S",C73=0),0,IF(ISERROR(K73),J73,SMALL(J73:K73,1)))</f>
        <v>0</v>
      </c>
      <c r="E73">
        <f ca="1">IF($C73=1,OFFSET(E73,-1,0)+MAX(1,COUNTIF(QCI!$A$13:$A$24,OFFSET(ORÇAMENTO!E73,-1,0))),OFFSET(E73,-1,0))</f>
        <v>1</v>
      </c>
      <c r="F73">
        <f ca="1">IF($C73=1,0,IF($C73=2,OFFSET(F73,-1,0)+1,OFFSET(F73,-1,0)))</f>
        <v>9</v>
      </c>
      <c r="G73">
        <f ca="1">IF(AND($C73&lt;=2,$C73&lt;&gt;0),0,IF($C73=3,OFFSET(G73,-1,0)+1,OFFSET(G73,-1,0)))</f>
        <v>0</v>
      </c>
      <c r="H73">
        <f ca="1">IF(AND($C73&lt;=3,$C73&lt;&gt;0),0,IF($C73=4,OFFSET(H73,-1,0)+1,OFFSET(H73,-1,0)))</f>
        <v>0</v>
      </c>
      <c r="I73">
        <f ca="1">IF(AND($C73&lt;=4,$C73&lt;&gt;0),0,IF(AND($C73="S",$X73&gt;0),OFFSET(I73,-1,0)+1,OFFSET(I73,-1,0)))</f>
        <v>3</v>
      </c>
      <c r="J73">
        <f t="shared" ca="1" si="101"/>
        <v>0</v>
      </c>
      <c r="K73">
        <f ca="1">IF(OR($C73="S",$C73=0),0,MATCH(OFFSET($D73,0,$C73)+IF($C73&lt;&gt;1,1,COUNTIF(QCI!$A$13:$A$24,ORÇAMENTO!E73)),OFFSET($D73,1,$C73,ROW($C$131)-ROW($C73)),0))</f>
        <v>0</v>
      </c>
      <c r="L73" s="116" t="str">
        <f ca="1">IF(OR($X73&gt;0,$C73=1,$C73=2,$C73=3,$C73=4),"F","")</f>
        <v>F</v>
      </c>
      <c r="M73" s="117" t="s">
        <v>197</v>
      </c>
      <c r="N73" s="118" t="str">
        <f ca="1">CHOOSE(1+LOG(1+2*(C73=1)+4*(C73=2)+8*(C73=3)+16*(C73=4)+32*(C73="S"),2),"","Meta","Nível 2","Nível 3","Nível 4","Serviço")</f>
        <v>Serviço</v>
      </c>
      <c r="O73" s="119" t="str">
        <f ca="1">IF(OR($C73=0,$L73=""),"-",CONCATENATE(E73&amp;".",IF(AND($A$5&gt;=2,$C73&gt;=2),F73&amp;".",""),IF(AND($A$5&gt;=3,$C73&gt;=3),G73&amp;".",""),IF(AND($A$5&gt;=4,$C73&gt;=4),H73&amp;".",""),IF($C73="S",I73&amp;".","")))</f>
        <v>1.9.0.0.3.</v>
      </c>
      <c r="P73" s="120" t="s">
        <v>939</v>
      </c>
      <c r="Q73" s="121" t="s">
        <v>985</v>
      </c>
      <c r="R73" s="122" t="str">
        <f ca="1">IF($C73="S",REFERENCIA.Descricao,"(digite a descrição aqui)")</f>
        <v>BANCO DE MADEIRA-PLÁSTICA SEM ENCOSTO COM BASE EM CONCRETO DESEMPENADO</v>
      </c>
      <c r="S73" s="123" t="str">
        <f ca="1">REFERENCIA.Unidade</f>
        <v>UN</v>
      </c>
      <c r="T73" s="124">
        <f ca="1">OFFSET(CÁLCULO!H$15,ROW($T73)-ROW(T$15),0)</f>
        <v>6</v>
      </c>
      <c r="U73" s="125">
        <f t="shared" ca="1" si="17"/>
        <v>1002.66</v>
      </c>
      <c r="V73" s="126" t="s">
        <v>155</v>
      </c>
      <c r="W73" s="124">
        <f ca="1">IF($C73="S",ROUND(IF(TIPOORCAMENTO="Proposto",ORÇAMENTO.CustoUnitario*(1+$AH73),ORÇAMENTO.PrecoUnitarioLicitado),15-13*$AF$10),0)</f>
        <v>1245.3</v>
      </c>
      <c r="X73" s="127">
        <f ca="1">IF($C73="S",IF(OR(Import.TipoArredondamento&lt;&gt;"TransfereGOV",ACOMPANHAMENTO="BM"),VTOTAL1,SUM(OFFSET(CÁLCULO!$AI$15,ROW($X73)-ROW($X$15),1):OFFSET(CÁLCULO!$BB$15,ROW($X73)-ROW($X$15),-1))),IF($C73=0,0,ROUND(SomaAgrup,15-13*$AF$11)))</f>
        <v>7471.8</v>
      </c>
      <c r="Y73" s="128" t="s">
        <v>243</v>
      </c>
      <c r="Z73" t="str">
        <f ca="1">IF(AND($C73="S",$X73&gt;0),IF(ISBLANK($Y73),"RA",LEFT($Y73,2)),"")</f>
        <v>RA</v>
      </c>
      <c r="AA73" s="129">
        <f ca="1">IF($C73="S",IF($Z73="CP",$X73,IF($Z73="RA",(($X73)*QCI!$AA$3),0)),SomaAgrup)</f>
        <v>7471.8</v>
      </c>
      <c r="AB73" s="130">
        <f ca="1">IF($C73="S",IF($Z73="OU",ROUND($X73,2),0),SomaAgrup)</f>
        <v>0</v>
      </c>
      <c r="AC73" s="619" t="str">
        <f ca="1">IF($N73=""," ",
IF(AND($C73&lt;&gt;"S",OR($R73="",$R73="(digite a descrição aqui)")),"DESCRIÇÃO",
IF(AND($C73="S",OR($Q73&lt;&gt;0,$T73&gt;0,$U73&gt;0),$P73=0),"FONTE",
IF(AND($C73="S",$P73&lt;&gt;0,OR($T73&gt;0,$U73&gt;0),$Q73=0),"CÓDIGO",
IF(AND($C73="S",$P73&lt;&gt;0,$Q73&lt;&gt;0,$R73="(Código não identificado nas referências)"),"CÓDIGO N/ID",
IF(AND($C73="S",OR($R73="",$R73="(digite a descrição aqui)"),OR($Q73&lt;&gt;0,$T73&gt;0,$U73&gt;0)),"DESCRIÇÃO",
IF(AND($C73="S",$P73&lt;&gt;0,$Q73&lt;&gt;0,$S73=""),"UNIDADE",
IF(AND($C73="S",$P73&lt;&gt;0,$Q73&lt;&gt;0,$U73=0),"SEM CUSTO",
IF(AND(TIPOORCAMENTO="Licitado",$AL73=0,$AN73&gt;0),"SEM PREÇO",
IF(AND($C73="S",$P73&lt;&gt;0,$Q73&lt;&gt;0,$U73&gt;0,$V73=0),"BDI",
IF(OR(AND(TIPOORCAMENTO="Proposto",$AG73&lt;&gt;"",$AG73&gt;0,ORÇAMENTO.CustoUnitario&gt;$AG73),AND(TIPOORCAMENTO="LICITADO",ORÇAMENTO.PrecoUnitarioLicitado&gt;$AN73)),"ACIMA REF.",
IF(AND($C73="S",$P73&lt;&gt;0,$Q73&lt;&gt;0,$T73=0,$U73&gt;0),"QUANT.",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f ca="1">IF(AND($C73="S",ORÇAMENTO.CodBarra&lt;&gt;""),IF(ORÇAMENTO.Fonte="",ORÇAMENTO.CodBarra,CONCATENATE(ORÇAMENTO.Fonte," ",ORÇAMENTO.CodBarra)))</f>
        <v>Composição Amauc 111</v>
      </c>
      <c r="AF73" s="13">
        <f ca="1">IF(ISERROR(INDIRECT(ORÇAMENTO.BancoRef)),"(abra o arquivo 'Referência "&amp;Excel_BuiltIn_Database&amp;".xlsm)",IF(OR($C73&lt;&gt;"S",ORÇAMENTO.CodBarra=""),"(Sem Código)",IF(ISERROR(MATCH($AE73,INDIRECT(ORÇAMENTO.BancoRef),0)),"(Código não identificado nas referências)",MATCH($AE73,INDIRECT(ORÇAMENTO.BancoRef),0))))</f>
        <v>81</v>
      </c>
      <c r="AG73" s="453">
        <f ca="1">ROUND(IF(DESONERACAO="sim",REFERENCIA.Desonerado,REFERENCIA.NaoDesonerado),2)</f>
        <v>1002.66</v>
      </c>
      <c r="AH73" s="454">
        <f ca="1">ROUND(IF(ISNUMBER(ORÇAMENTO.OpcaoBDI),ORÇAMENTO.OpcaoBDI,IF(LEFT(ORÇAMENTO.OpcaoBDI,3)="BDI",HLOOKUP(ORÇAMENTO.OpcaoBDI,$F$4:$H$5,2,FALSE),0)),15-11*$AF$9)</f>
        <v>0.24199999999999999</v>
      </c>
      <c r="AJ73" s="456"/>
      <c r="AL73" s="471"/>
      <c r="AM73" s="348">
        <f t="shared" ca="1" si="136"/>
        <v>7471.8</v>
      </c>
      <c r="AN73" s="504">
        <f ca="1">ROUND(ORÇAMENTO.CustoUnitario*(1+$AH73),2)</f>
        <v>1245.3</v>
      </c>
    </row>
    <row r="74" spans="1:40" ht="25.5" x14ac:dyDescent="0.2">
      <c r="A74" t="str">
        <f t="shared" si="122"/>
        <v>S</v>
      </c>
      <c r="B74">
        <f t="shared" ca="1" si="123"/>
        <v>2</v>
      </c>
      <c r="C74" t="str">
        <f t="shared" ca="1" si="124"/>
        <v>S</v>
      </c>
      <c r="D74">
        <f t="shared" ca="1" si="125"/>
        <v>0</v>
      </c>
      <c r="E74">
        <f ca="1">IF($C74=1,OFFSET(E74,-1,0)+MAX(1,COUNTIF(QCI!$A$13:$A$24,OFFSET(ORÇAMENTO!E74,-1,0))),OFFSET(E74,-1,0))</f>
        <v>1</v>
      </c>
      <c r="F74">
        <f t="shared" ca="1" si="126"/>
        <v>9</v>
      </c>
      <c r="G74">
        <f t="shared" ca="1" si="127"/>
        <v>0</v>
      </c>
      <c r="H74">
        <f t="shared" ca="1" si="128"/>
        <v>0</v>
      </c>
      <c r="I74">
        <f t="shared" ca="1" si="129"/>
        <v>4</v>
      </c>
      <c r="J74">
        <f t="shared" ca="1" si="101"/>
        <v>0</v>
      </c>
      <c r="K74">
        <f ca="1">IF(OR($C74="S",$C74=0),0,MATCH(OFFSET($D74,0,$C74)+IF($C74&lt;&gt;1,1,COUNTIF(QCI!$A$13:$A$24,ORÇAMENTO!E74)),OFFSET($D74,1,$C74,ROW($C$131)-ROW($C74)),0))</f>
        <v>0</v>
      </c>
      <c r="L74" s="116" t="str">
        <f t="shared" ca="1" si="130"/>
        <v>F</v>
      </c>
      <c r="M74" s="117" t="s">
        <v>197</v>
      </c>
      <c r="N74" s="118" t="str">
        <f t="shared" ca="1" si="131"/>
        <v>Serviço</v>
      </c>
      <c r="O74" s="119" t="str">
        <f t="shared" ca="1" si="132"/>
        <v>1.9.0.0.4.</v>
      </c>
      <c r="P74" s="120" t="s">
        <v>939</v>
      </c>
      <c r="Q74" s="121" t="s">
        <v>985</v>
      </c>
      <c r="R74" s="122" t="str">
        <f ca="1">IF($C74="S",REFERENCIA.Descricao,"(digite a descrição aqui)")</f>
        <v>BANCO DE MADEIRA-PLÁSTICA SEM ENCOSTO COM BASE EM CONCRETO DESEMPENADO</v>
      </c>
      <c r="S74" s="123" t="str">
        <f ca="1">REFERENCIA.Unidade</f>
        <v>UN</v>
      </c>
      <c r="T74" s="124">
        <f ca="1">OFFSET(CÁLCULO!H$15,ROW($T74)-ROW(T$15),0)</f>
        <v>2</v>
      </c>
      <c r="U74" s="125">
        <f t="shared" ca="1" si="17"/>
        <v>1002.66</v>
      </c>
      <c r="V74" s="126" t="s">
        <v>155</v>
      </c>
      <c r="W74" s="124">
        <f ca="1">IF($C74="S",ROUND(IF(TIPOORCAMENTO="Proposto",ORÇAMENTO.CustoUnitario*(1+$AH74),ORÇAMENTO.PrecoUnitarioLicitado),15-13*$AF$10),0)</f>
        <v>1245.3</v>
      </c>
      <c r="X74" s="127">
        <f ca="1">IF($C74="S",IF(OR(Import.TipoArredondamento&lt;&gt;"TransfereGOV",ACOMPANHAMENTO="BM"),VTOTAL1,SUM(OFFSET(CÁLCULO!$AI$15,ROW($X74)-ROW($X$15),1):OFFSET(CÁLCULO!$BB$15,ROW($X74)-ROW($X$15),-1))),IF($C74=0,0,ROUND(SomaAgrup,15-13*$AF$11)))</f>
        <v>2490.6</v>
      </c>
      <c r="Y74" s="128" t="s">
        <v>243</v>
      </c>
      <c r="Z74" t="str">
        <f t="shared" ca="1" si="133"/>
        <v>RA</v>
      </c>
      <c r="AA74" s="129">
        <f ca="1">IF($C74="S",IF($Z74="CP",$X74,IF($Z74="RA",(($X74)*QCI!$AA$3),0)),SomaAgrup)</f>
        <v>2490.6</v>
      </c>
      <c r="AB74" s="130">
        <f t="shared" ca="1" si="134"/>
        <v>0</v>
      </c>
      <c r="AC74" s="619" t="str">
        <f ca="1">IF($N74=""," ",
IF(AND($C74&lt;&gt;"S",OR($R74="",$R74="(digite a descrição aqui)")),"DESCRIÇÃO",
IF(AND($C74="S",OR($Q74&lt;&gt;0,$T74&gt;0,$U74&gt;0),$P74=0),"FONTE",
IF(AND($C74="S",$P74&lt;&gt;0,OR($T74&gt;0,$U74&gt;0),$Q74=0),"CÓDIGO",
IF(AND($C74="S",$P74&lt;&gt;0,$Q74&lt;&gt;0,$R74="(Código não identificado nas referências)"),"CÓDIGO N/ID",
IF(AND($C74="S",OR($R74="",$R74="(digite a descrição aqui)"),OR($Q74&lt;&gt;0,$T74&gt;0,$U74&gt;0)),"DESCRIÇÃO",
IF(AND($C74="S",$P74&lt;&gt;0,$Q74&lt;&gt;0,$S74=""),"UNIDADE",
IF(AND($C74="S",$P74&lt;&gt;0,$Q74&lt;&gt;0,$U74=0),"SEM CUSTO",
IF(AND(TIPOORCAMENTO="Licitado",$AL74=0,$AN74&gt;0),"SEM PREÇO",
IF(AND($C74="S",$P74&lt;&gt;0,$Q74&lt;&gt;0,$U74&gt;0,$V74=0),"BDI",
IF(OR(AND(TIPOORCAMENTO="Proposto",$AG74&lt;&gt;"",$AG74&gt;0,ORÇAMENTO.CustoUnitario&gt;$AG74),AND(TIPOORCAMENTO="LICITADO",ORÇAMENTO.PrecoUnitarioLicitado&gt;$AN74)),"ACIMA REF.",
IF(AND($C74="S",$P74&lt;&gt;0,$Q74&lt;&gt;0,$T74=0,$U74&gt;0),"QUANT.",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f ca="1">IF(AND($C74="S",ORÇAMENTO.CodBarra&lt;&gt;""),IF(ORÇAMENTO.Fonte="",ORÇAMENTO.CodBarra,CONCATENATE(ORÇAMENTO.Fonte," ",ORÇAMENTO.CodBarra)))</f>
        <v>Composição Amauc 111</v>
      </c>
      <c r="AF74" s="13">
        <f ca="1">IF(ISERROR(INDIRECT(ORÇAMENTO.BancoRef)),"(abra o arquivo 'Referência "&amp;Excel_BuiltIn_Database&amp;".xlsm)",IF(OR($C74&lt;&gt;"S",ORÇAMENTO.CodBarra=""),"(Sem Código)",IF(ISERROR(MATCH($AE74,INDIRECT(ORÇAMENTO.BancoRef),0)),"(Código não identificado nas referências)",MATCH($AE74,INDIRECT(ORÇAMENTO.BancoRef),0))))</f>
        <v>81</v>
      </c>
      <c r="AG74" s="453">
        <f ca="1">ROUND(IF(DESONERACAO="sim",REFERENCIA.Desonerado,REFERENCIA.NaoDesonerado),2)</f>
        <v>1002.66</v>
      </c>
      <c r="AH74" s="454">
        <f t="shared" ca="1" si="135"/>
        <v>0.24199999999999999</v>
      </c>
      <c r="AJ74" s="456"/>
      <c r="AL74" s="471"/>
      <c r="AM74" s="348">
        <f t="shared" ca="1" si="136"/>
        <v>2490.6</v>
      </c>
      <c r="AN74" s="504">
        <f t="shared" ca="1" si="137"/>
        <v>1245.3</v>
      </c>
    </row>
    <row r="75" spans="1:40" ht="25.5" x14ac:dyDescent="0.2">
      <c r="A75" t="str">
        <f t="shared" si="122"/>
        <v>S</v>
      </c>
      <c r="B75">
        <f t="shared" ca="1" si="123"/>
        <v>2</v>
      </c>
      <c r="C75" t="str">
        <f t="shared" ca="1" si="124"/>
        <v>S</v>
      </c>
      <c r="D75">
        <f t="shared" ca="1" si="125"/>
        <v>0</v>
      </c>
      <c r="E75">
        <f ca="1">IF($C75=1,OFFSET(E75,-1,0)+MAX(1,COUNTIF(QCI!$A$13:$A$24,OFFSET(ORÇAMENTO!E75,-1,0))),OFFSET(E75,-1,0))</f>
        <v>1</v>
      </c>
      <c r="F75">
        <f t="shared" ca="1" si="126"/>
        <v>9</v>
      </c>
      <c r="G75">
        <f t="shared" ca="1" si="127"/>
        <v>0</v>
      </c>
      <c r="H75">
        <f t="shared" ca="1" si="128"/>
        <v>0</v>
      </c>
      <c r="I75">
        <f t="shared" ca="1" si="129"/>
        <v>5</v>
      </c>
      <c r="J75">
        <f t="shared" ca="1" si="101"/>
        <v>0</v>
      </c>
      <c r="K75">
        <f ca="1">IF(OR($C75="S",$C75=0),0,MATCH(OFFSET($D75,0,$C75)+IF($C75&lt;&gt;1,1,COUNTIF(QCI!$A$13:$A$24,ORÇAMENTO!E75)),OFFSET($D75,1,$C75,ROW($C$131)-ROW($C75)),0))</f>
        <v>0</v>
      </c>
      <c r="L75" s="116" t="str">
        <f t="shared" ca="1" si="130"/>
        <v>F</v>
      </c>
      <c r="M75" s="117" t="s">
        <v>197</v>
      </c>
      <c r="N75" s="118" t="str">
        <f t="shared" ca="1" si="131"/>
        <v>Serviço</v>
      </c>
      <c r="O75" s="119" t="str">
        <f t="shared" ca="1" si="132"/>
        <v>1.9.0.0.5.</v>
      </c>
      <c r="P75" s="120" t="s">
        <v>942</v>
      </c>
      <c r="Q75" s="121" t="s">
        <v>994</v>
      </c>
      <c r="R75" s="122" t="str">
        <f ca="1">IF($C75="S",REFERENCIA.Descricao,"(digite a descrição aqui)")</f>
        <v>FLOREIRA CÔNICA ESTILO VASO DE FIBROCIMENTO ALTO H= 1,10 M COR CIMENTO APOIADA SOBRE O PISO. EXCLUSO FRETE</v>
      </c>
      <c r="S75" s="123" t="str">
        <f ca="1">REFERENCIA.Unidade</f>
        <v>UN</v>
      </c>
      <c r="T75" s="124">
        <f ca="1">OFFSET(CÁLCULO!H$15,ROW($T75)-ROW(T$15),0)</f>
        <v>2</v>
      </c>
      <c r="U75" s="125">
        <f t="shared" ca="1" si="17"/>
        <v>498</v>
      </c>
      <c r="V75" s="126" t="s">
        <v>155</v>
      </c>
      <c r="W75" s="124">
        <f ca="1">IF($C75="S",ROUND(IF(TIPOORCAMENTO="Proposto",ORÇAMENTO.CustoUnitario*(1+$AH75),ORÇAMENTO.PrecoUnitarioLicitado),15-13*$AF$10),0)</f>
        <v>618.52</v>
      </c>
      <c r="X75" s="127">
        <f ca="1">IF($C75="S",IF(OR(Import.TipoArredondamento&lt;&gt;"TransfereGOV",ACOMPANHAMENTO="BM"),VTOTAL1,SUM(OFFSET(CÁLCULO!$AI$15,ROW($X75)-ROW($X$15),1):OFFSET(CÁLCULO!$BB$15,ROW($X75)-ROW($X$15),-1))),IF($C75=0,0,ROUND(SomaAgrup,15-13*$AF$11)))</f>
        <v>1237.04</v>
      </c>
      <c r="Y75" s="128" t="s">
        <v>243</v>
      </c>
      <c r="Z75" t="str">
        <f t="shared" ca="1" si="133"/>
        <v>RA</v>
      </c>
      <c r="AA75" s="129">
        <f ca="1">IF($C75="S",IF($Z75="CP",$X75,IF($Z75="RA",(($X75)*QCI!$AA$3),0)),SomaAgrup)</f>
        <v>1237.04</v>
      </c>
      <c r="AB75" s="130">
        <f t="shared" ca="1" si="134"/>
        <v>0</v>
      </c>
      <c r="AC75" s="619" t="str">
        <f ca="1">IF($N75=""," ",
IF(AND($C75&lt;&gt;"S",OR($R75="",$R75="(digite a descrição aqui)")),"DESCRIÇÃO",
IF(AND($C75="S",OR($Q75&lt;&gt;0,$T75&gt;0,$U75&gt;0),$P75=0),"FONTE",
IF(AND($C75="S",$P75&lt;&gt;0,OR($T75&gt;0,$U75&gt;0),$Q75=0),"CÓDIGO",
IF(AND($C75="S",$P75&lt;&gt;0,$Q75&lt;&gt;0,$R75="(Código não identificado nas referências)"),"CÓDIGO N/ID",
IF(AND($C75="S",OR($R75="",$R75="(digite a descrição aqui)"),OR($Q75&lt;&gt;0,$T75&gt;0,$U75&gt;0)),"DESCRIÇÃO",
IF(AND($C75="S",$P75&lt;&gt;0,$Q75&lt;&gt;0,$S75=""),"UNIDADE",
IF(AND($C75="S",$P75&lt;&gt;0,$Q75&lt;&gt;0,$U75=0),"SEM CUSTO",
IF(AND(TIPOORCAMENTO="Licitado",$AL75=0,$AN75&gt;0),"SEM PREÇO",
IF(AND($C75="S",$P75&lt;&gt;0,$Q75&lt;&gt;0,$U75&gt;0,$V75=0),"BDI",
IF(OR(AND(TIPOORCAMENTO="Proposto",$AG75&lt;&gt;"",$AG75&gt;0,ORÇAMENTO.CustoUnitario&gt;$AG75),AND(TIPOORCAMENTO="LICITADO",ORÇAMENTO.PrecoUnitarioLicitado&gt;$AN75)),"ACIMA REF.",
IF(AND($C75="S",$P75&lt;&gt;0,$Q75&lt;&gt;0,$T75=0,$U75&gt;0),"QUANT.",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f ca="1">IF(AND($C75="S",ORÇAMENTO.CodBarra&lt;&gt;""),IF(ORÇAMENTO.Fonte="",ORÇAMENTO.CodBarra,CONCATENATE(ORÇAMENTO.Fonte," ",ORÇAMENTO.CodBarra)))</f>
        <v>COTAÇÃO 67</v>
      </c>
      <c r="AF75" s="13">
        <f ca="1">IF(ISERROR(INDIRECT(ORÇAMENTO.BancoRef)),"(abra o arquivo 'Referência "&amp;Excel_BuiltIn_Database&amp;".xlsm)",IF(OR($C75&lt;&gt;"S",ORÇAMENTO.CodBarra=""),"(Sem Código)",IF(ISERROR(MATCH($AE75,INDIRECT(ORÇAMENTO.BancoRef),0)),"(Código não identificado nas referências)",MATCH($AE75,INDIRECT(ORÇAMENTO.BancoRef),0))))</f>
        <v>157</v>
      </c>
      <c r="AG75" s="453">
        <f ca="1">ROUND(IF(DESONERACAO="sim",REFERENCIA.Desonerado,REFERENCIA.NaoDesonerado),2)</f>
        <v>498</v>
      </c>
      <c r="AH75" s="454">
        <f t="shared" ca="1" si="135"/>
        <v>0.24199999999999999</v>
      </c>
      <c r="AJ75" s="456"/>
      <c r="AL75" s="471"/>
      <c r="AM75" s="348">
        <f t="shared" ca="1" si="136"/>
        <v>1237.04</v>
      </c>
      <c r="AN75" s="504">
        <f t="shared" ca="1" si="137"/>
        <v>618.52</v>
      </c>
    </row>
    <row r="76" spans="1:40" ht="25.5" x14ac:dyDescent="0.2">
      <c r="A76" t="str">
        <f t="shared" si="122"/>
        <v>S</v>
      </c>
      <c r="B76">
        <f t="shared" ca="1" si="123"/>
        <v>2</v>
      </c>
      <c r="C76" t="str">
        <f t="shared" ca="1" si="124"/>
        <v>S</v>
      </c>
      <c r="D76">
        <f t="shared" ca="1" si="125"/>
        <v>0</v>
      </c>
      <c r="E76">
        <f ca="1">IF($C76=1,OFFSET(E76,-1,0)+MAX(1,COUNTIF(QCI!$A$13:$A$24,OFFSET(ORÇAMENTO!E76,-1,0))),OFFSET(E76,-1,0))</f>
        <v>1</v>
      </c>
      <c r="F76">
        <f t="shared" ca="1" si="126"/>
        <v>9</v>
      </c>
      <c r="G76">
        <f t="shared" ca="1" si="127"/>
        <v>0</v>
      </c>
      <c r="H76">
        <f t="shared" ca="1" si="128"/>
        <v>0</v>
      </c>
      <c r="I76">
        <f t="shared" ca="1" si="129"/>
        <v>6</v>
      </c>
      <c r="J76">
        <f t="shared" ca="1" si="101"/>
        <v>0</v>
      </c>
      <c r="K76">
        <f ca="1">IF(OR($C76="S",$C76=0),0,MATCH(OFFSET($D76,0,$C76)+IF($C76&lt;&gt;1,1,COUNTIF(QCI!$A$13:$A$24,ORÇAMENTO!E76)),OFFSET($D76,1,$C76,ROW($C$131)-ROW($C76)),0))</f>
        <v>0</v>
      </c>
      <c r="L76" s="116" t="str">
        <f t="shared" ca="1" si="130"/>
        <v>F</v>
      </c>
      <c r="M76" s="117" t="s">
        <v>197</v>
      </c>
      <c r="N76" s="118" t="str">
        <f t="shared" ca="1" si="131"/>
        <v>Serviço</v>
      </c>
      <c r="O76" s="119" t="str">
        <f t="shared" ca="1" si="132"/>
        <v>1.9.0.0.6.</v>
      </c>
      <c r="P76" s="120" t="s">
        <v>942</v>
      </c>
      <c r="Q76" s="121" t="s">
        <v>995</v>
      </c>
      <c r="R76" s="122" t="str">
        <f ca="1">IF($C76="S",REFERENCIA.Descricao,"(digite a descrição aqui)")</f>
        <v>FLOREIRA CÔNICA ESTILO VASO DE FIBROCIMENTO BAIXO H= 0,58 M COR CIMENTO APOIADA SOBRE O PISO. EXCLUSO FRETE</v>
      </c>
      <c r="S76" s="123" t="str">
        <f ca="1">REFERENCIA.Unidade</f>
        <v>UN</v>
      </c>
      <c r="T76" s="124">
        <f ca="1">OFFSET(CÁLCULO!H$15,ROW($T76)-ROW(T$15),0)</f>
        <v>2</v>
      </c>
      <c r="U76" s="125">
        <f t="shared" ca="1" si="17"/>
        <v>350</v>
      </c>
      <c r="V76" s="126" t="s">
        <v>155</v>
      </c>
      <c r="W76" s="124">
        <f ca="1">IF($C76="S",ROUND(IF(TIPOORCAMENTO="Proposto",ORÇAMENTO.CustoUnitario*(1+$AH76),ORÇAMENTO.PrecoUnitarioLicitado),15-13*$AF$10),0)</f>
        <v>434.7</v>
      </c>
      <c r="X76" s="127">
        <f ca="1">IF($C76="S",IF(OR(Import.TipoArredondamento&lt;&gt;"TransfereGOV",ACOMPANHAMENTO="BM"),VTOTAL1,SUM(OFFSET(CÁLCULO!$AI$15,ROW($X76)-ROW($X$15),1):OFFSET(CÁLCULO!$BB$15,ROW($X76)-ROW($X$15),-1))),IF($C76=0,0,ROUND(SomaAgrup,15-13*$AF$11)))</f>
        <v>869.4</v>
      </c>
      <c r="Y76" s="128" t="s">
        <v>243</v>
      </c>
      <c r="Z76" t="str">
        <f t="shared" ca="1" si="133"/>
        <v>RA</v>
      </c>
      <c r="AA76" s="129">
        <f ca="1">IF($C76="S",IF($Z76="CP",$X76,IF($Z76="RA",(($X76)*QCI!$AA$3),0)),SomaAgrup)</f>
        <v>869.4</v>
      </c>
      <c r="AB76" s="130">
        <f t="shared" ca="1" si="134"/>
        <v>0</v>
      </c>
      <c r="AC76" s="619" t="str">
        <f ca="1">IF($N76=""," ",
IF(AND($C76&lt;&gt;"S",OR($R76="",$R76="(digite a descrição aqui)")),"DESCRIÇÃO",
IF(AND($C76="S",OR($Q76&lt;&gt;0,$T76&gt;0,$U76&gt;0),$P76=0),"FONTE",
IF(AND($C76="S",$P76&lt;&gt;0,OR($T76&gt;0,$U76&gt;0),$Q76=0),"CÓDIGO",
IF(AND($C76="S",$P76&lt;&gt;0,$Q76&lt;&gt;0,$R76="(Código não identificado nas referências)"),"CÓDIGO N/ID",
IF(AND($C76="S",OR($R76="",$R76="(digite a descrição aqui)"),OR($Q76&lt;&gt;0,$T76&gt;0,$U76&gt;0)),"DESCRIÇÃO",
IF(AND($C76="S",$P76&lt;&gt;0,$Q76&lt;&gt;0,$S76=""),"UNIDADE",
IF(AND($C76="S",$P76&lt;&gt;0,$Q76&lt;&gt;0,$U76=0),"SEM CUSTO",
IF(AND(TIPOORCAMENTO="Licitado",$AL76=0,$AN76&gt;0),"SEM PREÇO",
IF(AND($C76="S",$P76&lt;&gt;0,$Q76&lt;&gt;0,$U76&gt;0,$V76=0),"BDI",
IF(OR(AND(TIPOORCAMENTO="Proposto",$AG76&lt;&gt;"",$AG76&gt;0,ORÇAMENTO.CustoUnitario&gt;$AG76),AND(TIPOORCAMENTO="LICITADO",ORÇAMENTO.PrecoUnitarioLicitado&gt;$AN76)),"ACIMA REF.",
IF(AND($C76="S",$P76&lt;&gt;0,$Q76&lt;&gt;0,$T76=0,$U76&gt;0),"QUANT.",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f ca="1">IF(AND($C76="S",ORÇAMENTO.CodBarra&lt;&gt;""),IF(ORÇAMENTO.Fonte="",ORÇAMENTO.CodBarra,CONCATENATE(ORÇAMENTO.Fonte," ",ORÇAMENTO.CodBarra)))</f>
        <v>COTAÇÃO 68</v>
      </c>
      <c r="AF76" s="13">
        <f ca="1">IF(ISERROR(INDIRECT(ORÇAMENTO.BancoRef)),"(abra o arquivo 'Referência "&amp;Excel_BuiltIn_Database&amp;".xlsm)",IF(OR($C76&lt;&gt;"S",ORÇAMENTO.CodBarra=""),"(Sem Código)",IF(ISERROR(MATCH($AE76,INDIRECT(ORÇAMENTO.BancoRef),0)),"(Código não identificado nas referências)",MATCH($AE76,INDIRECT(ORÇAMENTO.BancoRef),0))))</f>
        <v>158</v>
      </c>
      <c r="AG76" s="453">
        <f ca="1">ROUND(IF(DESONERACAO="sim",REFERENCIA.Desonerado,REFERENCIA.NaoDesonerado),2)</f>
        <v>350</v>
      </c>
      <c r="AH76" s="454">
        <f t="shared" ca="1" si="135"/>
        <v>0.24199999999999999</v>
      </c>
      <c r="AJ76" s="456"/>
      <c r="AL76" s="471"/>
      <c r="AM76" s="348">
        <f t="shared" ca="1" si="136"/>
        <v>869.4</v>
      </c>
      <c r="AN76" s="504">
        <f t="shared" ca="1" si="137"/>
        <v>434.7</v>
      </c>
    </row>
    <row r="77" spans="1:40" x14ac:dyDescent="0.2">
      <c r="A77">
        <f t="shared" si="122"/>
        <v>2</v>
      </c>
      <c r="B77">
        <f t="shared" ca="1" si="123"/>
        <v>2</v>
      </c>
      <c r="C77">
        <f t="shared" ca="1" si="124"/>
        <v>2</v>
      </c>
      <c r="D77">
        <f t="shared" ca="1" si="125"/>
        <v>6</v>
      </c>
      <c r="E77">
        <f ca="1">IF($C77=1,OFFSET(E77,-1,0)+MAX(1,COUNTIF(QCI!$A$13:$A$24,OFFSET(ORÇAMENTO!E77,-1,0))),OFFSET(E77,-1,0))</f>
        <v>1</v>
      </c>
      <c r="F77">
        <f t="shared" ca="1" si="126"/>
        <v>10</v>
      </c>
      <c r="G77">
        <f t="shared" ca="1" si="127"/>
        <v>0</v>
      </c>
      <c r="H77">
        <f t="shared" ca="1" si="128"/>
        <v>0</v>
      </c>
      <c r="I77">
        <f t="shared" ca="1" si="129"/>
        <v>0</v>
      </c>
      <c r="J77">
        <f t="shared" ref="J77:J130" ca="1" si="138">IF(OR($C77="S",$C77=0),0,MATCH(0,OFFSET($D77,1,$C77,ROW($C$131)-ROW($C77)),0))</f>
        <v>54</v>
      </c>
      <c r="K77">
        <f ca="1">IF(OR($C77="S",$C77=0),0,MATCH(OFFSET($D77,0,$C77)+IF($C77&lt;&gt;1,1,COUNTIF(QCI!$A$13:$A$24,ORÇAMENTO!E77)),OFFSET($D77,1,$C77,ROW($C$131)-ROW($C77)),0))</f>
        <v>6</v>
      </c>
      <c r="L77" s="116" t="str">
        <f t="shared" ca="1" si="130"/>
        <v>F</v>
      </c>
      <c r="M77" s="117" t="s">
        <v>194</v>
      </c>
      <c r="N77" s="118" t="str">
        <f t="shared" ca="1" si="131"/>
        <v>Nível 2</v>
      </c>
      <c r="O77" s="119" t="str">
        <f t="shared" ca="1" si="132"/>
        <v>1.10.</v>
      </c>
      <c r="P77" s="120" t="s">
        <v>245</v>
      </c>
      <c r="Q77" s="121"/>
      <c r="R77" s="122" t="s">
        <v>946</v>
      </c>
      <c r="S77" s="123" t="str">
        <f ca="1">REFERENCIA.Unidade</f>
        <v>-</v>
      </c>
      <c r="T77" s="124">
        <f ca="1">OFFSET(CÁLCULO!H$15,ROW($T77)-ROW(T$15),0)</f>
        <v>0</v>
      </c>
      <c r="U77" s="125">
        <f t="shared" ca="1" si="17"/>
        <v>0</v>
      </c>
      <c r="V77" s="126" t="s">
        <v>155</v>
      </c>
      <c r="W77" s="124">
        <f ca="1">IF($C77="S",ROUND(IF(TIPOORCAMENTO="Proposto",ORÇAMENTO.CustoUnitario*(1+$AH77),ORÇAMENTO.PrecoUnitarioLicitado),15-13*$AF$10),0)</f>
        <v>0</v>
      </c>
      <c r="X77" s="127">
        <f ca="1">IF($C77="S",IF(OR(Import.TipoArredondamento&lt;&gt;"TransfereGOV",ACOMPANHAMENTO="BM"),VTOTAL1,SUM(OFFSET(CÁLCULO!$AI$15,ROW($X77)-ROW($X$15),1):OFFSET(CÁLCULO!$BB$15,ROW($X77)-ROW($X$15),-1))),IF($C77=0,0,ROUND(SomaAgrup,15-13*$AF$11)))</f>
        <v>3156.42</v>
      </c>
      <c r="Y77" s="128" t="s">
        <v>243</v>
      </c>
      <c r="Z77" t="str">
        <f t="shared" ca="1" si="133"/>
        <v/>
      </c>
      <c r="AA77" s="129">
        <f ca="1">IF($C77="S",IF($Z77="CP",$X77,IF($Z77="RA",(($X77)*QCI!$AA$3),0)),SomaAgrup)</f>
        <v>3156.4199999999996</v>
      </c>
      <c r="AB77" s="130">
        <f t="shared" ca="1" si="134"/>
        <v>0</v>
      </c>
      <c r="AC77" s="619" t="str">
        <f ca="1">IF($N77=""," ",
IF(AND($C77&lt;&gt;"S",OR($R77="",$R77="(digite a descrição aqui)")),"DESCRIÇÃO",
IF(AND($C77="S",OR($Q77&lt;&gt;0,$T77&gt;0,$U77&gt;0),$P77=0),"FONTE",
IF(AND($C77="S",$P77&lt;&gt;0,OR($T77&gt;0,$U77&gt;0),$Q77=0),"CÓDIGO",
IF(AND($C77="S",$P77&lt;&gt;0,$Q77&lt;&gt;0,$R77="(Código não identificado nas referências)"),"CÓDIGO N/ID",
IF(AND($C77="S",OR($R77="",$R77="(digite a descrição aqui)"),OR($Q77&lt;&gt;0,$T77&gt;0,$U77&gt;0)),"DESCRIÇÃO",
IF(AND($C77="S",$P77&lt;&gt;0,$Q77&lt;&gt;0,$S77=""),"UNIDADE",
IF(AND($C77="S",$P77&lt;&gt;0,$Q77&lt;&gt;0,$U77=0),"SEM CUSTO",
IF(AND(TIPOORCAMENTO="Licitado",$AL77=0,$AN77&gt;0),"SEM PREÇO",
IF(AND($C77="S",$P77&lt;&gt;0,$Q77&lt;&gt;0,$U77&gt;0,$V77=0),"BDI",
IF(OR(AND(TIPOORCAMENTO="Proposto",$AG77&lt;&gt;"",$AG77&gt;0,ORÇAMENTO.CustoUnitario&gt;$AG77),AND(TIPOORCAMENTO="LICITADO",ORÇAMENTO.PrecoUnitarioLicitado&gt;$AN77)),"ACIMA REF.",
IF(AND($C77="S",$P77&lt;&gt;0,$Q77&lt;&gt;0,$T77=0,$U77&gt;0),"QUANT.",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f ca="1">IF(C77&lt;=CRONO.NivelExibicao,MAX($AD$15:OFFSET(AD77,-1,0))+IF($C77&lt;&gt;1,1,MAX(1,COUNTIF(QCI!$A$13:$A$24,OFFSET($E77,-1,0)))),"")</f>
        <v>11</v>
      </c>
      <c r="AE77" s="7" t="b">
        <f ca="1">IF(AND($C77="S",ORÇAMENTO.CodBarra&lt;&gt;""),IF(ORÇAMENTO.Fonte="",ORÇAMENTO.CodBarra,CONCATENATE(ORÇAMENTO.Fonte," ",ORÇAMENTO.CodBarra)))</f>
        <v>0</v>
      </c>
      <c r="AF77" s="13" t="str">
        <f ca="1">IF(ISERROR(INDIRECT(ORÇAMENTO.BancoRef)),"(abra o arquivo 'Referência "&amp;Excel_BuiltIn_Database&amp;".xlsm)",IF(OR($C77&lt;&gt;"S",ORÇAMENTO.CodBarra=""),"(Sem Código)",IF(ISERROR(MATCH($AE77,INDIRECT(ORÇAMENTO.BancoRef),0)),"(Código não identificado nas referências)",MATCH($AE77,INDIRECT(ORÇAMENTO.BancoRef),0))))</f>
        <v>(Sem Código)</v>
      </c>
      <c r="AG77" s="453">
        <f ca="1">ROUND(IF(DESONERACAO="sim",REFERENCIA.Desonerado,REFERENCIA.NaoDesonerado),2)</f>
        <v>0</v>
      </c>
      <c r="AH77" s="454">
        <f t="shared" ca="1" si="135"/>
        <v>0.24199999999999999</v>
      </c>
      <c r="AJ77" s="456"/>
      <c r="AL77" s="471"/>
      <c r="AM77" s="348">
        <f t="shared" ca="1" si="136"/>
        <v>3156.42</v>
      </c>
      <c r="AN77" s="504">
        <f t="shared" ca="1" si="137"/>
        <v>0</v>
      </c>
    </row>
    <row r="78" spans="1:40" x14ac:dyDescent="0.2">
      <c r="A78" t="str">
        <f>CHOOSE(1+LOG(1+2*(ORÇAMENTO.Nivel="Meta")+4*(ORÇAMENTO.Nivel="Nível 2")+8*(ORÇAMENTO.Nivel="Nível 3")+16*(ORÇAMENTO.Nivel="Nível 4")+32*(ORÇAMENTO.Nivel="Serviço"),2),0,1,2,3,4,"S")</f>
        <v>S</v>
      </c>
      <c r="B78">
        <f ca="1">IF(OR(C78="s",C78=0),OFFSET(B78,-1,0),C78)</f>
        <v>2</v>
      </c>
      <c r="C78" t="str">
        <f ca="1">IF(OFFSET(C78,-1,0)="L",1,IF(OFFSET(C78,-1,0)=1,2,IF(OR(A78="s",A78=0),"S",IF(AND(OFFSET(C78,-1,0)=2,A78=4),3,IF(AND(OR(OFFSET(C78,-1,0)="s",OFFSET(C78,-1,0)=0),A78&lt;&gt;"s",A78&gt;OFFSET(B78,-1,0)),OFFSET(B78,-1,0),A78)))))</f>
        <v>S</v>
      </c>
      <c r="D78">
        <f ca="1">IF(OR(C78="S",C78=0),0,IF(ISERROR(K78),J78,SMALL(J78:K78,1)))</f>
        <v>0</v>
      </c>
      <c r="E78">
        <f ca="1">IF($C78=1,OFFSET(E78,-1,0)+MAX(1,COUNTIF(QCI!$A$13:$A$24,OFFSET(ORÇAMENTO!E78,-1,0))),OFFSET(E78,-1,0))</f>
        <v>1</v>
      </c>
      <c r="F78">
        <f ca="1">IF($C78=1,0,IF($C78=2,OFFSET(F78,-1,0)+1,OFFSET(F78,-1,0)))</f>
        <v>10</v>
      </c>
      <c r="G78">
        <f ca="1">IF(AND($C78&lt;=2,$C78&lt;&gt;0),0,IF($C78=3,OFFSET(G78,-1,0)+1,OFFSET(G78,-1,0)))</f>
        <v>0</v>
      </c>
      <c r="H78">
        <f ca="1">IF(AND($C78&lt;=3,$C78&lt;&gt;0),0,IF($C78=4,OFFSET(H78,-1,0)+1,OFFSET(H78,-1,0)))</f>
        <v>0</v>
      </c>
      <c r="I78">
        <f ca="1">IF(AND($C78&lt;=4,$C78&lt;&gt;0),0,IF(AND($C78="S",$X78&gt;0),OFFSET(I78,-1,0)+1,OFFSET(I78,-1,0)))</f>
        <v>1</v>
      </c>
      <c r="J78">
        <f t="shared" ca="1" si="138"/>
        <v>0</v>
      </c>
      <c r="K78">
        <f ca="1">IF(OR($C78="S",$C78=0),0,MATCH(OFFSET($D78,0,$C78)+IF($C78&lt;&gt;1,1,COUNTIF(QCI!$A$13:$A$24,ORÇAMENTO!E78)),OFFSET($D78,1,$C78,ROW($C$131)-ROW($C78)),0))</f>
        <v>0</v>
      </c>
      <c r="L78" s="116" t="str">
        <f ca="1">IF(OR($X78&gt;0,$C78=1,$C78=2,$C78=3,$C78=4),"F","")</f>
        <v>F</v>
      </c>
      <c r="M78" s="117" t="s">
        <v>197</v>
      </c>
      <c r="N78" s="118" t="str">
        <f ca="1">CHOOSE(1+LOG(1+2*(C78=1)+4*(C78=2)+8*(C78=3)+16*(C78=4)+32*(C78="S"),2),"","Meta","Nível 2","Nível 3","Nível 4","Serviço")</f>
        <v>Serviço</v>
      </c>
      <c r="O78" s="119" t="str">
        <f ca="1">IF(OR($C78=0,$L78=""),"-",CONCATENATE(E78&amp;".",IF(AND($A$5&gt;=2,$C78&gt;=2),F78&amp;".",""),IF(AND($A$5&gt;=3,$C78&gt;=3),G78&amp;".",""),IF(AND($A$5&gt;=4,$C78&gt;=4),H78&amp;".",""),IF($C78="S",I78&amp;".","")))</f>
        <v>1.10.0.0.1.</v>
      </c>
      <c r="P78" s="120" t="s">
        <v>245</v>
      </c>
      <c r="Q78" s="121" t="s">
        <v>970</v>
      </c>
      <c r="R78" s="122" t="str">
        <f ca="1">IF($C78="S",REFERENCIA.Descricao,"(digite a descrição aqui)")</f>
        <v>ESPALHAMENTO DE TERRA VEGETAL PARA O PLANTIO. AF_07/2024</v>
      </c>
      <c r="S78" s="123" t="str">
        <f ca="1">REFERENCIA.Unidade</f>
        <v>M2</v>
      </c>
      <c r="T78" s="124">
        <f ca="1">OFFSET(CÁLCULO!H$15,ROW($T78)-ROW(T$15),0)</f>
        <v>94.54</v>
      </c>
      <c r="U78" s="125">
        <f t="shared" ca="1" si="17"/>
        <v>4.55</v>
      </c>
      <c r="V78" s="126" t="s">
        <v>155</v>
      </c>
      <c r="W78" s="124">
        <f ca="1">IF($C78="S",ROUND(IF(TIPOORCAMENTO="Proposto",ORÇAMENTO.CustoUnitario*(1+$AH78),ORÇAMENTO.PrecoUnitarioLicitado),15-13*$AF$10),0)</f>
        <v>5.65</v>
      </c>
      <c r="X78" s="127">
        <f ca="1">IF($C78="S",IF(OR(Import.TipoArredondamento&lt;&gt;"TransfereGOV",ACOMPANHAMENTO="BM"),VTOTAL1,SUM(OFFSET(CÁLCULO!$AI$15,ROW($X78)-ROW($X$15),1):OFFSET(CÁLCULO!$BB$15,ROW($X78)-ROW($X$15),-1))),IF($C78=0,0,ROUND(SomaAgrup,15-13*$AF$11)))</f>
        <v>534.15</v>
      </c>
      <c r="Y78" s="128" t="s">
        <v>243</v>
      </c>
      <c r="Z78" t="str">
        <f ca="1">IF(AND($C78="S",$X78&gt;0),IF(ISBLANK($Y78),"RA",LEFT($Y78,2)),"")</f>
        <v>RA</v>
      </c>
      <c r="AA78" s="129">
        <f ca="1">IF($C78="S",IF($Z78="CP",$X78,IF($Z78="RA",(($X78)*QCI!$AA$3),0)),SomaAgrup)</f>
        <v>534.15</v>
      </c>
      <c r="AB78" s="130">
        <f ca="1">IF($C78="S",IF($Z78="OU",ROUND($X78,2),0),SomaAgrup)</f>
        <v>0</v>
      </c>
      <c r="AC78" s="619" t="str">
        <f ca="1">IF($N78=""," ",
IF(AND($C78&lt;&gt;"S",OR($R78="",$R78="(digite a descrição aqui)")),"DESCRIÇÃO",
IF(AND($C78="S",OR($Q78&lt;&gt;0,$T78&gt;0,$U78&gt;0),$P78=0),"FONTE",
IF(AND($C78="S",$P78&lt;&gt;0,OR($T78&gt;0,$U78&gt;0),$Q78=0),"CÓDIGO",
IF(AND($C78="S",$P78&lt;&gt;0,$Q78&lt;&gt;0,$R78="(Código não identificado nas referências)"),"CÓDIGO N/ID",
IF(AND($C78="S",OR($R78="",$R78="(digite a descrição aqui)"),OR($Q78&lt;&gt;0,$T78&gt;0,$U78&gt;0)),"DESCRIÇÃO",
IF(AND($C78="S",$P78&lt;&gt;0,$Q78&lt;&gt;0,$S78=""),"UNIDADE",
IF(AND($C78="S",$P78&lt;&gt;0,$Q78&lt;&gt;0,$U78=0),"SEM CUSTO",
IF(AND(TIPOORCAMENTO="Licitado",$AL78=0,$AN78&gt;0),"SEM PREÇO",
IF(AND($C78="S",$P78&lt;&gt;0,$Q78&lt;&gt;0,$U78&gt;0,$V78=0),"BDI",
IF(OR(AND(TIPOORCAMENTO="Proposto",$AG78&lt;&gt;"",$AG78&gt;0,ORÇAMENTO.CustoUnitario&gt;$AG78),AND(TIPOORCAMENTO="LICITADO",ORÇAMENTO.PrecoUnitarioLicitado&gt;$AN78)),"ACIMA REF.",
IF(AND($C78="S",$P78&lt;&gt;0,$Q78&lt;&gt;0,$T78=0,$U78&gt;0),"QUANT.",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f ca="1">IF(AND($C78="S",ORÇAMENTO.CodBarra&lt;&gt;""),IF(ORÇAMENTO.Fonte="",ORÇAMENTO.CodBarra,CONCATENATE(ORÇAMENTO.Fonte," ",ORÇAMENTO.CodBarra)))</f>
        <v>SINAPI 105521</v>
      </c>
      <c r="AF78" s="13">
        <f ca="1">IF(ISERROR(INDIRECT(ORÇAMENTO.BancoRef)),"(abra o arquivo 'Referência "&amp;Excel_BuiltIn_Database&amp;".xlsm)",IF(OR($C78&lt;&gt;"S",ORÇAMENTO.CodBarra=""),"(Sem Código)",IF(ISERROR(MATCH($AE78,INDIRECT(ORÇAMENTO.BancoRef),0)),"(Código não identificado nas referências)",MATCH($AE78,INDIRECT(ORÇAMENTO.BancoRef),0))))</f>
        <v>14047</v>
      </c>
      <c r="AG78" s="453">
        <f ca="1">ROUND(IF(DESONERACAO="sim",REFERENCIA.Desonerado,REFERENCIA.NaoDesonerado),2)</f>
        <v>4.55</v>
      </c>
      <c r="AH78" s="454">
        <f ca="1">ROUND(IF(ISNUMBER(ORÇAMENTO.OpcaoBDI),ORÇAMENTO.OpcaoBDI,IF(LEFT(ORÇAMENTO.OpcaoBDI,3)="BDI",HLOOKUP(ORÇAMENTO.OpcaoBDI,$F$4:$H$5,2,FALSE),0)),15-11*$AF$9)</f>
        <v>0.24199999999999999</v>
      </c>
      <c r="AJ78" s="456"/>
      <c r="AL78" s="471"/>
      <c r="AM78" s="348">
        <f t="shared" ca="1" si="136"/>
        <v>534.15</v>
      </c>
      <c r="AN78" s="504">
        <f ca="1">ROUND(ORÇAMENTO.CustoUnitario*(1+$AH78),2)</f>
        <v>5.65</v>
      </c>
    </row>
    <row r="79" spans="1:40" x14ac:dyDescent="0.2">
      <c r="A79" t="str">
        <f>CHOOSE(1+LOG(1+2*(ORÇAMENTO.Nivel="Meta")+4*(ORÇAMENTO.Nivel="Nível 2")+8*(ORÇAMENTO.Nivel="Nível 3")+16*(ORÇAMENTO.Nivel="Nível 4")+32*(ORÇAMENTO.Nivel="Serviço"),2),0,1,2,3,4,"S")</f>
        <v>S</v>
      </c>
      <c r="B79">
        <f t="shared" ref="B79" ca="1" si="139">IF(OR(C79="s",C79=0),OFFSET(B79,-1,0),C79)</f>
        <v>2</v>
      </c>
      <c r="C79" t="str">
        <f t="shared" ref="C79" ca="1" si="140">IF(OFFSET(C79,-1,0)="L",1,IF(OFFSET(C79,-1,0)=1,2,IF(OR(A79="s",A79=0),"S",IF(AND(OFFSET(C79,-1,0)=2,A79=4),3,IF(AND(OR(OFFSET(C79,-1,0)="s",OFFSET(C79,-1,0)=0),A79&lt;&gt;"s",A79&gt;OFFSET(B79,-1,0)),OFFSET(B79,-1,0),A79)))))</f>
        <v>S</v>
      </c>
      <c r="D79">
        <f t="shared" ref="D79" ca="1" si="141">IF(OR(C79="S",C79=0),0,IF(ISERROR(K79),J79,SMALL(J79:K79,1)))</f>
        <v>0</v>
      </c>
      <c r="E79">
        <f ca="1">IF($C79=1,OFFSET(E79,-1,0)+MAX(1,COUNTIF(QCI!$A$13:$A$24,OFFSET(ORÇAMENTO!E79,-1,0))),OFFSET(E79,-1,0))</f>
        <v>1</v>
      </c>
      <c r="F79">
        <f t="shared" ref="F79" ca="1" si="142">IF($C79=1,0,IF($C79=2,OFFSET(F79,-1,0)+1,OFFSET(F79,-1,0)))</f>
        <v>10</v>
      </c>
      <c r="G79">
        <f t="shared" ref="G79" ca="1" si="143">IF(AND($C79&lt;=2,$C79&lt;&gt;0),0,IF($C79=3,OFFSET(G79,-1,0)+1,OFFSET(G79,-1,0)))</f>
        <v>0</v>
      </c>
      <c r="H79">
        <f t="shared" ref="H79" ca="1" si="144">IF(AND($C79&lt;=3,$C79&lt;&gt;0),0,IF($C79=4,OFFSET(H79,-1,0)+1,OFFSET(H79,-1,0)))</f>
        <v>0</v>
      </c>
      <c r="I79">
        <f t="shared" ref="I79" ca="1" si="145">IF(AND($C79&lt;=4,$C79&lt;&gt;0),0,IF(AND($C79="S",$X79&gt;0),OFFSET(I79,-1,0)+1,OFFSET(I79,-1,0)))</f>
        <v>2</v>
      </c>
      <c r="J79">
        <f t="shared" ca="1" si="138"/>
        <v>0</v>
      </c>
      <c r="K79">
        <f ca="1">IF(OR($C79="S",$C79=0),0,MATCH(OFFSET($D79,0,$C79)+IF($C79&lt;&gt;1,1,COUNTIF(QCI!$A$13:$A$24,ORÇAMENTO!E79)),OFFSET($D79,1,$C79,ROW($C$131)-ROW($C79)),0))</f>
        <v>0</v>
      </c>
      <c r="L79" s="116" t="str">
        <f t="shared" ref="L79" ca="1" si="146">IF(OR($X79&gt;0,$C79=1,$C79=2,$C79=3,$C79=4),"F","")</f>
        <v>F</v>
      </c>
      <c r="M79" s="117" t="s">
        <v>197</v>
      </c>
      <c r="N79" s="118" t="str">
        <f t="shared" ref="N79" ca="1" si="147">CHOOSE(1+LOG(1+2*(C79=1)+4*(C79=2)+8*(C79=3)+16*(C79=4)+32*(C79="S"),2),"","Meta","Nível 2","Nível 3","Nível 4","Serviço")</f>
        <v>Serviço</v>
      </c>
      <c r="O79" s="119" t="str">
        <f t="shared" ref="O79" ca="1" si="148">IF(OR($C79=0,$L79=""),"-",CONCATENATE(E79&amp;".",IF(AND($A$5&gt;=2,$C79&gt;=2),F79&amp;".",""),IF(AND($A$5&gt;=3,$C79&gt;=3),G79&amp;".",""),IF(AND($A$5&gt;=4,$C79&gt;=4),H79&amp;".",""),IF($C79="S",I79&amp;".","")))</f>
        <v>1.10.0.0.2.</v>
      </c>
      <c r="P79" s="120" t="s">
        <v>245</v>
      </c>
      <c r="Q79" s="121" t="s">
        <v>971</v>
      </c>
      <c r="R79" s="122" t="str">
        <f ca="1">IF($C79="S",REFERENCIA.Descricao,"(digite a descrição aqui)")</f>
        <v>APLICAÇÃO DE ADUBO EM SOLO. AF_07/2024</v>
      </c>
      <c r="S79" s="123" t="str">
        <f ca="1">REFERENCIA.Unidade</f>
        <v>M2</v>
      </c>
      <c r="T79" s="124">
        <f ca="1">OFFSET(CÁLCULO!H$15,ROW($T79)-ROW(T$15),0)</f>
        <v>94.54</v>
      </c>
      <c r="U79" s="125">
        <f t="shared" ca="1" si="17"/>
        <v>6.82</v>
      </c>
      <c r="V79" s="126" t="s">
        <v>155</v>
      </c>
      <c r="W79" s="124">
        <f ca="1">IF($C79="S",ROUND(IF(TIPOORCAMENTO="Proposto",ORÇAMENTO.CustoUnitario*(1+$AH79),ORÇAMENTO.PrecoUnitarioLicitado),15-13*$AF$10),0)</f>
        <v>8.4700000000000006</v>
      </c>
      <c r="X79" s="127">
        <f ca="1">IF($C79="S",IF(OR(Import.TipoArredondamento&lt;&gt;"TransfereGOV",ACOMPANHAMENTO="BM"),VTOTAL1,SUM(OFFSET(CÁLCULO!$AI$15,ROW($X79)-ROW($X$15),1):OFFSET(CÁLCULO!$BB$15,ROW($X79)-ROW($X$15),-1))),IF($C79=0,0,ROUND(SomaAgrup,15-13*$AF$11)))</f>
        <v>800.75</v>
      </c>
      <c r="Y79" s="128" t="s">
        <v>243</v>
      </c>
      <c r="Z79" t="str">
        <f t="shared" ref="Z79" ca="1" si="149">IF(AND($C79="S",$X79&gt;0),IF(ISBLANK($Y79),"RA",LEFT($Y79,2)),"")</f>
        <v>RA</v>
      </c>
      <c r="AA79" s="129">
        <f ca="1">IF($C79="S",IF($Z79="CP",$X79,IF($Z79="RA",(($X79)*QCI!$AA$3),0)),SomaAgrup)</f>
        <v>800.75</v>
      </c>
      <c r="AB79" s="130">
        <f ca="1">IF($C79="S",IF($Z79="OU",ROUND($X79,2),0),SomaAgrup)</f>
        <v>0</v>
      </c>
      <c r="AC79" s="619" t="str">
        <f ca="1">IF($N79=""," ",
IF(AND($C79&lt;&gt;"S",OR($R79="",$R79="(digite a descrição aqui)")),"DESCRIÇÃO",
IF(AND($C79="S",OR($Q79&lt;&gt;0,$T79&gt;0,$U79&gt;0),$P79=0),"FONTE",
IF(AND($C79="S",$P79&lt;&gt;0,OR($T79&gt;0,$U79&gt;0),$Q79=0),"CÓDIGO",
IF(AND($C79="S",$P79&lt;&gt;0,$Q79&lt;&gt;0,$R79="(Código não identificado nas referências)"),"CÓDIGO N/ID",
IF(AND($C79="S",OR($R79="",$R79="(digite a descrição aqui)"),OR($Q79&lt;&gt;0,$T79&gt;0,$U79&gt;0)),"DESCRIÇÃO",
IF(AND($C79="S",$P79&lt;&gt;0,$Q79&lt;&gt;0,$S79=""),"UNIDADE",
IF(AND($C79="S",$P79&lt;&gt;0,$Q79&lt;&gt;0,$U79=0),"SEM CUSTO",
IF(AND(TIPOORCAMENTO="Licitado",$AL79=0,$AN79&gt;0),"SEM PREÇO",
IF(AND($C79="S",$P79&lt;&gt;0,$Q79&lt;&gt;0,$U79&gt;0,$V79=0),"BDI",
IF(OR(AND(TIPOORCAMENTO="Proposto",$AG79&lt;&gt;"",$AG79&gt;0,ORÇAMENTO.CustoUnitario&gt;$AG79),AND(TIPOORCAMENTO="LICITADO",ORÇAMENTO.PrecoUnitarioLicitado&gt;$AN79)),"ACIMA REF.",
IF(AND($C79="S",$P79&lt;&gt;0,$Q79&lt;&gt;0,$T79=0,$U79&gt;0),"QUANT.",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f ca="1">IF(AND($C79="S",ORÇAMENTO.CodBarra&lt;&gt;""),IF(ORÇAMENTO.Fonte="",ORÇAMENTO.CodBarra,CONCATENATE(ORÇAMENTO.Fonte," ",ORÇAMENTO.CodBarra)))</f>
        <v>SINAPI 98520</v>
      </c>
      <c r="AF79" s="13">
        <f ca="1">IF(ISERROR(INDIRECT(ORÇAMENTO.BancoRef)),"(abra o arquivo 'Referência "&amp;Excel_BuiltIn_Database&amp;".xlsm)",IF(OR($C79&lt;&gt;"S",ORÇAMENTO.CodBarra=""),"(Sem Código)",IF(ISERROR(MATCH($AE79,INDIRECT(ORÇAMENTO.BancoRef),0)),"(Código não identificado nas referências)",MATCH($AE79,INDIRECT(ORÇAMENTO.BancoRef),0))))</f>
        <v>14045</v>
      </c>
      <c r="AG79" s="453">
        <f ca="1">ROUND(IF(DESONERACAO="sim",REFERENCIA.Desonerado,REFERENCIA.NaoDesonerado),2)</f>
        <v>6.82</v>
      </c>
      <c r="AH79" s="454">
        <f ca="1">ROUND(IF(ISNUMBER(ORÇAMENTO.OpcaoBDI),ORÇAMENTO.OpcaoBDI,IF(LEFT(ORÇAMENTO.OpcaoBDI,3)="BDI",HLOOKUP(ORÇAMENTO.OpcaoBDI,$F$4:$H$5,2,FALSE),0)),15-11*$AF$9)</f>
        <v>0.24199999999999999</v>
      </c>
      <c r="AJ79" s="456"/>
      <c r="AL79" s="471"/>
      <c r="AM79" s="348">
        <f t="shared" ca="1" si="136"/>
        <v>800.75</v>
      </c>
      <c r="AN79" s="504">
        <f ca="1">ROUND(ORÇAMENTO.CustoUnitario*(1+$AH79),2)</f>
        <v>8.4700000000000006</v>
      </c>
    </row>
    <row r="80" spans="1:40" x14ac:dyDescent="0.2">
      <c r="A80" t="str">
        <f>CHOOSE(1+LOG(1+2*(ORÇAMENTO.Nivel="Meta")+4*(ORÇAMENTO.Nivel="Nível 2")+8*(ORÇAMENTO.Nivel="Nível 3")+16*(ORÇAMENTO.Nivel="Nível 4")+32*(ORÇAMENTO.Nivel="Serviço"),2),0,1,2,3,4,"S")</f>
        <v>S</v>
      </c>
      <c r="B80">
        <f t="shared" ref="B80:B127" ca="1" si="150">IF(OR(C80="s",C80=0),OFFSET(B80,-1,0),C80)</f>
        <v>2</v>
      </c>
      <c r="C80" t="str">
        <f t="shared" ref="C80:C127" ca="1" si="151">IF(OFFSET(C80,-1,0)="L",1,IF(OFFSET(C80,-1,0)=1,2,IF(OR(A80="s",A80=0),"S",IF(AND(OFFSET(C80,-1,0)=2,A80=4),3,IF(AND(OR(OFFSET(C80,-1,0)="s",OFFSET(C80,-1,0)=0),A80&lt;&gt;"s",A80&gt;OFFSET(B80,-1,0)),OFFSET(B80,-1,0),A80)))))</f>
        <v>S</v>
      </c>
      <c r="D80">
        <f t="shared" ref="D80:D127" ca="1" si="152">IF(OR(C80="S",C80=0),0,IF(ISERROR(K80),J80,SMALL(J80:K80,1)))</f>
        <v>0</v>
      </c>
      <c r="E80">
        <f ca="1">IF($C80=1,OFFSET(E80,-1,0)+MAX(1,COUNTIF(QCI!$A$13:$A$24,OFFSET(ORÇAMENTO!E80,-1,0))),OFFSET(E80,-1,0))</f>
        <v>1</v>
      </c>
      <c r="F80">
        <f t="shared" ref="F80:F127" ca="1" si="153">IF($C80=1,0,IF($C80=2,OFFSET(F80,-1,0)+1,OFFSET(F80,-1,0)))</f>
        <v>10</v>
      </c>
      <c r="G80">
        <f t="shared" ref="G80:G127" ca="1" si="154">IF(AND($C80&lt;=2,$C80&lt;&gt;0),0,IF($C80=3,OFFSET(G80,-1,0)+1,OFFSET(G80,-1,0)))</f>
        <v>0</v>
      </c>
      <c r="H80">
        <f t="shared" ref="H80:H127" ca="1" si="155">IF(AND($C80&lt;=3,$C80&lt;&gt;0),0,IF($C80=4,OFFSET(H80,-1,0)+1,OFFSET(H80,-1,0)))</f>
        <v>0</v>
      </c>
      <c r="I80">
        <f t="shared" ref="I80:I127" ca="1" si="156">IF(AND($C80&lt;=4,$C80&lt;&gt;0),0,IF(AND($C80="S",$X80&gt;0),OFFSET(I80,-1,0)+1,OFFSET(I80,-1,0)))</f>
        <v>3</v>
      </c>
      <c r="J80">
        <f ca="1">IF(OR($C80="S",$C80=0),0,MATCH(0,OFFSET($D80,1,$C80,ROW($C$131)-ROW($C80)),0))</f>
        <v>0</v>
      </c>
      <c r="K80">
        <f ca="1">IF(OR($C80="S",$C80=0),0,MATCH(OFFSET($D80,0,$C80)+IF($C80&lt;&gt;1,1,COUNTIF(QCI!$A$13:$A$24,ORÇAMENTO!E80)),OFFSET($D80,1,$C80,ROW($C$131)-ROW($C80)),0))</f>
        <v>0</v>
      </c>
      <c r="L80" s="116" t="str">
        <f t="shared" ref="L80:L127" ca="1" si="157">IF(OR($X80&gt;0,$C80=1,$C80=2,$C80=3,$C80=4),"F","")</f>
        <v>F</v>
      </c>
      <c r="M80" s="117" t="s">
        <v>197</v>
      </c>
      <c r="N80" s="118" t="str">
        <f t="shared" ref="N80:N127" ca="1" si="158">CHOOSE(1+LOG(1+2*(C80=1)+4*(C80=2)+8*(C80=3)+16*(C80=4)+32*(C80="S"),2),"","Meta","Nível 2","Nível 3","Nível 4","Serviço")</f>
        <v>Serviço</v>
      </c>
      <c r="O80" s="119" t="str">
        <f t="shared" ref="O80:O127" ca="1" si="159">IF(OR($C80=0,$L80=""),"-",CONCATENATE(E80&amp;".",IF(AND($A$5&gt;=2,$C80&gt;=2),F80&amp;".",""),IF(AND($A$5&gt;=3,$C80&gt;=3),G80&amp;".",""),IF(AND($A$5&gt;=4,$C80&gt;=4),H80&amp;".",""),IF($C80="S",I80&amp;".","")))</f>
        <v>1.10.0.0.3.</v>
      </c>
      <c r="P80" s="120" t="s">
        <v>950</v>
      </c>
      <c r="Q80" s="121" t="s">
        <v>972</v>
      </c>
      <c r="R80" s="122" t="str">
        <f ca="1">IF($C80="S",REFERENCIA.Descricao,"(digite a descrição aqui)")</f>
        <v>MUDA DE ARBUSTO, PINGO DE OURO/ VIOLETEIRA, H = *10 A 20* CM</v>
      </c>
      <c r="S80" s="123" t="str">
        <f ca="1">REFERENCIA.Unidade</f>
        <v>UN</v>
      </c>
      <c r="T80" s="124">
        <f ca="1">OFFSET(CÁLCULO!H$15,ROW($T80)-ROW(T$15),0)</f>
        <v>240</v>
      </c>
      <c r="U80" s="125">
        <f t="shared" ca="1" si="17"/>
        <v>2.61</v>
      </c>
      <c r="V80" s="126" t="s">
        <v>155</v>
      </c>
      <c r="W80" s="124">
        <f ca="1">IF($C80="S",ROUND(IF(TIPOORCAMENTO="Proposto",ORÇAMENTO.CustoUnitario*(1+$AH80),ORÇAMENTO.PrecoUnitarioLicitado),15-13*$AF$10),0)</f>
        <v>3.24</v>
      </c>
      <c r="X80" s="127">
        <f ca="1">IF($C80="S",IF(OR(Import.TipoArredondamento&lt;&gt;"TransfereGOV",ACOMPANHAMENTO="BM"),VTOTAL1,SUM(OFFSET(CÁLCULO!$AI$15,ROW($X80)-ROW($X$15),1):OFFSET(CÁLCULO!$BB$15,ROW($X80)-ROW($X$15),-1))),IF($C80=0,0,ROUND(SomaAgrup,15-13*$AF$11)))</f>
        <v>777.6</v>
      </c>
      <c r="Y80" s="128" t="s">
        <v>243</v>
      </c>
      <c r="Z80" t="str">
        <f t="shared" ref="Z80:Z127" ca="1" si="160">IF(AND($C80="S",$X80&gt;0),IF(ISBLANK($Y80),"RA",LEFT($Y80,2)),"")</f>
        <v>RA</v>
      </c>
      <c r="AA80" s="129">
        <f ca="1">IF($C80="S",IF($Z80="CP",$X80,IF($Z80="RA",(($X80)*QCI!$AA$3),0)),SomaAgrup)</f>
        <v>777.6</v>
      </c>
      <c r="AB80" s="130">
        <f ca="1">IF($C80="S",IF($Z80="OU",ROUND($X80,2),0),SomaAgrup)</f>
        <v>0</v>
      </c>
      <c r="AC80" s="619" t="str">
        <f ca="1">IF($N80=""," ",
IF(AND($C80&lt;&gt;"S",OR($R80="",$R80="(digite a descrição aqui)")),"DESCRIÇÃO",
IF(AND($C80="S",OR($Q80&lt;&gt;0,$T80&gt;0,$U80&gt;0),$P80=0),"FONTE",
IF(AND($C80="S",$P80&lt;&gt;0,OR($T80&gt;0,$U80&gt;0),$Q80=0),"CÓDIGO",
IF(AND($C80="S",$P80&lt;&gt;0,$Q80&lt;&gt;0,$R80="(Código não identificado nas referências)"),"CÓDIGO N/ID",
IF(AND($C80="S",OR($R80="",$R80="(digite a descrição aqui)"),OR($Q80&lt;&gt;0,$T80&gt;0,$U80&gt;0)),"DESCRIÇÃO",
IF(AND($C80="S",$P80&lt;&gt;0,$Q80&lt;&gt;0,$S80=""),"UNIDADE",
IF(AND($C80="S",$P80&lt;&gt;0,$Q80&lt;&gt;0,$U80=0),"SEM CUSTO",
IF(AND(TIPOORCAMENTO="Licitado",$AL80=0,$AN80&gt;0),"SEM PREÇO",
IF(AND($C80="S",$P80&lt;&gt;0,$Q80&lt;&gt;0,$U80&gt;0,$V80=0),"BDI",
IF(OR(AND(TIPOORCAMENTO="Proposto",$AG80&lt;&gt;"",$AG80&gt;0,ORÇAMENTO.CustoUnitario&gt;$AG80),AND(TIPOORCAMENTO="LICITADO",ORÇAMENTO.PrecoUnitarioLicitado&gt;$AN80)),"ACIMA REF.",
IF(AND($C80="S",$P80&lt;&gt;0,$Q80&lt;&gt;0,$T80=0,$U80&gt;0),"QUANT.",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f ca="1">IF(AND($C80="S",ORÇAMENTO.CodBarra&lt;&gt;""),IF(ORÇAMENTO.Fonte="",ORÇAMENTO.CodBarra,CONCATENATE(ORÇAMENTO.Fonte," ",ORÇAMENTO.CodBarra)))</f>
        <v>SINAPI-I 38640</v>
      </c>
      <c r="AF80" s="13">
        <f ca="1">IF(ISERROR(INDIRECT(ORÇAMENTO.BancoRef)),"(abra o arquivo 'Referência "&amp;Excel_BuiltIn_Database&amp;".xlsm)",IF(OR($C80&lt;&gt;"S",ORÇAMENTO.CodBarra=""),"(Sem Código)",IF(ISERROR(MATCH($AE80,INDIRECT(ORÇAMENTO.BancoRef),0)),"(Código não identificado nas referências)",MATCH($AE80,INDIRECT(ORÇAMENTO.BancoRef),0))))</f>
        <v>3218</v>
      </c>
      <c r="AG80" s="453">
        <f ca="1">ROUND(IF(DESONERACAO="sim",REFERENCIA.Desonerado,REFERENCIA.NaoDesonerado),2)</f>
        <v>2.61</v>
      </c>
      <c r="AH80" s="454">
        <f ca="1">ROUND(IF(ISNUMBER(ORÇAMENTO.OpcaoBDI),ORÇAMENTO.OpcaoBDI,IF(LEFT(ORÇAMENTO.OpcaoBDI,3)="BDI",HLOOKUP(ORÇAMENTO.OpcaoBDI,$F$4:$H$5,2,FALSE),0)),15-11*$AF$9)</f>
        <v>0.24199999999999999</v>
      </c>
      <c r="AJ80" s="456"/>
      <c r="AL80" s="471"/>
      <c r="AM80" s="348">
        <f t="shared" ca="1" si="136"/>
        <v>777.6</v>
      </c>
      <c r="AN80" s="504">
        <f ca="1">ROUND(ORÇAMENTO.CustoUnitario*(1+$AH80),2)</f>
        <v>3.24</v>
      </c>
    </row>
    <row r="81" spans="1:40" ht="25.5" x14ac:dyDescent="0.2">
      <c r="A81" t="str">
        <f>CHOOSE(1+LOG(1+2*(ORÇAMENTO.Nivel="Meta")+4*(ORÇAMENTO.Nivel="Nível 2")+8*(ORÇAMENTO.Nivel="Nível 3")+16*(ORÇAMENTO.Nivel="Nível 4")+32*(ORÇAMENTO.Nivel="Serviço"),2),0,1,2,3,4,"S")</f>
        <v>S</v>
      </c>
      <c r="B81">
        <f t="shared" ca="1" si="150"/>
        <v>2</v>
      </c>
      <c r="C81" t="str">
        <f t="shared" ca="1" si="151"/>
        <v>S</v>
      </c>
      <c r="D81">
        <f t="shared" ca="1" si="152"/>
        <v>0</v>
      </c>
      <c r="E81">
        <f ca="1">IF($C81=1,OFFSET(E81,-1,0)+MAX(1,COUNTIF(QCI!$A$13:$A$24,OFFSET(ORÇAMENTO!E81,-1,0))),OFFSET(E81,-1,0))</f>
        <v>1</v>
      </c>
      <c r="F81">
        <f t="shared" ca="1" si="153"/>
        <v>10</v>
      </c>
      <c r="G81">
        <f t="shared" ca="1" si="154"/>
        <v>0</v>
      </c>
      <c r="H81">
        <f t="shared" ca="1" si="155"/>
        <v>0</v>
      </c>
      <c r="I81">
        <f t="shared" ca="1" si="156"/>
        <v>4</v>
      </c>
      <c r="J81">
        <f ca="1">IF(OR($C81="S",$C81=0),0,MATCH(0,OFFSET($D81,1,$C81,ROW($C$131)-ROW($C81)),0))</f>
        <v>0</v>
      </c>
      <c r="K81">
        <f ca="1">IF(OR($C81="S",$C81=0),0,MATCH(OFFSET($D81,0,$C81)+IF($C81&lt;&gt;1,1,COUNTIF(QCI!$A$13:$A$24,ORÇAMENTO!E81)),OFFSET($D81,1,$C81,ROW($C$131)-ROW($C81)),0))</f>
        <v>0</v>
      </c>
      <c r="L81" s="116" t="str">
        <f t="shared" ca="1" si="157"/>
        <v>F</v>
      </c>
      <c r="M81" s="117" t="s">
        <v>197</v>
      </c>
      <c r="N81" s="118" t="str">
        <f t="shared" ca="1" si="158"/>
        <v>Serviço</v>
      </c>
      <c r="O81" s="119" t="str">
        <f t="shared" ca="1" si="159"/>
        <v>1.10.0.0.4.</v>
      </c>
      <c r="P81" s="120" t="s">
        <v>245</v>
      </c>
      <c r="Q81" s="121" t="s">
        <v>973</v>
      </c>
      <c r="R81" s="122" t="str">
        <f ca="1">IF($C81="S",REFERENCIA.Descricao,"(digite a descrição aqui)")</f>
        <v>PLANTIO DE PALMEIRA COM ALTURA DE MUDA MENOR OU IGUAL A 2,00 M . AF_07/2024</v>
      </c>
      <c r="S81" s="123" t="str">
        <f ca="1">REFERENCIA.Unidade</f>
        <v>UN</v>
      </c>
      <c r="T81" s="124">
        <f ca="1">OFFSET(CÁLCULO!H$15,ROW($T81)-ROW(T$15),0)</f>
        <v>2</v>
      </c>
      <c r="U81" s="125">
        <f t="shared" ca="1" si="17"/>
        <v>336.25</v>
      </c>
      <c r="V81" s="126" t="s">
        <v>155</v>
      </c>
      <c r="W81" s="124">
        <f ca="1">IF($C81="S",ROUND(IF(TIPOORCAMENTO="Proposto",ORÇAMENTO.CustoUnitario*(1+$AH81),ORÇAMENTO.PrecoUnitarioLicitado),15-13*$AF$10),0)</f>
        <v>417.62</v>
      </c>
      <c r="X81" s="127">
        <f ca="1">IF($C81="S",IF(OR(Import.TipoArredondamento&lt;&gt;"TransfereGOV",ACOMPANHAMENTO="BM"),VTOTAL1,SUM(OFFSET(CÁLCULO!$AI$15,ROW($X81)-ROW($X$15),1):OFFSET(CÁLCULO!$BB$15,ROW($X81)-ROW($X$15),-1))),IF($C81=0,0,ROUND(SomaAgrup,15-13*$AF$11)))</f>
        <v>835.24</v>
      </c>
      <c r="Y81" s="128" t="s">
        <v>243</v>
      </c>
      <c r="Z81" t="str">
        <f t="shared" ca="1" si="160"/>
        <v>RA</v>
      </c>
      <c r="AA81" s="129">
        <f ca="1">IF($C81="S",IF($Z81="CP",$X81,IF($Z81="RA",(($X81)*QCI!$AA$3),0)),SomaAgrup)</f>
        <v>835.24</v>
      </c>
      <c r="AB81" s="130">
        <f ca="1">IF($C81="S",IF($Z81="OU",ROUND($X81,2),0),SomaAgrup)</f>
        <v>0</v>
      </c>
      <c r="AC81" s="619" t="str">
        <f ca="1">IF($N81=""," ",
IF(AND($C81&lt;&gt;"S",OR($R81="",$R81="(digite a descrição aqui)")),"DESCRIÇÃO",
IF(AND($C81="S",OR($Q81&lt;&gt;0,$T81&gt;0,$U81&gt;0),$P81=0),"FONTE",
IF(AND($C81="S",$P81&lt;&gt;0,OR($T81&gt;0,$U81&gt;0),$Q81=0),"CÓDIGO",
IF(AND($C81="S",$P81&lt;&gt;0,$Q81&lt;&gt;0,$R81="(Código não identificado nas referências)"),"CÓDIGO N/ID",
IF(AND($C81="S",OR($R81="",$R81="(digite a descrição aqui)"),OR($Q81&lt;&gt;0,$T81&gt;0,$U81&gt;0)),"DESCRIÇÃO",
IF(AND($C81="S",$P81&lt;&gt;0,$Q81&lt;&gt;0,$S81=""),"UNIDADE",
IF(AND($C81="S",$P81&lt;&gt;0,$Q81&lt;&gt;0,$U81=0),"SEM CUSTO",
IF(AND(TIPOORCAMENTO="Licitado",$AL81=0,$AN81&gt;0),"SEM PREÇO",
IF(AND($C81="S",$P81&lt;&gt;0,$Q81&lt;&gt;0,$U81&gt;0,$V81=0),"BDI",
IF(OR(AND(TIPOORCAMENTO="Proposto",$AG81&lt;&gt;"",$AG81&gt;0,ORÇAMENTO.CustoUnitario&gt;$AG81),AND(TIPOORCAMENTO="LICITADO",ORÇAMENTO.PrecoUnitarioLicitado&gt;$AN81)),"ACIMA REF.",
IF(AND($C81="S",$P81&lt;&gt;0,$Q81&lt;&gt;0,$T81=0,$U81&gt;0),"QUANT.",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f ca="1">IF(AND($C81="S",ORÇAMENTO.CodBarra&lt;&gt;""),IF(ORÇAMENTO.Fonte="",ORÇAMENTO.CodBarra,CONCATENATE(ORÇAMENTO.Fonte," ",ORÇAMENTO.CodBarra)))</f>
        <v>SINAPI 98516</v>
      </c>
      <c r="AF81" s="13">
        <f ca="1">IF(ISERROR(INDIRECT(ORÇAMENTO.BancoRef)),"(abra o arquivo 'Referência "&amp;Excel_BuiltIn_Database&amp;".xlsm)",IF(OR($C81&lt;&gt;"S",ORÇAMENTO.CodBarra=""),"(Sem Código)",IF(ISERROR(MATCH($AE81,INDIRECT(ORÇAMENTO.BancoRef),0)),"(Código não identificado nas referências)",MATCH($AE81,INDIRECT(ORÇAMENTO.BancoRef),0))))</f>
        <v>14058</v>
      </c>
      <c r="AG81" s="453">
        <f ca="1">ROUND(IF(DESONERACAO="sim",REFERENCIA.Desonerado,REFERENCIA.NaoDesonerado),2)</f>
        <v>336.25</v>
      </c>
      <c r="AH81" s="454">
        <f ca="1">ROUND(IF(ISNUMBER(ORÇAMENTO.OpcaoBDI),ORÇAMENTO.OpcaoBDI,IF(LEFT(ORÇAMENTO.OpcaoBDI,3)="BDI",HLOOKUP(ORÇAMENTO.OpcaoBDI,$F$4:$H$5,2,FALSE),0)),15-11*$AF$9)</f>
        <v>0.24199999999999999</v>
      </c>
      <c r="AJ81" s="456"/>
      <c r="AL81" s="471"/>
      <c r="AM81" s="348">
        <f t="shared" ca="1" si="136"/>
        <v>835.24</v>
      </c>
      <c r="AN81" s="504">
        <f ca="1">ROUND(ORÇAMENTO.CustoUnitario*(1+$AH81),2)</f>
        <v>417.62</v>
      </c>
    </row>
    <row r="82" spans="1:40" ht="25.5" x14ac:dyDescent="0.2">
      <c r="A82" t="str">
        <f>CHOOSE(1+LOG(1+2*(ORÇAMENTO.Nivel="Meta")+4*(ORÇAMENTO.Nivel="Nível 2")+8*(ORÇAMENTO.Nivel="Nível 3")+16*(ORÇAMENTO.Nivel="Nível 4")+32*(ORÇAMENTO.Nivel="Serviço"),2),0,1,2,3,4,"S")</f>
        <v>S</v>
      </c>
      <c r="B82">
        <f t="shared" ca="1" si="150"/>
        <v>2</v>
      </c>
      <c r="C82" t="str">
        <f t="shared" ca="1" si="151"/>
        <v>S</v>
      </c>
      <c r="D82">
        <f t="shared" ca="1" si="152"/>
        <v>0</v>
      </c>
      <c r="E82">
        <f ca="1">IF($C82=1,OFFSET(E82,-1,0)+MAX(1,COUNTIF(QCI!$A$13:$A$24,OFFSET(ORÇAMENTO!E82,-1,0))),OFFSET(E82,-1,0))</f>
        <v>1</v>
      </c>
      <c r="F82">
        <f t="shared" ca="1" si="153"/>
        <v>10</v>
      </c>
      <c r="G82">
        <f t="shared" ca="1" si="154"/>
        <v>0</v>
      </c>
      <c r="H82">
        <f t="shared" ca="1" si="155"/>
        <v>0</v>
      </c>
      <c r="I82">
        <f t="shared" ca="1" si="156"/>
        <v>5</v>
      </c>
      <c r="J82">
        <f t="shared" ca="1" si="138"/>
        <v>0</v>
      </c>
      <c r="K82">
        <f ca="1">IF(OR($C82="S",$C82=0),0,MATCH(OFFSET($D82,0,$C82)+IF($C82&lt;&gt;1,1,COUNTIF(QCI!$A$13:$A$24,ORÇAMENTO!E82)),OFFSET($D82,1,$C82,ROW($C$131)-ROW($C82)),0))</f>
        <v>0</v>
      </c>
      <c r="L82" s="116" t="str">
        <f t="shared" ca="1" si="157"/>
        <v>F</v>
      </c>
      <c r="M82" s="117" t="s">
        <v>197</v>
      </c>
      <c r="N82" s="118" t="str">
        <f t="shared" ca="1" si="158"/>
        <v>Serviço</v>
      </c>
      <c r="O82" s="119" t="str">
        <f t="shared" ca="1" si="159"/>
        <v>1.10.0.0.5.</v>
      </c>
      <c r="P82" s="120" t="s">
        <v>942</v>
      </c>
      <c r="Q82" s="121" t="s">
        <v>981</v>
      </c>
      <c r="R82" s="122" t="str">
        <f ca="1">IF($C82="S",REFERENCIA.Descricao,"(digite a descrição aqui)")</f>
        <v>MUDA DE PLANTA FOLHAGEM OU SUCULENTA, TIPO ESPADA DE SÃO JORGE OU SEMELHANTE</v>
      </c>
      <c r="S82" s="123" t="str">
        <f ca="1">REFERENCIA.Unidade</f>
        <v>UN</v>
      </c>
      <c r="T82" s="124">
        <f ca="1">OFFSET(CÁLCULO!H$15,ROW($T82)-ROW(T$15),0)</f>
        <v>6</v>
      </c>
      <c r="U82" s="125">
        <f t="shared" ca="1" si="17"/>
        <v>28</v>
      </c>
      <c r="V82" s="126" t="s">
        <v>155</v>
      </c>
      <c r="W82" s="124">
        <f ca="1">IF($C82="S",ROUND(IF(TIPOORCAMENTO="Proposto",ORÇAMENTO.CustoUnitario*(1+$AH82),ORÇAMENTO.PrecoUnitarioLicitado),15-13*$AF$10),0)</f>
        <v>34.78</v>
      </c>
      <c r="X82" s="127">
        <f ca="1">IF($C82="S",IF(OR(Import.TipoArredondamento&lt;&gt;"TransfereGOV",ACOMPANHAMENTO="BM"),VTOTAL1,SUM(OFFSET(CÁLCULO!$AI$15,ROW($X82)-ROW($X$15),1):OFFSET(CÁLCULO!$BB$15,ROW($X82)-ROW($X$15),-1))),IF($C82=0,0,ROUND(SomaAgrup,15-13*$AF$11)))</f>
        <v>208.68</v>
      </c>
      <c r="Y82" s="128" t="s">
        <v>243</v>
      </c>
      <c r="Z82" t="str">
        <f t="shared" ca="1" si="160"/>
        <v>RA</v>
      </c>
      <c r="AA82" s="129">
        <f ca="1">IF($C82="S",IF($Z82="CP",$X82,IF($Z82="RA",(($X82)*QCI!$AA$3),0)),SomaAgrup)</f>
        <v>208.68</v>
      </c>
      <c r="AB82" s="130">
        <f ca="1">IF($C82="S",IF($Z82="OU",ROUND($X82,2),0),SomaAgrup)</f>
        <v>0</v>
      </c>
      <c r="AC82" s="619" t="str">
        <f ca="1">IF($N82=""," ",
IF(AND($C82&lt;&gt;"S",OR($R82="",$R82="(digite a descrição aqui)")),"DESCRIÇÃO",
IF(AND($C82="S",OR($Q82&lt;&gt;0,$T82&gt;0,$U82&gt;0),$P82=0),"FONTE",
IF(AND($C82="S",$P82&lt;&gt;0,OR($T82&gt;0,$U82&gt;0),$Q82=0),"CÓDIGO",
IF(AND($C82="S",$P82&lt;&gt;0,$Q82&lt;&gt;0,$R82="(Código não identificado nas referências)"),"CÓDIGO N/ID",
IF(AND($C82="S",OR($R82="",$R82="(digite a descrição aqui)"),OR($Q82&lt;&gt;0,$T82&gt;0,$U82&gt;0)),"DESCRIÇÃO",
IF(AND($C82="S",$P82&lt;&gt;0,$Q82&lt;&gt;0,$S82=""),"UNIDADE",
IF(AND($C82="S",$P82&lt;&gt;0,$Q82&lt;&gt;0,$U82=0),"SEM CUSTO",
IF(AND(TIPOORCAMENTO="Licitado",$AL82=0,$AN82&gt;0),"SEM PREÇO",
IF(AND($C82="S",$P82&lt;&gt;0,$Q82&lt;&gt;0,$U82&gt;0,$V82=0),"BDI",
IF(OR(AND(TIPOORCAMENTO="Proposto",$AG82&lt;&gt;"",$AG82&gt;0,ORÇAMENTO.CustoUnitario&gt;$AG82),AND(TIPOORCAMENTO="LICITADO",ORÇAMENTO.PrecoUnitarioLicitado&gt;$AN82)),"ACIMA REF.",
IF(AND($C82="S",$P82&lt;&gt;0,$Q82&lt;&gt;0,$T82=0,$U82&gt;0),"QUANT.",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f ca="1">IF(AND($C82="S",ORÇAMENTO.CodBarra&lt;&gt;""),IF(ORÇAMENTO.Fonte="",ORÇAMENTO.CodBarra,CONCATENATE(ORÇAMENTO.Fonte," ",ORÇAMENTO.CodBarra)))</f>
        <v>COTAÇÃO 66</v>
      </c>
      <c r="AF82" s="13">
        <f ca="1">IF(ISERROR(INDIRECT(ORÇAMENTO.BancoRef)),"(abra o arquivo 'Referência "&amp;Excel_BuiltIn_Database&amp;".xlsm)",IF(OR($C82&lt;&gt;"S",ORÇAMENTO.CodBarra=""),"(Sem Código)",IF(ISERROR(MATCH($AE82,INDIRECT(ORÇAMENTO.BancoRef),0)),"(Código não identificado nas referências)",MATCH($AE82,INDIRECT(ORÇAMENTO.BancoRef),0))))</f>
        <v>156</v>
      </c>
      <c r="AG82" s="453">
        <f ca="1">ROUND(IF(DESONERACAO="sim",REFERENCIA.Desonerado,REFERENCIA.NaoDesonerado),2)</f>
        <v>28</v>
      </c>
      <c r="AH82" s="454">
        <f ca="1">ROUND(IF(ISNUMBER(ORÇAMENTO.OpcaoBDI),ORÇAMENTO.OpcaoBDI,IF(LEFT(ORÇAMENTO.OpcaoBDI,3)="BDI",HLOOKUP(ORÇAMENTO.OpcaoBDI,$F$4:$H$5,2,FALSE),0)),15-11*$AF$9)</f>
        <v>0.24199999999999999</v>
      </c>
      <c r="AJ82" s="456"/>
      <c r="AL82" s="471"/>
      <c r="AM82" s="348">
        <f t="shared" ca="1" si="136"/>
        <v>208.68</v>
      </c>
      <c r="AN82" s="504">
        <f ca="1">ROUND(ORÇAMENTO.CustoUnitario*(1+$AH82),2)</f>
        <v>34.78</v>
      </c>
    </row>
    <row r="83" spans="1:40" x14ac:dyDescent="0.2">
      <c r="A83">
        <f t="shared" ref="A83:A84" si="161">CHOOSE(1+LOG(1+2*(ORÇAMENTO.Nivel="Meta")+4*(ORÇAMENTO.Nivel="Nível 2")+8*(ORÇAMENTO.Nivel="Nível 3")+16*(ORÇAMENTO.Nivel="Nível 4")+32*(ORÇAMENTO.Nivel="Serviço"),2),0,1,2,3,4,"S")</f>
        <v>2</v>
      </c>
      <c r="B83">
        <f t="shared" ca="1" si="150"/>
        <v>2</v>
      </c>
      <c r="C83">
        <f t="shared" ca="1" si="151"/>
        <v>2</v>
      </c>
      <c r="D83">
        <f t="shared" ca="1" si="152"/>
        <v>3</v>
      </c>
      <c r="E83">
        <f ca="1">IF($C83=1,OFFSET(E83,-1,0)+MAX(1,COUNTIF(QCI!$A$13:$A$24,OFFSET(ORÇAMENTO!E83,-1,0))),OFFSET(E83,-1,0))</f>
        <v>1</v>
      </c>
      <c r="F83">
        <f t="shared" ca="1" si="153"/>
        <v>11</v>
      </c>
      <c r="G83">
        <f t="shared" ca="1" si="154"/>
        <v>0</v>
      </c>
      <c r="H83">
        <f t="shared" ca="1" si="155"/>
        <v>0</v>
      </c>
      <c r="I83">
        <f t="shared" ca="1" si="156"/>
        <v>0</v>
      </c>
      <c r="J83">
        <f t="shared" ca="1" si="138"/>
        <v>48</v>
      </c>
      <c r="K83">
        <f ca="1">IF(OR($C83="S",$C83=0),0,MATCH(OFFSET($D83,0,$C83)+IF($C83&lt;&gt;1,1,COUNTIF(QCI!$A$13:$A$24,ORÇAMENTO!E83)),OFFSET($D83,1,$C83,ROW($C$131)-ROW($C83)),0))</f>
        <v>3</v>
      </c>
      <c r="L83" s="116" t="str">
        <f t="shared" ca="1" si="157"/>
        <v>F</v>
      </c>
      <c r="M83" s="117" t="s">
        <v>194</v>
      </c>
      <c r="N83" s="118" t="str">
        <f t="shared" ca="1" si="158"/>
        <v>Nível 2</v>
      </c>
      <c r="O83" s="119" t="str">
        <f t="shared" ca="1" si="159"/>
        <v>1.11.</v>
      </c>
      <c r="P83" s="120" t="s">
        <v>245</v>
      </c>
      <c r="Q83" s="121"/>
      <c r="R83" s="122" t="s">
        <v>961</v>
      </c>
      <c r="S83" s="123" t="str">
        <f ca="1">REFERENCIA.Unidade</f>
        <v>-</v>
      </c>
      <c r="T83" s="124">
        <f ca="1">OFFSET(CÁLCULO!H$15,ROW($T83)-ROW(T$15),0)</f>
        <v>0</v>
      </c>
      <c r="U83" s="125">
        <f t="shared" ca="1" si="17"/>
        <v>0</v>
      </c>
      <c r="V83" s="126" t="s">
        <v>155</v>
      </c>
      <c r="W83" s="124">
        <f ca="1">IF($C83="S",ROUND(IF(TIPOORCAMENTO="Proposto",ORÇAMENTO.CustoUnitario*(1+$AH83),ORÇAMENTO.PrecoUnitarioLicitado),15-13*$AF$10),0)</f>
        <v>0</v>
      </c>
      <c r="X83" s="127">
        <f ca="1">IF($C83="S",IF(OR(Import.TipoArredondamento&lt;&gt;"TransfereGOV",ACOMPANHAMENTO="BM"),VTOTAL1,SUM(OFFSET(CÁLCULO!$AI$15,ROW($X83)-ROW($X$15),1):OFFSET(CÁLCULO!$BB$15,ROW($X83)-ROW($X$15),-1))),IF($C83=0,0,ROUND(SomaAgrup,15-13*$AF$11)))</f>
        <v>18899.990000000002</v>
      </c>
      <c r="Y83" s="128" t="s">
        <v>243</v>
      </c>
      <c r="Z83" t="str">
        <f t="shared" ca="1" si="160"/>
        <v/>
      </c>
      <c r="AA83" s="129">
        <f ca="1">IF($C83="S",IF($Z83="CP",$X83,IF($Z83="RA",(($X83)*QCI!$AA$3),0)),SomaAgrup)</f>
        <v>18899.989999999998</v>
      </c>
      <c r="AB83" s="130">
        <f t="shared" ref="AB83:AB84" ca="1" si="162">IF($C83="S",IF($Z83="OU",ROUND($X83,2),0),SomaAgrup)</f>
        <v>0</v>
      </c>
      <c r="AC83" s="619" t="str">
        <f ca="1">IF($N83=""," ",
IF(AND($C83&lt;&gt;"S",OR($R83="",$R83="(digite a descrição aqui)")),"DESCRIÇÃO",
IF(AND($C83="S",OR($Q83&lt;&gt;0,$T83&gt;0,$U83&gt;0),$P83=0),"FONTE",
IF(AND($C83="S",$P83&lt;&gt;0,OR($T83&gt;0,$U83&gt;0),$Q83=0),"CÓDIGO",
IF(AND($C83="S",$P83&lt;&gt;0,$Q83&lt;&gt;0,$R83="(Código não identificado nas referências)"),"CÓDIGO N/ID",
IF(AND($C83="S",OR($R83="",$R83="(digite a descrição aqui)"),OR($Q83&lt;&gt;0,$T83&gt;0,$U83&gt;0)),"DESCRIÇÃO",
IF(AND($C83="S",$P83&lt;&gt;0,$Q83&lt;&gt;0,$S83=""),"UNIDADE",
IF(AND($C83="S",$P83&lt;&gt;0,$Q83&lt;&gt;0,$U83=0),"SEM CUSTO",
IF(AND(TIPOORCAMENTO="Licitado",$AL83=0,$AN83&gt;0),"SEM PREÇO",
IF(AND($C83="S",$P83&lt;&gt;0,$Q83&lt;&gt;0,$U83&gt;0,$V83=0),"BDI",
IF(OR(AND(TIPOORCAMENTO="Proposto",$AG83&lt;&gt;"",$AG83&gt;0,ORÇAMENTO.CustoUnitario&gt;$AG83),AND(TIPOORCAMENTO="LICITADO",ORÇAMENTO.PrecoUnitarioLicitado&gt;$AN83)),"ACIMA REF.",
IF(AND($C83="S",$P83&lt;&gt;0,$Q83&lt;&gt;0,$T83=0,$U83&gt;0),"QUANT.",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f ca="1">IF(C83&lt;=CRONO.NivelExibicao,MAX($AD$15:OFFSET(AD83,-1,0))+IF($C83&lt;&gt;1,1,MAX(1,COUNTIF(QCI!$A$13:$A$24,OFFSET($E83,-1,0)))),"")</f>
        <v>12</v>
      </c>
      <c r="AE83" s="7" t="b">
        <f ca="1">IF(AND($C83="S",ORÇAMENTO.CodBarra&lt;&gt;""),IF(ORÇAMENTO.Fonte="",ORÇAMENTO.CodBarra,CONCATENATE(ORÇAMENTO.Fonte," ",ORÇAMENTO.CodBarra)))</f>
        <v>0</v>
      </c>
      <c r="AF83" s="13" t="str">
        <f ca="1">IF(ISERROR(INDIRECT(ORÇAMENTO.BancoRef)),"(abra o arquivo 'Referência "&amp;Excel_BuiltIn_Database&amp;".xlsm)",IF(OR($C83&lt;&gt;"S",ORÇAMENTO.CodBarra=""),"(Sem Código)",IF(ISERROR(MATCH($AE83,INDIRECT(ORÇAMENTO.BancoRef),0)),"(Código não identificado nas referências)",MATCH($AE83,INDIRECT(ORÇAMENTO.BancoRef),0))))</f>
        <v>(Sem Código)</v>
      </c>
      <c r="AG83" s="453">
        <f ca="1">ROUND(IF(DESONERACAO="sim",REFERENCIA.Desonerado,REFERENCIA.NaoDesonerado),2)</f>
        <v>0</v>
      </c>
      <c r="AH83" s="454">
        <f t="shared" ref="AH83:AH84" ca="1" si="163">ROUND(IF(ISNUMBER(ORÇAMENTO.OpcaoBDI),ORÇAMENTO.OpcaoBDI,IF(LEFT(ORÇAMENTO.OpcaoBDI,3)="BDI",HLOOKUP(ORÇAMENTO.OpcaoBDI,$F$4:$H$5,2,FALSE),0)),15-11*$AF$9)</f>
        <v>0.24199999999999999</v>
      </c>
      <c r="AJ83" s="456"/>
      <c r="AL83" s="471"/>
      <c r="AM83" s="348">
        <f t="shared" ca="1" si="136"/>
        <v>18899.990000000002</v>
      </c>
      <c r="AN83" s="504">
        <f t="shared" ref="AN83:AN84" ca="1" si="164">ROUND(ORÇAMENTO.CustoUnitario*(1+$AH83),2)</f>
        <v>0</v>
      </c>
    </row>
    <row r="84" spans="1:40" ht="25.5" x14ac:dyDescent="0.2">
      <c r="A84" t="str">
        <f t="shared" si="161"/>
        <v>S</v>
      </c>
      <c r="B84">
        <f t="shared" ca="1" si="150"/>
        <v>2</v>
      </c>
      <c r="C84" t="str">
        <f t="shared" ca="1" si="151"/>
        <v>S</v>
      </c>
      <c r="D84">
        <f t="shared" ca="1" si="152"/>
        <v>0</v>
      </c>
      <c r="E84">
        <f ca="1">IF($C84=1,OFFSET(E84,-1,0)+MAX(1,COUNTIF(QCI!$A$13:$A$24,OFFSET(ORÇAMENTO!E84,-1,0))),OFFSET(E84,-1,0))</f>
        <v>1</v>
      </c>
      <c r="F84">
        <f t="shared" ca="1" si="153"/>
        <v>11</v>
      </c>
      <c r="G84">
        <f t="shared" ca="1" si="154"/>
        <v>0</v>
      </c>
      <c r="H84">
        <f t="shared" ca="1" si="155"/>
        <v>0</v>
      </c>
      <c r="I84">
        <f t="shared" ca="1" si="156"/>
        <v>1</v>
      </c>
      <c r="J84">
        <f t="shared" ca="1" si="138"/>
        <v>0</v>
      </c>
      <c r="K84">
        <f ca="1">IF(OR($C84="S",$C84=0),0,MATCH(OFFSET($D84,0,$C84)+IF($C84&lt;&gt;1,1,COUNTIF(QCI!$A$13:$A$24,ORÇAMENTO!E84)),OFFSET($D84,1,$C84,ROW($C$131)-ROW($C84)),0))</f>
        <v>0</v>
      </c>
      <c r="L84" s="116" t="str">
        <f t="shared" ca="1" si="157"/>
        <v>F</v>
      </c>
      <c r="M84" s="117" t="s">
        <v>197</v>
      </c>
      <c r="N84" s="118" t="str">
        <f t="shared" ca="1" si="158"/>
        <v>Serviço</v>
      </c>
      <c r="O84" s="119" t="str">
        <f t="shared" ca="1" si="159"/>
        <v>1.11.0.0.1.</v>
      </c>
      <c r="P84" s="120" t="s">
        <v>245</v>
      </c>
      <c r="Q84" s="121" t="s">
        <v>978</v>
      </c>
      <c r="R84" s="122" t="s">
        <v>980</v>
      </c>
      <c r="S84" s="123" t="str">
        <f ca="1">REFERENCIA.Unidade</f>
        <v>M2</v>
      </c>
      <c r="T84" s="124">
        <f ca="1">OFFSET(CÁLCULO!H$15,ROW($T84)-ROW(T$15),0)</f>
        <v>51.07</v>
      </c>
      <c r="U84" s="125">
        <f t="shared" ca="1" si="17"/>
        <v>149.03</v>
      </c>
      <c r="V84" s="126" t="s">
        <v>189</v>
      </c>
      <c r="W84" s="124">
        <f ca="1">IF($C84="S",ROUND(IF(TIPOORCAMENTO="Proposto",ORÇAMENTO.CustoUnitario*(1+$AH84),ORÇAMENTO.PrecoUnitarioLicitado),15-13*$AF$10),0)</f>
        <v>184.98</v>
      </c>
      <c r="X84" s="127">
        <f ca="1">IF($C84="S",IF(OR(Import.TipoArredondamento&lt;&gt;"TransfereGOV",ACOMPANHAMENTO="BM"),VTOTAL1,SUM(OFFSET(CÁLCULO!$AI$15,ROW($X84)-ROW($X$15),1):OFFSET(CÁLCULO!$BB$15,ROW($X84)-ROW($X$15),-1))),IF($C84=0,0,ROUND(SomaAgrup,15-13*$AF$11)))</f>
        <v>9446.93</v>
      </c>
      <c r="Y84" s="128" t="s">
        <v>243</v>
      </c>
      <c r="Z84" t="str">
        <f t="shared" ca="1" si="160"/>
        <v>RA</v>
      </c>
      <c r="AA84" s="129">
        <f ca="1">IF($C84="S",IF($Z84="CP",$X84,IF($Z84="RA",(($X84)*QCI!$AA$3),0)),SomaAgrup)</f>
        <v>9446.93</v>
      </c>
      <c r="AB84" s="130">
        <f t="shared" ca="1" si="162"/>
        <v>0</v>
      </c>
      <c r="AC84" s="619" t="str">
        <f ca="1">IF($N84=""," ",
IF(AND($C84&lt;&gt;"S",OR($R84="",$R84="(digite a descrição aqui)")),"DESCRIÇÃO",
IF(AND($C84="S",OR($Q84&lt;&gt;0,$T84&gt;0,$U84&gt;0),$P84=0),"FONTE",
IF(AND($C84="S",$P84&lt;&gt;0,OR($T84&gt;0,$U84&gt;0),$Q84=0),"CÓDIGO",
IF(AND($C84="S",$P84&lt;&gt;0,$Q84&lt;&gt;0,$R84="(Código não identificado nas referências)"),"CÓDIGO N/ID",
IF(AND($C84="S",OR($R84="",$R84="(digite a descrição aqui)"),OR($Q84&lt;&gt;0,$T84&gt;0,$U84&gt;0)),"DESCRIÇÃO",
IF(AND($C84="S",$P84&lt;&gt;0,$Q84&lt;&gt;0,$S84=""),"UNIDADE",
IF(AND($C84="S",$P84&lt;&gt;0,$Q84&lt;&gt;0,$U84=0),"SEM CUSTO",
IF(AND(TIPOORCAMENTO="Licitado",$AL84=0,$AN84&gt;0),"SEM PREÇO",
IF(AND($C84="S",$P84&lt;&gt;0,$Q84&lt;&gt;0,$U84&gt;0,$V84=0),"BDI",
IF(OR(AND(TIPOORCAMENTO="Proposto",$AG84&lt;&gt;"",$AG84&gt;0,ORÇAMENTO.CustoUnitario&gt;$AG84),AND(TIPOORCAMENTO="LICITADO",ORÇAMENTO.PrecoUnitarioLicitado&gt;$AN84)),"ACIMA REF.",
IF(AND($C84="S",$P84&lt;&gt;0,$Q84&lt;&gt;0,$T84=0,$U84&gt;0),"QUANT.",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f ca="1">IF(AND($C84="S",ORÇAMENTO.CodBarra&lt;&gt;""),IF(ORÇAMENTO.Fonte="",ORÇAMENTO.CodBarra,CONCATENATE(ORÇAMENTO.Fonte," ",ORÇAMENTO.CodBarra)))</f>
        <v>SINAPI 104658</v>
      </c>
      <c r="AF84" s="13">
        <f ca="1">IF(ISERROR(INDIRECT(ORÇAMENTO.BancoRef)),"(abra o arquivo 'Referência "&amp;Excel_BuiltIn_Database&amp;".xlsm)",IF(OR($C84&lt;&gt;"S",ORÇAMENTO.CodBarra=""),"(Sem Código)",IF(ISERROR(MATCH($AE84,INDIRECT(ORÇAMENTO.BancoRef),0)),"(Código não identificado nas referências)",MATCH($AE84,INDIRECT(ORÇAMENTO.BancoRef),0))))</f>
        <v>6185</v>
      </c>
      <c r="AG84" s="453">
        <f ca="1">ROUND(IF(DESONERACAO="sim",REFERENCIA.Desonerado,REFERENCIA.NaoDesonerado),2)</f>
        <v>149.03</v>
      </c>
      <c r="AH84" s="454">
        <f t="shared" ca="1" si="163"/>
        <v>0.2412</v>
      </c>
      <c r="AJ84" s="456"/>
      <c r="AL84" s="471"/>
      <c r="AM84" s="348">
        <f t="shared" ca="1" si="136"/>
        <v>9446.93</v>
      </c>
      <c r="AN84" s="504">
        <f t="shared" ca="1" si="164"/>
        <v>184.98</v>
      </c>
    </row>
    <row r="85" spans="1:40" ht="25.5" x14ac:dyDescent="0.2">
      <c r="A85" t="str">
        <f t="shared" ref="A85:A127" si="165">CHOOSE(1+LOG(1+2*(ORÇAMENTO.Nivel="Meta")+4*(ORÇAMENTO.Nivel="Nível 2")+8*(ORÇAMENTO.Nivel="Nível 3")+16*(ORÇAMENTO.Nivel="Nível 4")+32*(ORÇAMENTO.Nivel="Serviço"),2),0,1,2,3,4,"S")</f>
        <v>S</v>
      </c>
      <c r="B85">
        <f t="shared" ca="1" si="150"/>
        <v>2</v>
      </c>
      <c r="C85" t="str">
        <f t="shared" ca="1" si="151"/>
        <v>S</v>
      </c>
      <c r="D85">
        <f t="shared" ca="1" si="152"/>
        <v>0</v>
      </c>
      <c r="E85">
        <f ca="1">IF($C85=1,OFFSET(E85,-1,0)+MAX(1,COUNTIF(QCI!$A$13:$A$24,OFFSET(ORÇAMENTO!E85,-1,0))),OFFSET(E85,-1,0))</f>
        <v>1</v>
      </c>
      <c r="F85">
        <f t="shared" ca="1" si="153"/>
        <v>11</v>
      </c>
      <c r="G85">
        <f t="shared" ca="1" si="154"/>
        <v>0</v>
      </c>
      <c r="H85">
        <f t="shared" ca="1" si="155"/>
        <v>0</v>
      </c>
      <c r="I85">
        <f t="shared" ca="1" si="156"/>
        <v>2</v>
      </c>
      <c r="J85">
        <f t="shared" ca="1" si="138"/>
        <v>0</v>
      </c>
      <c r="K85">
        <f ca="1">IF(OR($C85="S",$C85=0),0,MATCH(OFFSET($D85,0,$C85)+IF($C85&lt;&gt;1,1,COUNTIF(QCI!$A$13:$A$24,ORÇAMENTO!E85)),OFFSET($D85,1,$C85,ROW($C$131)-ROW($C85)),0))</f>
        <v>0</v>
      </c>
      <c r="L85" s="116" t="str">
        <f t="shared" ca="1" si="157"/>
        <v>F</v>
      </c>
      <c r="M85" s="117" t="s">
        <v>197</v>
      </c>
      <c r="N85" s="118" t="str">
        <f t="shared" ca="1" si="158"/>
        <v>Serviço</v>
      </c>
      <c r="O85" s="119" t="str">
        <f t="shared" ca="1" si="159"/>
        <v>1.11.0.0.2.</v>
      </c>
      <c r="P85" s="120" t="s">
        <v>245</v>
      </c>
      <c r="Q85" s="121" t="s">
        <v>978</v>
      </c>
      <c r="R85" s="122" t="s">
        <v>979</v>
      </c>
      <c r="S85" s="123" t="str">
        <f ca="1">REFERENCIA.Unidade</f>
        <v>M2</v>
      </c>
      <c r="T85" s="124">
        <f ca="1">OFFSET(CÁLCULO!H$15,ROW($T85)-ROW(T$15),0)</f>
        <v>51.07</v>
      </c>
      <c r="U85" s="125">
        <f t="shared" ca="1" si="17"/>
        <v>149.03</v>
      </c>
      <c r="V85" s="126" t="s">
        <v>155</v>
      </c>
      <c r="W85" s="124">
        <f ca="1">IF($C85="S",ROUND(IF(TIPOORCAMENTO="Proposto",ORÇAMENTO.CustoUnitario*(1+$AH85),ORÇAMENTO.PrecoUnitarioLicitado),15-13*$AF$10),0)</f>
        <v>185.1</v>
      </c>
      <c r="X85" s="127">
        <f ca="1">IF($C85="S",IF(OR(Import.TipoArredondamento&lt;&gt;"TransfereGOV",ACOMPANHAMENTO="BM"),VTOTAL1,SUM(OFFSET(CÁLCULO!$AI$15,ROW($X85)-ROW($X$15),1):OFFSET(CÁLCULO!$BB$15,ROW($X85)-ROW($X$15),-1))),IF($C85=0,0,ROUND(SomaAgrup,15-13*$AF$11)))</f>
        <v>9453.06</v>
      </c>
      <c r="Y85" s="128" t="s">
        <v>243</v>
      </c>
      <c r="Z85" t="str">
        <f t="shared" ca="1" si="160"/>
        <v>RA</v>
      </c>
      <c r="AA85" s="129">
        <f ca="1">IF($C85="S",IF($Z85="CP",$X85,IF($Z85="RA",(($X85)*QCI!$AA$3),0)),SomaAgrup)</f>
        <v>9453.06</v>
      </c>
      <c r="AB85" s="130">
        <f t="shared" ref="AB85:AB127" ca="1" si="166">IF($C85="S",IF($Z85="OU",ROUND($X85,2),0),SomaAgrup)</f>
        <v>0</v>
      </c>
      <c r="AC85" s="619" t="str">
        <f ca="1">IF($N85=""," ",
IF(AND($C85&lt;&gt;"S",OR($R85="",$R85="(digite a descrição aqui)")),"DESCRIÇÃO",
IF(AND($C85="S",OR($Q85&lt;&gt;0,$T85&gt;0,$U85&gt;0),$P85=0),"FONTE",
IF(AND($C85="S",$P85&lt;&gt;0,OR($T85&gt;0,$U85&gt;0),$Q85=0),"CÓDIGO",
IF(AND($C85="S",$P85&lt;&gt;0,$Q85&lt;&gt;0,$R85="(Código não identificado nas referências)"),"CÓDIGO N/ID",
IF(AND($C85="S",OR($R85="",$R85="(digite a descrição aqui)"),OR($Q85&lt;&gt;0,$T85&gt;0,$U85&gt;0)),"DESCRIÇÃO",
IF(AND($C85="S",$P85&lt;&gt;0,$Q85&lt;&gt;0,$S85=""),"UNIDADE",
IF(AND($C85="S",$P85&lt;&gt;0,$Q85&lt;&gt;0,$U85=0),"SEM CUSTO",
IF(AND(TIPOORCAMENTO="Licitado",$AL85=0,$AN85&gt;0),"SEM PREÇO",
IF(AND($C85="S",$P85&lt;&gt;0,$Q85&lt;&gt;0,$U85&gt;0,$V85=0),"BDI",
IF(OR(AND(TIPOORCAMENTO="Proposto",$AG85&lt;&gt;"",$AG85&gt;0,ORÇAMENTO.CustoUnitario&gt;$AG85),AND(TIPOORCAMENTO="LICITADO",ORÇAMENTO.PrecoUnitarioLicitado&gt;$AN85)),"ACIMA REF.",
IF(AND($C85="S",$P85&lt;&gt;0,$Q85&lt;&gt;0,$T85=0,$U85&gt;0),"QUANT.",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f ca="1">IF(AND($C85="S",ORÇAMENTO.CodBarra&lt;&gt;""),IF(ORÇAMENTO.Fonte="",ORÇAMENTO.CodBarra,CONCATENATE(ORÇAMENTO.Fonte," ",ORÇAMENTO.CodBarra)))</f>
        <v>SINAPI 104658</v>
      </c>
      <c r="AF85" s="13">
        <f ca="1">IF(ISERROR(INDIRECT(ORÇAMENTO.BancoRef)),"(abra o arquivo 'Referência "&amp;Excel_BuiltIn_Database&amp;".xlsm)",IF(OR($C85&lt;&gt;"S",ORÇAMENTO.CodBarra=""),"(Sem Código)",IF(ISERROR(MATCH($AE85,INDIRECT(ORÇAMENTO.BancoRef),0)),"(Código não identificado nas referências)",MATCH($AE85,INDIRECT(ORÇAMENTO.BancoRef),0))))</f>
        <v>6185</v>
      </c>
      <c r="AG85" s="453">
        <f ca="1">ROUND(IF(DESONERACAO="sim",REFERENCIA.Desonerado,REFERENCIA.NaoDesonerado),2)</f>
        <v>149.03</v>
      </c>
      <c r="AH85" s="454">
        <f t="shared" ref="AH85:AH127" ca="1" si="167">ROUND(IF(ISNUMBER(ORÇAMENTO.OpcaoBDI),ORÇAMENTO.OpcaoBDI,IF(LEFT(ORÇAMENTO.OpcaoBDI,3)="BDI",HLOOKUP(ORÇAMENTO.OpcaoBDI,$F$4:$H$5,2,FALSE),0)),15-11*$AF$9)</f>
        <v>0.24199999999999999</v>
      </c>
      <c r="AJ85" s="456"/>
      <c r="AL85" s="471"/>
      <c r="AM85" s="348">
        <f t="shared" ca="1" si="136"/>
        <v>9453.06</v>
      </c>
      <c r="AN85" s="504">
        <f t="shared" ref="AN85:AN127" ca="1" si="168">ROUND(ORÇAMENTO.CustoUnitario*(1+$AH85),2)</f>
        <v>185.1</v>
      </c>
    </row>
    <row r="86" spans="1:40" x14ac:dyDescent="0.2">
      <c r="A86">
        <f t="shared" si="165"/>
        <v>2</v>
      </c>
      <c r="B86">
        <f t="shared" ca="1" si="150"/>
        <v>2</v>
      </c>
      <c r="C86">
        <f t="shared" ca="1" si="151"/>
        <v>2</v>
      </c>
      <c r="D86">
        <f t="shared" ca="1" si="152"/>
        <v>42</v>
      </c>
      <c r="E86">
        <f ca="1">IF($C86=1,OFFSET(E86,-1,0)+MAX(1,COUNTIF(QCI!$A$13:$A$24,OFFSET(ORÇAMENTO!E86,-1,0))),OFFSET(E86,-1,0))</f>
        <v>1</v>
      </c>
      <c r="F86">
        <f t="shared" ca="1" si="153"/>
        <v>12</v>
      </c>
      <c r="G86">
        <f t="shared" ca="1" si="154"/>
        <v>0</v>
      </c>
      <c r="H86">
        <f t="shared" ca="1" si="155"/>
        <v>0</v>
      </c>
      <c r="I86">
        <f t="shared" ca="1" si="156"/>
        <v>0</v>
      </c>
      <c r="J86">
        <f t="shared" ca="1" si="138"/>
        <v>45</v>
      </c>
      <c r="K86">
        <f ca="1">IF(OR($C86="S",$C86=0),0,MATCH(OFFSET($D86,0,$C86)+IF($C86&lt;&gt;1,1,COUNTIF(QCI!$A$13:$A$24,ORÇAMENTO!E86)),OFFSET($D86,1,$C86,ROW($C$131)-ROW($C86)),0))</f>
        <v>42</v>
      </c>
      <c r="L86" s="116" t="str">
        <f t="shared" ca="1" si="157"/>
        <v>F</v>
      </c>
      <c r="M86" s="117" t="s">
        <v>194</v>
      </c>
      <c r="N86" s="118" t="str">
        <f t="shared" ca="1" si="158"/>
        <v>Nível 2</v>
      </c>
      <c r="O86" s="119" t="str">
        <f t="shared" ca="1" si="159"/>
        <v>1.12.</v>
      </c>
      <c r="P86" s="120" t="s">
        <v>245</v>
      </c>
      <c r="Q86" s="121"/>
      <c r="R86" s="122" t="s">
        <v>1006</v>
      </c>
      <c r="S86" s="123" t="str">
        <f ca="1">REFERENCIA.Unidade</f>
        <v>-</v>
      </c>
      <c r="T86" s="124">
        <f ca="1">OFFSET(CÁLCULO!H$15,ROW($T86)-ROW(T$15),0)</f>
        <v>0</v>
      </c>
      <c r="U86" s="125">
        <f t="shared" ca="1" si="17"/>
        <v>0</v>
      </c>
      <c r="V86" s="126" t="s">
        <v>155</v>
      </c>
      <c r="W86" s="124">
        <f ca="1">IF($C86="S",ROUND(IF(TIPOORCAMENTO="Proposto",ORÇAMENTO.CustoUnitario*(1+$AH86),ORÇAMENTO.PrecoUnitarioLicitado),15-13*$AF$10),0)</f>
        <v>0</v>
      </c>
      <c r="X86" s="127">
        <f ca="1">IF($C86="S",IF(OR(Import.TipoArredondamento&lt;&gt;"TransfereGOV",ACOMPANHAMENTO="BM"),VTOTAL1,SUM(OFFSET(CÁLCULO!$AI$15,ROW($X86)-ROW($X$15),1):OFFSET(CÁLCULO!$BB$15,ROW($X86)-ROW($X$15),-1))),IF($C86=0,0,ROUND(SomaAgrup,15-13*$AF$11)))</f>
        <v>50312.77</v>
      </c>
      <c r="Y86" s="128" t="s">
        <v>243</v>
      </c>
      <c r="Z86" t="str">
        <f t="shared" ca="1" si="160"/>
        <v/>
      </c>
      <c r="AA86" s="129">
        <f ca="1">IF($C86="S",IF($Z86="CP",$X86,IF($Z86="RA",(($X86)*QCI!$AA$3),0)),SomaAgrup)</f>
        <v>50312.77</v>
      </c>
      <c r="AB86" s="130">
        <f t="shared" ca="1" si="166"/>
        <v>0</v>
      </c>
      <c r="AC86" s="619" t="str">
        <f ca="1">IF($N86=""," ",
IF(AND($C86&lt;&gt;"S",OR($R86="",$R86="(digite a descrição aqui)")),"DESCRIÇÃO",
IF(AND($C86="S",OR($Q86&lt;&gt;0,$T86&gt;0,$U86&gt;0),$P86=0),"FONTE",
IF(AND($C86="S",$P86&lt;&gt;0,OR($T86&gt;0,$U86&gt;0),$Q86=0),"CÓDIGO",
IF(AND($C86="S",$P86&lt;&gt;0,$Q86&lt;&gt;0,$R86="(Código não identificado nas referências)"),"CÓDIGO N/ID",
IF(AND($C86="S",OR($R86="",$R86="(digite a descrição aqui)"),OR($Q86&lt;&gt;0,$T86&gt;0,$U86&gt;0)),"DESCRIÇÃO",
IF(AND($C86="S",$P86&lt;&gt;0,$Q86&lt;&gt;0,$S86=""),"UNIDADE",
IF(AND($C86="S",$P86&lt;&gt;0,$Q86&lt;&gt;0,$U86=0),"SEM CUSTO",
IF(AND(TIPOORCAMENTO="Licitado",$AL86=0,$AN86&gt;0),"SEM PREÇO",
IF(AND($C86="S",$P86&lt;&gt;0,$Q86&lt;&gt;0,$U86&gt;0,$V86=0),"BDI",
IF(OR(AND(TIPOORCAMENTO="Proposto",$AG86&lt;&gt;"",$AG86&gt;0,ORÇAMENTO.CustoUnitario&gt;$AG86),AND(TIPOORCAMENTO="LICITADO",ORÇAMENTO.PrecoUnitarioLicitado&gt;$AN86)),"ACIMA REF.",
IF(AND($C86="S",$P86&lt;&gt;0,$Q86&lt;&gt;0,$T86=0,$U86&gt;0),"QUANT.",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f ca="1">IF(C86&lt;=CRONO.NivelExibicao,MAX($AD$15:OFFSET(AD86,-1,0))+IF($C86&lt;&gt;1,1,MAX(1,COUNTIF(QCI!$A$13:$A$24,OFFSET($E86,-1,0)))),"")</f>
        <v>13</v>
      </c>
      <c r="AE86" s="7" t="b">
        <f ca="1">IF(AND($C86="S",ORÇAMENTO.CodBarra&lt;&gt;""),IF(ORÇAMENTO.Fonte="",ORÇAMENTO.CodBarra,CONCATENATE(ORÇAMENTO.Fonte," ",ORÇAMENTO.CodBarra)))</f>
        <v>0</v>
      </c>
      <c r="AF86" s="13" t="str">
        <f ca="1">IF(ISERROR(INDIRECT(ORÇAMENTO.BancoRef)),"(abra o arquivo 'Referência "&amp;Excel_BuiltIn_Database&amp;".xlsm)",IF(OR($C86&lt;&gt;"S",ORÇAMENTO.CodBarra=""),"(Sem Código)",IF(ISERROR(MATCH($AE86,INDIRECT(ORÇAMENTO.BancoRef),0)),"(Código não identificado nas referências)",MATCH($AE86,INDIRECT(ORÇAMENTO.BancoRef),0))))</f>
        <v>(Sem Código)</v>
      </c>
      <c r="AG86" s="453">
        <f ca="1">ROUND(IF(DESONERACAO="sim",REFERENCIA.Desonerado,REFERENCIA.NaoDesonerado),2)</f>
        <v>0</v>
      </c>
      <c r="AH86" s="454">
        <f t="shared" ca="1" si="167"/>
        <v>0.24199999999999999</v>
      </c>
      <c r="AJ86" s="456"/>
      <c r="AL86" s="471"/>
      <c r="AM86" s="348">
        <f t="shared" ca="1" si="136"/>
        <v>50312.77</v>
      </c>
      <c r="AN86" s="504">
        <f t="shared" ca="1" si="168"/>
        <v>0</v>
      </c>
    </row>
    <row r="87" spans="1:40" ht="38.25" x14ac:dyDescent="0.2">
      <c r="A87" t="str">
        <f t="shared" si="165"/>
        <v>S</v>
      </c>
      <c r="B87">
        <f t="shared" ca="1" si="150"/>
        <v>2</v>
      </c>
      <c r="C87" t="str">
        <f t="shared" ca="1" si="151"/>
        <v>S</v>
      </c>
      <c r="D87">
        <f t="shared" ca="1" si="152"/>
        <v>0</v>
      </c>
      <c r="E87">
        <f ca="1">IF($C87=1,OFFSET(E87,-1,0)+MAX(1,COUNTIF(QCI!$A$13:$A$24,OFFSET(ORÇAMENTO!E87,-1,0))),OFFSET(E87,-1,0))</f>
        <v>1</v>
      </c>
      <c r="F87">
        <f t="shared" ca="1" si="153"/>
        <v>12</v>
      </c>
      <c r="G87">
        <f t="shared" ca="1" si="154"/>
        <v>0</v>
      </c>
      <c r="H87">
        <f t="shared" ca="1" si="155"/>
        <v>0</v>
      </c>
      <c r="I87">
        <f t="shared" ca="1" si="156"/>
        <v>1</v>
      </c>
      <c r="J87">
        <f t="shared" ca="1" si="138"/>
        <v>0</v>
      </c>
      <c r="K87">
        <f ca="1">IF(OR($C87="S",$C87=0),0,MATCH(OFFSET($D87,0,$C87)+IF($C87&lt;&gt;1,1,COUNTIF(QCI!$A$13:$A$24,ORÇAMENTO!E87)),OFFSET($D87,1,$C87,ROW($C$131)-ROW($C87)),0))</f>
        <v>0</v>
      </c>
      <c r="L87" s="116" t="str">
        <f t="shared" ca="1" si="157"/>
        <v>F</v>
      </c>
      <c r="M87" s="117" t="s">
        <v>197</v>
      </c>
      <c r="N87" s="118" t="str">
        <f t="shared" ca="1" si="158"/>
        <v>Serviço</v>
      </c>
      <c r="O87" s="119" t="str">
        <f t="shared" ca="1" si="159"/>
        <v>1.12.0.0.1.</v>
      </c>
      <c r="P87" s="120" t="s">
        <v>245</v>
      </c>
      <c r="Q87" s="121" t="s">
        <v>1008</v>
      </c>
      <c r="R87" s="122" t="str">
        <f ca="1">IF($C87="S",REFERENCIA.Descricao,"(digite a descrição aqui)")</f>
        <v>CAIXA RETANGULAR 4" X 2" BAIXA (0,30 M DO PISO), METÁLICA, INSTALADA EM PAREDE - FORNECIMENTO E INSTALAÇÃO. AF_03/2023</v>
      </c>
      <c r="S87" s="123" t="str">
        <f ca="1">REFERENCIA.Unidade</f>
        <v>UN</v>
      </c>
      <c r="T87" s="124">
        <f ca="1">OFFSET(CÁLCULO!H$15,ROW($T87)-ROW(T$15),0)</f>
        <v>1</v>
      </c>
      <c r="U87" s="125">
        <f t="shared" ca="1" si="17"/>
        <v>13.88</v>
      </c>
      <c r="V87" s="126" t="s">
        <v>155</v>
      </c>
      <c r="W87" s="124">
        <f ca="1">IF($C87="S",ROUND(IF(TIPOORCAMENTO="Proposto",ORÇAMENTO.CustoUnitario*(1+$AH87),ORÇAMENTO.PrecoUnitarioLicitado),15-13*$AF$10),0)</f>
        <v>17.239999999999998</v>
      </c>
      <c r="X87" s="127">
        <f ca="1">IF($C87="S",IF(OR(Import.TipoArredondamento&lt;&gt;"TransfereGOV",ACOMPANHAMENTO="BM"),VTOTAL1,SUM(OFFSET(CÁLCULO!$AI$15,ROW($X87)-ROW($X$15),1):OFFSET(CÁLCULO!$BB$15,ROW($X87)-ROW($X$15),-1))),IF($C87=0,0,ROUND(SomaAgrup,15-13*$AF$11)))</f>
        <v>17.239999999999998</v>
      </c>
      <c r="Y87" s="128" t="s">
        <v>243</v>
      </c>
      <c r="Z87" t="str">
        <f t="shared" ca="1" si="160"/>
        <v>RA</v>
      </c>
      <c r="AA87" s="129">
        <f ca="1">IF($C87="S",IF($Z87="CP",$X87,IF($Z87="RA",(($X87)*QCI!$AA$3),0)),SomaAgrup)</f>
        <v>17.239999999999998</v>
      </c>
      <c r="AB87" s="130">
        <f t="shared" ca="1" si="166"/>
        <v>0</v>
      </c>
      <c r="AC87" s="619" t="str">
        <f ca="1">IF($N87=""," ",
IF(AND($C87&lt;&gt;"S",OR($R87="",$R87="(digite a descrição aqui)")),"DESCRIÇÃO",
IF(AND($C87="S",OR($Q87&lt;&gt;0,$T87&gt;0,$U87&gt;0),$P87=0),"FONTE",
IF(AND($C87="S",$P87&lt;&gt;0,OR($T87&gt;0,$U87&gt;0),$Q87=0),"CÓDIGO",
IF(AND($C87="S",$P87&lt;&gt;0,$Q87&lt;&gt;0,$R87="(Código não identificado nas referências)"),"CÓDIGO N/ID",
IF(AND($C87="S",OR($R87="",$R87="(digite a descrição aqui)"),OR($Q87&lt;&gt;0,$T87&gt;0,$U87&gt;0)),"DESCRIÇÃO",
IF(AND($C87="S",$P87&lt;&gt;0,$Q87&lt;&gt;0,$S87=""),"UNIDADE",
IF(AND($C87="S",$P87&lt;&gt;0,$Q87&lt;&gt;0,$U87=0),"SEM CUSTO",
IF(AND(TIPOORCAMENTO="Licitado",$AL87=0,$AN87&gt;0),"SEM PREÇO",
IF(AND($C87="S",$P87&lt;&gt;0,$Q87&lt;&gt;0,$U87&gt;0,$V87=0),"BDI",
IF(OR(AND(TIPOORCAMENTO="Proposto",$AG87&lt;&gt;"",$AG87&gt;0,ORÇAMENTO.CustoUnitario&gt;$AG87),AND(TIPOORCAMENTO="LICITADO",ORÇAMENTO.PrecoUnitarioLicitado&gt;$AN87)),"ACIMA REF.",
IF(AND($C87="S",$P87&lt;&gt;0,$Q87&lt;&gt;0,$T87=0,$U87&gt;0),"QUANT.",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f ca="1">IF(AND($C87="S",ORÇAMENTO.CodBarra&lt;&gt;""),IF(ORÇAMENTO.Fonte="",ORÇAMENTO.CodBarra,CONCATENATE(ORÇAMENTO.Fonte," ",ORÇAMENTO.CodBarra)))</f>
        <v>SINAPI 92869</v>
      </c>
      <c r="AF87" s="13">
        <f ca="1">IF(ISERROR(INDIRECT(ORÇAMENTO.BancoRef)),"(abra o arquivo 'Referência "&amp;Excel_BuiltIn_Database&amp;".xlsm)",IF(OR($C87&lt;&gt;"S",ORÇAMENTO.CodBarra=""),"(Sem Código)",IF(ISERROR(MATCH($AE87,INDIRECT(ORÇAMENTO.BancoRef),0)),"(Código não identificado nas referências)",MATCH($AE87,INDIRECT(ORÇAMENTO.BancoRef),0))))</f>
        <v>10782</v>
      </c>
      <c r="AG87" s="453">
        <f ca="1">ROUND(IF(DESONERACAO="sim",REFERENCIA.Desonerado,REFERENCIA.NaoDesonerado),2)</f>
        <v>13.88</v>
      </c>
      <c r="AH87" s="454">
        <f t="shared" ca="1" si="167"/>
        <v>0.24199999999999999</v>
      </c>
      <c r="AJ87" s="456"/>
      <c r="AL87" s="471"/>
      <c r="AM87" s="348">
        <f t="shared" ca="1" si="136"/>
        <v>17.239999999999998</v>
      </c>
      <c r="AN87" s="504">
        <f t="shared" ca="1" si="168"/>
        <v>17.239999999999998</v>
      </c>
    </row>
    <row r="88" spans="1:40" ht="38.25" x14ac:dyDescent="0.2">
      <c r="A88" t="str">
        <f t="shared" si="165"/>
        <v>S</v>
      </c>
      <c r="B88">
        <f t="shared" ca="1" si="150"/>
        <v>2</v>
      </c>
      <c r="C88" t="str">
        <f t="shared" ca="1" si="151"/>
        <v>S</v>
      </c>
      <c r="D88">
        <f t="shared" ca="1" si="152"/>
        <v>0</v>
      </c>
      <c r="E88">
        <f ca="1">IF($C88=1,OFFSET(E88,-1,0)+MAX(1,COUNTIF(QCI!$A$13:$A$24,OFFSET(ORÇAMENTO!E88,-1,0))),OFFSET(E88,-1,0))</f>
        <v>1</v>
      </c>
      <c r="F88">
        <f t="shared" ca="1" si="153"/>
        <v>12</v>
      </c>
      <c r="G88">
        <f t="shared" ca="1" si="154"/>
        <v>0</v>
      </c>
      <c r="H88">
        <f t="shared" ca="1" si="155"/>
        <v>0</v>
      </c>
      <c r="I88">
        <f t="shared" ca="1" si="156"/>
        <v>2</v>
      </c>
      <c r="J88">
        <f t="shared" ca="1" si="138"/>
        <v>0</v>
      </c>
      <c r="K88">
        <f ca="1">IF(OR($C88="S",$C88=0),0,MATCH(OFFSET($D88,0,$C88)+IF($C88&lt;&gt;1,1,COUNTIF(QCI!$A$13:$A$24,ORÇAMENTO!E88)),OFFSET($D88,1,$C88,ROW($C$131)-ROW($C88)),0))</f>
        <v>0</v>
      </c>
      <c r="L88" s="116" t="str">
        <f t="shared" ca="1" si="157"/>
        <v>F</v>
      </c>
      <c r="M88" s="117" t="s">
        <v>197</v>
      </c>
      <c r="N88" s="118" t="str">
        <f t="shared" ca="1" si="158"/>
        <v>Serviço</v>
      </c>
      <c r="O88" s="119" t="str">
        <f t="shared" ca="1" si="159"/>
        <v>1.12.0.0.2.</v>
      </c>
      <c r="P88" s="120" t="s">
        <v>245</v>
      </c>
      <c r="Q88" s="121" t="s">
        <v>1009</v>
      </c>
      <c r="R88" s="122" t="str">
        <f ca="1">IF($C88="S",REFERENCIA.Descricao,"(digite a descrição aqui)")</f>
        <v>CONDULETE DE PVC, TIPO LB, PARA ELETRODUTO DE PVC SOLDÁVEL DN 25 MM (3/4''), APARENTE - FORNECIMENTO E INSTALAÇÃO. AF_01/2026</v>
      </c>
      <c r="S88" s="123" t="str">
        <f ca="1">REFERENCIA.Unidade</f>
        <v>UN</v>
      </c>
      <c r="T88" s="124">
        <f ca="1">OFFSET(CÁLCULO!H$15,ROW($T88)-ROW(T$15),0)</f>
        <v>8</v>
      </c>
      <c r="U88" s="125">
        <f t="shared" ca="1" si="17"/>
        <v>15.36</v>
      </c>
      <c r="V88" s="126" t="s">
        <v>155</v>
      </c>
      <c r="W88" s="124">
        <f ca="1">IF($C88="S",ROUND(IF(TIPOORCAMENTO="Proposto",ORÇAMENTO.CustoUnitario*(1+$AH88),ORÇAMENTO.PrecoUnitarioLicitado),15-13*$AF$10),0)</f>
        <v>19.079999999999998</v>
      </c>
      <c r="X88" s="127">
        <f ca="1">IF($C88="S",IF(OR(Import.TipoArredondamento&lt;&gt;"TransfereGOV",ACOMPANHAMENTO="BM"),VTOTAL1,SUM(OFFSET(CÁLCULO!$AI$15,ROW($X88)-ROW($X$15),1):OFFSET(CÁLCULO!$BB$15,ROW($X88)-ROW($X$15),-1))),IF($C88=0,0,ROUND(SomaAgrup,15-13*$AF$11)))</f>
        <v>152.63999999999999</v>
      </c>
      <c r="Y88" s="128" t="s">
        <v>243</v>
      </c>
      <c r="Z88" t="str">
        <f t="shared" ca="1" si="160"/>
        <v>RA</v>
      </c>
      <c r="AA88" s="129">
        <f ca="1">IF($C88="S",IF($Z88="CP",$X88,IF($Z88="RA",(($X88)*QCI!$AA$3),0)),SomaAgrup)</f>
        <v>152.63999999999999</v>
      </c>
      <c r="AB88" s="130">
        <f t="shared" ca="1" si="166"/>
        <v>0</v>
      </c>
      <c r="AC88" s="619" t="str">
        <f ca="1">IF($N88=""," ",
IF(AND($C88&lt;&gt;"S",OR($R88="",$R88="(digite a descrição aqui)")),"DESCRIÇÃO",
IF(AND($C88="S",OR($Q88&lt;&gt;0,$T88&gt;0,$U88&gt;0),$P88=0),"FONTE",
IF(AND($C88="S",$P88&lt;&gt;0,OR($T88&gt;0,$U88&gt;0),$Q88=0),"CÓDIGO",
IF(AND($C88="S",$P88&lt;&gt;0,$Q88&lt;&gt;0,$R88="(Código não identificado nas referências)"),"CÓDIGO N/ID",
IF(AND($C88="S",OR($R88="",$R88="(digite a descrição aqui)"),OR($Q88&lt;&gt;0,$T88&gt;0,$U88&gt;0)),"DESCRIÇÃO",
IF(AND($C88="S",$P88&lt;&gt;0,$Q88&lt;&gt;0,$S88=""),"UNIDADE",
IF(AND($C88="S",$P88&lt;&gt;0,$Q88&lt;&gt;0,$U88=0),"SEM CUSTO",
IF(AND(TIPOORCAMENTO="Licitado",$AL88=0,$AN88&gt;0),"SEM PREÇO",
IF(AND($C88="S",$P88&lt;&gt;0,$Q88&lt;&gt;0,$U88&gt;0,$V88=0),"BDI",
IF(OR(AND(TIPOORCAMENTO="Proposto",$AG88&lt;&gt;"",$AG88&gt;0,ORÇAMENTO.CustoUnitario&gt;$AG88),AND(TIPOORCAMENTO="LICITADO",ORÇAMENTO.PrecoUnitarioLicitado&gt;$AN88)),"ACIMA REF.",
IF(AND($C88="S",$P88&lt;&gt;0,$Q88&lt;&gt;0,$T88=0,$U88&gt;0),"QUANT.",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f ca="1">IF(AND($C88="S",ORÇAMENTO.CodBarra&lt;&gt;""),IF(ORÇAMENTO.Fonte="",ORÇAMENTO.CodBarra,CONCATENATE(ORÇAMENTO.Fonte," ",ORÇAMENTO.CodBarra)))</f>
        <v>SINAPI 95811</v>
      </c>
      <c r="AF88" s="13">
        <f ca="1">IF(ISERROR(INDIRECT(ORÇAMENTO.BancoRef)),"(abra o arquivo 'Referência "&amp;Excel_BuiltIn_Database&amp;".xlsm)",IF(OR($C88&lt;&gt;"S",ORÇAMENTO.CodBarra=""),"(Sem Código)",IF(ISERROR(MATCH($AE88,INDIRECT(ORÇAMENTO.BancoRef),0)),"(Código não identificado nas referências)",MATCH($AE88,INDIRECT(ORÇAMENTO.BancoRef),0))))</f>
        <v>10998</v>
      </c>
      <c r="AG88" s="453">
        <f ca="1">ROUND(IF(DESONERACAO="sim",REFERENCIA.Desonerado,REFERENCIA.NaoDesonerado),2)</f>
        <v>15.36</v>
      </c>
      <c r="AH88" s="454">
        <f t="shared" ca="1" si="167"/>
        <v>0.24199999999999999</v>
      </c>
      <c r="AJ88" s="456"/>
      <c r="AL88" s="471"/>
      <c r="AM88" s="348">
        <f t="shared" ca="1" si="136"/>
        <v>152.63999999999999</v>
      </c>
      <c r="AN88" s="504">
        <f t="shared" ca="1" si="168"/>
        <v>19.079999999999998</v>
      </c>
    </row>
    <row r="89" spans="1:40" ht="38.25" x14ac:dyDescent="0.2">
      <c r="A89" t="str">
        <f t="shared" si="165"/>
        <v>S</v>
      </c>
      <c r="B89">
        <f t="shared" ca="1" si="150"/>
        <v>2</v>
      </c>
      <c r="C89" t="str">
        <f t="shared" ca="1" si="151"/>
        <v>S</v>
      </c>
      <c r="D89">
        <f t="shared" ca="1" si="152"/>
        <v>0</v>
      </c>
      <c r="E89">
        <f ca="1">IF($C89=1,OFFSET(E89,-1,0)+MAX(1,COUNTIF(QCI!$A$13:$A$24,OFFSET(ORÇAMENTO!E89,-1,0))),OFFSET(E89,-1,0))</f>
        <v>1</v>
      </c>
      <c r="F89">
        <f t="shared" ca="1" si="153"/>
        <v>12</v>
      </c>
      <c r="G89">
        <f t="shared" ca="1" si="154"/>
        <v>0</v>
      </c>
      <c r="H89">
        <f t="shared" ca="1" si="155"/>
        <v>0</v>
      </c>
      <c r="I89">
        <f t="shared" ca="1" si="156"/>
        <v>3</v>
      </c>
      <c r="J89">
        <f t="shared" ca="1" si="138"/>
        <v>0</v>
      </c>
      <c r="K89">
        <f ca="1">IF(OR($C89="S",$C89=0),0,MATCH(OFFSET($D89,0,$C89)+IF($C89&lt;&gt;1,1,COUNTIF(QCI!$A$13:$A$24,ORÇAMENTO!E89)),OFFSET($D89,1,$C89,ROW($C$131)-ROW($C89)),0))</f>
        <v>0</v>
      </c>
      <c r="L89" s="116" t="str">
        <f t="shared" ca="1" si="157"/>
        <v>F</v>
      </c>
      <c r="M89" s="117" t="s">
        <v>197</v>
      </c>
      <c r="N89" s="118" t="str">
        <f t="shared" ca="1" si="158"/>
        <v>Serviço</v>
      </c>
      <c r="O89" s="119" t="str">
        <f t="shared" ca="1" si="159"/>
        <v>1.12.0.0.3.</v>
      </c>
      <c r="P89" s="120" t="s">
        <v>245</v>
      </c>
      <c r="Q89" s="121" t="s">
        <v>1010</v>
      </c>
      <c r="R89" s="122" t="str">
        <f ca="1">IF($C89="S",REFERENCIA.Descricao,"(digite a descrição aqui)")</f>
        <v>CONDULETE DE PVC, TIPO LR, PARA ELETRODUTO DE PVC SOLDÁVEL DN 25 MM (3/4''), APARENTE - FORNECIMENTO E INSTALAÇÃO. AF_01/2026</v>
      </c>
      <c r="S89" s="123" t="str">
        <f ca="1">REFERENCIA.Unidade</f>
        <v>UN</v>
      </c>
      <c r="T89" s="124">
        <f ca="1">OFFSET(CÁLCULO!H$15,ROW($T89)-ROW(T$15),0)</f>
        <v>5</v>
      </c>
      <c r="U89" s="125">
        <f t="shared" ca="1" si="17"/>
        <v>25.47</v>
      </c>
      <c r="V89" s="126" t="s">
        <v>155</v>
      </c>
      <c r="W89" s="124">
        <f ca="1">IF($C89="S",ROUND(IF(TIPOORCAMENTO="Proposto",ORÇAMENTO.CustoUnitario*(1+$AH89),ORÇAMENTO.PrecoUnitarioLicitado),15-13*$AF$10),0)</f>
        <v>31.63</v>
      </c>
      <c r="X89" s="127">
        <f ca="1">IF($C89="S",IF(OR(Import.TipoArredondamento&lt;&gt;"TransfereGOV",ACOMPANHAMENTO="BM"),VTOTAL1,SUM(OFFSET(CÁLCULO!$AI$15,ROW($X89)-ROW($X$15),1):OFFSET(CÁLCULO!$BB$15,ROW($X89)-ROW($X$15),-1))),IF($C89=0,0,ROUND(SomaAgrup,15-13*$AF$11)))</f>
        <v>158.15</v>
      </c>
      <c r="Y89" s="128" t="s">
        <v>243</v>
      </c>
      <c r="Z89" t="str">
        <f t="shared" ca="1" si="160"/>
        <v>RA</v>
      </c>
      <c r="AA89" s="129">
        <f ca="1">IF($C89="S",IF($Z89="CP",$X89,IF($Z89="RA",(($X89)*QCI!$AA$3),0)),SomaAgrup)</f>
        <v>158.15</v>
      </c>
      <c r="AB89" s="130">
        <f t="shared" ca="1" si="166"/>
        <v>0</v>
      </c>
      <c r="AC89" s="619" t="str">
        <f ca="1">IF($N89=""," ",
IF(AND($C89&lt;&gt;"S",OR($R89="",$R89="(digite a descrição aqui)")),"DESCRIÇÃO",
IF(AND($C89="S",OR($Q89&lt;&gt;0,$T89&gt;0,$U89&gt;0),$P89=0),"FONTE",
IF(AND($C89="S",$P89&lt;&gt;0,OR($T89&gt;0,$U89&gt;0),$Q89=0),"CÓDIGO",
IF(AND($C89="S",$P89&lt;&gt;0,$Q89&lt;&gt;0,$R89="(Código não identificado nas referências)"),"CÓDIGO N/ID",
IF(AND($C89="S",OR($R89="",$R89="(digite a descrição aqui)"),OR($Q89&lt;&gt;0,$T89&gt;0,$U89&gt;0)),"DESCRIÇÃO",
IF(AND($C89="S",$P89&lt;&gt;0,$Q89&lt;&gt;0,$S89=""),"UNIDADE",
IF(AND($C89="S",$P89&lt;&gt;0,$Q89&lt;&gt;0,$U89=0),"SEM CUSTO",
IF(AND(TIPOORCAMENTO="Licitado",$AL89=0,$AN89&gt;0),"SEM PREÇO",
IF(AND($C89="S",$P89&lt;&gt;0,$Q89&lt;&gt;0,$U89&gt;0,$V89=0),"BDI",
IF(OR(AND(TIPOORCAMENTO="Proposto",$AG89&lt;&gt;"",$AG89&gt;0,ORÇAMENTO.CustoUnitario&gt;$AG89),AND(TIPOORCAMENTO="LICITADO",ORÇAMENTO.PrecoUnitarioLicitado&gt;$AN89)),"ACIMA REF.",
IF(AND($C89="S",$P89&lt;&gt;0,$Q89&lt;&gt;0,$T89=0,$U89&gt;0),"QUANT.",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str">
        <f ca="1">IF(AND($C89="S",ORÇAMENTO.CodBarra&lt;&gt;""),IF(ORÇAMENTO.Fonte="",ORÇAMENTO.CodBarra,CONCATENATE(ORÇAMENTO.Fonte," ",ORÇAMENTO.CodBarra)))</f>
        <v>SINAPI 104399</v>
      </c>
      <c r="AF89" s="13">
        <f ca="1">IF(ISERROR(INDIRECT(ORÇAMENTO.BancoRef)),"(abra o arquivo 'Referência "&amp;Excel_BuiltIn_Database&amp;".xlsm)",IF(OR($C89&lt;&gt;"S",ORÇAMENTO.CodBarra=""),"(Sem Código)",IF(ISERROR(MATCH($AE89,INDIRECT(ORÇAMENTO.BancoRef),0)),"(Código não identificado nas referências)",MATCH($AE89,INDIRECT(ORÇAMENTO.BancoRef),0))))</f>
        <v>11004</v>
      </c>
      <c r="AG89" s="453">
        <f ca="1">ROUND(IF(DESONERACAO="sim",REFERENCIA.Desonerado,REFERENCIA.NaoDesonerado),2)</f>
        <v>25.47</v>
      </c>
      <c r="AH89" s="454">
        <f t="shared" ca="1" si="167"/>
        <v>0.24199999999999999</v>
      </c>
      <c r="AJ89" s="456"/>
      <c r="AL89" s="471"/>
      <c r="AM89" s="348">
        <f t="shared" ca="1" si="136"/>
        <v>158.15</v>
      </c>
      <c r="AN89" s="504">
        <f t="shared" ca="1" si="168"/>
        <v>31.63</v>
      </c>
    </row>
    <row r="90" spans="1:40" ht="38.25" x14ac:dyDescent="0.2">
      <c r="A90" t="str">
        <f t="shared" si="165"/>
        <v>S</v>
      </c>
      <c r="B90">
        <f t="shared" ca="1" si="150"/>
        <v>2</v>
      </c>
      <c r="C90" t="str">
        <f t="shared" ca="1" si="151"/>
        <v>S</v>
      </c>
      <c r="D90">
        <f t="shared" ca="1" si="152"/>
        <v>0</v>
      </c>
      <c r="E90">
        <f ca="1">IF($C90=1,OFFSET(E90,-1,0)+MAX(1,COUNTIF(QCI!$A$13:$A$24,OFFSET(ORÇAMENTO!E90,-1,0))),OFFSET(E90,-1,0))</f>
        <v>1</v>
      </c>
      <c r="F90">
        <f t="shared" ca="1" si="153"/>
        <v>12</v>
      </c>
      <c r="G90">
        <f t="shared" ca="1" si="154"/>
        <v>0</v>
      </c>
      <c r="H90">
        <f t="shared" ca="1" si="155"/>
        <v>0</v>
      </c>
      <c r="I90">
        <f t="shared" ca="1" si="156"/>
        <v>4</v>
      </c>
      <c r="J90">
        <f t="shared" ca="1" si="138"/>
        <v>0</v>
      </c>
      <c r="K90">
        <f ca="1">IF(OR($C90="S",$C90=0),0,MATCH(OFFSET($D90,0,$C90)+IF($C90&lt;&gt;1,1,COUNTIF(QCI!$A$13:$A$24,ORÇAMENTO!E90)),OFFSET($D90,1,$C90,ROW($C$131)-ROW($C90)),0))</f>
        <v>0</v>
      </c>
      <c r="L90" s="116" t="str">
        <f t="shared" ca="1" si="157"/>
        <v>F</v>
      </c>
      <c r="M90" s="117" t="s">
        <v>197</v>
      </c>
      <c r="N90" s="118" t="str">
        <f t="shared" ca="1" si="158"/>
        <v>Serviço</v>
      </c>
      <c r="O90" s="119" t="str">
        <f t="shared" ca="1" si="159"/>
        <v>1.12.0.0.4.</v>
      </c>
      <c r="P90" s="120" t="s">
        <v>245</v>
      </c>
      <c r="Q90" s="121" t="s">
        <v>1011</v>
      </c>
      <c r="R90" s="122" t="str">
        <f ca="1">IF($C90="S",REFERENCIA.Descricao,"(digite a descrição aqui)")</f>
        <v>CONDULETE DE PVC, TIPO T, PARA ELETRODUTO DE PVC SOLDÁVEL DN 25 MM (3/4''), APARENTE - FORNECIMENTO E INSTALAÇÃO. AF_01/2026</v>
      </c>
      <c r="S90" s="123" t="str">
        <f ca="1">REFERENCIA.Unidade</f>
        <v>UN</v>
      </c>
      <c r="T90" s="124">
        <f ca="1">OFFSET(CÁLCULO!H$15,ROW($T90)-ROW(T$15),0)</f>
        <v>20</v>
      </c>
      <c r="U90" s="125">
        <f t="shared" ca="1" si="17"/>
        <v>29.22</v>
      </c>
      <c r="V90" s="126" t="s">
        <v>155</v>
      </c>
      <c r="W90" s="124">
        <f ca="1">IF($C90="S",ROUND(IF(TIPOORCAMENTO="Proposto",ORÇAMENTO.CustoUnitario*(1+$AH90),ORÇAMENTO.PrecoUnitarioLicitado),15-13*$AF$10),0)</f>
        <v>36.29</v>
      </c>
      <c r="X90" s="127">
        <f ca="1">IF($C90="S",IF(OR(Import.TipoArredondamento&lt;&gt;"TransfereGOV",ACOMPANHAMENTO="BM"),VTOTAL1,SUM(OFFSET(CÁLCULO!$AI$15,ROW($X90)-ROW($X$15),1):OFFSET(CÁLCULO!$BB$15,ROW($X90)-ROW($X$15),-1))),IF($C90=0,0,ROUND(SomaAgrup,15-13*$AF$11)))</f>
        <v>725.8</v>
      </c>
      <c r="Y90" s="128" t="s">
        <v>243</v>
      </c>
      <c r="Z90" t="str">
        <f t="shared" ca="1" si="160"/>
        <v>RA</v>
      </c>
      <c r="AA90" s="129">
        <f ca="1">IF($C90="S",IF($Z90="CP",$X90,IF($Z90="RA",(($X90)*QCI!$AA$3),0)),SomaAgrup)</f>
        <v>725.8</v>
      </c>
      <c r="AB90" s="130">
        <f t="shared" ca="1" si="166"/>
        <v>0</v>
      </c>
      <c r="AC90" s="619" t="str">
        <f ca="1">IF($N90=""," ",
IF(AND($C90&lt;&gt;"S",OR($R90="",$R90="(digite a descrição aqui)")),"DESCRIÇÃO",
IF(AND($C90="S",OR($Q90&lt;&gt;0,$T90&gt;0,$U90&gt;0),$P90=0),"FONTE",
IF(AND($C90="S",$P90&lt;&gt;0,OR($T90&gt;0,$U90&gt;0),$Q90=0),"CÓDIGO",
IF(AND($C90="S",$P90&lt;&gt;0,$Q90&lt;&gt;0,$R90="(Código não identificado nas referências)"),"CÓDIGO N/ID",
IF(AND($C90="S",OR($R90="",$R90="(digite a descrição aqui)"),OR($Q90&lt;&gt;0,$T90&gt;0,$U90&gt;0)),"DESCRIÇÃO",
IF(AND($C90="S",$P90&lt;&gt;0,$Q90&lt;&gt;0,$S90=""),"UNIDADE",
IF(AND($C90="S",$P90&lt;&gt;0,$Q90&lt;&gt;0,$U90=0),"SEM CUSTO",
IF(AND(TIPOORCAMENTO="Licitado",$AL90=0,$AN90&gt;0),"SEM PREÇO",
IF(AND($C90="S",$P90&lt;&gt;0,$Q90&lt;&gt;0,$U90&gt;0,$V90=0),"BDI",
IF(OR(AND(TIPOORCAMENTO="Proposto",$AG90&lt;&gt;"",$AG90&gt;0,ORÇAMENTO.CustoUnitario&gt;$AG90),AND(TIPOORCAMENTO="LICITADO",ORÇAMENTO.PrecoUnitarioLicitado&gt;$AN90)),"ACIMA REF.",
IF(AND($C90="S",$P90&lt;&gt;0,$Q90&lt;&gt;0,$T90=0,$U90&gt;0),"QUANT.",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f ca="1">IF(AND($C90="S",ORÇAMENTO.CodBarra&lt;&gt;""),IF(ORÇAMENTO.Fonte="",ORÇAMENTO.CodBarra,CONCATENATE(ORÇAMENTO.Fonte," ",ORÇAMENTO.CodBarra)))</f>
        <v>SINAPI 104404</v>
      </c>
      <c r="AF90" s="13">
        <f ca="1">IF(ISERROR(INDIRECT(ORÇAMENTO.BancoRef)),"(abra o arquivo 'Referência "&amp;Excel_BuiltIn_Database&amp;".xlsm)",IF(OR($C90&lt;&gt;"S",ORÇAMENTO.CodBarra=""),"(Sem Código)",IF(ISERROR(MATCH($AE90,INDIRECT(ORÇAMENTO.BancoRef),0)),"(Código não identificado nas referências)",MATCH($AE90,INDIRECT(ORÇAMENTO.BancoRef),0))))</f>
        <v>11006</v>
      </c>
      <c r="AG90" s="453">
        <f ca="1">ROUND(IF(DESONERACAO="sim",REFERENCIA.Desonerado,REFERENCIA.NaoDesonerado),2)</f>
        <v>29.22</v>
      </c>
      <c r="AH90" s="454">
        <f t="shared" ca="1" si="167"/>
        <v>0.24199999999999999</v>
      </c>
      <c r="AJ90" s="456"/>
      <c r="AL90" s="471"/>
      <c r="AM90" s="348">
        <f t="shared" ca="1" si="136"/>
        <v>725.8</v>
      </c>
      <c r="AN90" s="504">
        <f t="shared" ca="1" si="168"/>
        <v>36.29</v>
      </c>
    </row>
    <row r="91" spans="1:40" ht="38.25" x14ac:dyDescent="0.2">
      <c r="A91" t="str">
        <f t="shared" si="165"/>
        <v>S</v>
      </c>
      <c r="B91">
        <f t="shared" ca="1" si="150"/>
        <v>2</v>
      </c>
      <c r="C91" t="str">
        <f t="shared" ca="1" si="151"/>
        <v>S</v>
      </c>
      <c r="D91">
        <f t="shared" ca="1" si="152"/>
        <v>0</v>
      </c>
      <c r="E91">
        <f ca="1">IF($C91=1,OFFSET(E91,-1,0)+MAX(1,COUNTIF(QCI!$A$13:$A$24,OFFSET(ORÇAMENTO!E91,-1,0))),OFFSET(E91,-1,0))</f>
        <v>1</v>
      </c>
      <c r="F91">
        <f t="shared" ca="1" si="153"/>
        <v>12</v>
      </c>
      <c r="G91">
        <f t="shared" ca="1" si="154"/>
        <v>0</v>
      </c>
      <c r="H91">
        <f t="shared" ca="1" si="155"/>
        <v>0</v>
      </c>
      <c r="I91">
        <f t="shared" ca="1" si="156"/>
        <v>5</v>
      </c>
      <c r="J91">
        <f t="shared" ca="1" si="138"/>
        <v>0</v>
      </c>
      <c r="K91">
        <f ca="1">IF(OR($C91="S",$C91=0),0,MATCH(OFFSET($D91,0,$C91)+IF($C91&lt;&gt;1,1,COUNTIF(QCI!$A$13:$A$24,ORÇAMENTO!E91)),OFFSET($D91,1,$C91,ROW($C$131)-ROW($C91)),0))</f>
        <v>0</v>
      </c>
      <c r="L91" s="116" t="str">
        <f t="shared" ca="1" si="157"/>
        <v>F</v>
      </c>
      <c r="M91" s="117" t="s">
        <v>197</v>
      </c>
      <c r="N91" s="118" t="str">
        <f t="shared" ca="1" si="158"/>
        <v>Serviço</v>
      </c>
      <c r="O91" s="119" t="str">
        <f t="shared" ca="1" si="159"/>
        <v>1.12.0.0.5.</v>
      </c>
      <c r="P91" s="120" t="s">
        <v>245</v>
      </c>
      <c r="Q91" s="121" t="s">
        <v>1012</v>
      </c>
      <c r="R91" s="122" t="str">
        <f ca="1">IF($C91="S",REFERENCIA.Descricao,"(digite a descrição aqui)")</f>
        <v>CONDULETE DE PVC, TIPO X, PARA ELETRODUTO DE PVC SOLDÁVEL DN 25 MM (3/4"), APARENTE - FORNECIMENTO E INSTALAÇÃO. AF_01/2026</v>
      </c>
      <c r="S91" s="123" t="str">
        <f ca="1">REFERENCIA.Unidade</f>
        <v>UN</v>
      </c>
      <c r="T91" s="124">
        <f ca="1">OFFSET(CÁLCULO!H$15,ROW($T91)-ROW(T$15),0)</f>
        <v>3</v>
      </c>
      <c r="U91" s="125">
        <f t="shared" ca="1" si="17"/>
        <v>32.44</v>
      </c>
      <c r="V91" s="126" t="s">
        <v>155</v>
      </c>
      <c r="W91" s="124">
        <f ca="1">IF($C91="S",ROUND(IF(TIPOORCAMENTO="Proposto",ORÇAMENTO.CustoUnitario*(1+$AH91),ORÇAMENTO.PrecoUnitarioLicitado),15-13*$AF$10),0)</f>
        <v>40.29</v>
      </c>
      <c r="X91" s="127">
        <f ca="1">IF($C91="S",IF(OR(Import.TipoArredondamento&lt;&gt;"TransfereGOV",ACOMPANHAMENTO="BM"),VTOTAL1,SUM(OFFSET(CÁLCULO!$AI$15,ROW($X91)-ROW($X$15),1):OFFSET(CÁLCULO!$BB$15,ROW($X91)-ROW($X$15),-1))),IF($C91=0,0,ROUND(SomaAgrup,15-13*$AF$11)))</f>
        <v>120.87</v>
      </c>
      <c r="Y91" s="128" t="s">
        <v>243</v>
      </c>
      <c r="Z91" t="str">
        <f t="shared" ca="1" si="160"/>
        <v>RA</v>
      </c>
      <c r="AA91" s="129">
        <f ca="1">IF($C91="S",IF($Z91="CP",$X91,IF($Z91="RA",(($X91)*QCI!$AA$3),0)),SomaAgrup)</f>
        <v>120.87</v>
      </c>
      <c r="AB91" s="130">
        <f t="shared" ca="1" si="166"/>
        <v>0</v>
      </c>
      <c r="AC91" s="619" t="str">
        <f ca="1">IF($N91=""," ",
IF(AND($C91&lt;&gt;"S",OR($R91="",$R91="(digite a descrição aqui)")),"DESCRIÇÃO",
IF(AND($C91="S",OR($Q91&lt;&gt;0,$T91&gt;0,$U91&gt;0),$P91=0),"FONTE",
IF(AND($C91="S",$P91&lt;&gt;0,OR($T91&gt;0,$U91&gt;0),$Q91=0),"CÓDIGO",
IF(AND($C91="S",$P91&lt;&gt;0,$Q91&lt;&gt;0,$R91="(Código não identificado nas referências)"),"CÓDIGO N/ID",
IF(AND($C91="S",OR($R91="",$R91="(digite a descrição aqui)"),OR($Q91&lt;&gt;0,$T91&gt;0,$U91&gt;0)),"DESCRIÇÃO",
IF(AND($C91="S",$P91&lt;&gt;0,$Q91&lt;&gt;0,$S91=""),"UNIDADE",
IF(AND($C91="S",$P91&lt;&gt;0,$Q91&lt;&gt;0,$U91=0),"SEM CUSTO",
IF(AND(TIPOORCAMENTO="Licitado",$AL91=0,$AN91&gt;0),"SEM PREÇO",
IF(AND($C91="S",$P91&lt;&gt;0,$Q91&lt;&gt;0,$U91&gt;0,$V91=0),"BDI",
IF(OR(AND(TIPOORCAMENTO="Proposto",$AG91&lt;&gt;"",$AG91&gt;0,ORÇAMENTO.CustoUnitario&gt;$AG91),AND(TIPOORCAMENTO="LICITADO",ORÇAMENTO.PrecoUnitarioLicitado&gt;$AN91)),"ACIMA REF.",
IF(AND($C91="S",$P91&lt;&gt;0,$Q91&lt;&gt;0,$T91=0,$U91&gt;0),"QUANT.",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f ca="1">IF(AND($C91="S",ORÇAMENTO.CodBarra&lt;&gt;""),IF(ORÇAMENTO.Fonte="",ORÇAMENTO.CodBarra,CONCATENATE(ORÇAMENTO.Fonte," ",ORÇAMENTO.CodBarra)))</f>
        <v>SINAPI 95817</v>
      </c>
      <c r="AF91" s="13">
        <f ca="1">IF(ISERROR(INDIRECT(ORÇAMENTO.BancoRef)),"(abra o arquivo 'Referência "&amp;Excel_BuiltIn_Database&amp;".xlsm)",IF(OR($C91&lt;&gt;"S",ORÇAMENTO.CodBarra=""),"(Sem Código)",IF(ISERROR(MATCH($AE91,INDIRECT(ORÇAMENTO.BancoRef),0)),"(Código não identificado nas referências)",MATCH($AE91,INDIRECT(ORÇAMENTO.BancoRef),0))))</f>
        <v>11012</v>
      </c>
      <c r="AG91" s="453">
        <f ca="1">ROUND(IF(DESONERACAO="sim",REFERENCIA.Desonerado,REFERENCIA.NaoDesonerado),2)</f>
        <v>32.44</v>
      </c>
      <c r="AH91" s="454">
        <f t="shared" ca="1" si="167"/>
        <v>0.24199999999999999</v>
      </c>
      <c r="AJ91" s="456"/>
      <c r="AL91" s="471"/>
      <c r="AM91" s="348">
        <f t="shared" ca="1" si="136"/>
        <v>120.87</v>
      </c>
      <c r="AN91" s="504">
        <f t="shared" ca="1" si="168"/>
        <v>40.29</v>
      </c>
    </row>
    <row r="92" spans="1:40" x14ac:dyDescent="0.2">
      <c r="A92" t="str">
        <f t="shared" si="165"/>
        <v>S</v>
      </c>
      <c r="B92">
        <f t="shared" ca="1" si="150"/>
        <v>2</v>
      </c>
      <c r="C92" t="str">
        <f t="shared" ca="1" si="151"/>
        <v>S</v>
      </c>
      <c r="D92">
        <f t="shared" ca="1" si="152"/>
        <v>0</v>
      </c>
      <c r="E92">
        <f ca="1">IF($C92=1,OFFSET(E92,-1,0)+MAX(1,COUNTIF(QCI!$A$13:$A$24,OFFSET(ORÇAMENTO!E92,-1,0))),OFFSET(E92,-1,0))</f>
        <v>1</v>
      </c>
      <c r="F92">
        <f t="shared" ca="1" si="153"/>
        <v>12</v>
      </c>
      <c r="G92">
        <f t="shared" ca="1" si="154"/>
        <v>0</v>
      </c>
      <c r="H92">
        <f t="shared" ca="1" si="155"/>
        <v>0</v>
      </c>
      <c r="I92">
        <f t="shared" ca="1" si="156"/>
        <v>6</v>
      </c>
      <c r="J92">
        <f t="shared" ca="1" si="138"/>
        <v>0</v>
      </c>
      <c r="K92">
        <f ca="1">IF(OR($C92="S",$C92=0),0,MATCH(OFFSET($D92,0,$C92)+IF($C92&lt;&gt;1,1,COUNTIF(QCI!$A$13:$A$24,ORÇAMENTO!E92)),OFFSET($D92,1,$C92,ROW($C$131)-ROW($C92)),0))</f>
        <v>0</v>
      </c>
      <c r="L92" s="116" t="str">
        <f t="shared" ca="1" si="157"/>
        <v>F</v>
      </c>
      <c r="M92" s="117" t="s">
        <v>197</v>
      </c>
      <c r="N92" s="118" t="str">
        <f t="shared" ca="1" si="158"/>
        <v>Serviço</v>
      </c>
      <c r="O92" s="119" t="str">
        <f t="shared" ca="1" si="159"/>
        <v>1.12.0.0.6.</v>
      </c>
      <c r="P92" s="120" t="s">
        <v>950</v>
      </c>
      <c r="Q92" s="121" t="s">
        <v>1013</v>
      </c>
      <c r="R92" s="122" t="str">
        <f ca="1">IF($C92="S",REFERENCIA.Descricao,"(digite a descrição aqui)")</f>
        <v>BUCHA EM ALUMINIO, COM ROSCA, DE 3/4", PARA ELETRODUTO</v>
      </c>
      <c r="S92" s="123" t="str">
        <f ca="1">REFERENCIA.Unidade</f>
        <v>UN</v>
      </c>
      <c r="T92" s="124">
        <f ca="1">OFFSET(CÁLCULO!H$15,ROW($T92)-ROW(T$15),0)</f>
        <v>148</v>
      </c>
      <c r="U92" s="125">
        <f t="shared" ca="1" si="17"/>
        <v>1.1499999999999999</v>
      </c>
      <c r="V92" s="126" t="s">
        <v>155</v>
      </c>
      <c r="W92" s="124">
        <f ca="1">IF($C92="S",ROUND(IF(TIPOORCAMENTO="Proposto",ORÇAMENTO.CustoUnitario*(1+$AH92),ORÇAMENTO.PrecoUnitarioLicitado),15-13*$AF$10),0)</f>
        <v>1.43</v>
      </c>
      <c r="X92" s="127">
        <f ca="1">IF($C92="S",IF(OR(Import.TipoArredondamento&lt;&gt;"TransfereGOV",ACOMPANHAMENTO="BM"),VTOTAL1,SUM(OFFSET(CÁLCULO!$AI$15,ROW($X92)-ROW($X$15),1):OFFSET(CÁLCULO!$BB$15,ROW($X92)-ROW($X$15),-1))),IF($C92=0,0,ROUND(SomaAgrup,15-13*$AF$11)))</f>
        <v>211.64</v>
      </c>
      <c r="Y92" s="128" t="s">
        <v>243</v>
      </c>
      <c r="Z92" t="str">
        <f t="shared" ca="1" si="160"/>
        <v>RA</v>
      </c>
      <c r="AA92" s="129">
        <f ca="1">IF($C92="S",IF($Z92="CP",$X92,IF($Z92="RA",(($X92)*QCI!$AA$3),0)),SomaAgrup)</f>
        <v>211.64</v>
      </c>
      <c r="AB92" s="130">
        <f t="shared" ca="1" si="166"/>
        <v>0</v>
      </c>
      <c r="AC92" s="619" t="str">
        <f ca="1">IF($N92=""," ",
IF(AND($C92&lt;&gt;"S",OR($R92="",$R92="(digite a descrição aqui)")),"DESCRIÇÃO",
IF(AND($C92="S",OR($Q92&lt;&gt;0,$T92&gt;0,$U92&gt;0),$P92=0),"FONTE",
IF(AND($C92="S",$P92&lt;&gt;0,OR($T92&gt;0,$U92&gt;0),$Q92=0),"CÓDIGO",
IF(AND($C92="S",$P92&lt;&gt;0,$Q92&lt;&gt;0,$R92="(Código não identificado nas referências)"),"CÓDIGO N/ID",
IF(AND($C92="S",OR($R92="",$R92="(digite a descrição aqui)"),OR($Q92&lt;&gt;0,$T92&gt;0,$U92&gt;0)),"DESCRIÇÃO",
IF(AND($C92="S",$P92&lt;&gt;0,$Q92&lt;&gt;0,$S92=""),"UNIDADE",
IF(AND($C92="S",$P92&lt;&gt;0,$Q92&lt;&gt;0,$U92=0),"SEM CUSTO",
IF(AND(TIPOORCAMENTO="Licitado",$AL92=0,$AN92&gt;0),"SEM PREÇO",
IF(AND($C92="S",$P92&lt;&gt;0,$Q92&lt;&gt;0,$U92&gt;0,$V92=0),"BDI",
IF(OR(AND(TIPOORCAMENTO="Proposto",$AG92&lt;&gt;"",$AG92&gt;0,ORÇAMENTO.CustoUnitario&gt;$AG92),AND(TIPOORCAMENTO="LICITADO",ORÇAMENTO.PrecoUnitarioLicitado&gt;$AN92)),"ACIMA REF.",
IF(AND($C92="S",$P92&lt;&gt;0,$Q92&lt;&gt;0,$T92=0,$U92&gt;0),"QUANT.",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f ca="1">IF(AND($C92="S",ORÇAMENTO.CodBarra&lt;&gt;""),IF(ORÇAMENTO.Fonte="",ORÇAMENTO.CodBarra,CONCATENATE(ORÇAMENTO.Fonte," ",ORÇAMENTO.CodBarra)))</f>
        <v>SINAPI-I 39175</v>
      </c>
      <c r="AF92" s="13">
        <f ca="1">IF(ISERROR(INDIRECT(ORÇAMENTO.BancoRef)),"(abra o arquivo 'Referência "&amp;Excel_BuiltIn_Database&amp;".xlsm)",IF(OR($C92&lt;&gt;"S",ORÇAMENTO.CodBarra=""),"(Sem Código)",IF(ISERROR(MATCH($AE92,INDIRECT(ORÇAMENTO.BancoRef),0)),"(Código não identificado nas referências)",MATCH($AE92,INDIRECT(ORÇAMENTO.BancoRef),0))))</f>
        <v>842</v>
      </c>
      <c r="AG92" s="453">
        <f ca="1">ROUND(IF(DESONERACAO="sim",REFERENCIA.Desonerado,REFERENCIA.NaoDesonerado),2)</f>
        <v>1.1499999999999999</v>
      </c>
      <c r="AH92" s="454">
        <f t="shared" ca="1" si="167"/>
        <v>0.24199999999999999</v>
      </c>
      <c r="AJ92" s="456"/>
      <c r="AL92" s="471"/>
      <c r="AM92" s="348">
        <f t="shared" ca="1" si="136"/>
        <v>211.64</v>
      </c>
      <c r="AN92" s="504">
        <f t="shared" ca="1" si="168"/>
        <v>1.43</v>
      </c>
    </row>
    <row r="93" spans="1:40" x14ac:dyDescent="0.2">
      <c r="A93" t="str">
        <f t="shared" si="165"/>
        <v>S</v>
      </c>
      <c r="B93">
        <f t="shared" ca="1" si="150"/>
        <v>2</v>
      </c>
      <c r="C93" t="str">
        <f t="shared" ca="1" si="151"/>
        <v>S</v>
      </c>
      <c r="D93">
        <f t="shared" ca="1" si="152"/>
        <v>0</v>
      </c>
      <c r="E93">
        <f ca="1">IF($C93=1,OFFSET(E93,-1,0)+MAX(1,COUNTIF(QCI!$A$13:$A$24,OFFSET(ORÇAMENTO!E93,-1,0))),OFFSET(E93,-1,0))</f>
        <v>1</v>
      </c>
      <c r="F93">
        <f t="shared" ca="1" si="153"/>
        <v>12</v>
      </c>
      <c r="G93">
        <f t="shared" ca="1" si="154"/>
        <v>0</v>
      </c>
      <c r="H93">
        <f t="shared" ca="1" si="155"/>
        <v>0</v>
      </c>
      <c r="I93">
        <f t="shared" ca="1" si="156"/>
        <v>7</v>
      </c>
      <c r="J93">
        <f t="shared" ca="1" si="138"/>
        <v>0</v>
      </c>
      <c r="K93">
        <f ca="1">IF(OR($C93="S",$C93=0),0,MATCH(OFFSET($D93,0,$C93)+IF($C93&lt;&gt;1,1,COUNTIF(QCI!$A$13:$A$24,ORÇAMENTO!E93)),OFFSET($D93,1,$C93,ROW($C$131)-ROW($C93)),0))</f>
        <v>0</v>
      </c>
      <c r="L93" s="116" t="str">
        <f t="shared" ca="1" si="157"/>
        <v>F</v>
      </c>
      <c r="M93" s="117" t="s">
        <v>197</v>
      </c>
      <c r="N93" s="118" t="str">
        <f t="shared" ca="1" si="158"/>
        <v>Serviço</v>
      </c>
      <c r="O93" s="119" t="str">
        <f t="shared" ca="1" si="159"/>
        <v>1.12.0.0.7.</v>
      </c>
      <c r="P93" s="120" t="s">
        <v>950</v>
      </c>
      <c r="Q93" s="121" t="s">
        <v>1014</v>
      </c>
      <c r="R93" s="122" t="str">
        <f ca="1">IF($C93="S",REFERENCIA.Descricao,"(digite a descrição aqui)")</f>
        <v>BUCHA EM ALUMINIO, COM ROSCA, DE 1 1/4", PARA ELETRODUTO</v>
      </c>
      <c r="S93" s="123" t="str">
        <f ca="1">REFERENCIA.Unidade</f>
        <v>UN</v>
      </c>
      <c r="T93" s="124">
        <f ca="1">OFFSET(CÁLCULO!H$15,ROW($T93)-ROW(T$15),0)</f>
        <v>2</v>
      </c>
      <c r="U93" s="125">
        <f t="shared" ca="1" si="17"/>
        <v>1.89</v>
      </c>
      <c r="V93" s="126" t="s">
        <v>155</v>
      </c>
      <c r="W93" s="124">
        <f ca="1">IF($C93="S",ROUND(IF(TIPOORCAMENTO="Proposto",ORÇAMENTO.CustoUnitario*(1+$AH93),ORÇAMENTO.PrecoUnitarioLicitado),15-13*$AF$10),0)</f>
        <v>2.35</v>
      </c>
      <c r="X93" s="127">
        <f ca="1">IF($C93="S",IF(OR(Import.TipoArredondamento&lt;&gt;"TransfereGOV",ACOMPANHAMENTO="BM"),VTOTAL1,SUM(OFFSET(CÁLCULO!$AI$15,ROW($X93)-ROW($X$15),1):OFFSET(CÁLCULO!$BB$15,ROW($X93)-ROW($X$15),-1))),IF($C93=0,0,ROUND(SomaAgrup,15-13*$AF$11)))</f>
        <v>4.7</v>
      </c>
      <c r="Y93" s="128" t="s">
        <v>243</v>
      </c>
      <c r="Z93" t="str">
        <f t="shared" ca="1" si="160"/>
        <v>RA</v>
      </c>
      <c r="AA93" s="129">
        <f ca="1">IF($C93="S",IF($Z93="CP",$X93,IF($Z93="RA",(($X93)*QCI!$AA$3),0)),SomaAgrup)</f>
        <v>4.7</v>
      </c>
      <c r="AB93" s="130">
        <f t="shared" ca="1" si="166"/>
        <v>0</v>
      </c>
      <c r="AC93" s="619" t="str">
        <f ca="1">IF($N93=""," ",
IF(AND($C93&lt;&gt;"S",OR($R93="",$R93="(digite a descrição aqui)")),"DESCRIÇÃO",
IF(AND($C93="S",OR($Q93&lt;&gt;0,$T93&gt;0,$U93&gt;0),$P93=0),"FONTE",
IF(AND($C93="S",$P93&lt;&gt;0,OR($T93&gt;0,$U93&gt;0),$Q93=0),"CÓDIGO",
IF(AND($C93="S",$P93&lt;&gt;0,$Q93&lt;&gt;0,$R93="(Código não identificado nas referências)"),"CÓDIGO N/ID",
IF(AND($C93="S",OR($R93="",$R93="(digite a descrição aqui)"),OR($Q93&lt;&gt;0,$T93&gt;0,$U93&gt;0)),"DESCRIÇÃO",
IF(AND($C93="S",$P93&lt;&gt;0,$Q93&lt;&gt;0,$S93=""),"UNIDADE",
IF(AND($C93="S",$P93&lt;&gt;0,$Q93&lt;&gt;0,$U93=0),"SEM CUSTO",
IF(AND(TIPOORCAMENTO="Licitado",$AL93=0,$AN93&gt;0),"SEM PREÇO",
IF(AND($C93="S",$P93&lt;&gt;0,$Q93&lt;&gt;0,$U93&gt;0,$V93=0),"BDI",
IF(OR(AND(TIPOORCAMENTO="Proposto",$AG93&lt;&gt;"",$AG93&gt;0,ORÇAMENTO.CustoUnitario&gt;$AG93),AND(TIPOORCAMENTO="LICITADO",ORÇAMENTO.PrecoUnitarioLicitado&gt;$AN93)),"ACIMA REF.",
IF(AND($C93="S",$P93&lt;&gt;0,$Q93&lt;&gt;0,$T93=0,$U93&gt;0),"QUANT.",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f ca="1">IF(AND($C93="S",ORÇAMENTO.CodBarra&lt;&gt;""),IF(ORÇAMENTO.Fonte="",ORÇAMENTO.CodBarra,CONCATENATE(ORÇAMENTO.Fonte," ",ORÇAMENTO.CodBarra)))</f>
        <v>SINAPI-I 39177</v>
      </c>
      <c r="AF93" s="13">
        <f ca="1">IF(ISERROR(INDIRECT(ORÇAMENTO.BancoRef)),"(abra o arquivo 'Referência "&amp;Excel_BuiltIn_Database&amp;".xlsm)",IF(OR($C93&lt;&gt;"S",ORÇAMENTO.CodBarra=""),"(Sem Código)",IF(ISERROR(MATCH($AE93,INDIRECT(ORÇAMENTO.BancoRef),0)),"(Código não identificado nas referências)",MATCH($AE93,INDIRECT(ORÇAMENTO.BancoRef),0))))</f>
        <v>836</v>
      </c>
      <c r="AG93" s="453">
        <f ca="1">ROUND(IF(DESONERACAO="sim",REFERENCIA.Desonerado,REFERENCIA.NaoDesonerado),2)</f>
        <v>1.89</v>
      </c>
      <c r="AH93" s="454">
        <f t="shared" ca="1" si="167"/>
        <v>0.24199999999999999</v>
      </c>
      <c r="AJ93" s="456"/>
      <c r="AL93" s="471"/>
      <c r="AM93" s="348">
        <f t="shared" ca="1" si="136"/>
        <v>4.7</v>
      </c>
      <c r="AN93" s="504">
        <f t="shared" ca="1" si="168"/>
        <v>2.35</v>
      </c>
    </row>
    <row r="94" spans="1:40" ht="25.5" x14ac:dyDescent="0.2">
      <c r="A94" t="str">
        <f t="shared" si="165"/>
        <v>S</v>
      </c>
      <c r="B94">
        <f t="shared" ca="1" si="150"/>
        <v>2</v>
      </c>
      <c r="C94" t="str">
        <f t="shared" ca="1" si="151"/>
        <v>S</v>
      </c>
      <c r="D94">
        <f t="shared" ca="1" si="152"/>
        <v>0</v>
      </c>
      <c r="E94">
        <f ca="1">IF($C94=1,OFFSET(E94,-1,0)+MAX(1,COUNTIF(QCI!$A$13:$A$24,OFFSET(ORÇAMENTO!E94,-1,0))),OFFSET(E94,-1,0))</f>
        <v>1</v>
      </c>
      <c r="F94">
        <f t="shared" ca="1" si="153"/>
        <v>12</v>
      </c>
      <c r="G94">
        <f t="shared" ca="1" si="154"/>
        <v>0</v>
      </c>
      <c r="H94">
        <f t="shared" ca="1" si="155"/>
        <v>0</v>
      </c>
      <c r="I94">
        <f t="shared" ca="1" si="156"/>
        <v>8</v>
      </c>
      <c r="J94">
        <f t="shared" ca="1" si="138"/>
        <v>0</v>
      </c>
      <c r="K94">
        <f ca="1">IF(OR($C94="S",$C94=0),0,MATCH(OFFSET($D94,0,$C94)+IF($C94&lt;&gt;1,1,COUNTIF(QCI!$A$13:$A$24,ORÇAMENTO!E94)),OFFSET($D94,1,$C94,ROW($C$131)-ROW($C94)),0))</f>
        <v>0</v>
      </c>
      <c r="L94" s="116" t="str">
        <f t="shared" ca="1" si="157"/>
        <v>F</v>
      </c>
      <c r="M94" s="117" t="s">
        <v>197</v>
      </c>
      <c r="N94" s="118" t="str">
        <f t="shared" ca="1" si="158"/>
        <v>Serviço</v>
      </c>
      <c r="O94" s="119" t="str">
        <f t="shared" ca="1" si="159"/>
        <v>1.12.0.0.8.</v>
      </c>
      <c r="P94" s="120" t="s">
        <v>245</v>
      </c>
      <c r="Q94" s="121" t="s">
        <v>1015</v>
      </c>
      <c r="R94" s="122" t="str">
        <f ca="1">IF($C94="S",REFERENCIA.Descricao,"(digite a descrição aqui)")</f>
        <v>TOMADA BAIXA DE EMBUTIR (2 MÓDULOS), 2P+T 20 A, INCLUINDO SUPORTE E PLACA - FORNECIMENTO E INSTALAÇÃO. AF_03/2023</v>
      </c>
      <c r="S94" s="123" t="str">
        <f ca="1">REFERENCIA.Unidade</f>
        <v>UN</v>
      </c>
      <c r="T94" s="124">
        <f ca="1">OFFSET(CÁLCULO!H$15,ROW($T94)-ROW(T$15),0)</f>
        <v>14</v>
      </c>
      <c r="U94" s="125">
        <f t="shared" ca="1" si="17"/>
        <v>64.48</v>
      </c>
      <c r="V94" s="126" t="s">
        <v>155</v>
      </c>
      <c r="W94" s="124">
        <f ca="1">IF($C94="S",ROUND(IF(TIPOORCAMENTO="Proposto",ORÇAMENTO.CustoUnitario*(1+$AH94),ORÇAMENTO.PrecoUnitarioLicitado),15-13*$AF$10),0)</f>
        <v>80.08</v>
      </c>
      <c r="X94" s="127">
        <f ca="1">IF($C94="S",IF(OR(Import.TipoArredondamento&lt;&gt;"TransfereGOV",ACOMPANHAMENTO="BM"),VTOTAL1,SUM(OFFSET(CÁLCULO!$AI$15,ROW($X94)-ROW($X$15),1):OFFSET(CÁLCULO!$BB$15,ROW($X94)-ROW($X$15),-1))),IF($C94=0,0,ROUND(SomaAgrup,15-13*$AF$11)))</f>
        <v>1121.1199999999999</v>
      </c>
      <c r="Y94" s="128" t="s">
        <v>243</v>
      </c>
      <c r="Z94" t="str">
        <f t="shared" ca="1" si="160"/>
        <v>RA</v>
      </c>
      <c r="AA94" s="129">
        <f ca="1">IF($C94="S",IF($Z94="CP",$X94,IF($Z94="RA",(($X94)*QCI!$AA$3),0)),SomaAgrup)</f>
        <v>1121.1199999999999</v>
      </c>
      <c r="AB94" s="130">
        <f t="shared" ca="1" si="166"/>
        <v>0</v>
      </c>
      <c r="AC94" s="619" t="str">
        <f ca="1">IF($N94=""," ",
IF(AND($C94&lt;&gt;"S",OR($R94="",$R94="(digite a descrição aqui)")),"DESCRIÇÃO",
IF(AND($C94="S",OR($Q94&lt;&gt;0,$T94&gt;0,$U94&gt;0),$P94=0),"FONTE",
IF(AND($C94="S",$P94&lt;&gt;0,OR($T94&gt;0,$U94&gt;0),$Q94=0),"CÓDIGO",
IF(AND($C94="S",$P94&lt;&gt;0,$Q94&lt;&gt;0,$R94="(Código não identificado nas referências)"),"CÓDIGO N/ID",
IF(AND($C94="S",OR($R94="",$R94="(digite a descrição aqui)"),OR($Q94&lt;&gt;0,$T94&gt;0,$U94&gt;0)),"DESCRIÇÃO",
IF(AND($C94="S",$P94&lt;&gt;0,$Q94&lt;&gt;0,$S94=""),"UNIDADE",
IF(AND($C94="S",$P94&lt;&gt;0,$Q94&lt;&gt;0,$U94=0),"SEM CUSTO",
IF(AND(TIPOORCAMENTO="Licitado",$AL94=0,$AN94&gt;0),"SEM PREÇO",
IF(AND($C94="S",$P94&lt;&gt;0,$Q94&lt;&gt;0,$U94&gt;0,$V94=0),"BDI",
IF(OR(AND(TIPOORCAMENTO="Proposto",$AG94&lt;&gt;"",$AG94&gt;0,ORÇAMENTO.CustoUnitario&gt;$AG94),AND(TIPOORCAMENTO="LICITADO",ORÇAMENTO.PrecoUnitarioLicitado&gt;$AN94)),"ACIMA REF.",
IF(AND($C94="S",$P94&lt;&gt;0,$Q94&lt;&gt;0,$T94=0,$U94&gt;0),"QUANT.",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str">
        <f ca="1">IF(AND($C94="S",ORÇAMENTO.CodBarra&lt;&gt;""),IF(ORÇAMENTO.Fonte="",ORÇAMENTO.CodBarra,CONCATENATE(ORÇAMENTO.Fonte," ",ORÇAMENTO.CodBarra)))</f>
        <v>SINAPI 92009</v>
      </c>
      <c r="AF94" s="13">
        <f ca="1">IF(ISERROR(INDIRECT(ORÇAMENTO.BancoRef)),"(abra o arquivo 'Referência "&amp;Excel_BuiltIn_Database&amp;".xlsm)",IF(OR($C94&lt;&gt;"S",ORÇAMENTO.CodBarra=""),"(Sem Código)",IF(ISERROR(MATCH($AE94,INDIRECT(ORÇAMENTO.BancoRef),0)),"(Código não identificado nas referências)",MATCH($AE94,INDIRECT(ORÇAMENTO.BancoRef),0))))</f>
        <v>10939</v>
      </c>
      <c r="AG94" s="453">
        <f ca="1">ROUND(IF(DESONERACAO="sim",REFERENCIA.Desonerado,REFERENCIA.NaoDesonerado),2)</f>
        <v>64.48</v>
      </c>
      <c r="AH94" s="454">
        <f t="shared" ca="1" si="167"/>
        <v>0.24199999999999999</v>
      </c>
      <c r="AJ94" s="456"/>
      <c r="AL94" s="471"/>
      <c r="AM94" s="348">
        <f t="shared" ca="1" si="136"/>
        <v>1121.1199999999999</v>
      </c>
      <c r="AN94" s="504">
        <f t="shared" ca="1" si="168"/>
        <v>80.08</v>
      </c>
    </row>
    <row r="95" spans="1:40" ht="25.5" x14ac:dyDescent="0.2">
      <c r="A95" t="str">
        <f t="shared" si="165"/>
        <v>S</v>
      </c>
      <c r="B95">
        <f t="shared" ca="1" si="150"/>
        <v>2</v>
      </c>
      <c r="C95" t="str">
        <f t="shared" ca="1" si="151"/>
        <v>S</v>
      </c>
      <c r="D95">
        <f t="shared" ca="1" si="152"/>
        <v>0</v>
      </c>
      <c r="E95">
        <f ca="1">IF($C95=1,OFFSET(E95,-1,0)+MAX(1,COUNTIF(QCI!$A$13:$A$24,OFFSET(ORÇAMENTO!E95,-1,0))),OFFSET(E95,-1,0))</f>
        <v>1</v>
      </c>
      <c r="F95">
        <f t="shared" ca="1" si="153"/>
        <v>12</v>
      </c>
      <c r="G95">
        <f t="shared" ca="1" si="154"/>
        <v>0</v>
      </c>
      <c r="H95">
        <f t="shared" ca="1" si="155"/>
        <v>0</v>
      </c>
      <c r="I95">
        <f t="shared" ca="1" si="156"/>
        <v>9</v>
      </c>
      <c r="J95">
        <f t="shared" ca="1" si="138"/>
        <v>0</v>
      </c>
      <c r="K95">
        <f ca="1">IF(OR($C95="S",$C95=0),0,MATCH(OFFSET($D95,0,$C95)+IF($C95&lt;&gt;1,1,COUNTIF(QCI!$A$13:$A$24,ORÇAMENTO!E95)),OFFSET($D95,1,$C95,ROW($C$131)-ROW($C95)),0))</f>
        <v>0</v>
      </c>
      <c r="L95" s="116" t="str">
        <f t="shared" ca="1" si="157"/>
        <v>F</v>
      </c>
      <c r="M95" s="117" t="s">
        <v>197</v>
      </c>
      <c r="N95" s="118" t="str">
        <f t="shared" ca="1" si="158"/>
        <v>Serviço</v>
      </c>
      <c r="O95" s="119" t="str">
        <f t="shared" ca="1" si="159"/>
        <v>1.12.0.0.9.</v>
      </c>
      <c r="P95" s="120" t="s">
        <v>245</v>
      </c>
      <c r="Q95" s="121" t="s">
        <v>1016</v>
      </c>
      <c r="R95" s="122" t="str">
        <f ca="1">IF($C95="S",REFERENCIA.Descricao,"(digite a descrição aqui)")</f>
        <v>TOMADA ALTA DE EMBUTIR (1 MÓDULO), 2P+T 10 A, INCLUINDO SUPORTE E PLACA - FORNECIMENTO E INSTALAÇÃO. AF_03/2023</v>
      </c>
      <c r="S95" s="123" t="str">
        <f ca="1">REFERENCIA.Unidade</f>
        <v>UN</v>
      </c>
      <c r="T95" s="124">
        <f ca="1">OFFSET(CÁLCULO!H$15,ROW($T95)-ROW(T$15),0)</f>
        <v>1</v>
      </c>
      <c r="U95" s="125">
        <f t="shared" ca="1" si="17"/>
        <v>58.16</v>
      </c>
      <c r="V95" s="126" t="s">
        <v>155</v>
      </c>
      <c r="W95" s="124">
        <f ca="1">IF($C95="S",ROUND(IF(TIPOORCAMENTO="Proposto",ORÇAMENTO.CustoUnitario*(1+$AH95),ORÇAMENTO.PrecoUnitarioLicitado),15-13*$AF$10),0)</f>
        <v>72.23</v>
      </c>
      <c r="X95" s="127">
        <f ca="1">IF($C95="S",IF(OR(Import.TipoArredondamento&lt;&gt;"TransfereGOV",ACOMPANHAMENTO="BM"),VTOTAL1,SUM(OFFSET(CÁLCULO!$AI$15,ROW($X95)-ROW($X$15),1):OFFSET(CÁLCULO!$BB$15,ROW($X95)-ROW($X$15),-1))),IF($C95=0,0,ROUND(SomaAgrup,15-13*$AF$11)))</f>
        <v>72.23</v>
      </c>
      <c r="Y95" s="128" t="s">
        <v>243</v>
      </c>
      <c r="Z95" t="str">
        <f t="shared" ca="1" si="160"/>
        <v>RA</v>
      </c>
      <c r="AA95" s="129">
        <f ca="1">IF($C95="S",IF($Z95="CP",$X95,IF($Z95="RA",(($X95)*QCI!$AA$3),0)),SomaAgrup)</f>
        <v>72.23</v>
      </c>
      <c r="AB95" s="130">
        <f t="shared" ca="1" si="166"/>
        <v>0</v>
      </c>
      <c r="AC95" s="619" t="str">
        <f ca="1">IF($N95=""," ",
IF(AND($C95&lt;&gt;"S",OR($R95="",$R95="(digite a descrição aqui)")),"DESCRIÇÃO",
IF(AND($C95="S",OR($Q95&lt;&gt;0,$T95&gt;0,$U95&gt;0),$P95=0),"FONTE",
IF(AND($C95="S",$P95&lt;&gt;0,OR($T95&gt;0,$U95&gt;0),$Q95=0),"CÓDIGO",
IF(AND($C95="S",$P95&lt;&gt;0,$Q95&lt;&gt;0,$R95="(Código não identificado nas referências)"),"CÓDIGO N/ID",
IF(AND($C95="S",OR($R95="",$R95="(digite a descrição aqui)"),OR($Q95&lt;&gt;0,$T95&gt;0,$U95&gt;0)),"DESCRIÇÃO",
IF(AND($C95="S",$P95&lt;&gt;0,$Q95&lt;&gt;0,$S95=""),"UNIDADE",
IF(AND($C95="S",$P95&lt;&gt;0,$Q95&lt;&gt;0,$U95=0),"SEM CUSTO",
IF(AND(TIPOORCAMENTO="Licitado",$AL95=0,$AN95&gt;0),"SEM PREÇO",
IF(AND($C95="S",$P95&lt;&gt;0,$Q95&lt;&gt;0,$U95&gt;0,$V95=0),"BDI",
IF(OR(AND(TIPOORCAMENTO="Proposto",$AG95&lt;&gt;"",$AG95&gt;0,ORÇAMENTO.CustoUnitario&gt;$AG95),AND(TIPOORCAMENTO="LICITADO",ORÇAMENTO.PrecoUnitarioLicitado&gt;$AN95)),"ACIMA REF.",
IF(AND($C95="S",$P95&lt;&gt;0,$Q95&lt;&gt;0,$T95=0,$U95&gt;0),"QUANT.",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f ca="1">IF(AND($C95="S",ORÇAMENTO.CodBarra&lt;&gt;""),IF(ORÇAMENTO.Fonte="",ORÇAMENTO.CodBarra,CONCATENATE(ORÇAMENTO.Fonte," ",ORÇAMENTO.CodBarra)))</f>
        <v>SINAPI 91992</v>
      </c>
      <c r="AF95" s="13">
        <f ca="1">IF(ISERROR(INDIRECT(ORÇAMENTO.BancoRef)),"(abra o arquivo 'Referência "&amp;Excel_BuiltIn_Database&amp;".xlsm)",IF(OR($C95&lt;&gt;"S",ORÇAMENTO.CodBarra=""),"(Sem Código)",IF(ISERROR(MATCH($AE95,INDIRECT(ORÇAMENTO.BancoRef),0)),"(Código não identificado nas referências)",MATCH($AE95,INDIRECT(ORÇAMENTO.BancoRef),0))))</f>
        <v>10929</v>
      </c>
      <c r="AG95" s="453">
        <f ca="1">ROUND(IF(DESONERACAO="sim",REFERENCIA.Desonerado,REFERENCIA.NaoDesonerado),2)</f>
        <v>58.16</v>
      </c>
      <c r="AH95" s="454">
        <f t="shared" ca="1" si="167"/>
        <v>0.24199999999999999</v>
      </c>
      <c r="AJ95" s="456"/>
      <c r="AL95" s="471"/>
      <c r="AM95" s="348">
        <f t="shared" ca="1" si="136"/>
        <v>72.23</v>
      </c>
      <c r="AN95" s="504">
        <f t="shared" ca="1" si="168"/>
        <v>72.23</v>
      </c>
    </row>
    <row r="96" spans="1:40" ht="38.25" x14ac:dyDescent="0.2">
      <c r="A96" t="str">
        <f t="shared" si="165"/>
        <v>S</v>
      </c>
      <c r="B96">
        <f t="shared" ca="1" si="150"/>
        <v>2</v>
      </c>
      <c r="C96" t="str">
        <f t="shared" ca="1" si="151"/>
        <v>S</v>
      </c>
      <c r="D96">
        <f t="shared" ca="1" si="152"/>
        <v>0</v>
      </c>
      <c r="E96">
        <f ca="1">IF($C96=1,OFFSET(E96,-1,0)+MAX(1,COUNTIF(QCI!$A$13:$A$24,OFFSET(ORÇAMENTO!E96,-1,0))),OFFSET(E96,-1,0))</f>
        <v>1</v>
      </c>
      <c r="F96">
        <f t="shared" ca="1" si="153"/>
        <v>12</v>
      </c>
      <c r="G96">
        <f t="shared" ca="1" si="154"/>
        <v>0</v>
      </c>
      <c r="H96">
        <f t="shared" ca="1" si="155"/>
        <v>0</v>
      </c>
      <c r="I96">
        <f t="shared" ca="1" si="156"/>
        <v>10</v>
      </c>
      <c r="J96">
        <f t="shared" ca="1" si="138"/>
        <v>0</v>
      </c>
      <c r="K96">
        <f ca="1">IF(OR($C96="S",$C96=0),0,MATCH(OFFSET($D96,0,$C96)+IF($C96&lt;&gt;1,1,COUNTIF(QCI!$A$13:$A$24,ORÇAMENTO!E96)),OFFSET($D96,1,$C96,ROW($C$131)-ROW($C96)),0))</f>
        <v>0</v>
      </c>
      <c r="L96" s="116" t="str">
        <f t="shared" ca="1" si="157"/>
        <v>F</v>
      </c>
      <c r="M96" s="117" t="s">
        <v>197</v>
      </c>
      <c r="N96" s="118" t="str">
        <f t="shared" ca="1" si="158"/>
        <v>Serviço</v>
      </c>
      <c r="O96" s="119" t="str">
        <f t="shared" ca="1" si="159"/>
        <v>1.12.0.0.10.</v>
      </c>
      <c r="P96" s="120" t="s">
        <v>245</v>
      </c>
      <c r="Q96" s="121" t="s">
        <v>1017</v>
      </c>
      <c r="R96" s="122" t="str">
        <f ca="1">IF($C96="S",REFERENCIA.Descricao,"(digite a descrição aqui)")</f>
        <v>CURVA 90 GRAUS PARA ELETRODUTO, PVC, ROSCÁVEL, DN 40 MM (1 1/4"), PARA CIRCUITOS TERMINAIS, INSTALADA EM PAREDE - FORNECIMENTO E INSTALAÇÃO. AF_03/2023</v>
      </c>
      <c r="S96" s="123" t="str">
        <f ca="1">REFERENCIA.Unidade</f>
        <v>UN</v>
      </c>
      <c r="T96" s="124">
        <f ca="1">OFFSET(CÁLCULO!H$15,ROW($T96)-ROW(T$15),0)</f>
        <v>2</v>
      </c>
      <c r="U96" s="125">
        <f t="shared" ca="1" si="17"/>
        <v>29.72</v>
      </c>
      <c r="V96" s="126" t="s">
        <v>155</v>
      </c>
      <c r="W96" s="124">
        <f ca="1">IF($C96="S",ROUND(IF(TIPOORCAMENTO="Proposto",ORÇAMENTO.CustoUnitario*(1+$AH96),ORÇAMENTO.PrecoUnitarioLicitado),15-13*$AF$10),0)</f>
        <v>36.909999999999997</v>
      </c>
      <c r="X96" s="127">
        <f ca="1">IF($C96="S",IF(OR(Import.TipoArredondamento&lt;&gt;"TransfereGOV",ACOMPANHAMENTO="BM"),VTOTAL1,SUM(OFFSET(CÁLCULO!$AI$15,ROW($X96)-ROW($X$15),1):OFFSET(CÁLCULO!$BB$15,ROW($X96)-ROW($X$15),-1))),IF($C96=0,0,ROUND(SomaAgrup,15-13*$AF$11)))</f>
        <v>73.819999999999993</v>
      </c>
      <c r="Y96" s="128" t="s">
        <v>243</v>
      </c>
      <c r="Z96" t="str">
        <f t="shared" ca="1" si="160"/>
        <v>RA</v>
      </c>
      <c r="AA96" s="129">
        <f ca="1">IF($C96="S",IF($Z96="CP",$X96,IF($Z96="RA",(($X96)*QCI!$AA$3),0)),SomaAgrup)</f>
        <v>73.819999999999993</v>
      </c>
      <c r="AB96" s="130">
        <f t="shared" ca="1" si="166"/>
        <v>0</v>
      </c>
      <c r="AC96" s="619" t="str">
        <f ca="1">IF($N96=""," ",
IF(AND($C96&lt;&gt;"S",OR($R96="",$R96="(digite a descrição aqui)")),"DESCRIÇÃO",
IF(AND($C96="S",OR($Q96&lt;&gt;0,$T96&gt;0,$U96&gt;0),$P96=0),"FONTE",
IF(AND($C96="S",$P96&lt;&gt;0,OR($T96&gt;0,$U96&gt;0),$Q96=0),"CÓDIGO",
IF(AND($C96="S",$P96&lt;&gt;0,$Q96&lt;&gt;0,$R96="(Código não identificado nas referências)"),"CÓDIGO N/ID",
IF(AND($C96="S",OR($R96="",$R96="(digite a descrição aqui)"),OR($Q96&lt;&gt;0,$T96&gt;0,$U96&gt;0)),"DESCRIÇÃO",
IF(AND($C96="S",$P96&lt;&gt;0,$Q96&lt;&gt;0,$S96=""),"UNIDADE",
IF(AND($C96="S",$P96&lt;&gt;0,$Q96&lt;&gt;0,$U96=0),"SEM CUSTO",
IF(AND(TIPOORCAMENTO="Licitado",$AL96=0,$AN96&gt;0),"SEM PREÇO",
IF(AND($C96="S",$P96&lt;&gt;0,$Q96&lt;&gt;0,$U96&gt;0,$V96=0),"BDI",
IF(OR(AND(TIPOORCAMENTO="Proposto",$AG96&lt;&gt;"",$AG96&gt;0,ORÇAMENTO.CustoUnitario&gt;$AG96),AND(TIPOORCAMENTO="LICITADO",ORÇAMENTO.PrecoUnitarioLicitado&gt;$AN96)),"ACIMA REF.",
IF(AND($C96="S",$P96&lt;&gt;0,$Q96&lt;&gt;0,$T96=0,$U96&gt;0),"QUANT.",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f ca="1">IF(AND($C96="S",ORÇAMENTO.CodBarra&lt;&gt;""),IF(ORÇAMENTO.Fonte="",ORÇAMENTO.CodBarra,CONCATENATE(ORÇAMENTO.Fonte," ",ORÇAMENTO.CodBarra)))</f>
        <v>SINAPI 91920</v>
      </c>
      <c r="AF96" s="13">
        <f ca="1">IF(ISERROR(INDIRECT(ORÇAMENTO.BancoRef)),"(abra o arquivo 'Referência "&amp;Excel_BuiltIn_Database&amp;".xlsm)",IF(OR($C96&lt;&gt;"S",ORÇAMENTO.CodBarra=""),"(Sem Código)",IF(ISERROR(MATCH($AE96,INDIRECT(ORÇAMENTO.BancoRef),0)),"(Código não identificado nas referências)",MATCH($AE96,INDIRECT(ORÇAMENTO.BancoRef),0))))</f>
        <v>10821</v>
      </c>
      <c r="AG96" s="453">
        <f ca="1">ROUND(IF(DESONERACAO="sim",REFERENCIA.Desonerado,REFERENCIA.NaoDesonerado),2)</f>
        <v>29.72</v>
      </c>
      <c r="AH96" s="454">
        <f t="shared" ca="1" si="167"/>
        <v>0.24199999999999999</v>
      </c>
      <c r="AJ96" s="456"/>
      <c r="AL96" s="471"/>
      <c r="AM96" s="348">
        <f t="shared" ca="1" si="136"/>
        <v>73.819999999999993</v>
      </c>
      <c r="AN96" s="504">
        <f t="shared" ca="1" si="168"/>
        <v>36.909999999999997</v>
      </c>
    </row>
    <row r="97" spans="1:40" ht="38.25" x14ac:dyDescent="0.2">
      <c r="A97" t="str">
        <f t="shared" si="165"/>
        <v>S</v>
      </c>
      <c r="B97">
        <f t="shared" ca="1" si="150"/>
        <v>2</v>
      </c>
      <c r="C97" t="str">
        <f t="shared" ca="1" si="151"/>
        <v>S</v>
      </c>
      <c r="D97">
        <f t="shared" ca="1" si="152"/>
        <v>0</v>
      </c>
      <c r="E97">
        <f ca="1">IF($C97=1,OFFSET(E97,-1,0)+MAX(1,COUNTIF(QCI!$A$13:$A$24,OFFSET(ORÇAMENTO!E97,-1,0))),OFFSET(E97,-1,0))</f>
        <v>1</v>
      </c>
      <c r="F97">
        <f t="shared" ca="1" si="153"/>
        <v>12</v>
      </c>
      <c r="G97">
        <f t="shared" ca="1" si="154"/>
        <v>0</v>
      </c>
      <c r="H97">
        <f t="shared" ca="1" si="155"/>
        <v>0</v>
      </c>
      <c r="I97">
        <f t="shared" ca="1" si="156"/>
        <v>11</v>
      </c>
      <c r="J97">
        <f t="shared" ca="1" si="138"/>
        <v>0</v>
      </c>
      <c r="K97">
        <f ca="1">IF(OR($C97="S",$C97=0),0,MATCH(OFFSET($D97,0,$C97)+IF($C97&lt;&gt;1,1,COUNTIF(QCI!$A$13:$A$24,ORÇAMENTO!E97)),OFFSET($D97,1,$C97,ROW($C$131)-ROW($C97)),0))</f>
        <v>0</v>
      </c>
      <c r="L97" s="116" t="str">
        <f t="shared" ca="1" si="157"/>
        <v>F</v>
      </c>
      <c r="M97" s="117" t="s">
        <v>197</v>
      </c>
      <c r="N97" s="118" t="str">
        <f t="shared" ca="1" si="158"/>
        <v>Serviço</v>
      </c>
      <c r="O97" s="119" t="str">
        <f t="shared" ca="1" si="159"/>
        <v>1.12.0.0.11.</v>
      </c>
      <c r="P97" s="120" t="s">
        <v>245</v>
      </c>
      <c r="Q97" s="121" t="s">
        <v>1018</v>
      </c>
      <c r="R97" s="122" t="str">
        <f ca="1">IF($C97="S",REFERENCIA.Descricao,"(digite a descrição aqui)")</f>
        <v>CURVA 90 GRAUS PARA ELETRODUTO, PVC, ROSCÁVEL, DN 25 MM (3/4"), PARA CIRCUITOS TERMINAIS, INSTALADA EM PAREDE - FORNECIMENTO E INSTALAÇÃO. AF_03/2023</v>
      </c>
      <c r="S97" s="123" t="str">
        <f ca="1">REFERENCIA.Unidade</f>
        <v>UN</v>
      </c>
      <c r="T97" s="124">
        <f ca="1">OFFSET(CÁLCULO!H$15,ROW($T97)-ROW(T$15),0)</f>
        <v>11</v>
      </c>
      <c r="U97" s="125">
        <f t="shared" ca="1" si="17"/>
        <v>23.18</v>
      </c>
      <c r="V97" s="126" t="s">
        <v>155</v>
      </c>
      <c r="W97" s="124">
        <f ca="1">IF($C97="S",ROUND(IF(TIPOORCAMENTO="Proposto",ORÇAMENTO.CustoUnitario*(1+$AH97),ORÇAMENTO.PrecoUnitarioLicitado),15-13*$AF$10),0)</f>
        <v>28.79</v>
      </c>
      <c r="X97" s="127">
        <f ca="1">IF($C97="S",IF(OR(Import.TipoArredondamento&lt;&gt;"TransfereGOV",ACOMPANHAMENTO="BM"),VTOTAL1,SUM(OFFSET(CÁLCULO!$AI$15,ROW($X97)-ROW($X$15),1):OFFSET(CÁLCULO!$BB$15,ROW($X97)-ROW($X$15),-1))),IF($C97=0,0,ROUND(SomaAgrup,15-13*$AF$11)))</f>
        <v>316.69</v>
      </c>
      <c r="Y97" s="128" t="s">
        <v>243</v>
      </c>
      <c r="Z97" t="str">
        <f t="shared" ca="1" si="160"/>
        <v>RA</v>
      </c>
      <c r="AA97" s="129">
        <f ca="1">IF($C97="S",IF($Z97="CP",$X97,IF($Z97="RA",(($X97)*QCI!$AA$3),0)),SomaAgrup)</f>
        <v>316.69</v>
      </c>
      <c r="AB97" s="130">
        <f t="shared" ca="1" si="166"/>
        <v>0</v>
      </c>
      <c r="AC97" s="619" t="str">
        <f ca="1">IF($N97=""," ",
IF(AND($C97&lt;&gt;"S",OR($R97="",$R97="(digite a descrição aqui)")),"DESCRIÇÃO",
IF(AND($C97="S",OR($Q97&lt;&gt;0,$T97&gt;0,$U97&gt;0),$P97=0),"FONTE",
IF(AND($C97="S",$P97&lt;&gt;0,OR($T97&gt;0,$U97&gt;0),$Q97=0),"CÓDIGO",
IF(AND($C97="S",$P97&lt;&gt;0,$Q97&lt;&gt;0,$R97="(Código não identificado nas referências)"),"CÓDIGO N/ID",
IF(AND($C97="S",OR($R97="",$R97="(digite a descrição aqui)"),OR($Q97&lt;&gt;0,$T97&gt;0,$U97&gt;0)),"DESCRIÇÃO",
IF(AND($C97="S",$P97&lt;&gt;0,$Q97&lt;&gt;0,$S97=""),"UNIDADE",
IF(AND($C97="S",$P97&lt;&gt;0,$Q97&lt;&gt;0,$U97=0),"SEM CUSTO",
IF(AND(TIPOORCAMENTO="Licitado",$AL97=0,$AN97&gt;0),"SEM PREÇO",
IF(AND($C97="S",$P97&lt;&gt;0,$Q97&lt;&gt;0,$U97&gt;0,$V97=0),"BDI",
IF(OR(AND(TIPOORCAMENTO="Proposto",$AG97&lt;&gt;"",$AG97&gt;0,ORÇAMENTO.CustoUnitario&gt;$AG97),AND(TIPOORCAMENTO="LICITADO",ORÇAMENTO.PrecoUnitarioLicitado&gt;$AN97)),"ACIMA REF.",
IF(AND($C97="S",$P97&lt;&gt;0,$Q97&lt;&gt;0,$T97=0,$U97&gt;0),"QUANT.",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f ca="1">IF(AND($C97="S",ORÇAMENTO.CodBarra&lt;&gt;""),IF(ORÇAMENTO.Fonte="",ORÇAMENTO.CodBarra,CONCATENATE(ORÇAMENTO.Fonte," ",ORÇAMENTO.CodBarra)))</f>
        <v>SINAPI 91914</v>
      </c>
      <c r="AF97" s="13">
        <f ca="1">IF(ISERROR(INDIRECT(ORÇAMENTO.BancoRef)),"(abra o arquivo 'Referência "&amp;Excel_BuiltIn_Database&amp;".xlsm)",IF(OR($C97&lt;&gt;"S",ORÇAMENTO.CodBarra=""),"(Sem Código)",IF(ISERROR(MATCH($AE97,INDIRECT(ORÇAMENTO.BancoRef),0)),"(Código não identificado nas referências)",MATCH($AE97,INDIRECT(ORÇAMENTO.BancoRef),0))))</f>
        <v>10815</v>
      </c>
      <c r="AG97" s="453">
        <f ca="1">ROUND(IF(DESONERACAO="sim",REFERENCIA.Desonerado,REFERENCIA.NaoDesonerado),2)</f>
        <v>23.18</v>
      </c>
      <c r="AH97" s="454">
        <f t="shared" ca="1" si="167"/>
        <v>0.24199999999999999</v>
      </c>
      <c r="AJ97" s="456"/>
      <c r="AL97" s="471"/>
      <c r="AM97" s="348">
        <f t="shared" ca="1" si="136"/>
        <v>316.69</v>
      </c>
      <c r="AN97" s="504">
        <f t="shared" ca="1" si="168"/>
        <v>28.79</v>
      </c>
    </row>
    <row r="98" spans="1:40" ht="25.5" x14ac:dyDescent="0.2">
      <c r="A98" t="str">
        <f t="shared" si="165"/>
        <v>S</v>
      </c>
      <c r="B98">
        <f t="shared" ca="1" si="150"/>
        <v>2</v>
      </c>
      <c r="C98" t="str">
        <f t="shared" ca="1" si="151"/>
        <v>S</v>
      </c>
      <c r="D98">
        <f t="shared" ca="1" si="152"/>
        <v>0</v>
      </c>
      <c r="E98">
        <f ca="1">IF($C98=1,OFFSET(E98,-1,0)+MAX(1,COUNTIF(QCI!$A$13:$A$24,OFFSET(ORÇAMENTO!E98,-1,0))),OFFSET(E98,-1,0))</f>
        <v>1</v>
      </c>
      <c r="F98">
        <f t="shared" ca="1" si="153"/>
        <v>12</v>
      </c>
      <c r="G98">
        <f t="shared" ca="1" si="154"/>
        <v>0</v>
      </c>
      <c r="H98">
        <f t="shared" ca="1" si="155"/>
        <v>0</v>
      </c>
      <c r="I98">
        <f t="shared" ca="1" si="156"/>
        <v>12</v>
      </c>
      <c r="J98">
        <f t="shared" ca="1" si="138"/>
        <v>0</v>
      </c>
      <c r="K98">
        <f ca="1">IF(OR($C98="S",$C98=0),0,MATCH(OFFSET($D98,0,$C98)+IF($C98&lt;&gt;1,1,COUNTIF(QCI!$A$13:$A$24,ORÇAMENTO!E98)),OFFSET($D98,1,$C98,ROW($C$131)-ROW($C98)),0))</f>
        <v>0</v>
      </c>
      <c r="L98" s="116" t="str">
        <f t="shared" ca="1" si="157"/>
        <v>F</v>
      </c>
      <c r="M98" s="117" t="s">
        <v>197</v>
      </c>
      <c r="N98" s="118" t="str">
        <f t="shared" ca="1" si="158"/>
        <v>Serviço</v>
      </c>
      <c r="O98" s="119" t="str">
        <f t="shared" ca="1" si="159"/>
        <v>1.12.0.0.12.</v>
      </c>
      <c r="P98" s="120" t="s">
        <v>245</v>
      </c>
      <c r="Q98" s="121" t="s">
        <v>1020</v>
      </c>
      <c r="R98" s="122" t="str">
        <f ca="1">IF($C98="S",REFERENCIA.Descricao,"(digite a descrição aqui)")</f>
        <v>DISJUNTOR MONOPOLAR TIPO DIN, CORRENTE NOMINAL DE 10A - FORNECIMENTO E INSTALAÇÃO. AF_07/2025</v>
      </c>
      <c r="S98" s="123" t="str">
        <f ca="1">REFERENCIA.Unidade</f>
        <v>UN</v>
      </c>
      <c r="T98" s="124">
        <f ca="1">OFFSET(CÁLCULO!H$15,ROW($T98)-ROW(T$15),0)</f>
        <v>3</v>
      </c>
      <c r="U98" s="125">
        <f t="shared" ca="1" si="17"/>
        <v>11.91</v>
      </c>
      <c r="V98" s="126" t="s">
        <v>155</v>
      </c>
      <c r="W98" s="124">
        <f ca="1">IF($C98="S",ROUND(IF(TIPOORCAMENTO="Proposto",ORÇAMENTO.CustoUnitario*(1+$AH98),ORÇAMENTO.PrecoUnitarioLicitado),15-13*$AF$10),0)</f>
        <v>14.79</v>
      </c>
      <c r="X98" s="127">
        <f ca="1">IF($C98="S",IF(OR(Import.TipoArredondamento&lt;&gt;"TransfereGOV",ACOMPANHAMENTO="BM"),VTOTAL1,SUM(OFFSET(CÁLCULO!$AI$15,ROW($X98)-ROW($X$15),1):OFFSET(CÁLCULO!$BB$15,ROW($X98)-ROW($X$15),-1))),IF($C98=0,0,ROUND(SomaAgrup,15-13*$AF$11)))</f>
        <v>44.37</v>
      </c>
      <c r="Y98" s="128" t="s">
        <v>243</v>
      </c>
      <c r="Z98" t="str">
        <f t="shared" ca="1" si="160"/>
        <v>RA</v>
      </c>
      <c r="AA98" s="129">
        <f ca="1">IF($C98="S",IF($Z98="CP",$X98,IF($Z98="RA",(($X98)*QCI!$AA$3),0)),SomaAgrup)</f>
        <v>44.37</v>
      </c>
      <c r="AB98" s="130">
        <f t="shared" ca="1" si="166"/>
        <v>0</v>
      </c>
      <c r="AC98" s="619" t="str">
        <f ca="1">IF($N98=""," ",
IF(AND($C98&lt;&gt;"S",OR($R98="",$R98="(digite a descrição aqui)")),"DESCRIÇÃO",
IF(AND($C98="S",OR($Q98&lt;&gt;0,$T98&gt;0,$U98&gt;0),$P98=0),"FONTE",
IF(AND($C98="S",$P98&lt;&gt;0,OR($T98&gt;0,$U98&gt;0),$Q98=0),"CÓDIGO",
IF(AND($C98="S",$P98&lt;&gt;0,$Q98&lt;&gt;0,$R98="(Código não identificado nas referências)"),"CÓDIGO N/ID",
IF(AND($C98="S",OR($R98="",$R98="(digite a descrição aqui)"),OR($Q98&lt;&gt;0,$T98&gt;0,$U98&gt;0)),"DESCRIÇÃO",
IF(AND($C98="S",$P98&lt;&gt;0,$Q98&lt;&gt;0,$S98=""),"UNIDADE",
IF(AND($C98="S",$P98&lt;&gt;0,$Q98&lt;&gt;0,$U98=0),"SEM CUSTO",
IF(AND(TIPOORCAMENTO="Licitado",$AL98=0,$AN98&gt;0),"SEM PREÇO",
IF(AND($C98="S",$P98&lt;&gt;0,$Q98&lt;&gt;0,$U98&gt;0,$V98=0),"BDI",
IF(OR(AND(TIPOORCAMENTO="Proposto",$AG98&lt;&gt;"",$AG98&gt;0,ORÇAMENTO.CustoUnitario&gt;$AG98),AND(TIPOORCAMENTO="LICITADO",ORÇAMENTO.PrecoUnitarioLicitado&gt;$AN98)),"ACIMA REF.",
IF(AND($C98="S",$P98&lt;&gt;0,$Q98&lt;&gt;0,$T98=0,$U98&gt;0),"QUANT.",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f ca="1">IF(AND($C98="S",ORÇAMENTO.CodBarra&lt;&gt;""),IF(ORÇAMENTO.Fonte="",ORÇAMENTO.CodBarra,CONCATENATE(ORÇAMENTO.Fonte," ",ORÇAMENTO.CodBarra)))</f>
        <v>SINAPI 93653</v>
      </c>
      <c r="AF98" s="13">
        <f ca="1">IF(ISERROR(INDIRECT(ORÇAMENTO.BancoRef)),"(abra o arquivo 'Referência "&amp;Excel_BuiltIn_Database&amp;".xlsm)",IF(OR($C98&lt;&gt;"S",ORÇAMENTO.CodBarra=""),"(Sem Código)",IF(ISERROR(MATCH($AE98,INDIRECT(ORÇAMENTO.BancoRef),0)),"(Código não identificado nas referências)",MATCH($AE98,INDIRECT(ORÇAMENTO.BancoRef),0))))</f>
        <v>11079</v>
      </c>
      <c r="AG98" s="453">
        <f ca="1">ROUND(IF(DESONERACAO="sim",REFERENCIA.Desonerado,REFERENCIA.NaoDesonerado),2)</f>
        <v>11.91</v>
      </c>
      <c r="AH98" s="454">
        <f t="shared" ca="1" si="167"/>
        <v>0.24199999999999999</v>
      </c>
      <c r="AJ98" s="456"/>
      <c r="AL98" s="471"/>
      <c r="AM98" s="348">
        <f t="shared" ca="1" si="136"/>
        <v>44.37</v>
      </c>
      <c r="AN98" s="504">
        <f t="shared" ca="1" si="168"/>
        <v>14.79</v>
      </c>
    </row>
    <row r="99" spans="1:40" ht="25.5" x14ac:dyDescent="0.2">
      <c r="A99" t="str">
        <f t="shared" si="165"/>
        <v>S</v>
      </c>
      <c r="B99">
        <f t="shared" ca="1" si="150"/>
        <v>2</v>
      </c>
      <c r="C99" t="str">
        <f t="shared" ca="1" si="151"/>
        <v>S</v>
      </c>
      <c r="D99">
        <f t="shared" ca="1" si="152"/>
        <v>0</v>
      </c>
      <c r="E99">
        <f ca="1">IF($C99=1,OFFSET(E99,-1,0)+MAX(1,COUNTIF(QCI!$A$13:$A$24,OFFSET(ORÇAMENTO!E99,-1,0))),OFFSET(E99,-1,0))</f>
        <v>1</v>
      </c>
      <c r="F99">
        <f t="shared" ca="1" si="153"/>
        <v>12</v>
      </c>
      <c r="G99">
        <f t="shared" ca="1" si="154"/>
        <v>0</v>
      </c>
      <c r="H99">
        <f t="shared" ca="1" si="155"/>
        <v>0</v>
      </c>
      <c r="I99">
        <f t="shared" ca="1" si="156"/>
        <v>13</v>
      </c>
      <c r="J99">
        <f t="shared" ca="1" si="138"/>
        <v>0</v>
      </c>
      <c r="K99">
        <f ca="1">IF(OR($C99="S",$C99=0),0,MATCH(OFFSET($D99,0,$C99)+IF($C99&lt;&gt;1,1,COUNTIF(QCI!$A$13:$A$24,ORÇAMENTO!E99)),OFFSET($D99,1,$C99,ROW($C$131)-ROW($C99)),0))</f>
        <v>0</v>
      </c>
      <c r="L99" s="116" t="str">
        <f t="shared" ca="1" si="157"/>
        <v>F</v>
      </c>
      <c r="M99" s="117" t="s">
        <v>197</v>
      </c>
      <c r="N99" s="118" t="str">
        <f t="shared" ca="1" si="158"/>
        <v>Serviço</v>
      </c>
      <c r="O99" s="119" t="str">
        <f t="shared" ca="1" si="159"/>
        <v>1.12.0.0.13.</v>
      </c>
      <c r="P99" s="120" t="s">
        <v>245</v>
      </c>
      <c r="Q99" s="121" t="s">
        <v>1021</v>
      </c>
      <c r="R99" s="122" t="str">
        <f ca="1">IF($C99="S",REFERENCIA.Descricao,"(digite a descrição aqui)")</f>
        <v>DISJUNTOR MONOPOLAR TIPO DIN, CORRENTE NOMINAL DE 20A - FORNECIMENTO E INSTALAÇÃO. AF_07/2025</v>
      </c>
      <c r="S99" s="123" t="str">
        <f ca="1">REFERENCIA.Unidade</f>
        <v>UN</v>
      </c>
      <c r="T99" s="124">
        <f ca="1">OFFSET(CÁLCULO!H$15,ROW($T99)-ROW(T$15),0)</f>
        <v>1</v>
      </c>
      <c r="U99" s="125">
        <f t="shared" ca="1" si="17"/>
        <v>12.99</v>
      </c>
      <c r="V99" s="126" t="s">
        <v>155</v>
      </c>
      <c r="W99" s="124">
        <f ca="1">IF($C99="S",ROUND(IF(TIPOORCAMENTO="Proposto",ORÇAMENTO.CustoUnitario*(1+$AH99),ORÇAMENTO.PrecoUnitarioLicitado),15-13*$AF$10),0)</f>
        <v>16.13</v>
      </c>
      <c r="X99" s="127">
        <f ca="1">IF($C99="S",IF(OR(Import.TipoArredondamento&lt;&gt;"TransfereGOV",ACOMPANHAMENTO="BM"),VTOTAL1,SUM(OFFSET(CÁLCULO!$AI$15,ROW($X99)-ROW($X$15),1):OFFSET(CÁLCULO!$BB$15,ROW($X99)-ROW($X$15),-1))),IF($C99=0,0,ROUND(SomaAgrup,15-13*$AF$11)))</f>
        <v>16.13</v>
      </c>
      <c r="Y99" s="128" t="s">
        <v>243</v>
      </c>
      <c r="Z99" t="str">
        <f t="shared" ca="1" si="160"/>
        <v>RA</v>
      </c>
      <c r="AA99" s="129">
        <f ca="1">IF($C99="S",IF($Z99="CP",$X99,IF($Z99="RA",(($X99)*QCI!$AA$3),0)),SomaAgrup)</f>
        <v>16.13</v>
      </c>
      <c r="AB99" s="130">
        <f t="shared" ca="1" si="166"/>
        <v>0</v>
      </c>
      <c r="AC99" s="619" t="str">
        <f ca="1">IF($N99=""," ",
IF(AND($C99&lt;&gt;"S",OR($R99="",$R99="(digite a descrição aqui)")),"DESCRIÇÃO",
IF(AND($C99="S",OR($Q99&lt;&gt;0,$T99&gt;0,$U99&gt;0),$P99=0),"FONTE",
IF(AND($C99="S",$P99&lt;&gt;0,OR($T99&gt;0,$U99&gt;0),$Q99=0),"CÓDIGO",
IF(AND($C99="S",$P99&lt;&gt;0,$Q99&lt;&gt;0,$R99="(Código não identificado nas referências)"),"CÓDIGO N/ID",
IF(AND($C99="S",OR($R99="",$R99="(digite a descrição aqui)"),OR($Q99&lt;&gt;0,$T99&gt;0,$U99&gt;0)),"DESCRIÇÃO",
IF(AND($C99="S",$P99&lt;&gt;0,$Q99&lt;&gt;0,$S99=""),"UNIDADE",
IF(AND($C99="S",$P99&lt;&gt;0,$Q99&lt;&gt;0,$U99=0),"SEM CUSTO",
IF(AND(TIPOORCAMENTO="Licitado",$AL99=0,$AN99&gt;0),"SEM PREÇO",
IF(AND($C99="S",$P99&lt;&gt;0,$Q99&lt;&gt;0,$U99&gt;0,$V99=0),"BDI",
IF(OR(AND(TIPOORCAMENTO="Proposto",$AG99&lt;&gt;"",$AG99&gt;0,ORÇAMENTO.CustoUnitario&gt;$AG99),AND(TIPOORCAMENTO="LICITADO",ORÇAMENTO.PrecoUnitarioLicitado&gt;$AN99)),"ACIMA REF.",
IF(AND($C99="S",$P99&lt;&gt;0,$Q99&lt;&gt;0,$T99=0,$U99&gt;0),"QUANT.",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f ca="1">IF(AND($C99="S",ORÇAMENTO.CodBarra&lt;&gt;""),IF(ORÇAMENTO.Fonte="",ORÇAMENTO.CodBarra,CONCATENATE(ORÇAMENTO.Fonte," ",ORÇAMENTO.CodBarra)))</f>
        <v>SINAPI 93655</v>
      </c>
      <c r="AF99" s="13">
        <f ca="1">IF(ISERROR(INDIRECT(ORÇAMENTO.BancoRef)),"(abra o arquivo 'Referência "&amp;Excel_BuiltIn_Database&amp;".xlsm)",IF(OR($C99&lt;&gt;"S",ORÇAMENTO.CodBarra=""),"(Sem Código)",IF(ISERROR(MATCH($AE99,INDIRECT(ORÇAMENTO.BancoRef),0)),"(Código não identificado nas referências)",MATCH($AE99,INDIRECT(ORÇAMENTO.BancoRef),0))))</f>
        <v>11081</v>
      </c>
      <c r="AG99" s="453">
        <f ca="1">ROUND(IF(DESONERACAO="sim",REFERENCIA.Desonerado,REFERENCIA.NaoDesonerado),2)</f>
        <v>12.99</v>
      </c>
      <c r="AH99" s="454">
        <f t="shared" ca="1" si="167"/>
        <v>0.24199999999999999</v>
      </c>
      <c r="AJ99" s="456"/>
      <c r="AL99" s="471"/>
      <c r="AM99" s="348">
        <f t="shared" ca="1" si="136"/>
        <v>16.13</v>
      </c>
      <c r="AN99" s="504">
        <f t="shared" ca="1" si="168"/>
        <v>16.13</v>
      </c>
    </row>
    <row r="100" spans="1:40" ht="25.5" x14ac:dyDescent="0.2">
      <c r="A100" t="str">
        <f t="shared" si="165"/>
        <v>S</v>
      </c>
      <c r="B100">
        <f t="shared" ca="1" si="150"/>
        <v>2</v>
      </c>
      <c r="C100" t="str">
        <f t="shared" ca="1" si="151"/>
        <v>S</v>
      </c>
      <c r="D100">
        <f t="shared" ca="1" si="152"/>
        <v>0</v>
      </c>
      <c r="E100">
        <f ca="1">IF($C100=1,OFFSET(E100,-1,0)+MAX(1,COUNTIF(QCI!$A$13:$A$24,OFFSET(ORÇAMENTO!E100,-1,0))),OFFSET(E100,-1,0))</f>
        <v>1</v>
      </c>
      <c r="F100">
        <f t="shared" ca="1" si="153"/>
        <v>12</v>
      </c>
      <c r="G100">
        <f t="shared" ca="1" si="154"/>
        <v>0</v>
      </c>
      <c r="H100">
        <f t="shared" ca="1" si="155"/>
        <v>0</v>
      </c>
      <c r="I100">
        <f t="shared" ca="1" si="156"/>
        <v>14</v>
      </c>
      <c r="J100">
        <f t="shared" ca="1" si="138"/>
        <v>0</v>
      </c>
      <c r="K100">
        <f ca="1">IF(OR($C100="S",$C100=0),0,MATCH(OFFSET($D100,0,$C100)+IF($C100&lt;&gt;1,1,COUNTIF(QCI!$A$13:$A$24,ORÇAMENTO!E100)),OFFSET($D100,1,$C100,ROW($C$131)-ROW($C100)),0))</f>
        <v>0</v>
      </c>
      <c r="L100" s="116" t="str">
        <f t="shared" ca="1" si="157"/>
        <v>F</v>
      </c>
      <c r="M100" s="117" t="s">
        <v>197</v>
      </c>
      <c r="N100" s="118" t="str">
        <f t="shared" ca="1" si="158"/>
        <v>Serviço</v>
      </c>
      <c r="O100" s="119" t="str">
        <f t="shared" ca="1" si="159"/>
        <v>1.12.0.0.14.</v>
      </c>
      <c r="P100" s="120" t="s">
        <v>245</v>
      </c>
      <c r="Q100" s="121" t="s">
        <v>1033</v>
      </c>
      <c r="R100" s="122" t="str">
        <f ca="1">IF($C100="S",REFERENCIA.Descricao,"(digite a descrição aqui)")</f>
        <v>DISJUNTOR MONOPOLAR TIPO DIN, CORRENTE NOMINAL DE 25A - FORNECIMENTO E INSTALAÇÃO. AF_07/2025</v>
      </c>
      <c r="S100" s="123" t="str">
        <f ca="1">REFERENCIA.Unidade</f>
        <v>UN</v>
      </c>
      <c r="T100" s="124">
        <f ca="1">OFFSET(CÁLCULO!H$15,ROW($T100)-ROW(T$15),0)</f>
        <v>1</v>
      </c>
      <c r="U100" s="125">
        <f t="shared" ca="1" si="17"/>
        <v>14.21</v>
      </c>
      <c r="V100" s="126" t="s">
        <v>155</v>
      </c>
      <c r="W100" s="124">
        <f ca="1">IF($C100="S",ROUND(IF(TIPOORCAMENTO="Proposto",ORÇAMENTO.CustoUnitario*(1+$AH100),ORÇAMENTO.PrecoUnitarioLicitado),15-13*$AF$10),0)</f>
        <v>17.649999999999999</v>
      </c>
      <c r="X100" s="127">
        <f ca="1">IF($C100="S",IF(OR(Import.TipoArredondamento&lt;&gt;"TransfereGOV",ACOMPANHAMENTO="BM"),VTOTAL1,SUM(OFFSET(CÁLCULO!$AI$15,ROW($X100)-ROW($X$15),1):OFFSET(CÁLCULO!$BB$15,ROW($X100)-ROW($X$15),-1))),IF($C100=0,0,ROUND(SomaAgrup,15-13*$AF$11)))</f>
        <v>17.649999999999999</v>
      </c>
      <c r="Y100" s="128" t="s">
        <v>243</v>
      </c>
      <c r="Z100" t="str">
        <f t="shared" ca="1" si="160"/>
        <v>RA</v>
      </c>
      <c r="AA100" s="129">
        <f ca="1">IF($C100="S",IF($Z100="CP",$X100,IF($Z100="RA",(($X100)*QCI!$AA$3),0)),SomaAgrup)</f>
        <v>17.649999999999999</v>
      </c>
      <c r="AB100" s="130">
        <f t="shared" ca="1" si="166"/>
        <v>0</v>
      </c>
      <c r="AC100" s="619" t="str">
        <f ca="1">IF($N100=""," ",
IF(AND($C100&lt;&gt;"S",OR($R100="",$R100="(digite a descrição aqui)")),"DESCRIÇÃO",
IF(AND($C100="S",OR($Q100&lt;&gt;0,$T100&gt;0,$U100&gt;0),$P100=0),"FONTE",
IF(AND($C100="S",$P100&lt;&gt;0,OR($T100&gt;0,$U100&gt;0),$Q100=0),"CÓDIGO",
IF(AND($C100="S",$P100&lt;&gt;0,$Q100&lt;&gt;0,$R100="(Código não identificado nas referências)"),"CÓDIGO N/ID",
IF(AND($C100="S",OR($R100="",$R100="(digite a descrição aqui)"),OR($Q100&lt;&gt;0,$T100&gt;0,$U100&gt;0)),"DESCRIÇÃO",
IF(AND($C100="S",$P100&lt;&gt;0,$Q100&lt;&gt;0,$S100=""),"UNIDADE",
IF(AND($C100="S",$P100&lt;&gt;0,$Q100&lt;&gt;0,$U100=0),"SEM CUSTO",
IF(AND(TIPOORCAMENTO="Licitado",$AL100=0,$AN100&gt;0),"SEM PREÇO",
IF(AND($C100="S",$P100&lt;&gt;0,$Q100&lt;&gt;0,$U100&gt;0,$V100=0),"BDI",
IF(OR(AND(TIPOORCAMENTO="Proposto",$AG100&lt;&gt;"",$AG100&gt;0,ORÇAMENTO.CustoUnitario&gt;$AG100),AND(TIPOORCAMENTO="LICITADO",ORÇAMENTO.PrecoUnitarioLicitado&gt;$AN100)),"ACIMA REF.",
IF(AND($C100="S",$P100&lt;&gt;0,$Q100&lt;&gt;0,$T100=0,$U100&gt;0),"QUANT.",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f ca="1">IF(AND($C100="S",ORÇAMENTO.CodBarra&lt;&gt;""),IF(ORÇAMENTO.Fonte="",ORÇAMENTO.CodBarra,CONCATENATE(ORÇAMENTO.Fonte," ",ORÇAMENTO.CodBarra)))</f>
        <v>SINAPI 93656</v>
      </c>
      <c r="AF100" s="13">
        <f ca="1">IF(ISERROR(INDIRECT(ORÇAMENTO.BancoRef)),"(abra o arquivo 'Referência "&amp;Excel_BuiltIn_Database&amp;".xlsm)",IF(OR($C100&lt;&gt;"S",ORÇAMENTO.CodBarra=""),"(Sem Código)",IF(ISERROR(MATCH($AE100,INDIRECT(ORÇAMENTO.BancoRef),0)),"(Código não identificado nas referências)",MATCH($AE100,INDIRECT(ORÇAMENTO.BancoRef),0))))</f>
        <v>11082</v>
      </c>
      <c r="AG100" s="453">
        <f ca="1">ROUND(IF(DESONERACAO="sim",REFERENCIA.Desonerado,REFERENCIA.NaoDesonerado),2)</f>
        <v>14.21</v>
      </c>
      <c r="AH100" s="454">
        <f t="shared" ca="1" si="167"/>
        <v>0.24199999999999999</v>
      </c>
      <c r="AJ100" s="456"/>
      <c r="AL100" s="471"/>
      <c r="AM100" s="348">
        <f t="shared" ca="1" si="136"/>
        <v>17.649999999999999</v>
      </c>
      <c r="AN100" s="504">
        <f t="shared" ca="1" si="168"/>
        <v>17.649999999999999</v>
      </c>
    </row>
    <row r="101" spans="1:40" ht="25.5" x14ac:dyDescent="0.2">
      <c r="A101" t="str">
        <f t="shared" si="165"/>
        <v>S</v>
      </c>
      <c r="B101">
        <f t="shared" ca="1" si="150"/>
        <v>2</v>
      </c>
      <c r="C101" t="str">
        <f t="shared" ca="1" si="151"/>
        <v>S</v>
      </c>
      <c r="D101">
        <f t="shared" ca="1" si="152"/>
        <v>0</v>
      </c>
      <c r="E101">
        <f ca="1">IF($C101=1,OFFSET(E101,-1,0)+MAX(1,COUNTIF(QCI!$A$13:$A$24,OFFSET(ORÇAMENTO!E101,-1,0))),OFFSET(E101,-1,0))</f>
        <v>1</v>
      </c>
      <c r="F101">
        <f t="shared" ca="1" si="153"/>
        <v>12</v>
      </c>
      <c r="G101">
        <f t="shared" ca="1" si="154"/>
        <v>0</v>
      </c>
      <c r="H101">
        <f t="shared" ca="1" si="155"/>
        <v>0</v>
      </c>
      <c r="I101">
        <f t="shared" ca="1" si="156"/>
        <v>15</v>
      </c>
      <c r="J101">
        <f t="shared" ca="1" si="138"/>
        <v>0</v>
      </c>
      <c r="K101">
        <f ca="1">IF(OR($C101="S",$C101=0),0,MATCH(OFFSET($D101,0,$C101)+IF($C101&lt;&gt;1,1,COUNTIF(QCI!$A$13:$A$24,ORÇAMENTO!E101)),OFFSET($D101,1,$C101,ROW($C$131)-ROW($C101)),0))</f>
        <v>0</v>
      </c>
      <c r="L101" s="116" t="str">
        <f t="shared" ca="1" si="157"/>
        <v>F</v>
      </c>
      <c r="M101" s="117" t="s">
        <v>197</v>
      </c>
      <c r="N101" s="118" t="str">
        <f t="shared" ca="1" si="158"/>
        <v>Serviço</v>
      </c>
      <c r="O101" s="119" t="str">
        <f t="shared" ca="1" si="159"/>
        <v>1.12.0.0.15.</v>
      </c>
      <c r="P101" s="120" t="s">
        <v>245</v>
      </c>
      <c r="Q101" s="121" t="s">
        <v>1034</v>
      </c>
      <c r="R101" s="122" t="str">
        <f ca="1">IF($C101="S",REFERENCIA.Descricao,"(digite a descrição aqui)")</f>
        <v>DISJUNTOR MONOPOLAR TIPO DIN, CORRENTE NOMINAL DE 50A - FORNECIMENTO E INSTALAÇÃO. AF_07/2025</v>
      </c>
      <c r="S101" s="123" t="str">
        <f ca="1">REFERENCIA.Unidade</f>
        <v>UN</v>
      </c>
      <c r="T101" s="124">
        <f ca="1">OFFSET(CÁLCULO!H$15,ROW($T101)-ROW(T$15),0)</f>
        <v>1</v>
      </c>
      <c r="U101" s="125">
        <f t="shared" ca="1" si="17"/>
        <v>26.96</v>
      </c>
      <c r="V101" s="126" t="s">
        <v>155</v>
      </c>
      <c r="W101" s="124">
        <f ca="1">IF($C101="S",ROUND(IF(TIPOORCAMENTO="Proposto",ORÇAMENTO.CustoUnitario*(1+$AH101),ORÇAMENTO.PrecoUnitarioLicitado),15-13*$AF$10),0)</f>
        <v>33.479999999999997</v>
      </c>
      <c r="X101" s="127">
        <f ca="1">IF($C101="S",IF(OR(Import.TipoArredondamento&lt;&gt;"TransfereGOV",ACOMPANHAMENTO="BM"),VTOTAL1,SUM(OFFSET(CÁLCULO!$AI$15,ROW($X101)-ROW($X$15),1):OFFSET(CÁLCULO!$BB$15,ROW($X101)-ROW($X$15),-1))),IF($C101=0,0,ROUND(SomaAgrup,15-13*$AF$11)))</f>
        <v>33.479999999999997</v>
      </c>
      <c r="Y101" s="128" t="s">
        <v>243</v>
      </c>
      <c r="Z101" t="str">
        <f t="shared" ca="1" si="160"/>
        <v>RA</v>
      </c>
      <c r="AA101" s="129">
        <f ca="1">IF($C101="S",IF($Z101="CP",$X101,IF($Z101="RA",(($X101)*QCI!$AA$3),0)),SomaAgrup)</f>
        <v>33.479999999999997</v>
      </c>
      <c r="AB101" s="130">
        <f t="shared" ca="1" si="166"/>
        <v>0</v>
      </c>
      <c r="AC101" s="619" t="str">
        <f ca="1">IF($N101=""," ",
IF(AND($C101&lt;&gt;"S",OR($R101="",$R101="(digite a descrição aqui)")),"DESCRIÇÃO",
IF(AND($C101="S",OR($Q101&lt;&gt;0,$T101&gt;0,$U101&gt;0),$P101=0),"FONTE",
IF(AND($C101="S",$P101&lt;&gt;0,OR($T101&gt;0,$U101&gt;0),$Q101=0),"CÓDIGO",
IF(AND($C101="S",$P101&lt;&gt;0,$Q101&lt;&gt;0,$R101="(Código não identificado nas referências)"),"CÓDIGO N/ID",
IF(AND($C101="S",OR($R101="",$R101="(digite a descrição aqui)"),OR($Q101&lt;&gt;0,$T101&gt;0,$U101&gt;0)),"DESCRIÇÃO",
IF(AND($C101="S",$P101&lt;&gt;0,$Q101&lt;&gt;0,$S101=""),"UNIDADE",
IF(AND($C101="S",$P101&lt;&gt;0,$Q101&lt;&gt;0,$U101=0),"SEM CUSTO",
IF(AND(TIPOORCAMENTO="Licitado",$AL101=0,$AN101&gt;0),"SEM PREÇO",
IF(AND($C101="S",$P101&lt;&gt;0,$Q101&lt;&gt;0,$U101&gt;0,$V101=0),"BDI",
IF(OR(AND(TIPOORCAMENTO="Proposto",$AG101&lt;&gt;"",$AG101&gt;0,ORÇAMENTO.CustoUnitario&gt;$AG101),AND(TIPOORCAMENTO="LICITADO",ORÇAMENTO.PrecoUnitarioLicitado&gt;$AN101)),"ACIMA REF.",
IF(AND($C101="S",$P101&lt;&gt;0,$Q101&lt;&gt;0,$T101=0,$U101&gt;0),"QUANT.",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f ca="1">IF(AND($C101="S",ORÇAMENTO.CodBarra&lt;&gt;""),IF(ORÇAMENTO.Fonte="",ORÇAMENTO.CodBarra,CONCATENATE(ORÇAMENTO.Fonte," ",ORÇAMENTO.CodBarra)))</f>
        <v>SINAPI 93659</v>
      </c>
      <c r="AF101" s="13">
        <f ca="1">IF(ISERROR(INDIRECT(ORÇAMENTO.BancoRef)),"(abra o arquivo 'Referência "&amp;Excel_BuiltIn_Database&amp;".xlsm)",IF(OR($C101&lt;&gt;"S",ORÇAMENTO.CodBarra=""),"(Sem Código)",IF(ISERROR(MATCH($AE101,INDIRECT(ORÇAMENTO.BancoRef),0)),"(Código não identificado nas referências)",MATCH($AE101,INDIRECT(ORÇAMENTO.BancoRef),0))))</f>
        <v>11085</v>
      </c>
      <c r="AG101" s="453">
        <f ca="1">ROUND(IF(DESONERACAO="sim",REFERENCIA.Desonerado,REFERENCIA.NaoDesonerado),2)</f>
        <v>26.96</v>
      </c>
      <c r="AH101" s="454">
        <f t="shared" ca="1" si="167"/>
        <v>0.24199999999999999</v>
      </c>
      <c r="AJ101" s="456"/>
      <c r="AL101" s="471"/>
      <c r="AM101" s="348">
        <f t="shared" ca="1" si="136"/>
        <v>33.479999999999997</v>
      </c>
      <c r="AN101" s="504">
        <f t="shared" ca="1" si="168"/>
        <v>33.479999999999997</v>
      </c>
    </row>
    <row r="102" spans="1:40" ht="25.5" x14ac:dyDescent="0.2">
      <c r="A102" t="str">
        <f t="shared" si="165"/>
        <v>S</v>
      </c>
      <c r="B102">
        <f t="shared" ca="1" si="150"/>
        <v>2</v>
      </c>
      <c r="C102" t="str">
        <f t="shared" ca="1" si="151"/>
        <v>S</v>
      </c>
      <c r="D102">
        <f t="shared" ca="1" si="152"/>
        <v>0</v>
      </c>
      <c r="E102">
        <f ca="1">IF($C102=1,OFFSET(E102,-1,0)+MAX(1,COUNTIF(QCI!$A$13:$A$24,OFFSET(ORÇAMENTO!E102,-1,0))),OFFSET(E102,-1,0))</f>
        <v>1</v>
      </c>
      <c r="F102">
        <f t="shared" ca="1" si="153"/>
        <v>12</v>
      </c>
      <c r="G102">
        <f t="shared" ca="1" si="154"/>
        <v>0</v>
      </c>
      <c r="H102">
        <f t="shared" ca="1" si="155"/>
        <v>0</v>
      </c>
      <c r="I102">
        <f t="shared" ca="1" si="156"/>
        <v>16</v>
      </c>
      <c r="J102">
        <f t="shared" ca="1" si="138"/>
        <v>0</v>
      </c>
      <c r="K102">
        <f ca="1">IF(OR($C102="S",$C102=0),0,MATCH(OFFSET($D102,0,$C102)+IF($C102&lt;&gt;1,1,COUNTIF(QCI!$A$13:$A$24,ORÇAMENTO!E102)),OFFSET($D102,1,$C102,ROW($C$131)-ROW($C102)),0))</f>
        <v>0</v>
      </c>
      <c r="L102" s="116" t="str">
        <f t="shared" ca="1" si="157"/>
        <v>F</v>
      </c>
      <c r="M102" s="117" t="s">
        <v>197</v>
      </c>
      <c r="N102" s="118" t="str">
        <f t="shared" ca="1" si="158"/>
        <v>Serviço</v>
      </c>
      <c r="O102" s="119" t="str">
        <f t="shared" ca="1" si="159"/>
        <v>1.12.0.0.16.</v>
      </c>
      <c r="P102" s="120" t="s">
        <v>950</v>
      </c>
      <c r="Q102" s="121" t="s">
        <v>1022</v>
      </c>
      <c r="R102" s="122" t="str">
        <f ca="1">IF($C102="S",REFERENCIA.Descricao,"(digite a descrição aqui)")</f>
        <v>DISPOSITIVO DR, 2 POLOS, SENSIBILIDADE DE 30 MA, CORRENTE DE 25 A, TIPO AC</v>
      </c>
      <c r="S102" s="123" t="str">
        <f ca="1">REFERENCIA.Unidade</f>
        <v>UN</v>
      </c>
      <c r="T102" s="124">
        <f ca="1">OFFSET(CÁLCULO!H$15,ROW($T102)-ROW(T$15),0)</f>
        <v>4</v>
      </c>
      <c r="U102" s="125">
        <f t="shared" ca="1" si="17"/>
        <v>130.54</v>
      </c>
      <c r="V102" s="126" t="s">
        <v>155</v>
      </c>
      <c r="W102" s="124">
        <f ca="1">IF($C102="S",ROUND(IF(TIPOORCAMENTO="Proposto",ORÇAMENTO.CustoUnitario*(1+$AH102),ORÇAMENTO.PrecoUnitarioLicitado),15-13*$AF$10),0)</f>
        <v>162.13</v>
      </c>
      <c r="X102" s="127">
        <f ca="1">IF($C102="S",IF(OR(Import.TipoArredondamento&lt;&gt;"TransfereGOV",ACOMPANHAMENTO="BM"),VTOTAL1,SUM(OFFSET(CÁLCULO!$AI$15,ROW($X102)-ROW($X$15),1):OFFSET(CÁLCULO!$BB$15,ROW($X102)-ROW($X$15),-1))),IF($C102=0,0,ROUND(SomaAgrup,15-13*$AF$11)))</f>
        <v>648.52</v>
      </c>
      <c r="Y102" s="128" t="s">
        <v>243</v>
      </c>
      <c r="Z102" t="str">
        <f t="shared" ca="1" si="160"/>
        <v>RA</v>
      </c>
      <c r="AA102" s="129">
        <f ca="1">IF($C102="S",IF($Z102="CP",$X102,IF($Z102="RA",(($X102)*QCI!$AA$3),0)),SomaAgrup)</f>
        <v>648.52</v>
      </c>
      <c r="AB102" s="130">
        <f t="shared" ca="1" si="166"/>
        <v>0</v>
      </c>
      <c r="AC102" s="619" t="str">
        <f ca="1">IF($N102=""," ",
IF(AND($C102&lt;&gt;"S",OR($R102="",$R102="(digite a descrição aqui)")),"DESCRIÇÃO",
IF(AND($C102="S",OR($Q102&lt;&gt;0,$T102&gt;0,$U102&gt;0),$P102=0),"FONTE",
IF(AND($C102="S",$P102&lt;&gt;0,OR($T102&gt;0,$U102&gt;0),$Q102=0),"CÓDIGO",
IF(AND($C102="S",$P102&lt;&gt;0,$Q102&lt;&gt;0,$R102="(Código não identificado nas referências)"),"CÓDIGO N/ID",
IF(AND($C102="S",OR($R102="",$R102="(digite a descrição aqui)"),OR($Q102&lt;&gt;0,$T102&gt;0,$U102&gt;0)),"DESCRIÇÃO",
IF(AND($C102="S",$P102&lt;&gt;0,$Q102&lt;&gt;0,$S102=""),"UNIDADE",
IF(AND($C102="S",$P102&lt;&gt;0,$Q102&lt;&gt;0,$U102=0),"SEM CUSTO",
IF(AND(TIPOORCAMENTO="Licitado",$AL102=0,$AN102&gt;0),"SEM PREÇO",
IF(AND($C102="S",$P102&lt;&gt;0,$Q102&lt;&gt;0,$U102&gt;0,$V102=0),"BDI",
IF(OR(AND(TIPOORCAMENTO="Proposto",$AG102&lt;&gt;"",$AG102&gt;0,ORÇAMENTO.CustoUnitario&gt;$AG102),AND(TIPOORCAMENTO="LICITADO",ORÇAMENTO.PrecoUnitarioLicitado&gt;$AN102)),"ACIMA REF.",
IF(AND($C102="S",$P102&lt;&gt;0,$Q102&lt;&gt;0,$T102=0,$U102&gt;0),"QUANT.",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f ca="1">IF(AND($C102="S",ORÇAMENTO.CodBarra&lt;&gt;""),IF(ORÇAMENTO.Fonte="",ORÇAMENTO.CodBarra,CONCATENATE(ORÇAMENTO.Fonte," ",ORÇAMENTO.CodBarra)))</f>
        <v>SINAPI-I 39445</v>
      </c>
      <c r="AF102" s="13">
        <f ca="1">IF(ISERROR(INDIRECT(ORÇAMENTO.BancoRef)),"(abra o arquivo 'Referência "&amp;Excel_BuiltIn_Database&amp;".xlsm)",IF(OR($C102&lt;&gt;"S",ORÇAMENTO.CodBarra=""),"(Sem Código)",IF(ISERROR(MATCH($AE102,INDIRECT(ORÇAMENTO.BancoRef),0)),"(Código não identificado nas referências)",MATCH($AE102,INDIRECT(ORÇAMENTO.BancoRef),0))))</f>
        <v>1915</v>
      </c>
      <c r="AG102" s="453">
        <f ca="1">ROUND(IF(DESONERACAO="sim",REFERENCIA.Desonerado,REFERENCIA.NaoDesonerado),2)</f>
        <v>130.54</v>
      </c>
      <c r="AH102" s="454">
        <f t="shared" ca="1" si="167"/>
        <v>0.24199999999999999</v>
      </c>
      <c r="AJ102" s="456"/>
      <c r="AL102" s="471"/>
      <c r="AM102" s="348">
        <f t="shared" ca="1" si="136"/>
        <v>648.52</v>
      </c>
      <c r="AN102" s="504">
        <f t="shared" ca="1" si="168"/>
        <v>162.13</v>
      </c>
    </row>
    <row r="103" spans="1:40" ht="25.5" x14ac:dyDescent="0.2">
      <c r="A103" t="str">
        <f t="shared" si="165"/>
        <v>S</v>
      </c>
      <c r="B103">
        <f t="shared" ca="1" si="150"/>
        <v>2</v>
      </c>
      <c r="C103" t="str">
        <f t="shared" ca="1" si="151"/>
        <v>S</v>
      </c>
      <c r="D103">
        <f t="shared" ca="1" si="152"/>
        <v>0</v>
      </c>
      <c r="E103">
        <f ca="1">IF($C103=1,OFFSET(E103,-1,0)+MAX(1,COUNTIF(QCI!$A$13:$A$24,OFFSET(ORÇAMENTO!E103,-1,0))),OFFSET(E103,-1,0))</f>
        <v>1</v>
      </c>
      <c r="F103">
        <f t="shared" ca="1" si="153"/>
        <v>12</v>
      </c>
      <c r="G103">
        <f t="shared" ca="1" si="154"/>
        <v>0</v>
      </c>
      <c r="H103">
        <f t="shared" ca="1" si="155"/>
        <v>0</v>
      </c>
      <c r="I103">
        <f t="shared" ca="1" si="156"/>
        <v>17</v>
      </c>
      <c r="J103">
        <f t="shared" ca="1" si="138"/>
        <v>0</v>
      </c>
      <c r="K103">
        <f ca="1">IF(OR($C103="S",$C103=0),0,MATCH(OFFSET($D103,0,$C103)+IF($C103&lt;&gt;1,1,COUNTIF(QCI!$A$13:$A$24,ORÇAMENTO!E103)),OFFSET($D103,1,$C103,ROW($C$131)-ROW($C103)),0))</f>
        <v>0</v>
      </c>
      <c r="L103" s="116" t="str">
        <f t="shared" ca="1" si="157"/>
        <v>F</v>
      </c>
      <c r="M103" s="117" t="s">
        <v>197</v>
      </c>
      <c r="N103" s="118" t="str">
        <f t="shared" ca="1" si="158"/>
        <v>Serviço</v>
      </c>
      <c r="O103" s="119" t="str">
        <f t="shared" ca="1" si="159"/>
        <v>1.12.0.0.17.</v>
      </c>
      <c r="P103" s="120" t="s">
        <v>245</v>
      </c>
      <c r="Q103" s="121" t="s">
        <v>1023</v>
      </c>
      <c r="R103" s="122" t="str">
        <f ca="1">IF($C103="S",REFERENCIA.Descricao,"(digite a descrição aqui)")</f>
        <v>DISPOSITIVO DPS 20KA-175V OU 275V - FORNECIMENTO E INSTALAÇÃO. AF_07/2025</v>
      </c>
      <c r="S103" s="123" t="str">
        <f ca="1">REFERENCIA.Unidade</f>
        <v>UN</v>
      </c>
      <c r="T103" s="124">
        <f ca="1">OFFSET(CÁLCULO!H$15,ROW($T103)-ROW(T$15),0)</f>
        <v>1</v>
      </c>
      <c r="U103" s="125">
        <f t="shared" ca="1" si="17"/>
        <v>74.290000000000006</v>
      </c>
      <c r="V103" s="126" t="s">
        <v>155</v>
      </c>
      <c r="W103" s="124">
        <f ca="1">IF($C103="S",ROUND(IF(TIPOORCAMENTO="Proposto",ORÇAMENTO.CustoUnitario*(1+$AH103),ORÇAMENTO.PrecoUnitarioLicitado),15-13*$AF$10),0)</f>
        <v>92.27</v>
      </c>
      <c r="X103" s="127">
        <f ca="1">IF($C103="S",IF(OR(Import.TipoArredondamento&lt;&gt;"TransfereGOV",ACOMPANHAMENTO="BM"),VTOTAL1,SUM(OFFSET(CÁLCULO!$AI$15,ROW($X103)-ROW($X$15),1):OFFSET(CÁLCULO!$BB$15,ROW($X103)-ROW($X$15),-1))),IF($C103=0,0,ROUND(SomaAgrup,15-13*$AF$11)))</f>
        <v>92.27</v>
      </c>
      <c r="Y103" s="128" t="s">
        <v>243</v>
      </c>
      <c r="Z103" t="str">
        <f t="shared" ca="1" si="160"/>
        <v>RA</v>
      </c>
      <c r="AA103" s="129">
        <f ca="1">IF($C103="S",IF($Z103="CP",$X103,IF($Z103="RA",(($X103)*QCI!$AA$3),0)),SomaAgrup)</f>
        <v>92.27</v>
      </c>
      <c r="AB103" s="130">
        <f t="shared" ca="1" si="166"/>
        <v>0</v>
      </c>
      <c r="AC103" s="619" t="str">
        <f ca="1">IF($N103=""," ",
IF(AND($C103&lt;&gt;"S",OR($R103="",$R103="(digite a descrição aqui)")),"DESCRIÇÃO",
IF(AND($C103="S",OR($Q103&lt;&gt;0,$T103&gt;0,$U103&gt;0),$P103=0),"FONTE",
IF(AND($C103="S",$P103&lt;&gt;0,OR($T103&gt;0,$U103&gt;0),$Q103=0),"CÓDIGO",
IF(AND($C103="S",$P103&lt;&gt;0,$Q103&lt;&gt;0,$R103="(Código não identificado nas referências)"),"CÓDIGO N/ID",
IF(AND($C103="S",OR($R103="",$R103="(digite a descrição aqui)"),OR($Q103&lt;&gt;0,$T103&gt;0,$U103&gt;0)),"DESCRIÇÃO",
IF(AND($C103="S",$P103&lt;&gt;0,$Q103&lt;&gt;0,$S103=""),"UNIDADE",
IF(AND($C103="S",$P103&lt;&gt;0,$Q103&lt;&gt;0,$U103=0),"SEM CUSTO",
IF(AND(TIPOORCAMENTO="Licitado",$AL103=0,$AN103&gt;0),"SEM PREÇO",
IF(AND($C103="S",$P103&lt;&gt;0,$Q103&lt;&gt;0,$U103&gt;0,$V103=0),"BDI",
IF(OR(AND(TIPOORCAMENTO="Proposto",$AG103&lt;&gt;"",$AG103&gt;0,ORÇAMENTO.CustoUnitario&gt;$AG103),AND(TIPOORCAMENTO="LICITADO",ORÇAMENTO.PrecoUnitarioLicitado&gt;$AN103)),"ACIMA REF.",
IF(AND($C103="S",$P103&lt;&gt;0,$Q103&lt;&gt;0,$T103=0,$U103&gt;0),"QUANT.",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f ca="1">IF(AND($C103="S",ORÇAMENTO.CodBarra&lt;&gt;""),IF(ORÇAMENTO.Fonte="",ORÇAMENTO.CodBarra,CONCATENATE(ORÇAMENTO.Fonte," ",ORÇAMENTO.CodBarra)))</f>
        <v>SINAPI 106027</v>
      </c>
      <c r="AF103" s="13">
        <f ca="1">IF(ISERROR(INDIRECT(ORÇAMENTO.BancoRef)),"(abra o arquivo 'Referência "&amp;Excel_BuiltIn_Database&amp;".xlsm)",IF(OR($C103&lt;&gt;"S",ORÇAMENTO.CodBarra=""),"(Sem Código)",IF(ISERROR(MATCH($AE103,INDIRECT(ORÇAMENTO.BancoRef),0)),"(Código não identificado nas referências)",MATCH($AE103,INDIRECT(ORÇAMENTO.BancoRef),0))))</f>
        <v>11106</v>
      </c>
      <c r="AG103" s="453">
        <f ca="1">ROUND(IF(DESONERACAO="sim",REFERENCIA.Desonerado,REFERENCIA.NaoDesonerado),2)</f>
        <v>74.290000000000006</v>
      </c>
      <c r="AH103" s="454">
        <f t="shared" ca="1" si="167"/>
        <v>0.24199999999999999</v>
      </c>
      <c r="AJ103" s="456"/>
      <c r="AL103" s="471"/>
      <c r="AM103" s="348">
        <f t="shared" ca="1" si="136"/>
        <v>92.27</v>
      </c>
      <c r="AN103" s="504">
        <f t="shared" ca="1" si="168"/>
        <v>92.27</v>
      </c>
    </row>
    <row r="104" spans="1:40" ht="38.25" x14ac:dyDescent="0.2">
      <c r="A104" t="str">
        <f t="shared" si="165"/>
        <v>S</v>
      </c>
      <c r="B104">
        <f t="shared" ca="1" si="150"/>
        <v>2</v>
      </c>
      <c r="C104" t="str">
        <f t="shared" ca="1" si="151"/>
        <v>S</v>
      </c>
      <c r="D104">
        <f t="shared" ca="1" si="152"/>
        <v>0</v>
      </c>
      <c r="E104">
        <f ca="1">IF($C104=1,OFFSET(E104,-1,0)+MAX(1,COUNTIF(QCI!$A$13:$A$24,OFFSET(ORÇAMENTO!E104,-1,0))),OFFSET(E104,-1,0))</f>
        <v>1</v>
      </c>
      <c r="F104">
        <f t="shared" ca="1" si="153"/>
        <v>12</v>
      </c>
      <c r="G104">
        <f t="shared" ca="1" si="154"/>
        <v>0</v>
      </c>
      <c r="H104">
        <f t="shared" ca="1" si="155"/>
        <v>0</v>
      </c>
      <c r="I104">
        <f t="shared" ca="1" si="156"/>
        <v>18</v>
      </c>
      <c r="J104">
        <f t="shared" ca="1" si="138"/>
        <v>0</v>
      </c>
      <c r="K104">
        <f ca="1">IF(OR($C104="S",$C104=0),0,MATCH(OFFSET($D104,0,$C104)+IF($C104&lt;&gt;1,1,COUNTIF(QCI!$A$13:$A$24,ORÇAMENTO!E104)),OFFSET($D104,1,$C104,ROW($C$131)-ROW($C104)),0))</f>
        <v>0</v>
      </c>
      <c r="L104" s="116" t="str">
        <f t="shared" ca="1" si="157"/>
        <v>F</v>
      </c>
      <c r="M104" s="117" t="s">
        <v>197</v>
      </c>
      <c r="N104" s="118" t="str">
        <f t="shared" ca="1" si="158"/>
        <v>Serviço</v>
      </c>
      <c r="O104" s="119" t="str">
        <f t="shared" ca="1" si="159"/>
        <v>1.12.0.0.18.</v>
      </c>
      <c r="P104" s="120" t="s">
        <v>245</v>
      </c>
      <c r="Q104" s="121" t="s">
        <v>1024</v>
      </c>
      <c r="R104" s="122" t="str">
        <f ca="1">IF($C104="S",REFERENCIA.Descricao,"(digite a descrição aqui)")</f>
        <v>ELETRODUTO FLEXÍVEL CORRUGADO REFORÇADO, PVC, DN 32 MM (1"), PARA CIRCUITOS TERMINAIS, INSTALADO EM LAJE - FORNECIMENTO E INSTALAÇÃO. AF_03/2023</v>
      </c>
      <c r="S104" s="123" t="str">
        <f ca="1">REFERENCIA.Unidade</f>
        <v>M</v>
      </c>
      <c r="T104" s="124">
        <f ca="1">OFFSET(CÁLCULO!H$15,ROW($T104)-ROW(T$15),0)</f>
        <v>8.3000000000000007</v>
      </c>
      <c r="U104" s="125">
        <f t="shared" ca="1" si="17"/>
        <v>14.23</v>
      </c>
      <c r="V104" s="126" t="s">
        <v>155</v>
      </c>
      <c r="W104" s="124">
        <f ca="1">IF($C104="S",ROUND(IF(TIPOORCAMENTO="Proposto",ORÇAMENTO.CustoUnitario*(1+$AH104),ORÇAMENTO.PrecoUnitarioLicitado),15-13*$AF$10),0)</f>
        <v>17.670000000000002</v>
      </c>
      <c r="X104" s="127">
        <f ca="1">IF($C104="S",IF(OR(Import.TipoArredondamento&lt;&gt;"TransfereGOV",ACOMPANHAMENTO="BM"),VTOTAL1,SUM(OFFSET(CÁLCULO!$AI$15,ROW($X104)-ROW($X$15),1):OFFSET(CÁLCULO!$BB$15,ROW($X104)-ROW($X$15),-1))),IF($C104=0,0,ROUND(SomaAgrup,15-13*$AF$11)))</f>
        <v>146.66</v>
      </c>
      <c r="Y104" s="128" t="s">
        <v>243</v>
      </c>
      <c r="Z104" t="str">
        <f t="shared" ca="1" si="160"/>
        <v>RA</v>
      </c>
      <c r="AA104" s="129">
        <f ca="1">IF($C104="S",IF($Z104="CP",$X104,IF($Z104="RA",(($X104)*QCI!$AA$3),0)),SomaAgrup)</f>
        <v>146.66</v>
      </c>
      <c r="AB104" s="130">
        <f t="shared" ca="1" si="166"/>
        <v>0</v>
      </c>
      <c r="AC104" s="619" t="str">
        <f ca="1">IF($N104=""," ",
IF(AND($C104&lt;&gt;"S",OR($R104="",$R104="(digite a descrição aqui)")),"DESCRIÇÃO",
IF(AND($C104="S",OR($Q104&lt;&gt;0,$T104&gt;0,$U104&gt;0),$P104=0),"FONTE",
IF(AND($C104="S",$P104&lt;&gt;0,OR($T104&gt;0,$U104&gt;0),$Q104=0),"CÓDIGO",
IF(AND($C104="S",$P104&lt;&gt;0,$Q104&lt;&gt;0,$R104="(Código não identificado nas referências)"),"CÓDIGO N/ID",
IF(AND($C104="S",OR($R104="",$R104="(digite a descrição aqui)"),OR($Q104&lt;&gt;0,$T104&gt;0,$U104&gt;0)),"DESCRIÇÃO",
IF(AND($C104="S",$P104&lt;&gt;0,$Q104&lt;&gt;0,$S104=""),"UNIDADE",
IF(AND($C104="S",$P104&lt;&gt;0,$Q104&lt;&gt;0,$U104=0),"SEM CUSTO",
IF(AND(TIPOORCAMENTO="Licitado",$AL104=0,$AN104&gt;0),"SEM PREÇO",
IF(AND($C104="S",$P104&lt;&gt;0,$Q104&lt;&gt;0,$U104&gt;0,$V104=0),"BDI",
IF(OR(AND(TIPOORCAMENTO="Proposto",$AG104&lt;&gt;"",$AG104&gt;0,ORÇAMENTO.CustoUnitario&gt;$AG104),AND(TIPOORCAMENTO="LICITADO",ORÇAMENTO.PrecoUnitarioLicitado&gt;$AN104)),"ACIMA REF.",
IF(AND($C104="S",$P104&lt;&gt;0,$Q104&lt;&gt;0,$T104=0,$U104&gt;0),"QUANT.",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str">
        <f ca="1">IF(AND($C104="S",ORÇAMENTO.CodBarra&lt;&gt;""),IF(ORÇAMENTO.Fonte="",ORÇAMENTO.CodBarra,CONCATENATE(ORÇAMENTO.Fonte," ",ORÇAMENTO.CodBarra)))</f>
        <v>SINAPI 91847</v>
      </c>
      <c r="AF104" s="13">
        <f ca="1">IF(ISERROR(INDIRECT(ORÇAMENTO.BancoRef)),"(abra o arquivo 'Referência "&amp;Excel_BuiltIn_Database&amp;".xlsm)",IF(OR($C104&lt;&gt;"S",ORÇAMENTO.CodBarra=""),"(Sem Código)",IF(ISERROR(MATCH($AE104,INDIRECT(ORÇAMENTO.BancoRef),0)),"(Código não identificado nas referências)",MATCH($AE104,INDIRECT(ORÇAMENTO.BancoRef),0))))</f>
        <v>10831</v>
      </c>
      <c r="AG104" s="453">
        <f ca="1">ROUND(IF(DESONERACAO="sim",REFERENCIA.Desonerado,REFERENCIA.NaoDesonerado),2)</f>
        <v>14.23</v>
      </c>
      <c r="AH104" s="454">
        <f t="shared" ca="1" si="167"/>
        <v>0.24199999999999999</v>
      </c>
      <c r="AJ104" s="456"/>
      <c r="AL104" s="471"/>
      <c r="AM104" s="348">
        <f t="shared" ca="1" si="136"/>
        <v>146.66</v>
      </c>
      <c r="AN104" s="504">
        <f t="shared" ca="1" si="168"/>
        <v>17.670000000000002</v>
      </c>
    </row>
    <row r="105" spans="1:40" ht="38.25" x14ac:dyDescent="0.2">
      <c r="A105" t="str">
        <f t="shared" si="165"/>
        <v>S</v>
      </c>
      <c r="B105">
        <f t="shared" ca="1" si="150"/>
        <v>2</v>
      </c>
      <c r="C105" t="str">
        <f t="shared" ca="1" si="151"/>
        <v>S</v>
      </c>
      <c r="D105">
        <f t="shared" ca="1" si="152"/>
        <v>0</v>
      </c>
      <c r="E105">
        <f ca="1">IF($C105=1,OFFSET(E105,-1,0)+MAX(1,COUNTIF(QCI!$A$13:$A$24,OFFSET(ORÇAMENTO!E105,-1,0))),OFFSET(E105,-1,0))</f>
        <v>1</v>
      </c>
      <c r="F105">
        <f t="shared" ca="1" si="153"/>
        <v>12</v>
      </c>
      <c r="G105">
        <f t="shared" ca="1" si="154"/>
        <v>0</v>
      </c>
      <c r="H105">
        <f t="shared" ca="1" si="155"/>
        <v>0</v>
      </c>
      <c r="I105">
        <f t="shared" ca="1" si="156"/>
        <v>19</v>
      </c>
      <c r="J105">
        <f t="shared" ca="1" si="138"/>
        <v>0</v>
      </c>
      <c r="K105">
        <f ca="1">IF(OR($C105="S",$C105=0),0,MATCH(OFFSET($D105,0,$C105)+IF($C105&lt;&gt;1,1,COUNTIF(QCI!$A$13:$A$24,ORÇAMENTO!E105)),OFFSET($D105,1,$C105,ROW($C$131)-ROW($C105)),0))</f>
        <v>0</v>
      </c>
      <c r="L105" s="116" t="str">
        <f t="shared" ca="1" si="157"/>
        <v>F</v>
      </c>
      <c r="M105" s="117" t="s">
        <v>197</v>
      </c>
      <c r="N105" s="118" t="str">
        <f t="shared" ca="1" si="158"/>
        <v>Serviço</v>
      </c>
      <c r="O105" s="119" t="str">
        <f t="shared" ca="1" si="159"/>
        <v>1.12.0.0.19.</v>
      </c>
      <c r="P105" s="120" t="s">
        <v>245</v>
      </c>
      <c r="Q105" s="121" t="s">
        <v>1025</v>
      </c>
      <c r="R105" s="122" t="str">
        <f ca="1">IF($C105="S",REFERENCIA.Descricao,"(digite a descrição aqui)")</f>
        <v>ELETRODUTO RÍGIDO ROSCÁVEL, PVC, DN 25 MM (3/4"), PARA CIRCUITOS TERMINAIS, INSTALADO EM PAREDE - FORNECIMENTO E INSTALAÇÃO. AF_03/2023</v>
      </c>
      <c r="S105" s="123" t="str">
        <f ca="1">REFERENCIA.Unidade</f>
        <v>M</v>
      </c>
      <c r="T105" s="124">
        <f ca="1">OFFSET(CÁLCULO!H$15,ROW($T105)-ROW(T$15),0)</f>
        <v>58.84</v>
      </c>
      <c r="U105" s="125">
        <f t="shared" ca="1" si="17"/>
        <v>17.41</v>
      </c>
      <c r="V105" s="126" t="s">
        <v>155</v>
      </c>
      <c r="W105" s="124">
        <f ca="1">IF($C105="S",ROUND(IF(TIPOORCAMENTO="Proposto",ORÇAMENTO.CustoUnitario*(1+$AH105),ORÇAMENTO.PrecoUnitarioLicitado),15-13*$AF$10),0)</f>
        <v>21.62</v>
      </c>
      <c r="X105" s="127">
        <f ca="1">IF($C105="S",IF(OR(Import.TipoArredondamento&lt;&gt;"TransfereGOV",ACOMPANHAMENTO="BM"),VTOTAL1,SUM(OFFSET(CÁLCULO!$AI$15,ROW($X105)-ROW($X$15),1):OFFSET(CÁLCULO!$BB$15,ROW($X105)-ROW($X$15),-1))),IF($C105=0,0,ROUND(SomaAgrup,15-13*$AF$11)))</f>
        <v>1272.1199999999999</v>
      </c>
      <c r="Y105" s="128" t="s">
        <v>243</v>
      </c>
      <c r="Z105" t="str">
        <f t="shared" ca="1" si="160"/>
        <v>RA</v>
      </c>
      <c r="AA105" s="129">
        <f ca="1">IF($C105="S",IF($Z105="CP",$X105,IF($Z105="RA",(($X105)*QCI!$AA$3),0)),SomaAgrup)</f>
        <v>1272.1199999999999</v>
      </c>
      <c r="AB105" s="130">
        <f t="shared" ca="1" si="166"/>
        <v>0</v>
      </c>
      <c r="AC105" s="619" t="str">
        <f ca="1">IF($N105=""," ",
IF(AND($C105&lt;&gt;"S",OR($R105="",$R105="(digite a descrição aqui)")),"DESCRIÇÃO",
IF(AND($C105="S",OR($Q105&lt;&gt;0,$T105&gt;0,$U105&gt;0),$P105=0),"FONTE",
IF(AND($C105="S",$P105&lt;&gt;0,OR($T105&gt;0,$U105&gt;0),$Q105=0),"CÓDIGO",
IF(AND($C105="S",$P105&lt;&gt;0,$Q105&lt;&gt;0,$R105="(Código não identificado nas referências)"),"CÓDIGO N/ID",
IF(AND($C105="S",OR($R105="",$R105="(digite a descrição aqui)"),OR($Q105&lt;&gt;0,$T105&gt;0,$U105&gt;0)),"DESCRIÇÃO",
IF(AND($C105="S",$P105&lt;&gt;0,$Q105&lt;&gt;0,$S105=""),"UNIDADE",
IF(AND($C105="S",$P105&lt;&gt;0,$Q105&lt;&gt;0,$U105=0),"SEM CUSTO",
IF(AND(TIPOORCAMENTO="Licitado",$AL105=0,$AN105&gt;0),"SEM PREÇO",
IF(AND($C105="S",$P105&lt;&gt;0,$Q105&lt;&gt;0,$U105&gt;0,$V105=0),"BDI",
IF(OR(AND(TIPOORCAMENTO="Proposto",$AG105&lt;&gt;"",$AG105&gt;0,ORÇAMENTO.CustoUnitario&gt;$AG105),AND(TIPOORCAMENTO="LICITADO",ORÇAMENTO.PrecoUnitarioLicitado&gt;$AN105)),"ACIMA REF.",
IF(AND($C105="S",$P105&lt;&gt;0,$Q105&lt;&gt;0,$T105=0,$U105&gt;0),"QUANT.",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str">
        <f ca="1">IF(AND($C105="S",ORÇAMENTO.CodBarra&lt;&gt;""),IF(ORÇAMENTO.Fonte="",ORÇAMENTO.CodBarra,CONCATENATE(ORÇAMENTO.Fonte," ",ORÇAMENTO.CodBarra)))</f>
        <v>SINAPI 91871</v>
      </c>
      <c r="AF105" s="13">
        <f ca="1">IF(ISERROR(INDIRECT(ORÇAMENTO.BancoRef)),"(abra o arquivo 'Referência "&amp;Excel_BuiltIn_Database&amp;".xlsm)",IF(OR($C105&lt;&gt;"S",ORÇAMENTO.CodBarra=""),"(Sem Código)",IF(ISERROR(MATCH($AE105,INDIRECT(ORÇAMENTO.BancoRef),0)),"(Código não identificado nas referências)",MATCH($AE105,INDIRECT(ORÇAMENTO.BancoRef),0))))</f>
        <v>10856</v>
      </c>
      <c r="AG105" s="453">
        <f ca="1">ROUND(IF(DESONERACAO="sim",REFERENCIA.Desonerado,REFERENCIA.NaoDesonerado),2)</f>
        <v>17.41</v>
      </c>
      <c r="AH105" s="454">
        <f t="shared" ca="1" si="167"/>
        <v>0.24199999999999999</v>
      </c>
      <c r="AJ105" s="456"/>
      <c r="AL105" s="471"/>
      <c r="AM105" s="348">
        <f t="shared" ca="1" si="136"/>
        <v>1272.1199999999999</v>
      </c>
      <c r="AN105" s="504">
        <f t="shared" ca="1" si="168"/>
        <v>21.62</v>
      </c>
    </row>
    <row r="106" spans="1:40" ht="38.25" x14ac:dyDescent="0.2">
      <c r="A106" t="str">
        <f t="shared" si="165"/>
        <v>S</v>
      </c>
      <c r="B106">
        <f t="shared" ca="1" si="150"/>
        <v>2</v>
      </c>
      <c r="C106" t="str">
        <f t="shared" ca="1" si="151"/>
        <v>S</v>
      </c>
      <c r="D106">
        <f t="shared" ca="1" si="152"/>
        <v>0</v>
      </c>
      <c r="E106">
        <f ca="1">IF($C106=1,OFFSET(E106,-1,0)+MAX(1,COUNTIF(QCI!$A$13:$A$24,OFFSET(ORÇAMENTO!E106,-1,0))),OFFSET(E106,-1,0))</f>
        <v>1</v>
      </c>
      <c r="F106">
        <f t="shared" ca="1" si="153"/>
        <v>12</v>
      </c>
      <c r="G106">
        <f t="shared" ca="1" si="154"/>
        <v>0</v>
      </c>
      <c r="H106">
        <f t="shared" ca="1" si="155"/>
        <v>0</v>
      </c>
      <c r="I106">
        <f t="shared" ca="1" si="156"/>
        <v>20</v>
      </c>
      <c r="J106">
        <f t="shared" ca="1" si="138"/>
        <v>0</v>
      </c>
      <c r="K106">
        <f ca="1">IF(OR($C106="S",$C106=0),0,MATCH(OFFSET($D106,0,$C106)+IF($C106&lt;&gt;1,1,COUNTIF(QCI!$A$13:$A$24,ORÇAMENTO!E106)),OFFSET($D106,1,$C106,ROW($C$131)-ROW($C106)),0))</f>
        <v>0</v>
      </c>
      <c r="L106" s="116" t="str">
        <f t="shared" ca="1" si="157"/>
        <v>F</v>
      </c>
      <c r="M106" s="117" t="s">
        <v>197</v>
      </c>
      <c r="N106" s="118" t="str">
        <f t="shared" ca="1" si="158"/>
        <v>Serviço</v>
      </c>
      <c r="O106" s="119" t="str">
        <f t="shared" ca="1" si="159"/>
        <v>1.12.0.0.20.</v>
      </c>
      <c r="P106" s="120" t="s">
        <v>245</v>
      </c>
      <c r="Q106" s="121" t="s">
        <v>1026</v>
      </c>
      <c r="R106" s="122" t="str">
        <f ca="1">IF($C106="S",REFERENCIA.Descricao,"(digite a descrição aqui)")</f>
        <v>ELETRODUTO RÍGIDO ROSCÁVEL, PVC, DN 40 MM (1 1/4"), PARA CIRCUITOS TERMINAIS, INSTALADO EM PAREDE - FORNECIMENTO E INSTALAÇÃO. AF_03/2023</v>
      </c>
      <c r="S106" s="123" t="str">
        <f ca="1">REFERENCIA.Unidade</f>
        <v>M</v>
      </c>
      <c r="T106" s="124">
        <f ca="1">OFFSET(CÁLCULO!H$15,ROW($T106)-ROW(T$15),0)</f>
        <v>7</v>
      </c>
      <c r="U106" s="125">
        <f t="shared" ca="1" si="17"/>
        <v>25.63</v>
      </c>
      <c r="V106" s="126" t="s">
        <v>155</v>
      </c>
      <c r="W106" s="124">
        <f ca="1">IF($C106="S",ROUND(IF(TIPOORCAMENTO="Proposto",ORÇAMENTO.CustoUnitario*(1+$AH106),ORÇAMENTO.PrecoUnitarioLicitado),15-13*$AF$10),0)</f>
        <v>31.83</v>
      </c>
      <c r="X106" s="127">
        <f ca="1">IF($C106="S",IF(OR(Import.TipoArredondamento&lt;&gt;"TransfereGOV",ACOMPANHAMENTO="BM"),VTOTAL1,SUM(OFFSET(CÁLCULO!$AI$15,ROW($X106)-ROW($X$15),1):OFFSET(CÁLCULO!$BB$15,ROW($X106)-ROW($X$15),-1))),IF($C106=0,0,ROUND(SomaAgrup,15-13*$AF$11)))</f>
        <v>222.81</v>
      </c>
      <c r="Y106" s="128" t="s">
        <v>243</v>
      </c>
      <c r="Z106" t="str">
        <f t="shared" ca="1" si="160"/>
        <v>RA</v>
      </c>
      <c r="AA106" s="129">
        <f ca="1">IF($C106="S",IF($Z106="CP",$X106,IF($Z106="RA",(($X106)*QCI!$AA$3),0)),SomaAgrup)</f>
        <v>222.81</v>
      </c>
      <c r="AB106" s="130">
        <f t="shared" ca="1" si="166"/>
        <v>0</v>
      </c>
      <c r="AC106" s="619" t="str">
        <f ca="1">IF($N106=""," ",
IF(AND($C106&lt;&gt;"S",OR($R106="",$R106="(digite a descrição aqui)")),"DESCRIÇÃO",
IF(AND($C106="S",OR($Q106&lt;&gt;0,$T106&gt;0,$U106&gt;0),$P106=0),"FONTE",
IF(AND($C106="S",$P106&lt;&gt;0,OR($T106&gt;0,$U106&gt;0),$Q106=0),"CÓDIGO",
IF(AND($C106="S",$P106&lt;&gt;0,$Q106&lt;&gt;0,$R106="(Código não identificado nas referências)"),"CÓDIGO N/ID",
IF(AND($C106="S",OR($R106="",$R106="(digite a descrição aqui)"),OR($Q106&lt;&gt;0,$T106&gt;0,$U106&gt;0)),"DESCRIÇÃO",
IF(AND($C106="S",$P106&lt;&gt;0,$Q106&lt;&gt;0,$S106=""),"UNIDADE",
IF(AND($C106="S",$P106&lt;&gt;0,$Q106&lt;&gt;0,$U106=0),"SEM CUSTO",
IF(AND(TIPOORCAMENTO="Licitado",$AL106=0,$AN106&gt;0),"SEM PREÇO",
IF(AND($C106="S",$P106&lt;&gt;0,$Q106&lt;&gt;0,$U106&gt;0,$V106=0),"BDI",
IF(OR(AND(TIPOORCAMENTO="Proposto",$AG106&lt;&gt;"",$AG106&gt;0,ORÇAMENTO.CustoUnitario&gt;$AG106),AND(TIPOORCAMENTO="LICITADO",ORÇAMENTO.PrecoUnitarioLicitado&gt;$AN106)),"ACIMA REF.",
IF(AND($C106="S",$P106&lt;&gt;0,$Q106&lt;&gt;0,$T106=0,$U106&gt;0),"QUANT.",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str">
        <f ca="1">IF(AND($C106="S",ORÇAMENTO.CodBarra&lt;&gt;""),IF(ORÇAMENTO.Fonte="",ORÇAMENTO.CodBarra,CONCATENATE(ORÇAMENTO.Fonte," ",ORÇAMENTO.CodBarra)))</f>
        <v>SINAPI 91873</v>
      </c>
      <c r="AF106" s="13">
        <f ca="1">IF(ISERROR(INDIRECT(ORÇAMENTO.BancoRef)),"(abra o arquivo 'Referência "&amp;Excel_BuiltIn_Database&amp;".xlsm)",IF(OR($C106&lt;&gt;"S",ORÇAMENTO.CodBarra=""),"(Sem Código)",IF(ISERROR(MATCH($AE106,INDIRECT(ORÇAMENTO.BancoRef),0)),"(Código não identificado nas referências)",MATCH($AE106,INDIRECT(ORÇAMENTO.BancoRef),0))))</f>
        <v>10862</v>
      </c>
      <c r="AG106" s="453">
        <f ca="1">ROUND(IF(DESONERACAO="sim",REFERENCIA.Desonerado,REFERENCIA.NaoDesonerado),2)</f>
        <v>25.63</v>
      </c>
      <c r="AH106" s="454">
        <f t="shared" ca="1" si="167"/>
        <v>0.24199999999999999</v>
      </c>
      <c r="AJ106" s="456"/>
      <c r="AL106" s="471"/>
      <c r="AM106" s="348">
        <f t="shared" ca="1" si="136"/>
        <v>222.81</v>
      </c>
      <c r="AN106" s="504">
        <f t="shared" ca="1" si="168"/>
        <v>31.83</v>
      </c>
    </row>
    <row r="107" spans="1:40" ht="38.25" x14ac:dyDescent="0.2">
      <c r="A107" t="str">
        <f>CHOOSE(1+LOG(1+2*(ORÇAMENTO.Nivel="Meta")+4*(ORÇAMENTO.Nivel="Nível 2")+8*(ORÇAMENTO.Nivel="Nível 3")+16*(ORÇAMENTO.Nivel="Nível 4")+32*(ORÇAMENTO.Nivel="Serviço"),2),0,1,2,3,4,"S")</f>
        <v>S</v>
      </c>
      <c r="B107">
        <f ca="1">IF(OR(C107="s",C107=0),OFFSET(B107,-1,0),C107)</f>
        <v>2</v>
      </c>
      <c r="C107" t="str">
        <f ca="1">IF(OFFSET(C107,-1,0)="L",1,IF(OFFSET(C107,-1,0)=1,2,IF(OR(A107="s",A107=0),"S",IF(AND(OFFSET(C107,-1,0)=2,A107=4),3,IF(AND(OR(OFFSET(C107,-1,0)="s",OFFSET(C107,-1,0)=0),A107&lt;&gt;"s",A107&gt;OFFSET(B107,-1,0)),OFFSET(B107,-1,0),A107)))))</f>
        <v>S</v>
      </c>
      <c r="D107">
        <f ca="1">IF(OR(C107="S",C107=0),0,IF(ISERROR(K107),J107,SMALL(J107:K107,1)))</f>
        <v>0</v>
      </c>
      <c r="E107">
        <f ca="1">IF($C107=1,OFFSET(E107,-1,0)+MAX(1,COUNTIF(QCI!$A$13:$A$24,OFFSET(ORÇAMENTO!E107,-1,0))),OFFSET(E107,-1,0))</f>
        <v>1</v>
      </c>
      <c r="F107">
        <f ca="1">IF($C107=1,0,IF($C107=2,OFFSET(F107,-1,0)+1,OFFSET(F107,-1,0)))</f>
        <v>12</v>
      </c>
      <c r="G107">
        <f ca="1">IF(AND($C107&lt;=2,$C107&lt;&gt;0),0,IF($C107=3,OFFSET(G107,-1,0)+1,OFFSET(G107,-1,0)))</f>
        <v>0</v>
      </c>
      <c r="H107">
        <f ca="1">IF(AND($C107&lt;=3,$C107&lt;&gt;0),0,IF($C107=4,OFFSET(H107,-1,0)+1,OFFSET(H107,-1,0)))</f>
        <v>0</v>
      </c>
      <c r="I107">
        <f ca="1">IF(AND($C107&lt;=4,$C107&lt;&gt;0),0,IF(AND($C107="S",$X107&gt;0),OFFSET(I107,-1,0)+1,OFFSET(I107,-1,0)))</f>
        <v>21</v>
      </c>
      <c r="J107">
        <f ca="1">IF(OR($C107="S",$C107=0),0,MATCH(0,OFFSET($D107,1,$C107,ROW($C$131)-ROW($C107)),0))</f>
        <v>0</v>
      </c>
      <c r="K107">
        <f ca="1">IF(OR($C107="S",$C107=0),0,MATCH(OFFSET($D107,0,$C107)+IF($C107&lt;&gt;1,1,COUNTIF(QCI!$A$13:$A$24,ORÇAMENTO!E107)),OFFSET($D107,1,$C107,ROW($C$131)-ROW($C107)),0))</f>
        <v>0</v>
      </c>
      <c r="L107" s="116" t="str">
        <f ca="1">IF(OR($X107&gt;0,$C107=1,$C107=2,$C107=3,$C107=4),"F","")</f>
        <v>F</v>
      </c>
      <c r="M107" s="117" t="s">
        <v>197</v>
      </c>
      <c r="N107" s="118" t="str">
        <f ca="1">CHOOSE(1+LOG(1+2*(C107=1)+4*(C107=2)+8*(C107=3)+16*(C107=4)+32*(C107="S"),2),"","Meta","Nível 2","Nível 3","Nível 4","Serviço")</f>
        <v>Serviço</v>
      </c>
      <c r="O107" s="119" t="str">
        <f ca="1">IF(OR($C107=0,$L107=""),"-",CONCATENATE(E107&amp;".",IF(AND($A$5&gt;=2,$C107&gt;=2),F107&amp;".",""),IF(AND($A$5&gt;=3,$C107&gt;=3),G107&amp;".",""),IF(AND($A$5&gt;=4,$C107&gt;=4),H107&amp;".",""),IF($C107="S",I107&amp;".","")))</f>
        <v>1.12.0.0.21.</v>
      </c>
      <c r="P107" s="120" t="s">
        <v>245</v>
      </c>
      <c r="Q107" s="121" t="s">
        <v>1050</v>
      </c>
      <c r="R107" s="122" t="str">
        <f ca="1">IF($C107="S",REFERENCIA.Descricao,"(digite a descrição aqui)")</f>
        <v>CABO DE COBRE FLEXÍVEL ISOLADO, 10 MM², ANTI-CHAMA 0,6/1,0 KV, PARA CIRCUITOS TERMINAIS - FORNECIMENTO E INSTALAÇÃO. AF_03/2023</v>
      </c>
      <c r="S107" s="123" t="str">
        <f ca="1">REFERENCIA.Unidade</f>
        <v>M</v>
      </c>
      <c r="T107" s="124">
        <f ca="1">OFFSET(CÁLCULO!H$15,ROW($T107)-ROW(T$15),0)</f>
        <v>8</v>
      </c>
      <c r="U107" s="125">
        <f t="shared" ca="1" si="17"/>
        <v>20.02</v>
      </c>
      <c r="V107" s="126" t="s">
        <v>155</v>
      </c>
      <c r="W107" s="124">
        <f ca="1">IF($C107="S",ROUND(IF(TIPOORCAMENTO="Proposto",ORÇAMENTO.CustoUnitario*(1+$AH107),ORÇAMENTO.PrecoUnitarioLicitado),15-13*$AF$10),0)</f>
        <v>24.86</v>
      </c>
      <c r="X107" s="127">
        <f ca="1">IF($C107="S",IF(OR(Import.TipoArredondamento&lt;&gt;"TransfereGOV",ACOMPANHAMENTO="BM"),VTOTAL1,SUM(OFFSET(CÁLCULO!$AI$15,ROW($X107)-ROW($X$15),1):OFFSET(CÁLCULO!$BB$15,ROW($X107)-ROW($X$15),-1))),IF($C107=0,0,ROUND(SomaAgrup,15-13*$AF$11)))</f>
        <v>198.88</v>
      </c>
      <c r="Y107" s="128" t="s">
        <v>243</v>
      </c>
      <c r="Z107" t="str">
        <f ca="1">IF(AND($C107="S",$X107&gt;0),IF(ISBLANK($Y107),"RA",LEFT($Y107,2)),"")</f>
        <v>RA</v>
      </c>
      <c r="AA107" s="129">
        <f ca="1">IF($C107="S",IF($Z107="CP",$X107,IF($Z107="RA",(($X107)*QCI!$AA$3),0)),SomaAgrup)</f>
        <v>198.88</v>
      </c>
      <c r="AB107" s="130">
        <f ca="1">IF($C107="S",IF($Z107="OU",ROUND($X107,2),0),SomaAgrup)</f>
        <v>0</v>
      </c>
      <c r="AC107" s="619" t="str">
        <f ca="1">IF($N107=""," ",
IF(AND($C107&lt;&gt;"S",OR($R107="",$R107="(digite a descrição aqui)")),"DESCRIÇÃO",
IF(AND($C107="S",OR($Q107&lt;&gt;0,$T107&gt;0,$U107&gt;0),$P107=0),"FONTE",
IF(AND($C107="S",$P107&lt;&gt;0,OR($T107&gt;0,$U107&gt;0),$Q107=0),"CÓDIGO",
IF(AND($C107="S",$P107&lt;&gt;0,$Q107&lt;&gt;0,$R107="(Código não identificado nas referências)"),"CÓDIGO N/ID",
IF(AND($C107="S",OR($R107="",$R107="(digite a descrição aqui)"),OR($Q107&lt;&gt;0,$T107&gt;0,$U107&gt;0)),"DESCRIÇÃO",
IF(AND($C107="S",$P107&lt;&gt;0,$Q107&lt;&gt;0,$S107=""),"UNIDADE",
IF(AND($C107="S",$P107&lt;&gt;0,$Q107&lt;&gt;0,$U107=0),"SEM CUSTO",
IF(AND(TIPOORCAMENTO="Licitado",$AL107=0,$AN107&gt;0),"SEM PREÇO",
IF(AND($C107="S",$P107&lt;&gt;0,$Q107&lt;&gt;0,$U107&gt;0,$V107=0),"BDI",
IF(OR(AND(TIPOORCAMENTO="Proposto",$AG107&lt;&gt;"",$AG107&gt;0,ORÇAMENTO.CustoUnitario&gt;$AG107),AND(TIPOORCAMENTO="LICITADO",ORÇAMENTO.PrecoUnitarioLicitado&gt;$AN107)),"ACIMA REF.",
IF(AND($C107="S",$P107&lt;&gt;0,$Q107&lt;&gt;0,$T107=0,$U107&gt;0),"QUANT.",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f ca="1">IF(AND($C107="S",ORÇAMENTO.CodBarra&lt;&gt;""),IF(ORÇAMENTO.Fonte="",ORÇAMENTO.CodBarra,CONCATENATE(ORÇAMENTO.Fonte," ",ORÇAMENTO.CodBarra)))</f>
        <v>SINAPI 91933</v>
      </c>
      <c r="AF107" s="13">
        <f ca="1">IF(ISERROR(INDIRECT(ORÇAMENTO.BancoRef)),"(abra o arquivo 'Referência "&amp;Excel_BuiltIn_Database&amp;".xlsm)",IF(OR($C107&lt;&gt;"S",ORÇAMENTO.CodBarra=""),"(Sem Código)",IF(ISERROR(MATCH($AE107,INDIRECT(ORÇAMENTO.BancoRef),0)),"(Código não identificado nas referências)",MATCH($AE107,INDIRECT(ORÇAMENTO.BancoRef),0))))</f>
        <v>10761</v>
      </c>
      <c r="AG107" s="453">
        <f ca="1">ROUND(IF(DESONERACAO="sim",REFERENCIA.Desonerado,REFERENCIA.NaoDesonerado),2)</f>
        <v>20.02</v>
      </c>
      <c r="AH107" s="454">
        <f ca="1">ROUND(IF(ISNUMBER(ORÇAMENTO.OpcaoBDI),ORÇAMENTO.OpcaoBDI,IF(LEFT(ORÇAMENTO.OpcaoBDI,3)="BDI",HLOOKUP(ORÇAMENTO.OpcaoBDI,$F$4:$H$5,2,FALSE),0)),15-11*$AF$9)</f>
        <v>0.24199999999999999</v>
      </c>
      <c r="AJ107" s="456"/>
      <c r="AL107" s="471"/>
      <c r="AM107" s="348">
        <f t="shared" ca="1" si="136"/>
        <v>198.88</v>
      </c>
      <c r="AN107" s="504">
        <f ca="1">ROUND(ORÇAMENTO.CustoUnitario*(1+$AH107),2)</f>
        <v>24.86</v>
      </c>
    </row>
    <row r="108" spans="1:40" ht="38.25" x14ac:dyDescent="0.2">
      <c r="A108" t="str">
        <f t="shared" si="165"/>
        <v>S</v>
      </c>
      <c r="B108">
        <f t="shared" ca="1" si="150"/>
        <v>2</v>
      </c>
      <c r="C108" t="str">
        <f t="shared" ca="1" si="151"/>
        <v>S</v>
      </c>
      <c r="D108">
        <f t="shared" ca="1" si="152"/>
        <v>0</v>
      </c>
      <c r="E108">
        <f ca="1">IF($C108=1,OFFSET(E108,-1,0)+MAX(1,COUNTIF(QCI!$A$13:$A$24,OFFSET(ORÇAMENTO!E108,-1,0))),OFFSET(E108,-1,0))</f>
        <v>1</v>
      </c>
      <c r="F108">
        <f t="shared" ca="1" si="153"/>
        <v>12</v>
      </c>
      <c r="G108">
        <f t="shared" ca="1" si="154"/>
        <v>0</v>
      </c>
      <c r="H108">
        <f t="shared" ca="1" si="155"/>
        <v>0</v>
      </c>
      <c r="I108">
        <f t="shared" ca="1" si="156"/>
        <v>22</v>
      </c>
      <c r="J108">
        <f t="shared" ca="1" si="138"/>
        <v>0</v>
      </c>
      <c r="K108">
        <f ca="1">IF(OR($C108="S",$C108=0),0,MATCH(OFFSET($D108,0,$C108)+IF($C108&lt;&gt;1,1,COUNTIF(QCI!$A$13:$A$24,ORÇAMENTO!E108)),OFFSET($D108,1,$C108,ROW($C$131)-ROW($C108)),0))</f>
        <v>0</v>
      </c>
      <c r="L108" s="116" t="str">
        <f t="shared" ca="1" si="157"/>
        <v>F</v>
      </c>
      <c r="M108" s="117" t="s">
        <v>197</v>
      </c>
      <c r="N108" s="118" t="str">
        <f t="shared" ca="1" si="158"/>
        <v>Serviço</v>
      </c>
      <c r="O108" s="119" t="str">
        <f t="shared" ca="1" si="159"/>
        <v>1.12.0.0.22.</v>
      </c>
      <c r="P108" s="120" t="s">
        <v>245</v>
      </c>
      <c r="Q108" s="121" t="s">
        <v>1027</v>
      </c>
      <c r="R108" s="122" t="str">
        <f ca="1">IF($C108="S",REFERENCIA.Descricao,"(digite a descrição aqui)")</f>
        <v>CABO DE COBRE FLEXÍVEL ISOLADO, 4 MM², ANTI-CHAMA 450/750 V, PARA CIRCUITOS TERMINAIS - FORNECIMENTO E INSTALAÇÃO. AF_03/2023</v>
      </c>
      <c r="S108" s="123" t="str">
        <f ca="1">REFERENCIA.Unidade</f>
        <v>M</v>
      </c>
      <c r="T108" s="124">
        <f ca="1">OFFSET(CÁLCULO!H$15,ROW($T108)-ROW(T$15),0)</f>
        <v>64.63</v>
      </c>
      <c r="U108" s="125">
        <f t="shared" ca="1" si="17"/>
        <v>8.3800000000000008</v>
      </c>
      <c r="V108" s="126" t="s">
        <v>155</v>
      </c>
      <c r="W108" s="124">
        <f ca="1">IF($C108="S",ROUND(IF(TIPOORCAMENTO="Proposto",ORÇAMENTO.CustoUnitario*(1+$AH108),ORÇAMENTO.PrecoUnitarioLicitado),15-13*$AF$10),0)</f>
        <v>10.41</v>
      </c>
      <c r="X108" s="127">
        <f ca="1">IF($C108="S",IF(OR(Import.TipoArredondamento&lt;&gt;"TransfereGOV",ACOMPANHAMENTO="BM"),VTOTAL1,SUM(OFFSET(CÁLCULO!$AI$15,ROW($X108)-ROW($X$15),1):OFFSET(CÁLCULO!$BB$15,ROW($X108)-ROW($X$15),-1))),IF($C108=0,0,ROUND(SomaAgrup,15-13*$AF$11)))</f>
        <v>672.8</v>
      </c>
      <c r="Y108" s="128" t="s">
        <v>243</v>
      </c>
      <c r="Z108" t="str">
        <f t="shared" ca="1" si="160"/>
        <v>RA</v>
      </c>
      <c r="AA108" s="129">
        <f ca="1">IF($C108="S",IF($Z108="CP",$X108,IF($Z108="RA",(($X108)*QCI!$AA$3),0)),SomaAgrup)</f>
        <v>672.8</v>
      </c>
      <c r="AB108" s="130">
        <f t="shared" ca="1" si="166"/>
        <v>0</v>
      </c>
      <c r="AC108" s="619" t="str">
        <f ca="1">IF($N108=""," ",
IF(AND($C108&lt;&gt;"S",OR($R108="",$R108="(digite a descrição aqui)")),"DESCRIÇÃO",
IF(AND($C108="S",OR($Q108&lt;&gt;0,$T108&gt;0,$U108&gt;0),$P108=0),"FONTE",
IF(AND($C108="S",$P108&lt;&gt;0,OR($T108&gt;0,$U108&gt;0),$Q108=0),"CÓDIGO",
IF(AND($C108="S",$P108&lt;&gt;0,$Q108&lt;&gt;0,$R108="(Código não identificado nas referências)"),"CÓDIGO N/ID",
IF(AND($C108="S",OR($R108="",$R108="(digite a descrição aqui)"),OR($Q108&lt;&gt;0,$T108&gt;0,$U108&gt;0)),"DESCRIÇÃO",
IF(AND($C108="S",$P108&lt;&gt;0,$Q108&lt;&gt;0,$S108=""),"UNIDADE",
IF(AND($C108="S",$P108&lt;&gt;0,$Q108&lt;&gt;0,$U108=0),"SEM CUSTO",
IF(AND(TIPOORCAMENTO="Licitado",$AL108=0,$AN108&gt;0),"SEM PREÇO",
IF(AND($C108="S",$P108&lt;&gt;0,$Q108&lt;&gt;0,$U108&gt;0,$V108=0),"BDI",
IF(OR(AND(TIPOORCAMENTO="Proposto",$AG108&lt;&gt;"",$AG108&gt;0,ORÇAMENTO.CustoUnitario&gt;$AG108),AND(TIPOORCAMENTO="LICITADO",ORÇAMENTO.PrecoUnitarioLicitado&gt;$AN108)),"ACIMA REF.",
IF(AND($C108="S",$P108&lt;&gt;0,$Q108&lt;&gt;0,$T108=0,$U108&gt;0),"QUANT.",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str">
        <f ca="1">IF(AND($C108="S",ORÇAMENTO.CodBarra&lt;&gt;""),IF(ORÇAMENTO.Fonte="",ORÇAMENTO.CodBarra,CONCATENATE(ORÇAMENTO.Fonte," ",ORÇAMENTO.CodBarra)))</f>
        <v>SINAPI 91928</v>
      </c>
      <c r="AF108" s="13">
        <f ca="1">IF(ISERROR(INDIRECT(ORÇAMENTO.BancoRef)),"(abra o arquivo 'Referência "&amp;Excel_BuiltIn_Database&amp;".xlsm)",IF(OR($C108&lt;&gt;"S",ORÇAMENTO.CodBarra=""),"(Sem Código)",IF(ISERROR(MATCH($AE108,INDIRECT(ORÇAMENTO.BancoRef),0)),"(Código não identificado nas referências)",MATCH($AE108,INDIRECT(ORÇAMENTO.BancoRef),0))))</f>
        <v>10768</v>
      </c>
      <c r="AG108" s="453">
        <f ca="1">ROUND(IF(DESONERACAO="sim",REFERENCIA.Desonerado,REFERENCIA.NaoDesonerado),2)</f>
        <v>8.3800000000000008</v>
      </c>
      <c r="AH108" s="454">
        <f t="shared" ca="1" si="167"/>
        <v>0.24199999999999999</v>
      </c>
      <c r="AJ108" s="456"/>
      <c r="AL108" s="471"/>
      <c r="AM108" s="348">
        <f t="shared" ca="1" si="136"/>
        <v>672.8</v>
      </c>
      <c r="AN108" s="504">
        <f t="shared" ca="1" si="168"/>
        <v>10.41</v>
      </c>
    </row>
    <row r="109" spans="1:40" ht="38.25" x14ac:dyDescent="0.2">
      <c r="A109" t="str">
        <f t="shared" si="165"/>
        <v>S</v>
      </c>
      <c r="B109">
        <f t="shared" ca="1" si="150"/>
        <v>2</v>
      </c>
      <c r="C109" t="str">
        <f t="shared" ca="1" si="151"/>
        <v>S</v>
      </c>
      <c r="D109">
        <f t="shared" ca="1" si="152"/>
        <v>0</v>
      </c>
      <c r="E109">
        <f ca="1">IF($C109=1,OFFSET(E109,-1,0)+MAX(1,COUNTIF(QCI!$A$13:$A$24,OFFSET(ORÇAMENTO!E109,-1,0))),OFFSET(E109,-1,0))</f>
        <v>1</v>
      </c>
      <c r="F109">
        <f t="shared" ca="1" si="153"/>
        <v>12</v>
      </c>
      <c r="G109">
        <f t="shared" ca="1" si="154"/>
        <v>0</v>
      </c>
      <c r="H109">
        <f t="shared" ca="1" si="155"/>
        <v>0</v>
      </c>
      <c r="I109">
        <f t="shared" ca="1" si="156"/>
        <v>23</v>
      </c>
      <c r="J109">
        <f t="shared" ca="1" si="138"/>
        <v>0</v>
      </c>
      <c r="K109">
        <f ca="1">IF(OR($C109="S",$C109=0),0,MATCH(OFFSET($D109,0,$C109)+IF($C109&lt;&gt;1,1,COUNTIF(QCI!$A$13:$A$24,ORÇAMENTO!E109)),OFFSET($D109,1,$C109,ROW($C$131)-ROW($C109)),0))</f>
        <v>0</v>
      </c>
      <c r="L109" s="116" t="str">
        <f t="shared" ca="1" si="157"/>
        <v>F</v>
      </c>
      <c r="M109" s="117" t="s">
        <v>197</v>
      </c>
      <c r="N109" s="118" t="str">
        <f t="shared" ca="1" si="158"/>
        <v>Serviço</v>
      </c>
      <c r="O109" s="119" t="str">
        <f t="shared" ca="1" si="159"/>
        <v>1.12.0.0.23.</v>
      </c>
      <c r="P109" s="120" t="s">
        <v>245</v>
      </c>
      <c r="Q109" s="121" t="s">
        <v>1028</v>
      </c>
      <c r="R109" s="122" t="str">
        <f ca="1">IF($C109="S",REFERENCIA.Descricao,"(digite a descrição aqui)")</f>
        <v>CABO DE COBRE FLEXÍVEL ISOLADO, 2,5 MM², ANTI-CHAMA 450/750 V, PARA CIRCUITOS TERMINAIS - FORNECIMENTO E INSTALAÇÃO. AF_03/2023</v>
      </c>
      <c r="S109" s="123" t="str">
        <f ca="1">REFERENCIA.Unidade</f>
        <v>M</v>
      </c>
      <c r="T109" s="124">
        <f ca="1">OFFSET(CÁLCULO!H$15,ROW($T109)-ROW(T$15),0)</f>
        <v>1248.3</v>
      </c>
      <c r="U109" s="125">
        <f t="shared" ca="1" si="17"/>
        <v>5.45</v>
      </c>
      <c r="V109" s="126" t="s">
        <v>155</v>
      </c>
      <c r="W109" s="124">
        <f ca="1">IF($C109="S",ROUND(IF(TIPOORCAMENTO="Proposto",ORÇAMENTO.CustoUnitario*(1+$AH109),ORÇAMENTO.PrecoUnitarioLicitado),15-13*$AF$10),0)</f>
        <v>6.77</v>
      </c>
      <c r="X109" s="127">
        <f ca="1">IF($C109="S",IF(OR(Import.TipoArredondamento&lt;&gt;"TransfereGOV",ACOMPANHAMENTO="BM"),VTOTAL1,SUM(OFFSET(CÁLCULO!$AI$15,ROW($X109)-ROW($X$15),1):OFFSET(CÁLCULO!$BB$15,ROW($X109)-ROW($X$15),-1))),IF($C109=0,0,ROUND(SomaAgrup,15-13*$AF$11)))</f>
        <v>8450.99</v>
      </c>
      <c r="Y109" s="128" t="s">
        <v>243</v>
      </c>
      <c r="Z109" t="str">
        <f t="shared" ca="1" si="160"/>
        <v>RA</v>
      </c>
      <c r="AA109" s="129">
        <f ca="1">IF($C109="S",IF($Z109="CP",$X109,IF($Z109="RA",(($X109)*QCI!$AA$3),0)),SomaAgrup)</f>
        <v>8450.99</v>
      </c>
      <c r="AB109" s="130">
        <f t="shared" ca="1" si="166"/>
        <v>0</v>
      </c>
      <c r="AC109" s="619" t="str">
        <f ca="1">IF($N109=""," ",
IF(AND($C109&lt;&gt;"S",OR($R109="",$R109="(digite a descrição aqui)")),"DESCRIÇÃO",
IF(AND($C109="S",OR($Q109&lt;&gt;0,$T109&gt;0,$U109&gt;0),$P109=0),"FONTE",
IF(AND($C109="S",$P109&lt;&gt;0,OR($T109&gt;0,$U109&gt;0),$Q109=0),"CÓDIGO",
IF(AND($C109="S",$P109&lt;&gt;0,$Q109&lt;&gt;0,$R109="(Código não identificado nas referências)"),"CÓDIGO N/ID",
IF(AND($C109="S",OR($R109="",$R109="(digite a descrição aqui)"),OR($Q109&lt;&gt;0,$T109&gt;0,$U109&gt;0)),"DESCRIÇÃO",
IF(AND($C109="S",$P109&lt;&gt;0,$Q109&lt;&gt;0,$S109=""),"UNIDADE",
IF(AND($C109="S",$P109&lt;&gt;0,$Q109&lt;&gt;0,$U109=0),"SEM CUSTO",
IF(AND(TIPOORCAMENTO="Licitado",$AL109=0,$AN109&gt;0),"SEM PREÇO",
IF(AND($C109="S",$P109&lt;&gt;0,$Q109&lt;&gt;0,$U109&gt;0,$V109=0),"BDI",
IF(OR(AND(TIPOORCAMENTO="Proposto",$AG109&lt;&gt;"",$AG109&gt;0,ORÇAMENTO.CustoUnitario&gt;$AG109),AND(TIPOORCAMENTO="LICITADO",ORÇAMENTO.PrecoUnitarioLicitado&gt;$AN109)),"ACIMA REF.",
IF(AND($C109="S",$P109&lt;&gt;0,$Q109&lt;&gt;0,$T109=0,$U109&gt;0),"QUANT.",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f ca="1">IF(AND($C109="S",ORÇAMENTO.CodBarra&lt;&gt;""),IF(ORÇAMENTO.Fonte="",ORÇAMENTO.CodBarra,CONCATENATE(ORÇAMENTO.Fonte," ",ORÇAMENTO.CodBarra)))</f>
        <v>SINAPI 91926</v>
      </c>
      <c r="AF109" s="13">
        <f ca="1">IF(ISERROR(INDIRECT(ORÇAMENTO.BancoRef)),"(abra o arquivo 'Referência "&amp;Excel_BuiltIn_Database&amp;".xlsm)",IF(OR($C109&lt;&gt;"S",ORÇAMENTO.CodBarra=""),"(Sem Código)",IF(ISERROR(MATCH($AE109,INDIRECT(ORÇAMENTO.BancoRef),0)),"(Código não identificado nas referências)",MATCH($AE109,INDIRECT(ORÇAMENTO.BancoRef),0))))</f>
        <v>10766</v>
      </c>
      <c r="AG109" s="453">
        <f ca="1">ROUND(IF(DESONERACAO="sim",REFERENCIA.Desonerado,REFERENCIA.NaoDesonerado),2)</f>
        <v>5.45</v>
      </c>
      <c r="AH109" s="454">
        <f t="shared" ca="1" si="167"/>
        <v>0.24199999999999999</v>
      </c>
      <c r="AJ109" s="456"/>
      <c r="AL109" s="471"/>
      <c r="AM109" s="348">
        <f t="shared" ca="1" si="136"/>
        <v>8450.99</v>
      </c>
      <c r="AN109" s="504">
        <f t="shared" ca="1" si="168"/>
        <v>6.77</v>
      </c>
    </row>
    <row r="110" spans="1:40" ht="38.25" x14ac:dyDescent="0.2">
      <c r="A110" t="str">
        <f t="shared" si="165"/>
        <v>S</v>
      </c>
      <c r="B110">
        <f t="shared" ca="1" si="150"/>
        <v>2</v>
      </c>
      <c r="C110" t="str">
        <f t="shared" ca="1" si="151"/>
        <v>S</v>
      </c>
      <c r="D110">
        <f t="shared" ca="1" si="152"/>
        <v>0</v>
      </c>
      <c r="E110">
        <f ca="1">IF($C110=1,OFFSET(E110,-1,0)+MAX(1,COUNTIF(QCI!$A$13:$A$24,OFFSET(ORÇAMENTO!E110,-1,0))),OFFSET(E110,-1,0))</f>
        <v>1</v>
      </c>
      <c r="F110">
        <f t="shared" ca="1" si="153"/>
        <v>12</v>
      </c>
      <c r="G110">
        <f t="shared" ca="1" si="154"/>
        <v>0</v>
      </c>
      <c r="H110">
        <f t="shared" ca="1" si="155"/>
        <v>0</v>
      </c>
      <c r="I110">
        <f t="shared" ca="1" si="156"/>
        <v>24</v>
      </c>
      <c r="J110">
        <f t="shared" ca="1" si="138"/>
        <v>0</v>
      </c>
      <c r="K110">
        <f ca="1">IF(OR($C110="S",$C110=0),0,MATCH(OFFSET($D110,0,$C110)+IF($C110&lt;&gt;1,1,COUNTIF(QCI!$A$13:$A$24,ORÇAMENTO!E110)),OFFSET($D110,1,$C110,ROW($C$131)-ROW($C110)),0))</f>
        <v>0</v>
      </c>
      <c r="L110" s="116" t="str">
        <f t="shared" ca="1" si="157"/>
        <v>F</v>
      </c>
      <c r="M110" s="117" t="s">
        <v>197</v>
      </c>
      <c r="N110" s="118" t="str">
        <f t="shared" ca="1" si="158"/>
        <v>Serviço</v>
      </c>
      <c r="O110" s="119" t="str">
        <f t="shared" ca="1" si="159"/>
        <v>1.12.0.0.24.</v>
      </c>
      <c r="P110" s="120" t="s">
        <v>245</v>
      </c>
      <c r="Q110" s="121" t="s">
        <v>1029</v>
      </c>
      <c r="R110" s="122" t="str">
        <f ca="1">IF($C110="S",REFERENCIA.Descricao,"(digite a descrição aqui)")</f>
        <v>ELETRODUTO RÍGIDO ROSCÁVEL, PVC, DN 25 MM (3/4"), PARA CIRCUITOS TERMINAIS, INSTALADO EM FORRO - FORNECIMENTO E INSTALAÇÃO. AF_03/2023</v>
      </c>
      <c r="S110" s="123" t="str">
        <f ca="1">REFERENCIA.Unidade</f>
        <v>M</v>
      </c>
      <c r="T110" s="124">
        <f ca="1">OFFSET(CÁLCULO!H$15,ROW($T110)-ROW(T$15),0)</f>
        <v>141.13999999999999</v>
      </c>
      <c r="U110" s="125">
        <f t="shared" ca="1" si="17"/>
        <v>13.3</v>
      </c>
      <c r="V110" s="126" t="s">
        <v>155</v>
      </c>
      <c r="W110" s="124">
        <f ca="1">IF($C110="S",ROUND(IF(TIPOORCAMENTO="Proposto",ORÇAMENTO.CustoUnitario*(1+$AH110),ORÇAMENTO.PrecoUnitarioLicitado),15-13*$AF$10),0)</f>
        <v>16.52</v>
      </c>
      <c r="X110" s="127">
        <f ca="1">IF($C110="S",IF(OR(Import.TipoArredondamento&lt;&gt;"TransfereGOV",ACOMPANHAMENTO="BM"),VTOTAL1,SUM(OFFSET(CÁLCULO!$AI$15,ROW($X110)-ROW($X$15),1):OFFSET(CÁLCULO!$BB$15,ROW($X110)-ROW($X$15),-1))),IF($C110=0,0,ROUND(SomaAgrup,15-13*$AF$11)))</f>
        <v>2331.63</v>
      </c>
      <c r="Y110" s="128" t="s">
        <v>243</v>
      </c>
      <c r="Z110" t="str">
        <f t="shared" ca="1" si="160"/>
        <v>RA</v>
      </c>
      <c r="AA110" s="129">
        <f ca="1">IF($C110="S",IF($Z110="CP",$X110,IF($Z110="RA",(($X110)*QCI!$AA$3),0)),SomaAgrup)</f>
        <v>2331.63</v>
      </c>
      <c r="AB110" s="130">
        <f t="shared" ca="1" si="166"/>
        <v>0</v>
      </c>
      <c r="AC110" s="619" t="str">
        <f ca="1">IF($N110=""," ",
IF(AND($C110&lt;&gt;"S",OR($R110="",$R110="(digite a descrição aqui)")),"DESCRIÇÃO",
IF(AND($C110="S",OR($Q110&lt;&gt;0,$T110&gt;0,$U110&gt;0),$P110=0),"FONTE",
IF(AND($C110="S",$P110&lt;&gt;0,OR($T110&gt;0,$U110&gt;0),$Q110=0),"CÓDIGO",
IF(AND($C110="S",$P110&lt;&gt;0,$Q110&lt;&gt;0,$R110="(Código não identificado nas referências)"),"CÓDIGO N/ID",
IF(AND($C110="S",OR($R110="",$R110="(digite a descrição aqui)"),OR($Q110&lt;&gt;0,$T110&gt;0,$U110&gt;0)),"DESCRIÇÃO",
IF(AND($C110="S",$P110&lt;&gt;0,$Q110&lt;&gt;0,$S110=""),"UNIDADE",
IF(AND($C110="S",$P110&lt;&gt;0,$Q110&lt;&gt;0,$U110=0),"SEM CUSTO",
IF(AND(TIPOORCAMENTO="Licitado",$AL110=0,$AN110&gt;0),"SEM PREÇO",
IF(AND($C110="S",$P110&lt;&gt;0,$Q110&lt;&gt;0,$U110&gt;0,$V110=0),"BDI",
IF(OR(AND(TIPOORCAMENTO="Proposto",$AG110&lt;&gt;"",$AG110&gt;0,ORÇAMENTO.CustoUnitario&gt;$AG110),AND(TIPOORCAMENTO="LICITADO",ORÇAMENTO.PrecoUnitarioLicitado&gt;$AN110)),"ACIMA REF.",
IF(AND($C110="S",$P110&lt;&gt;0,$Q110&lt;&gt;0,$T110=0,$U110&gt;0),"QUANT.",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str">
        <f ca="1">IF(AND($C110="S",ORÇAMENTO.CodBarra&lt;&gt;""),IF(ORÇAMENTO.Fonte="",ORÇAMENTO.CodBarra,CONCATENATE(ORÇAMENTO.Fonte," ",ORÇAMENTO.CodBarra)))</f>
        <v>SINAPI 91863</v>
      </c>
      <c r="AF110" s="13">
        <f ca="1">IF(ISERROR(INDIRECT(ORÇAMENTO.BancoRef)),"(abra o arquivo 'Referência "&amp;Excel_BuiltIn_Database&amp;".xlsm)",IF(OR($C110&lt;&gt;"S",ORÇAMENTO.CodBarra=""),"(Sem Código)",IF(ISERROR(MATCH($AE110,INDIRECT(ORÇAMENTO.BancoRef),0)),"(Código não identificado nas referências)",MATCH($AE110,INDIRECT(ORÇAMENTO.BancoRef),0))))</f>
        <v>10854</v>
      </c>
      <c r="AG110" s="453">
        <f ca="1">ROUND(IF(DESONERACAO="sim",REFERENCIA.Desonerado,REFERENCIA.NaoDesonerado),2)</f>
        <v>13.3</v>
      </c>
      <c r="AH110" s="454">
        <f t="shared" ca="1" si="167"/>
        <v>0.24199999999999999</v>
      </c>
      <c r="AJ110" s="456"/>
      <c r="AL110" s="471"/>
      <c r="AM110" s="348">
        <f t="shared" ca="1" si="136"/>
        <v>2331.63</v>
      </c>
      <c r="AN110" s="504">
        <f t="shared" ca="1" si="168"/>
        <v>16.52</v>
      </c>
    </row>
    <row r="111" spans="1:40" ht="38.25" x14ac:dyDescent="0.2">
      <c r="A111" t="str">
        <f t="shared" si="165"/>
        <v>S</v>
      </c>
      <c r="B111">
        <f t="shared" ca="1" si="150"/>
        <v>2</v>
      </c>
      <c r="C111" t="str">
        <f t="shared" ca="1" si="151"/>
        <v>S</v>
      </c>
      <c r="D111">
        <f t="shared" ca="1" si="152"/>
        <v>0</v>
      </c>
      <c r="E111">
        <f ca="1">IF($C111=1,OFFSET(E111,-1,0)+MAX(1,COUNTIF(QCI!$A$13:$A$24,OFFSET(ORÇAMENTO!E111,-1,0))),OFFSET(E111,-1,0))</f>
        <v>1</v>
      </c>
      <c r="F111">
        <f t="shared" ca="1" si="153"/>
        <v>12</v>
      </c>
      <c r="G111">
        <f t="shared" ca="1" si="154"/>
        <v>0</v>
      </c>
      <c r="H111">
        <f t="shared" ca="1" si="155"/>
        <v>0</v>
      </c>
      <c r="I111">
        <f t="shared" ca="1" si="156"/>
        <v>25</v>
      </c>
      <c r="J111">
        <f t="shared" ca="1" si="138"/>
        <v>0</v>
      </c>
      <c r="K111">
        <f ca="1">IF(OR($C111="S",$C111=0),0,MATCH(OFFSET($D111,0,$C111)+IF($C111&lt;&gt;1,1,COUNTIF(QCI!$A$13:$A$24,ORÇAMENTO!E111)),OFFSET($D111,1,$C111,ROW($C$131)-ROW($C111)),0))</f>
        <v>0</v>
      </c>
      <c r="L111" s="116" t="str">
        <f t="shared" ca="1" si="157"/>
        <v>F</v>
      </c>
      <c r="M111" s="117" t="s">
        <v>197</v>
      </c>
      <c r="N111" s="118" t="str">
        <f t="shared" ca="1" si="158"/>
        <v>Serviço</v>
      </c>
      <c r="O111" s="119" t="str">
        <f t="shared" ca="1" si="159"/>
        <v>1.12.0.0.25.</v>
      </c>
      <c r="P111" s="120" t="s">
        <v>245</v>
      </c>
      <c r="Q111" s="121" t="s">
        <v>1030</v>
      </c>
      <c r="R111" s="122" t="str">
        <f ca="1">IF($C111="S",REFERENCIA.Descricao,"(digite a descrição aqui)")</f>
        <v>LUVA PARA ELETRODUTO, PVC, ROSCÁVEL, DN 25 MM (3/4"), PARA CIRCUITOS TERMINAIS, INSTALADA EM FORRO - FORNECIMENTO E INSTALAÇÃO. AF_03/2023</v>
      </c>
      <c r="S111" s="123" t="str">
        <f ca="1">REFERENCIA.Unidade</f>
        <v>UN</v>
      </c>
      <c r="T111" s="124">
        <f ca="1">OFFSET(CÁLCULO!H$15,ROW($T111)-ROW(T$15),0)</f>
        <v>88</v>
      </c>
      <c r="U111" s="125">
        <f t="shared" ca="1" si="17"/>
        <v>10.68</v>
      </c>
      <c r="V111" s="126" t="s">
        <v>155</v>
      </c>
      <c r="W111" s="124">
        <f ca="1">IF($C111="S",ROUND(IF(TIPOORCAMENTO="Proposto",ORÇAMENTO.CustoUnitario*(1+$AH111),ORÇAMENTO.PrecoUnitarioLicitado),15-13*$AF$10),0)</f>
        <v>13.26</v>
      </c>
      <c r="X111" s="127">
        <f ca="1">IF($C111="S",IF(OR(Import.TipoArredondamento&lt;&gt;"TransfereGOV",ACOMPANHAMENTO="BM"),VTOTAL1,SUM(OFFSET(CÁLCULO!$AI$15,ROW($X111)-ROW($X$15),1):OFFSET(CÁLCULO!$BB$15,ROW($X111)-ROW($X$15),-1))),IF($C111=0,0,ROUND(SomaAgrup,15-13*$AF$11)))</f>
        <v>1166.8800000000001</v>
      </c>
      <c r="Y111" s="128" t="s">
        <v>243</v>
      </c>
      <c r="Z111" t="str">
        <f t="shared" ca="1" si="160"/>
        <v>RA</v>
      </c>
      <c r="AA111" s="129">
        <f ca="1">IF($C111="S",IF($Z111="CP",$X111,IF($Z111="RA",(($X111)*QCI!$AA$3),0)),SomaAgrup)</f>
        <v>1166.8800000000001</v>
      </c>
      <c r="AB111" s="130">
        <f t="shared" ca="1" si="166"/>
        <v>0</v>
      </c>
      <c r="AC111" s="619" t="str">
        <f ca="1">IF($N111=""," ",
IF(AND($C111&lt;&gt;"S",OR($R111="",$R111="(digite a descrição aqui)")),"DESCRIÇÃO",
IF(AND($C111="S",OR($Q111&lt;&gt;0,$T111&gt;0,$U111&gt;0),$P111=0),"FONTE",
IF(AND($C111="S",$P111&lt;&gt;0,OR($T111&gt;0,$U111&gt;0),$Q111=0),"CÓDIGO",
IF(AND($C111="S",$P111&lt;&gt;0,$Q111&lt;&gt;0,$R111="(Código não identificado nas referências)"),"CÓDIGO N/ID",
IF(AND($C111="S",OR($R111="",$R111="(digite a descrição aqui)"),OR($Q111&lt;&gt;0,$T111&gt;0,$U111&gt;0)),"DESCRIÇÃO",
IF(AND($C111="S",$P111&lt;&gt;0,$Q111&lt;&gt;0,$S111=""),"UNIDADE",
IF(AND($C111="S",$P111&lt;&gt;0,$Q111&lt;&gt;0,$U111=0),"SEM CUSTO",
IF(AND(TIPOORCAMENTO="Licitado",$AL111=0,$AN111&gt;0),"SEM PREÇO",
IF(AND($C111="S",$P111&lt;&gt;0,$Q111&lt;&gt;0,$U111&gt;0,$V111=0),"BDI",
IF(OR(AND(TIPOORCAMENTO="Proposto",$AG111&lt;&gt;"",$AG111&gt;0,ORÇAMENTO.CustoUnitario&gt;$AG111),AND(TIPOORCAMENTO="LICITADO",ORÇAMENTO.PrecoUnitarioLicitado&gt;$AN111)),"ACIMA REF.",
IF(AND($C111="S",$P111&lt;&gt;0,$Q111&lt;&gt;0,$T111=0,$U111&gt;0),"QUANT.",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str">
        <f ca="1">IF(AND($C111="S",ORÇAMENTO.CodBarra&lt;&gt;""),IF(ORÇAMENTO.Fonte="",ORÇAMENTO.CodBarra,CONCATENATE(ORÇAMENTO.Fonte," ",ORÇAMENTO.CodBarra)))</f>
        <v>SINAPI 91875</v>
      </c>
      <c r="AF111" s="13">
        <f ca="1">IF(ISERROR(INDIRECT(ORÇAMENTO.BancoRef)),"(abra o arquivo 'Referência "&amp;Excel_BuiltIn_Database&amp;".xlsm)",IF(OR($C111&lt;&gt;"S",ORÇAMENTO.CodBarra=""),"(Sem Código)",IF(ISERROR(MATCH($AE111,INDIRECT(ORÇAMENTO.BancoRef),0)),"(Código não identificado nas referências)",MATCH($AE111,INDIRECT(ORÇAMENTO.BancoRef),0))))</f>
        <v>10914</v>
      </c>
      <c r="AG111" s="453">
        <f ca="1">ROUND(IF(DESONERACAO="sim",REFERENCIA.Desonerado,REFERENCIA.NaoDesonerado),2)</f>
        <v>10.68</v>
      </c>
      <c r="AH111" s="454">
        <f t="shared" ca="1" si="167"/>
        <v>0.24199999999999999</v>
      </c>
      <c r="AJ111" s="456"/>
      <c r="AL111" s="471"/>
      <c r="AM111" s="348">
        <f t="shared" ca="1" si="136"/>
        <v>1166.8800000000001</v>
      </c>
      <c r="AN111" s="504">
        <f t="shared" ca="1" si="168"/>
        <v>13.26</v>
      </c>
    </row>
    <row r="112" spans="1:40" ht="38.25" x14ac:dyDescent="0.2">
      <c r="A112" t="str">
        <f t="shared" si="165"/>
        <v>S</v>
      </c>
      <c r="B112">
        <f t="shared" ca="1" si="150"/>
        <v>2</v>
      </c>
      <c r="C112" t="str">
        <f t="shared" ca="1" si="151"/>
        <v>S</v>
      </c>
      <c r="D112">
        <f t="shared" ca="1" si="152"/>
        <v>0</v>
      </c>
      <c r="E112">
        <f ca="1">IF($C112=1,OFFSET(E112,-1,0)+MAX(1,COUNTIF(QCI!$A$13:$A$24,OFFSET(ORÇAMENTO!E112,-1,0))),OFFSET(E112,-1,0))</f>
        <v>1</v>
      </c>
      <c r="F112">
        <f t="shared" ca="1" si="153"/>
        <v>12</v>
      </c>
      <c r="G112">
        <f t="shared" ca="1" si="154"/>
        <v>0</v>
      </c>
      <c r="H112">
        <f t="shared" ca="1" si="155"/>
        <v>0</v>
      </c>
      <c r="I112">
        <f t="shared" ca="1" si="156"/>
        <v>26</v>
      </c>
      <c r="J112">
        <f t="shared" ca="1" si="138"/>
        <v>0</v>
      </c>
      <c r="K112">
        <f ca="1">IF(OR($C112="S",$C112=0),0,MATCH(OFFSET($D112,0,$C112)+IF($C112&lt;&gt;1,1,COUNTIF(QCI!$A$13:$A$24,ORÇAMENTO!E112)),OFFSET($D112,1,$C112,ROW($C$131)-ROW($C112)),0))</f>
        <v>0</v>
      </c>
      <c r="L112" s="116" t="str">
        <f t="shared" ca="1" si="157"/>
        <v>F</v>
      </c>
      <c r="M112" s="117" t="s">
        <v>197</v>
      </c>
      <c r="N112" s="118" t="str">
        <f t="shared" ca="1" si="158"/>
        <v>Serviço</v>
      </c>
      <c r="O112" s="119" t="str">
        <f t="shared" ca="1" si="159"/>
        <v>1.12.0.0.26.</v>
      </c>
      <c r="P112" s="120" t="s">
        <v>245</v>
      </c>
      <c r="Q112" s="121" t="s">
        <v>1031</v>
      </c>
      <c r="R112" s="122" t="str">
        <f ca="1">IF($C112="S",REFERENCIA.Descricao,"(digite a descrição aqui)")</f>
        <v>LUVA PARA ELETRODUTO, PVC, ROSCÁVEL, DN 40 MM (1 1/4"), PARA CIRCUITOS TERMINAIS, INSTALADA EM FORRO - FORNECIMENTO E INSTALAÇÃO. AF_03/2023</v>
      </c>
      <c r="S112" s="123" t="str">
        <f ca="1">REFERENCIA.Unidade</f>
        <v>UN</v>
      </c>
      <c r="T112" s="124">
        <f ca="1">OFFSET(CÁLCULO!H$15,ROW($T112)-ROW(T$15),0)</f>
        <v>6</v>
      </c>
      <c r="U112" s="125">
        <f t="shared" ca="1" si="17"/>
        <v>15.29</v>
      </c>
      <c r="V112" s="126" t="s">
        <v>155</v>
      </c>
      <c r="W112" s="124">
        <f ca="1">IF($C112="S",ROUND(IF(TIPOORCAMENTO="Proposto",ORÇAMENTO.CustoUnitario*(1+$AH112),ORÇAMENTO.PrecoUnitarioLicitado),15-13*$AF$10),0)</f>
        <v>18.989999999999998</v>
      </c>
      <c r="X112" s="127">
        <f ca="1">IF($C112="S",IF(OR(Import.TipoArredondamento&lt;&gt;"TransfereGOV",ACOMPANHAMENTO="BM"),VTOTAL1,SUM(OFFSET(CÁLCULO!$AI$15,ROW($X112)-ROW($X$15),1):OFFSET(CÁLCULO!$BB$15,ROW($X112)-ROW($X$15),-1))),IF($C112=0,0,ROUND(SomaAgrup,15-13*$AF$11)))</f>
        <v>113.94</v>
      </c>
      <c r="Y112" s="128" t="s">
        <v>243</v>
      </c>
      <c r="Z112" t="str">
        <f t="shared" ca="1" si="160"/>
        <v>RA</v>
      </c>
      <c r="AA112" s="129">
        <f ca="1">IF($C112="S",IF($Z112="CP",$X112,IF($Z112="RA",(($X112)*QCI!$AA$3),0)),SomaAgrup)</f>
        <v>113.94</v>
      </c>
      <c r="AB112" s="130">
        <f t="shared" ca="1" si="166"/>
        <v>0</v>
      </c>
      <c r="AC112" s="619" t="str">
        <f ca="1">IF($N112=""," ",
IF(AND($C112&lt;&gt;"S",OR($R112="",$R112="(digite a descrição aqui)")),"DESCRIÇÃO",
IF(AND($C112="S",OR($Q112&lt;&gt;0,$T112&gt;0,$U112&gt;0),$P112=0),"FONTE",
IF(AND($C112="S",$P112&lt;&gt;0,OR($T112&gt;0,$U112&gt;0),$Q112=0),"CÓDIGO",
IF(AND($C112="S",$P112&lt;&gt;0,$Q112&lt;&gt;0,$R112="(Código não identificado nas referências)"),"CÓDIGO N/ID",
IF(AND($C112="S",OR($R112="",$R112="(digite a descrição aqui)"),OR($Q112&lt;&gt;0,$T112&gt;0,$U112&gt;0)),"DESCRIÇÃO",
IF(AND($C112="S",$P112&lt;&gt;0,$Q112&lt;&gt;0,$S112=""),"UNIDADE",
IF(AND($C112="S",$P112&lt;&gt;0,$Q112&lt;&gt;0,$U112=0),"SEM CUSTO",
IF(AND(TIPOORCAMENTO="Licitado",$AL112=0,$AN112&gt;0),"SEM PREÇO",
IF(AND($C112="S",$P112&lt;&gt;0,$Q112&lt;&gt;0,$U112&gt;0,$V112=0),"BDI",
IF(OR(AND(TIPOORCAMENTO="Proposto",$AG112&lt;&gt;"",$AG112&gt;0,ORÇAMENTO.CustoUnitario&gt;$AG112),AND(TIPOORCAMENTO="LICITADO",ORÇAMENTO.PrecoUnitarioLicitado&gt;$AN112)),"ACIMA REF.",
IF(AND($C112="S",$P112&lt;&gt;0,$Q112&lt;&gt;0,$T112=0,$U112&gt;0),"QUANT.",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str">
        <f ca="1">IF(AND($C112="S",ORÇAMENTO.CodBarra&lt;&gt;""),IF(ORÇAMENTO.Fonte="",ORÇAMENTO.CodBarra,CONCATENATE(ORÇAMENTO.Fonte," ",ORÇAMENTO.CodBarra)))</f>
        <v>SINAPI 91877</v>
      </c>
      <c r="AF112" s="13">
        <f ca="1">IF(ISERROR(INDIRECT(ORÇAMENTO.BancoRef)),"(abra o arquivo 'Referência "&amp;Excel_BuiltIn_Database&amp;".xlsm)",IF(OR($C112&lt;&gt;"S",ORÇAMENTO.CodBarra=""),"(Sem Código)",IF(ISERROR(MATCH($AE112,INDIRECT(ORÇAMENTO.BancoRef),0)),"(Código não identificado nas referências)",MATCH($AE112,INDIRECT(ORÇAMENTO.BancoRef),0))))</f>
        <v>10920</v>
      </c>
      <c r="AG112" s="453">
        <f ca="1">ROUND(IF(DESONERACAO="sim",REFERENCIA.Desonerado,REFERENCIA.NaoDesonerado),2)</f>
        <v>15.29</v>
      </c>
      <c r="AH112" s="454">
        <f t="shared" ca="1" si="167"/>
        <v>0.24199999999999999</v>
      </c>
      <c r="AJ112" s="456"/>
      <c r="AL112" s="471"/>
      <c r="AM112" s="348">
        <f t="shared" ca="1" si="136"/>
        <v>113.94</v>
      </c>
      <c r="AN112" s="504">
        <f t="shared" ca="1" si="168"/>
        <v>18.989999999999998</v>
      </c>
    </row>
    <row r="113" spans="1:40" ht="38.25" x14ac:dyDescent="0.2">
      <c r="A113" t="str">
        <f t="shared" si="165"/>
        <v>S</v>
      </c>
      <c r="B113">
        <f t="shared" ca="1" si="150"/>
        <v>2</v>
      </c>
      <c r="C113" t="str">
        <f t="shared" ca="1" si="151"/>
        <v>S</v>
      </c>
      <c r="D113">
        <f t="shared" ca="1" si="152"/>
        <v>0</v>
      </c>
      <c r="E113">
        <f ca="1">IF($C113=1,OFFSET(E113,-1,0)+MAX(1,COUNTIF(QCI!$A$13:$A$24,OFFSET(ORÇAMENTO!E113,-1,0))),OFFSET(E113,-1,0))</f>
        <v>1</v>
      </c>
      <c r="F113">
        <f t="shared" ca="1" si="153"/>
        <v>12</v>
      </c>
      <c r="G113">
        <f t="shared" ca="1" si="154"/>
        <v>0</v>
      </c>
      <c r="H113">
        <f t="shared" ca="1" si="155"/>
        <v>0</v>
      </c>
      <c r="I113">
        <f t="shared" ca="1" si="156"/>
        <v>27</v>
      </c>
      <c r="J113">
        <f t="shared" ca="1" si="138"/>
        <v>0</v>
      </c>
      <c r="K113">
        <f ca="1">IF(OR($C113="S",$C113=0),0,MATCH(OFFSET($D113,0,$C113)+IF($C113&lt;&gt;1,1,COUNTIF(QCI!$A$13:$A$24,ORÇAMENTO!E113)),OFFSET($D113,1,$C113,ROW($C$131)-ROW($C113)),0))</f>
        <v>0</v>
      </c>
      <c r="L113" s="116" t="str">
        <f t="shared" ca="1" si="157"/>
        <v>F</v>
      </c>
      <c r="M113" s="117" t="s">
        <v>197</v>
      </c>
      <c r="N113" s="118" t="str">
        <f t="shared" ca="1" si="158"/>
        <v>Serviço</v>
      </c>
      <c r="O113" s="119" t="str">
        <f t="shared" ca="1" si="159"/>
        <v>1.12.0.0.27.</v>
      </c>
      <c r="P113" s="120" t="s">
        <v>245</v>
      </c>
      <c r="Q113" s="121" t="s">
        <v>1032</v>
      </c>
      <c r="R113" s="122" t="str">
        <f ca="1">IF($C113="S",REFERENCIA.Descricao,"(digite a descrição aqui)")</f>
        <v>ELETRODUTO FLEXÍVEL CORRUGADO, PEAD, DN 63 (2"), PARA REDE ENTERRADA DE DISTRIBUIÇÃO DE ENERGIA ELÉTRICA - FORNECIMENTO E INSTALAÇÃO. AF_12/2021</v>
      </c>
      <c r="S113" s="123" t="str">
        <f ca="1">REFERENCIA.Unidade</f>
        <v>M</v>
      </c>
      <c r="T113" s="124">
        <f ca="1">OFFSET(CÁLCULO!H$15,ROW($T113)-ROW(T$15),0)</f>
        <v>10.5</v>
      </c>
      <c r="U113" s="125">
        <f t="shared" ca="1" si="17"/>
        <v>12.09</v>
      </c>
      <c r="V113" s="126" t="s">
        <v>155</v>
      </c>
      <c r="W113" s="124">
        <f ca="1">IF($C113="S",ROUND(IF(TIPOORCAMENTO="Proposto",ORÇAMENTO.CustoUnitario*(1+$AH113),ORÇAMENTO.PrecoUnitarioLicitado),15-13*$AF$10),0)</f>
        <v>15.02</v>
      </c>
      <c r="X113" s="127">
        <f ca="1">IF($C113="S",IF(OR(Import.TipoArredondamento&lt;&gt;"TransfereGOV",ACOMPANHAMENTO="BM"),VTOTAL1,SUM(OFFSET(CÁLCULO!$AI$15,ROW($X113)-ROW($X$15),1):OFFSET(CÁLCULO!$BB$15,ROW($X113)-ROW($X$15),-1))),IF($C113=0,0,ROUND(SomaAgrup,15-13*$AF$11)))</f>
        <v>157.71</v>
      </c>
      <c r="Y113" s="128" t="s">
        <v>243</v>
      </c>
      <c r="Z113" t="str">
        <f t="shared" ca="1" si="160"/>
        <v>RA</v>
      </c>
      <c r="AA113" s="129">
        <f ca="1">IF($C113="S",IF($Z113="CP",$X113,IF($Z113="RA",(($X113)*QCI!$AA$3),0)),SomaAgrup)</f>
        <v>157.71</v>
      </c>
      <c r="AB113" s="130">
        <f t="shared" ca="1" si="166"/>
        <v>0</v>
      </c>
      <c r="AC113" s="619" t="str">
        <f ca="1">IF($N113=""," ",
IF(AND($C113&lt;&gt;"S",OR($R113="",$R113="(digite a descrição aqui)")),"DESCRIÇÃO",
IF(AND($C113="S",OR($Q113&lt;&gt;0,$T113&gt;0,$U113&gt;0),$P113=0),"FONTE",
IF(AND($C113="S",$P113&lt;&gt;0,OR($T113&gt;0,$U113&gt;0),$Q113=0),"CÓDIGO",
IF(AND($C113="S",$P113&lt;&gt;0,$Q113&lt;&gt;0,$R113="(Código não identificado nas referências)"),"CÓDIGO N/ID",
IF(AND($C113="S",OR($R113="",$R113="(digite a descrição aqui)"),OR($Q113&lt;&gt;0,$T113&gt;0,$U113&gt;0)),"DESCRIÇÃO",
IF(AND($C113="S",$P113&lt;&gt;0,$Q113&lt;&gt;0,$S113=""),"UNIDADE",
IF(AND($C113="S",$P113&lt;&gt;0,$Q113&lt;&gt;0,$U113=0),"SEM CUSTO",
IF(AND(TIPOORCAMENTO="Licitado",$AL113=0,$AN113&gt;0),"SEM PREÇO",
IF(AND($C113="S",$P113&lt;&gt;0,$Q113&lt;&gt;0,$U113&gt;0,$V113=0),"BDI",
IF(OR(AND(TIPOORCAMENTO="Proposto",$AG113&lt;&gt;"",$AG113&gt;0,ORÇAMENTO.CustoUnitario&gt;$AG113),AND(TIPOORCAMENTO="LICITADO",ORÇAMENTO.PrecoUnitarioLicitado&gt;$AN113)),"ACIMA REF.",
IF(AND($C113="S",$P113&lt;&gt;0,$Q113&lt;&gt;0,$T113=0,$U113&gt;0),"QUANT.",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f ca="1">IF(AND($C113="S",ORÇAMENTO.CodBarra&lt;&gt;""),IF(ORÇAMENTO.Fonte="",ORÇAMENTO.CodBarra,CONCATENATE(ORÇAMENTO.Fonte," ",ORÇAMENTO.CodBarra)))</f>
        <v>SINAPI 97668</v>
      </c>
      <c r="AF113" s="13">
        <f ca="1">IF(ISERROR(INDIRECT(ORÇAMENTO.BancoRef)),"(abra o arquivo 'Referência "&amp;Excel_BuiltIn_Database&amp;".xlsm)",IF(OR($C113&lt;&gt;"S",ORÇAMENTO.CodBarra=""),"(Sem Código)",IF(ISERROR(MATCH($AE113,INDIRECT(ORÇAMENTO.BancoRef),0)),"(Código não identificado nas referências)",MATCH($AE113,INDIRECT(ORÇAMENTO.BancoRef),0))))</f>
        <v>15191</v>
      </c>
      <c r="AG113" s="453">
        <f ca="1">ROUND(IF(DESONERACAO="sim",REFERENCIA.Desonerado,REFERENCIA.NaoDesonerado),2)</f>
        <v>12.09</v>
      </c>
      <c r="AH113" s="454">
        <f t="shared" ca="1" si="167"/>
        <v>0.24199999999999999</v>
      </c>
      <c r="AJ113" s="456"/>
      <c r="AL113" s="471"/>
      <c r="AM113" s="348">
        <f t="shared" ca="1" si="136"/>
        <v>157.71</v>
      </c>
      <c r="AN113" s="504">
        <f t="shared" ca="1" si="168"/>
        <v>15.02</v>
      </c>
    </row>
    <row r="114" spans="1:40" ht="25.5" x14ac:dyDescent="0.2">
      <c r="A114" t="str">
        <f t="shared" si="165"/>
        <v>S</v>
      </c>
      <c r="B114">
        <f t="shared" ca="1" si="150"/>
        <v>2</v>
      </c>
      <c r="C114" t="str">
        <f t="shared" ca="1" si="151"/>
        <v>S</v>
      </c>
      <c r="D114">
        <f t="shared" ca="1" si="152"/>
        <v>0</v>
      </c>
      <c r="E114">
        <f ca="1">IF($C114=1,OFFSET(E114,-1,0)+MAX(1,COUNTIF(QCI!$A$13:$A$24,OFFSET(ORÇAMENTO!E114,-1,0))),OFFSET(E114,-1,0))</f>
        <v>1</v>
      </c>
      <c r="F114">
        <f t="shared" ca="1" si="153"/>
        <v>12</v>
      </c>
      <c r="G114">
        <f t="shared" ca="1" si="154"/>
        <v>0</v>
      </c>
      <c r="H114">
        <f t="shared" ca="1" si="155"/>
        <v>0</v>
      </c>
      <c r="I114">
        <f t="shared" ca="1" si="156"/>
        <v>28</v>
      </c>
      <c r="J114">
        <f t="shared" ca="1" si="138"/>
        <v>0</v>
      </c>
      <c r="K114">
        <f ca="1">IF(OR($C114="S",$C114=0),0,MATCH(OFFSET($D114,0,$C114)+IF($C114&lt;&gt;1,1,COUNTIF(QCI!$A$13:$A$24,ORÇAMENTO!E114)),OFFSET($D114,1,$C114,ROW($C$131)-ROW($C114)),0))</f>
        <v>0</v>
      </c>
      <c r="L114" s="116" t="str">
        <f t="shared" ca="1" si="157"/>
        <v>F</v>
      </c>
      <c r="M114" s="117" t="s">
        <v>197</v>
      </c>
      <c r="N114" s="118" t="str">
        <f t="shared" ca="1" si="158"/>
        <v>Serviço</v>
      </c>
      <c r="O114" s="119" t="str">
        <f t="shared" ca="1" si="159"/>
        <v>1.12.0.0.28.</v>
      </c>
      <c r="P114" s="120" t="s">
        <v>245</v>
      </c>
      <c r="Q114" s="121" t="s">
        <v>1035</v>
      </c>
      <c r="R114" s="122" t="str">
        <f ca="1">IF($C114="S",REFERENCIA.Descricao,"(digite a descrição aqui)")</f>
        <v>SENSOR DE PRESENÇA COM FOTOCÉLULA, FIXAÇÃO EM PAREDE - FORNECIMENTO E INSTALAÇÃO. AF_09/2024</v>
      </c>
      <c r="S114" s="123" t="str">
        <f ca="1">REFERENCIA.Unidade</f>
        <v>UN</v>
      </c>
      <c r="T114" s="124">
        <f ca="1">OFFSET(CÁLCULO!H$15,ROW($T114)-ROW(T$15),0)</f>
        <v>5</v>
      </c>
      <c r="U114" s="125">
        <f t="shared" ca="1" si="17"/>
        <v>92.88</v>
      </c>
      <c r="V114" s="126" t="s">
        <v>155</v>
      </c>
      <c r="W114" s="124">
        <f ca="1">IF($C114="S",ROUND(IF(TIPOORCAMENTO="Proposto",ORÇAMENTO.CustoUnitario*(1+$AH114),ORÇAMENTO.PrecoUnitarioLicitado),15-13*$AF$10),0)</f>
        <v>115.36</v>
      </c>
      <c r="X114" s="127">
        <f ca="1">IF($C114="S",IF(OR(Import.TipoArredondamento&lt;&gt;"TransfereGOV",ACOMPANHAMENTO="BM"),VTOTAL1,SUM(OFFSET(CÁLCULO!$AI$15,ROW($X114)-ROW($X$15),1):OFFSET(CÁLCULO!$BB$15,ROW($X114)-ROW($X$15),-1))),IF($C114=0,0,ROUND(SomaAgrup,15-13*$AF$11)))</f>
        <v>576.79999999999995</v>
      </c>
      <c r="Y114" s="128" t="s">
        <v>243</v>
      </c>
      <c r="Z114" t="str">
        <f t="shared" ca="1" si="160"/>
        <v>RA</v>
      </c>
      <c r="AA114" s="129">
        <f ca="1">IF($C114="S",IF($Z114="CP",$X114,IF($Z114="RA",(($X114)*QCI!$AA$3),0)),SomaAgrup)</f>
        <v>576.79999999999995</v>
      </c>
      <c r="AB114" s="130">
        <f t="shared" ca="1" si="166"/>
        <v>0</v>
      </c>
      <c r="AC114" s="619" t="str">
        <f ca="1">IF($N114=""," ",
IF(AND($C114&lt;&gt;"S",OR($R114="",$R114="(digite a descrição aqui)")),"DESCRIÇÃO",
IF(AND($C114="S",OR($Q114&lt;&gt;0,$T114&gt;0,$U114&gt;0),$P114=0),"FONTE",
IF(AND($C114="S",$P114&lt;&gt;0,OR($T114&gt;0,$U114&gt;0),$Q114=0),"CÓDIGO",
IF(AND($C114="S",$P114&lt;&gt;0,$Q114&lt;&gt;0,$R114="(Código não identificado nas referências)"),"CÓDIGO N/ID",
IF(AND($C114="S",OR($R114="",$R114="(digite a descrição aqui)"),OR($Q114&lt;&gt;0,$T114&gt;0,$U114&gt;0)),"DESCRIÇÃO",
IF(AND($C114="S",$P114&lt;&gt;0,$Q114&lt;&gt;0,$S114=""),"UNIDADE",
IF(AND($C114="S",$P114&lt;&gt;0,$Q114&lt;&gt;0,$U114=0),"SEM CUSTO",
IF(AND(TIPOORCAMENTO="Licitado",$AL114=0,$AN114&gt;0),"SEM PREÇO",
IF(AND($C114="S",$P114&lt;&gt;0,$Q114&lt;&gt;0,$U114&gt;0,$V114=0),"BDI",
IF(OR(AND(TIPOORCAMENTO="Proposto",$AG114&lt;&gt;"",$AG114&gt;0,ORÇAMENTO.CustoUnitario&gt;$AG114),AND(TIPOORCAMENTO="LICITADO",ORÇAMENTO.PrecoUnitarioLicitado&gt;$AN114)),"ACIMA REF.",
IF(AND($C114="S",$P114&lt;&gt;0,$Q114&lt;&gt;0,$T114=0,$U114&gt;0),"QUANT.",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str">
        <f ca="1">IF(AND($C114="S",ORÇAMENTO.CodBarra&lt;&gt;""),IF(ORÇAMENTO.Fonte="",ORÇAMENTO.CodBarra,CONCATENATE(ORÇAMENTO.Fonte," ",ORÇAMENTO.CodBarra)))</f>
        <v>SINAPI 97595</v>
      </c>
      <c r="AF114" s="13">
        <f ca="1">IF(ISERROR(INDIRECT(ORÇAMENTO.BancoRef)),"(abra o arquivo 'Referência "&amp;Excel_BuiltIn_Database&amp;".xlsm)",IF(OR($C114&lt;&gt;"S",ORÇAMENTO.CodBarra=""),"(Sem Código)",IF(ISERROR(MATCH($AE114,INDIRECT(ORÇAMENTO.BancoRef),0)),"(Código não identificado nas referências)",MATCH($AE114,INDIRECT(ORÇAMENTO.BancoRef),0))))</f>
        <v>10726</v>
      </c>
      <c r="AG114" s="453">
        <f ca="1">ROUND(IF(DESONERACAO="sim",REFERENCIA.Desonerado,REFERENCIA.NaoDesonerado),2)</f>
        <v>92.88</v>
      </c>
      <c r="AH114" s="454">
        <f t="shared" ca="1" si="167"/>
        <v>0.24199999999999999</v>
      </c>
      <c r="AJ114" s="456"/>
      <c r="AL114" s="471"/>
      <c r="AM114" s="348">
        <f t="shared" ca="1" si="136"/>
        <v>576.79999999999995</v>
      </c>
      <c r="AN114" s="504">
        <f t="shared" ca="1" si="168"/>
        <v>115.36</v>
      </c>
    </row>
    <row r="115" spans="1:40" x14ac:dyDescent="0.2">
      <c r="A115" t="str">
        <f t="shared" si="165"/>
        <v>S</v>
      </c>
      <c r="B115">
        <f t="shared" ca="1" si="150"/>
        <v>2</v>
      </c>
      <c r="C115" t="str">
        <f t="shared" ca="1" si="151"/>
        <v>S</v>
      </c>
      <c r="D115">
        <f t="shared" ca="1" si="152"/>
        <v>0</v>
      </c>
      <c r="E115">
        <f ca="1">IF($C115=1,OFFSET(E115,-1,0)+MAX(1,COUNTIF(QCI!$A$13:$A$24,OFFSET(ORÇAMENTO!E115,-1,0))),OFFSET(E115,-1,0))</f>
        <v>1</v>
      </c>
      <c r="F115">
        <f t="shared" ca="1" si="153"/>
        <v>12</v>
      </c>
      <c r="G115">
        <f t="shared" ca="1" si="154"/>
        <v>0</v>
      </c>
      <c r="H115">
        <f t="shared" ca="1" si="155"/>
        <v>0</v>
      </c>
      <c r="I115">
        <f t="shared" ca="1" si="156"/>
        <v>29</v>
      </c>
      <c r="J115">
        <f t="shared" ca="1" si="138"/>
        <v>0</v>
      </c>
      <c r="K115">
        <f ca="1">IF(OR($C115="S",$C115=0),0,MATCH(OFFSET($D115,0,$C115)+IF($C115&lt;&gt;1,1,COUNTIF(QCI!$A$13:$A$24,ORÇAMENTO!E115)),OFFSET($D115,1,$C115,ROW($C$131)-ROW($C115)),0))</f>
        <v>0</v>
      </c>
      <c r="L115" s="116" t="str">
        <f t="shared" ca="1" si="157"/>
        <v>F</v>
      </c>
      <c r="M115" s="117" t="s">
        <v>197</v>
      </c>
      <c r="N115" s="118" t="str">
        <f t="shared" ca="1" si="158"/>
        <v>Serviço</v>
      </c>
      <c r="O115" s="119" t="str">
        <f t="shared" ca="1" si="159"/>
        <v>1.12.0.0.29.</v>
      </c>
      <c r="P115" s="120" t="s">
        <v>1036</v>
      </c>
      <c r="Q115" s="121" t="s">
        <v>1037</v>
      </c>
      <c r="R115" s="122" t="str">
        <f ca="1">IF($C115="S",REFERENCIA.Descricao,"(digite a descrição aqui)")</f>
        <v>11405/ORSE 	Junção interna tipo "I" para perfilado, ( ref.: Mopa ou similar)</v>
      </c>
      <c r="S115" s="123" t="str">
        <f ca="1">REFERENCIA.Unidade</f>
        <v>UN</v>
      </c>
      <c r="T115" s="124">
        <f ca="1">OFFSET(CÁLCULO!H$15,ROW($T115)-ROW(T$15),0)</f>
        <v>26</v>
      </c>
      <c r="U115" s="125">
        <f t="shared" ca="1" si="17"/>
        <v>12.05</v>
      </c>
      <c r="V115" s="126" t="s">
        <v>155</v>
      </c>
      <c r="W115" s="124">
        <f ca="1">IF($C115="S",ROUND(IF(TIPOORCAMENTO="Proposto",ORÇAMENTO.CustoUnitario*(1+$AH115),ORÇAMENTO.PrecoUnitarioLicitado),15-13*$AF$10),0)</f>
        <v>14.97</v>
      </c>
      <c r="X115" s="127">
        <f ca="1">IF($C115="S",IF(OR(Import.TipoArredondamento&lt;&gt;"TransfereGOV",ACOMPANHAMENTO="BM"),VTOTAL1,SUM(OFFSET(CÁLCULO!$AI$15,ROW($X115)-ROW($X$15),1):OFFSET(CÁLCULO!$BB$15,ROW($X115)-ROW($X$15),-1))),IF($C115=0,0,ROUND(SomaAgrup,15-13*$AF$11)))</f>
        <v>389.22</v>
      </c>
      <c r="Y115" s="128" t="s">
        <v>243</v>
      </c>
      <c r="Z115" t="str">
        <f t="shared" ca="1" si="160"/>
        <v>RA</v>
      </c>
      <c r="AA115" s="129">
        <f ca="1">IF($C115="S",IF($Z115="CP",$X115,IF($Z115="RA",(($X115)*QCI!$AA$3),0)),SomaAgrup)</f>
        <v>389.22</v>
      </c>
      <c r="AB115" s="130">
        <f t="shared" ca="1" si="166"/>
        <v>0</v>
      </c>
      <c r="AC115" s="619" t="str">
        <f ca="1">IF($N115=""," ",
IF(AND($C115&lt;&gt;"S",OR($R115="",$R115="(digite a descrição aqui)")),"DESCRIÇÃO",
IF(AND($C115="S",OR($Q115&lt;&gt;0,$T115&gt;0,$U115&gt;0),$P115=0),"FONTE",
IF(AND($C115="S",$P115&lt;&gt;0,OR($T115&gt;0,$U115&gt;0),$Q115=0),"CÓDIGO",
IF(AND($C115="S",$P115&lt;&gt;0,$Q115&lt;&gt;0,$R115="(Código não identificado nas referências)"),"CÓDIGO N/ID",
IF(AND($C115="S",OR($R115="",$R115="(digite a descrição aqui)"),OR($Q115&lt;&gt;0,$T115&gt;0,$U115&gt;0)),"DESCRIÇÃO",
IF(AND($C115="S",$P115&lt;&gt;0,$Q115&lt;&gt;0,$S115=""),"UNIDADE",
IF(AND($C115="S",$P115&lt;&gt;0,$Q115&lt;&gt;0,$U115=0),"SEM CUSTO",
IF(AND(TIPOORCAMENTO="Licitado",$AL115=0,$AN115&gt;0),"SEM PREÇO",
IF(AND($C115="S",$P115&lt;&gt;0,$Q115&lt;&gt;0,$U115&gt;0,$V115=0),"BDI",
IF(OR(AND(TIPOORCAMENTO="Proposto",$AG115&lt;&gt;"",$AG115&gt;0,ORÇAMENTO.CustoUnitario&gt;$AG115),AND(TIPOORCAMENTO="LICITADO",ORÇAMENTO.PrecoUnitarioLicitado&gt;$AN115)),"ACIMA REF.",
IF(AND($C115="S",$P115&lt;&gt;0,$Q115&lt;&gt;0,$T115=0,$U115&gt;0),"QUANT.",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f ca="1">IF(AND($C115="S",ORÇAMENTO.CodBarra&lt;&gt;""),IF(ORÇAMENTO.Fonte="",ORÇAMENTO.CodBarra,CONCATENATE(ORÇAMENTO.Fonte," ",ORÇAMENTO.CodBarra)))</f>
        <v>Cotação 70</v>
      </c>
      <c r="AF115" s="13">
        <f ca="1">IF(ISERROR(INDIRECT(ORÇAMENTO.BancoRef)),"(abra o arquivo 'Referência "&amp;Excel_BuiltIn_Database&amp;".xlsm)",IF(OR($C115&lt;&gt;"S",ORÇAMENTO.CodBarra=""),"(Sem Código)",IF(ISERROR(MATCH($AE115,INDIRECT(ORÇAMENTO.BancoRef),0)),"(Código não identificado nas referências)",MATCH($AE115,INDIRECT(ORÇAMENTO.BancoRef),0))))</f>
        <v>160</v>
      </c>
      <c r="AG115" s="453">
        <f ca="1">ROUND(IF(DESONERACAO="sim",REFERENCIA.Desonerado,REFERENCIA.NaoDesonerado),2)</f>
        <v>12.05</v>
      </c>
      <c r="AH115" s="454">
        <f t="shared" ca="1" si="167"/>
        <v>0.24199999999999999</v>
      </c>
      <c r="AJ115" s="456"/>
      <c r="AL115" s="471"/>
      <c r="AM115" s="348">
        <f t="shared" ca="1" si="136"/>
        <v>389.22</v>
      </c>
      <c r="AN115" s="504">
        <f t="shared" ca="1" si="168"/>
        <v>14.97</v>
      </c>
    </row>
    <row r="116" spans="1:40" x14ac:dyDescent="0.2">
      <c r="A116" t="str">
        <f t="shared" si="165"/>
        <v>S</v>
      </c>
      <c r="B116">
        <f t="shared" ca="1" si="150"/>
        <v>2</v>
      </c>
      <c r="C116" t="str">
        <f t="shared" ca="1" si="151"/>
        <v>S</v>
      </c>
      <c r="D116">
        <f t="shared" ca="1" si="152"/>
        <v>0</v>
      </c>
      <c r="E116">
        <f ca="1">IF($C116=1,OFFSET(E116,-1,0)+MAX(1,COUNTIF(QCI!$A$13:$A$24,OFFSET(ORÇAMENTO!E116,-1,0))),OFFSET(E116,-1,0))</f>
        <v>1</v>
      </c>
      <c r="F116">
        <f t="shared" ca="1" si="153"/>
        <v>12</v>
      </c>
      <c r="G116">
        <f t="shared" ca="1" si="154"/>
        <v>0</v>
      </c>
      <c r="H116">
        <f t="shared" ca="1" si="155"/>
        <v>0</v>
      </c>
      <c r="I116">
        <f t="shared" ca="1" si="156"/>
        <v>30</v>
      </c>
      <c r="J116">
        <f t="shared" ca="1" si="138"/>
        <v>0</v>
      </c>
      <c r="K116">
        <f ca="1">IF(OR($C116="S",$C116=0),0,MATCH(OFFSET($D116,0,$C116)+IF($C116&lt;&gt;1,1,COUNTIF(QCI!$A$13:$A$24,ORÇAMENTO!E116)),OFFSET($D116,1,$C116,ROW($C$131)-ROW($C116)),0))</f>
        <v>0</v>
      </c>
      <c r="L116" s="116" t="str">
        <f t="shared" ca="1" si="157"/>
        <v>F</v>
      </c>
      <c r="M116" s="117" t="s">
        <v>197</v>
      </c>
      <c r="N116" s="118" t="str">
        <f t="shared" ca="1" si="158"/>
        <v>Serviço</v>
      </c>
      <c r="O116" s="119" t="str">
        <f t="shared" ca="1" si="159"/>
        <v>1.12.0.0.30.</v>
      </c>
      <c r="P116" s="120" t="s">
        <v>1036</v>
      </c>
      <c r="Q116" s="121" t="s">
        <v>1038</v>
      </c>
      <c r="R116" s="122" t="str">
        <f ca="1">IF($C116="S",REFERENCIA.Descricao,"(digite a descrição aqui)")</f>
        <v>12578/ORSE 	Saída para perfilado 38x38mm (mopa ou similar)</v>
      </c>
      <c r="S116" s="123" t="str">
        <f ca="1">REFERENCIA.Unidade</f>
        <v>UN</v>
      </c>
      <c r="T116" s="124">
        <f ca="1">OFFSET(CÁLCULO!H$15,ROW($T116)-ROW(T$15),0)</f>
        <v>1</v>
      </c>
      <c r="U116" s="125">
        <f t="shared" ca="1" si="17"/>
        <v>15.85</v>
      </c>
      <c r="V116" s="126" t="s">
        <v>155</v>
      </c>
      <c r="W116" s="124">
        <f ca="1">IF($C116="S",ROUND(IF(TIPOORCAMENTO="Proposto",ORÇAMENTO.CustoUnitario*(1+$AH116),ORÇAMENTO.PrecoUnitarioLicitado),15-13*$AF$10),0)</f>
        <v>19.690000000000001</v>
      </c>
      <c r="X116" s="127">
        <f ca="1">IF($C116="S",IF(OR(Import.TipoArredondamento&lt;&gt;"TransfereGOV",ACOMPANHAMENTO="BM"),VTOTAL1,SUM(OFFSET(CÁLCULO!$AI$15,ROW($X116)-ROW($X$15),1):OFFSET(CÁLCULO!$BB$15,ROW($X116)-ROW($X$15),-1))),IF($C116=0,0,ROUND(SomaAgrup,15-13*$AF$11)))</f>
        <v>19.690000000000001</v>
      </c>
      <c r="Y116" s="128" t="s">
        <v>243</v>
      </c>
      <c r="Z116" t="str">
        <f t="shared" ca="1" si="160"/>
        <v>RA</v>
      </c>
      <c r="AA116" s="129">
        <f ca="1">IF($C116="S",IF($Z116="CP",$X116,IF($Z116="RA",(($X116)*QCI!$AA$3),0)),SomaAgrup)</f>
        <v>19.690000000000001</v>
      </c>
      <c r="AB116" s="130">
        <f t="shared" ca="1" si="166"/>
        <v>0</v>
      </c>
      <c r="AC116" s="619" t="str">
        <f ca="1">IF($N116=""," ",
IF(AND($C116&lt;&gt;"S",OR($R116="",$R116="(digite a descrição aqui)")),"DESCRIÇÃO",
IF(AND($C116="S",OR($Q116&lt;&gt;0,$T116&gt;0,$U116&gt;0),$P116=0),"FONTE",
IF(AND($C116="S",$P116&lt;&gt;0,OR($T116&gt;0,$U116&gt;0),$Q116=0),"CÓDIGO",
IF(AND($C116="S",$P116&lt;&gt;0,$Q116&lt;&gt;0,$R116="(Código não identificado nas referências)"),"CÓDIGO N/ID",
IF(AND($C116="S",OR($R116="",$R116="(digite a descrição aqui)"),OR($Q116&lt;&gt;0,$T116&gt;0,$U116&gt;0)),"DESCRIÇÃO",
IF(AND($C116="S",$P116&lt;&gt;0,$Q116&lt;&gt;0,$S116=""),"UNIDADE",
IF(AND($C116="S",$P116&lt;&gt;0,$Q116&lt;&gt;0,$U116=0),"SEM CUSTO",
IF(AND(TIPOORCAMENTO="Licitado",$AL116=0,$AN116&gt;0),"SEM PREÇO",
IF(AND($C116="S",$P116&lt;&gt;0,$Q116&lt;&gt;0,$U116&gt;0,$V116=0),"BDI",
IF(OR(AND(TIPOORCAMENTO="Proposto",$AG116&lt;&gt;"",$AG116&gt;0,ORÇAMENTO.CustoUnitario&gt;$AG116),AND(TIPOORCAMENTO="LICITADO",ORÇAMENTO.PrecoUnitarioLicitado&gt;$AN116)),"ACIMA REF.",
IF(AND($C116="S",$P116&lt;&gt;0,$Q116&lt;&gt;0,$T116=0,$U116&gt;0),"QUANT.",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str">
        <f ca="1">IF(AND($C116="S",ORÇAMENTO.CodBarra&lt;&gt;""),IF(ORÇAMENTO.Fonte="",ORÇAMENTO.CodBarra,CONCATENATE(ORÇAMENTO.Fonte," ",ORÇAMENTO.CodBarra)))</f>
        <v>Cotação 71</v>
      </c>
      <c r="AF116" s="13">
        <f ca="1">IF(ISERROR(INDIRECT(ORÇAMENTO.BancoRef)),"(abra o arquivo 'Referência "&amp;Excel_BuiltIn_Database&amp;".xlsm)",IF(OR($C116&lt;&gt;"S",ORÇAMENTO.CodBarra=""),"(Sem Código)",IF(ISERROR(MATCH($AE116,INDIRECT(ORÇAMENTO.BancoRef),0)),"(Código não identificado nas referências)",MATCH($AE116,INDIRECT(ORÇAMENTO.BancoRef),0))))</f>
        <v>161</v>
      </c>
      <c r="AG116" s="453">
        <f ca="1">ROUND(IF(DESONERACAO="sim",REFERENCIA.Desonerado,REFERENCIA.NaoDesonerado),2)</f>
        <v>15.85</v>
      </c>
      <c r="AH116" s="454">
        <f t="shared" ca="1" si="167"/>
        <v>0.24199999999999999</v>
      </c>
      <c r="AJ116" s="456"/>
      <c r="AL116" s="471"/>
      <c r="AM116" s="348">
        <f t="shared" ca="1" si="136"/>
        <v>19.690000000000001</v>
      </c>
      <c r="AN116" s="504">
        <f t="shared" ca="1" si="168"/>
        <v>19.690000000000001</v>
      </c>
    </row>
    <row r="117" spans="1:40" x14ac:dyDescent="0.2">
      <c r="A117" t="str">
        <f t="shared" si="165"/>
        <v>S</v>
      </c>
      <c r="B117">
        <f t="shared" ca="1" si="150"/>
        <v>2</v>
      </c>
      <c r="C117" t="str">
        <f t="shared" ca="1" si="151"/>
        <v>S</v>
      </c>
      <c r="D117">
        <f t="shared" ca="1" si="152"/>
        <v>0</v>
      </c>
      <c r="E117">
        <f ca="1">IF($C117=1,OFFSET(E117,-1,0)+MAX(1,COUNTIF(QCI!$A$13:$A$24,OFFSET(ORÇAMENTO!E117,-1,0))),OFFSET(E117,-1,0))</f>
        <v>1</v>
      </c>
      <c r="F117">
        <f t="shared" ca="1" si="153"/>
        <v>12</v>
      </c>
      <c r="G117">
        <f t="shared" ca="1" si="154"/>
        <v>0</v>
      </c>
      <c r="H117">
        <f t="shared" ca="1" si="155"/>
        <v>0</v>
      </c>
      <c r="I117">
        <f t="shared" ca="1" si="156"/>
        <v>31</v>
      </c>
      <c r="J117">
        <f t="shared" ca="1" si="138"/>
        <v>0</v>
      </c>
      <c r="K117">
        <f ca="1">IF(OR($C117="S",$C117=0),0,MATCH(OFFSET($D117,0,$C117)+IF($C117&lt;&gt;1,1,COUNTIF(QCI!$A$13:$A$24,ORÇAMENTO!E117)),OFFSET($D117,1,$C117,ROW($C$131)-ROW($C117)),0))</f>
        <v>0</v>
      </c>
      <c r="L117" s="116" t="str">
        <f t="shared" ca="1" si="157"/>
        <v>F</v>
      </c>
      <c r="M117" s="117" t="s">
        <v>197</v>
      </c>
      <c r="N117" s="118" t="str">
        <f t="shared" ca="1" si="158"/>
        <v>Serviço</v>
      </c>
      <c r="O117" s="119" t="str">
        <f t="shared" ca="1" si="159"/>
        <v>1.12.0.0.31.</v>
      </c>
      <c r="P117" s="120" t="s">
        <v>1036</v>
      </c>
      <c r="Q117" s="121" t="s">
        <v>1039</v>
      </c>
      <c r="R117" s="122" t="str">
        <f ca="1">IF($C117="S",REFERENCIA.Descricao,"(digite a descrição aqui)")</f>
        <v>13606/ORSE 	Perfilado, pré-zincado a fogo, perfurado 38 x 38mm</v>
      </c>
      <c r="S117" s="123" t="str">
        <f ca="1">REFERENCIA.Unidade</f>
        <v>M</v>
      </c>
      <c r="T117" s="124">
        <f ca="1">OFFSET(CÁLCULO!H$15,ROW($T117)-ROW(T$15),0)</f>
        <v>79.23</v>
      </c>
      <c r="U117" s="125">
        <f t="shared" ca="1" si="17"/>
        <v>31.5</v>
      </c>
      <c r="V117" s="126" t="s">
        <v>155</v>
      </c>
      <c r="W117" s="124">
        <f ca="1">IF($C117="S",ROUND(IF(TIPOORCAMENTO="Proposto",ORÇAMENTO.CustoUnitario*(1+$AH117),ORÇAMENTO.PrecoUnitarioLicitado),15-13*$AF$10),0)</f>
        <v>39.119999999999997</v>
      </c>
      <c r="X117" s="127">
        <f ca="1">IF($C117="S",IF(OR(Import.TipoArredondamento&lt;&gt;"TransfereGOV",ACOMPANHAMENTO="BM"),VTOTAL1,SUM(OFFSET(CÁLCULO!$AI$15,ROW($X117)-ROW($X$15),1):OFFSET(CÁLCULO!$BB$15,ROW($X117)-ROW($X$15),-1))),IF($C117=0,0,ROUND(SomaAgrup,15-13*$AF$11)))</f>
        <v>3099.48</v>
      </c>
      <c r="Y117" s="128" t="s">
        <v>243</v>
      </c>
      <c r="Z117" t="str">
        <f t="shared" ca="1" si="160"/>
        <v>RA</v>
      </c>
      <c r="AA117" s="129">
        <f ca="1">IF($C117="S",IF($Z117="CP",$X117,IF($Z117="RA",(($X117)*QCI!$AA$3),0)),SomaAgrup)</f>
        <v>3099.48</v>
      </c>
      <c r="AB117" s="130">
        <f t="shared" ca="1" si="166"/>
        <v>0</v>
      </c>
      <c r="AC117" s="619" t="str">
        <f ca="1">IF($N117=""," ",
IF(AND($C117&lt;&gt;"S",OR($R117="",$R117="(digite a descrição aqui)")),"DESCRIÇÃO",
IF(AND($C117="S",OR($Q117&lt;&gt;0,$T117&gt;0,$U117&gt;0),$P117=0),"FONTE",
IF(AND($C117="S",$P117&lt;&gt;0,OR($T117&gt;0,$U117&gt;0),$Q117=0),"CÓDIGO",
IF(AND($C117="S",$P117&lt;&gt;0,$Q117&lt;&gt;0,$R117="(Código não identificado nas referências)"),"CÓDIGO N/ID",
IF(AND($C117="S",OR($R117="",$R117="(digite a descrição aqui)"),OR($Q117&lt;&gt;0,$T117&gt;0,$U117&gt;0)),"DESCRIÇÃO",
IF(AND($C117="S",$P117&lt;&gt;0,$Q117&lt;&gt;0,$S117=""),"UNIDADE",
IF(AND($C117="S",$P117&lt;&gt;0,$Q117&lt;&gt;0,$U117=0),"SEM CUSTO",
IF(AND(TIPOORCAMENTO="Licitado",$AL117=0,$AN117&gt;0),"SEM PREÇO",
IF(AND($C117="S",$P117&lt;&gt;0,$Q117&lt;&gt;0,$U117&gt;0,$V117=0),"BDI",
IF(OR(AND(TIPOORCAMENTO="Proposto",$AG117&lt;&gt;"",$AG117&gt;0,ORÇAMENTO.CustoUnitario&gt;$AG117),AND(TIPOORCAMENTO="LICITADO",ORÇAMENTO.PrecoUnitarioLicitado&gt;$AN117)),"ACIMA REF.",
IF(AND($C117="S",$P117&lt;&gt;0,$Q117&lt;&gt;0,$T117=0,$U117&gt;0),"QUANT.",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f ca="1">IF(AND($C117="S",ORÇAMENTO.CodBarra&lt;&gt;""),IF(ORÇAMENTO.Fonte="",ORÇAMENTO.CodBarra,CONCATENATE(ORÇAMENTO.Fonte," ",ORÇAMENTO.CodBarra)))</f>
        <v>Cotação 72</v>
      </c>
      <c r="AF117" s="13">
        <f ca="1">IF(ISERROR(INDIRECT(ORÇAMENTO.BancoRef)),"(abra o arquivo 'Referência "&amp;Excel_BuiltIn_Database&amp;".xlsm)",IF(OR($C117&lt;&gt;"S",ORÇAMENTO.CodBarra=""),"(Sem Código)",IF(ISERROR(MATCH($AE117,INDIRECT(ORÇAMENTO.BancoRef),0)),"(Código não identificado nas referências)",MATCH($AE117,INDIRECT(ORÇAMENTO.BancoRef),0))))</f>
        <v>162</v>
      </c>
      <c r="AG117" s="453">
        <f ca="1">ROUND(IF(DESONERACAO="sim",REFERENCIA.Desonerado,REFERENCIA.NaoDesonerado),2)</f>
        <v>31.5</v>
      </c>
      <c r="AH117" s="454">
        <f t="shared" ca="1" si="167"/>
        <v>0.24199999999999999</v>
      </c>
      <c r="AJ117" s="456"/>
      <c r="AL117" s="471"/>
      <c r="AM117" s="348">
        <f t="shared" ca="1" si="136"/>
        <v>3099.48</v>
      </c>
      <c r="AN117" s="504">
        <f t="shared" ca="1" si="168"/>
        <v>39.119999999999997</v>
      </c>
    </row>
    <row r="118" spans="1:40" x14ac:dyDescent="0.2">
      <c r="A118" t="str">
        <f t="shared" si="165"/>
        <v>S</v>
      </c>
      <c r="B118">
        <f t="shared" ca="1" si="150"/>
        <v>2</v>
      </c>
      <c r="C118" t="str">
        <f t="shared" ca="1" si="151"/>
        <v>S</v>
      </c>
      <c r="D118">
        <f t="shared" ca="1" si="152"/>
        <v>0</v>
      </c>
      <c r="E118">
        <f ca="1">IF($C118=1,OFFSET(E118,-1,0)+MAX(1,COUNTIF(QCI!$A$13:$A$24,OFFSET(ORÇAMENTO!E118,-1,0))),OFFSET(E118,-1,0))</f>
        <v>1</v>
      </c>
      <c r="F118">
        <f t="shared" ca="1" si="153"/>
        <v>12</v>
      </c>
      <c r="G118">
        <f t="shared" ca="1" si="154"/>
        <v>0</v>
      </c>
      <c r="H118">
        <f t="shared" ca="1" si="155"/>
        <v>0</v>
      </c>
      <c r="I118">
        <f t="shared" ca="1" si="156"/>
        <v>32</v>
      </c>
      <c r="J118">
        <f t="shared" ca="1" si="138"/>
        <v>0</v>
      </c>
      <c r="K118">
        <f ca="1">IF(OR($C118="S",$C118=0),0,MATCH(OFFSET($D118,0,$C118)+IF($C118&lt;&gt;1,1,COUNTIF(QCI!$A$13:$A$24,ORÇAMENTO!E118)),OFFSET($D118,1,$C118,ROW($C$131)-ROW($C118)),0))</f>
        <v>0</v>
      </c>
      <c r="L118" s="116" t="str">
        <f t="shared" ca="1" si="157"/>
        <v>F</v>
      </c>
      <c r="M118" s="117" t="s">
        <v>197</v>
      </c>
      <c r="N118" s="118" t="str">
        <f t="shared" ca="1" si="158"/>
        <v>Serviço</v>
      </c>
      <c r="O118" s="119" t="str">
        <f t="shared" ca="1" si="159"/>
        <v>1.12.0.0.32.</v>
      </c>
      <c r="P118" s="120" t="s">
        <v>1036</v>
      </c>
      <c r="Q118" s="121" t="s">
        <v>1040</v>
      </c>
      <c r="R118" s="122" t="str">
        <f ca="1">IF($C118="S",REFERENCIA.Descricao,"(digite a descrição aqui)")</f>
        <v>09673/ORSE 	Gancho longo para perfilado, ( ref.: Mopa ou similar)</v>
      </c>
      <c r="S118" s="123" t="str">
        <f ca="1">REFERENCIA.Unidade</f>
        <v>UN</v>
      </c>
      <c r="T118" s="124">
        <f ca="1">OFFSET(CÁLCULO!H$15,ROW($T118)-ROW(T$15),0)</f>
        <v>99</v>
      </c>
      <c r="U118" s="125">
        <f t="shared" ca="1" si="17"/>
        <v>12.7</v>
      </c>
      <c r="V118" s="126" t="s">
        <v>155</v>
      </c>
      <c r="W118" s="124">
        <f ca="1">IF($C118="S",ROUND(IF(TIPOORCAMENTO="Proposto",ORÇAMENTO.CustoUnitario*(1+$AH118),ORÇAMENTO.PrecoUnitarioLicitado),15-13*$AF$10),0)</f>
        <v>15.77</v>
      </c>
      <c r="X118" s="127">
        <f ca="1">IF($C118="S",IF(OR(Import.TipoArredondamento&lt;&gt;"TransfereGOV",ACOMPANHAMENTO="BM"),VTOTAL1,SUM(OFFSET(CÁLCULO!$AI$15,ROW($X118)-ROW($X$15),1):OFFSET(CÁLCULO!$BB$15,ROW($X118)-ROW($X$15),-1))),IF($C118=0,0,ROUND(SomaAgrup,15-13*$AF$11)))</f>
        <v>1561.23</v>
      </c>
      <c r="Y118" s="128" t="s">
        <v>243</v>
      </c>
      <c r="Z118" t="str">
        <f t="shared" ca="1" si="160"/>
        <v>RA</v>
      </c>
      <c r="AA118" s="129">
        <f ca="1">IF($C118="S",IF($Z118="CP",$X118,IF($Z118="RA",(($X118)*QCI!$AA$3),0)),SomaAgrup)</f>
        <v>1561.23</v>
      </c>
      <c r="AB118" s="130">
        <f t="shared" ca="1" si="166"/>
        <v>0</v>
      </c>
      <c r="AC118" s="619" t="str">
        <f ca="1">IF($N118=""," ",
IF(AND($C118&lt;&gt;"S",OR($R118="",$R118="(digite a descrição aqui)")),"DESCRIÇÃO",
IF(AND($C118="S",OR($Q118&lt;&gt;0,$T118&gt;0,$U118&gt;0),$P118=0),"FONTE",
IF(AND($C118="S",$P118&lt;&gt;0,OR($T118&gt;0,$U118&gt;0),$Q118=0),"CÓDIGO",
IF(AND($C118="S",$P118&lt;&gt;0,$Q118&lt;&gt;0,$R118="(Código não identificado nas referências)"),"CÓDIGO N/ID",
IF(AND($C118="S",OR($R118="",$R118="(digite a descrição aqui)"),OR($Q118&lt;&gt;0,$T118&gt;0,$U118&gt;0)),"DESCRIÇÃO",
IF(AND($C118="S",$P118&lt;&gt;0,$Q118&lt;&gt;0,$S118=""),"UNIDADE",
IF(AND($C118="S",$P118&lt;&gt;0,$Q118&lt;&gt;0,$U118=0),"SEM CUSTO",
IF(AND(TIPOORCAMENTO="Licitado",$AL118=0,$AN118&gt;0),"SEM PREÇO",
IF(AND($C118="S",$P118&lt;&gt;0,$Q118&lt;&gt;0,$U118&gt;0,$V118=0),"BDI",
IF(OR(AND(TIPOORCAMENTO="Proposto",$AG118&lt;&gt;"",$AG118&gt;0,ORÇAMENTO.CustoUnitario&gt;$AG118),AND(TIPOORCAMENTO="LICITADO",ORÇAMENTO.PrecoUnitarioLicitado&gt;$AN118)),"ACIMA REF.",
IF(AND($C118="S",$P118&lt;&gt;0,$Q118&lt;&gt;0,$T118=0,$U118&gt;0),"QUANT.",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f ca="1">IF(AND($C118="S",ORÇAMENTO.CodBarra&lt;&gt;""),IF(ORÇAMENTO.Fonte="",ORÇAMENTO.CodBarra,CONCATENATE(ORÇAMENTO.Fonte," ",ORÇAMENTO.CodBarra)))</f>
        <v>Cotação 73</v>
      </c>
      <c r="AF118" s="13">
        <f ca="1">IF(ISERROR(INDIRECT(ORÇAMENTO.BancoRef)),"(abra o arquivo 'Referência "&amp;Excel_BuiltIn_Database&amp;".xlsm)",IF(OR($C118&lt;&gt;"S",ORÇAMENTO.CodBarra=""),"(Sem Código)",IF(ISERROR(MATCH($AE118,INDIRECT(ORÇAMENTO.BancoRef),0)),"(Código não identificado nas referências)",MATCH($AE118,INDIRECT(ORÇAMENTO.BancoRef),0))))</f>
        <v>163</v>
      </c>
      <c r="AG118" s="453">
        <f ca="1">ROUND(IF(DESONERACAO="sim",REFERENCIA.Desonerado,REFERENCIA.NaoDesonerado),2)</f>
        <v>12.7</v>
      </c>
      <c r="AH118" s="454">
        <f t="shared" ca="1" si="167"/>
        <v>0.24199999999999999</v>
      </c>
      <c r="AJ118" s="456"/>
      <c r="AL118" s="471"/>
      <c r="AM118" s="348">
        <f t="shared" ca="1" si="136"/>
        <v>1561.23</v>
      </c>
      <c r="AN118" s="504">
        <f t="shared" ca="1" si="168"/>
        <v>15.77</v>
      </c>
    </row>
    <row r="119" spans="1:40" ht="25.5" x14ac:dyDescent="0.2">
      <c r="A119" t="str">
        <f t="shared" si="165"/>
        <v>S</v>
      </c>
      <c r="B119">
        <f t="shared" ca="1" si="150"/>
        <v>2</v>
      </c>
      <c r="C119" t="str">
        <f t="shared" ca="1" si="151"/>
        <v>S</v>
      </c>
      <c r="D119">
        <f t="shared" ca="1" si="152"/>
        <v>0</v>
      </c>
      <c r="E119">
        <f ca="1">IF($C119=1,OFFSET(E119,-1,0)+MAX(1,COUNTIF(QCI!$A$13:$A$24,OFFSET(ORÇAMENTO!E119,-1,0))),OFFSET(E119,-1,0))</f>
        <v>1</v>
      </c>
      <c r="F119">
        <f t="shared" ca="1" si="153"/>
        <v>12</v>
      </c>
      <c r="G119">
        <f t="shared" ca="1" si="154"/>
        <v>0</v>
      </c>
      <c r="H119">
        <f t="shared" ca="1" si="155"/>
        <v>0</v>
      </c>
      <c r="I119">
        <f t="shared" ca="1" si="156"/>
        <v>33</v>
      </c>
      <c r="J119">
        <f t="shared" ca="1" si="138"/>
        <v>0</v>
      </c>
      <c r="K119">
        <f ca="1">IF(OR($C119="S",$C119=0),0,MATCH(OFFSET($D119,0,$C119)+IF($C119&lt;&gt;1,1,COUNTIF(QCI!$A$13:$A$24,ORÇAMENTO!E119)),OFFSET($D119,1,$C119,ROW($C$131)-ROW($C119)),0))</f>
        <v>0</v>
      </c>
      <c r="L119" s="116" t="str">
        <f t="shared" ca="1" si="157"/>
        <v>F</v>
      </c>
      <c r="M119" s="117" t="s">
        <v>197</v>
      </c>
      <c r="N119" s="118" t="str">
        <f t="shared" ca="1" si="158"/>
        <v>Serviço</v>
      </c>
      <c r="O119" s="119" t="str">
        <f t="shared" ca="1" si="159"/>
        <v>1.12.0.0.33.</v>
      </c>
      <c r="P119" s="120" t="s">
        <v>1036</v>
      </c>
      <c r="Q119" s="121" t="s">
        <v>1041</v>
      </c>
      <c r="R119" s="122" t="str">
        <f ca="1">IF($C119="S",REFERENCIA.Descricao,"(digite a descrição aqui)")</f>
        <v>09987/ORSE 	Curva horizontal 38 x 38 mm para eletrocalha metálica, com ângulo 90° (ref.: mopa ou similar)</v>
      </c>
      <c r="S119" s="123" t="str">
        <f ca="1">REFERENCIA.Unidade</f>
        <v>UN</v>
      </c>
      <c r="T119" s="124">
        <f ca="1">OFFSET(CÁLCULO!H$15,ROW($T119)-ROW(T$15),0)</f>
        <v>1</v>
      </c>
      <c r="U119" s="125">
        <f t="shared" ca="1" si="17"/>
        <v>23.17</v>
      </c>
      <c r="V119" s="126" t="s">
        <v>155</v>
      </c>
      <c r="W119" s="124">
        <f ca="1">IF($C119="S",ROUND(IF(TIPOORCAMENTO="Proposto",ORÇAMENTO.CustoUnitario*(1+$AH119),ORÇAMENTO.PrecoUnitarioLicitado),15-13*$AF$10),0)</f>
        <v>28.78</v>
      </c>
      <c r="X119" s="127">
        <f ca="1">IF($C119="S",IF(OR(Import.TipoArredondamento&lt;&gt;"TransfereGOV",ACOMPANHAMENTO="BM"),VTOTAL1,SUM(OFFSET(CÁLCULO!$AI$15,ROW($X119)-ROW($X$15),1):OFFSET(CÁLCULO!$BB$15,ROW($X119)-ROW($X$15),-1))),IF($C119=0,0,ROUND(SomaAgrup,15-13*$AF$11)))</f>
        <v>28.78</v>
      </c>
      <c r="Y119" s="128" t="s">
        <v>243</v>
      </c>
      <c r="Z119" t="str">
        <f t="shared" ca="1" si="160"/>
        <v>RA</v>
      </c>
      <c r="AA119" s="129">
        <f ca="1">IF($C119="S",IF($Z119="CP",$X119,IF($Z119="RA",(($X119)*QCI!$AA$3),0)),SomaAgrup)</f>
        <v>28.78</v>
      </c>
      <c r="AB119" s="130">
        <f t="shared" ca="1" si="166"/>
        <v>0</v>
      </c>
      <c r="AC119" s="619" t="str">
        <f ca="1">IF($N119=""," ",
IF(AND($C119&lt;&gt;"S",OR($R119="",$R119="(digite a descrição aqui)")),"DESCRIÇÃO",
IF(AND($C119="S",OR($Q119&lt;&gt;0,$T119&gt;0,$U119&gt;0),$P119=0),"FONTE",
IF(AND($C119="S",$P119&lt;&gt;0,OR($T119&gt;0,$U119&gt;0),$Q119=0),"CÓDIGO",
IF(AND($C119="S",$P119&lt;&gt;0,$Q119&lt;&gt;0,$R119="(Código não identificado nas referências)"),"CÓDIGO N/ID",
IF(AND($C119="S",OR($R119="",$R119="(digite a descrição aqui)"),OR($Q119&lt;&gt;0,$T119&gt;0,$U119&gt;0)),"DESCRIÇÃO",
IF(AND($C119="S",$P119&lt;&gt;0,$Q119&lt;&gt;0,$S119=""),"UNIDADE",
IF(AND($C119="S",$P119&lt;&gt;0,$Q119&lt;&gt;0,$U119=0),"SEM CUSTO",
IF(AND(TIPOORCAMENTO="Licitado",$AL119=0,$AN119&gt;0),"SEM PREÇO",
IF(AND($C119="S",$P119&lt;&gt;0,$Q119&lt;&gt;0,$U119&gt;0,$V119=0),"BDI",
IF(OR(AND(TIPOORCAMENTO="Proposto",$AG119&lt;&gt;"",$AG119&gt;0,ORÇAMENTO.CustoUnitario&gt;$AG119),AND(TIPOORCAMENTO="LICITADO",ORÇAMENTO.PrecoUnitarioLicitado&gt;$AN119)),"ACIMA REF.",
IF(AND($C119="S",$P119&lt;&gt;0,$Q119&lt;&gt;0,$T119=0,$U119&gt;0),"QUANT.",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str">
        <f ca="1">IF(AND($C119="S",ORÇAMENTO.CodBarra&lt;&gt;""),IF(ORÇAMENTO.Fonte="",ORÇAMENTO.CodBarra,CONCATENATE(ORÇAMENTO.Fonte," ",ORÇAMENTO.CodBarra)))</f>
        <v>Cotação 74</v>
      </c>
      <c r="AF119" s="13">
        <f ca="1">IF(ISERROR(INDIRECT(ORÇAMENTO.BancoRef)),"(abra o arquivo 'Referência "&amp;Excel_BuiltIn_Database&amp;".xlsm)",IF(OR($C119&lt;&gt;"S",ORÇAMENTO.CodBarra=""),"(Sem Código)",IF(ISERROR(MATCH($AE119,INDIRECT(ORÇAMENTO.BancoRef),0)),"(Código não identificado nas referências)",MATCH($AE119,INDIRECT(ORÇAMENTO.BancoRef),0))))</f>
        <v>164</v>
      </c>
      <c r="AG119" s="453">
        <f ca="1">ROUND(IF(DESONERACAO="sim",REFERENCIA.Desonerado,REFERENCIA.NaoDesonerado),2)</f>
        <v>23.17</v>
      </c>
      <c r="AH119" s="454">
        <f t="shared" ca="1" si="167"/>
        <v>0.24199999999999999</v>
      </c>
      <c r="AJ119" s="456"/>
      <c r="AL119" s="471"/>
      <c r="AM119" s="348">
        <f t="shared" ca="1" si="136"/>
        <v>28.78</v>
      </c>
      <c r="AN119" s="504">
        <f t="shared" ca="1" si="168"/>
        <v>28.78</v>
      </c>
    </row>
    <row r="120" spans="1:40" ht="25.5" x14ac:dyDescent="0.2">
      <c r="A120" t="str">
        <f t="shared" si="165"/>
        <v>S</v>
      </c>
      <c r="B120">
        <f t="shared" ca="1" si="150"/>
        <v>2</v>
      </c>
      <c r="C120" t="str">
        <f t="shared" ca="1" si="151"/>
        <v>S</v>
      </c>
      <c r="D120">
        <f t="shared" ca="1" si="152"/>
        <v>0</v>
      </c>
      <c r="E120">
        <f ca="1">IF($C120=1,OFFSET(E120,-1,0)+MAX(1,COUNTIF(QCI!$A$13:$A$24,OFFSET(ORÇAMENTO!E120,-1,0))),OFFSET(E120,-1,0))</f>
        <v>1</v>
      </c>
      <c r="F120">
        <f t="shared" ca="1" si="153"/>
        <v>12</v>
      </c>
      <c r="G120">
        <f t="shared" ca="1" si="154"/>
        <v>0</v>
      </c>
      <c r="H120">
        <f t="shared" ca="1" si="155"/>
        <v>0</v>
      </c>
      <c r="I120">
        <f t="shared" ca="1" si="156"/>
        <v>34</v>
      </c>
      <c r="J120">
        <f t="shared" ca="1" si="138"/>
        <v>0</v>
      </c>
      <c r="K120">
        <f ca="1">IF(OR($C120="S",$C120=0),0,MATCH(OFFSET($D120,0,$C120)+IF($C120&lt;&gt;1,1,COUNTIF(QCI!$A$13:$A$24,ORÇAMENTO!E120)),OFFSET($D120,1,$C120,ROW($C$131)-ROW($C120)),0))</f>
        <v>0</v>
      </c>
      <c r="L120" s="116" t="str">
        <f t="shared" ca="1" si="157"/>
        <v>F</v>
      </c>
      <c r="M120" s="117" t="s">
        <v>197</v>
      </c>
      <c r="N120" s="118" t="str">
        <f t="shared" ca="1" si="158"/>
        <v>Serviço</v>
      </c>
      <c r="O120" s="119" t="str">
        <f t="shared" ca="1" si="159"/>
        <v>1.12.0.0.34.</v>
      </c>
      <c r="P120" s="120" t="s">
        <v>1036</v>
      </c>
      <c r="Q120" s="121" t="s">
        <v>1042</v>
      </c>
      <c r="R120" s="122" t="str">
        <f ca="1">IF($C120="S",REFERENCIA.Descricao,"(digite a descrição aqui)")</f>
        <v>12223/ORSE 	Quadro de distribuição de embutir, em chapa de aço, para até 12 disjuntores, com barramento, padrão DIN, exclusive disjuntores</v>
      </c>
      <c r="S120" s="123" t="str">
        <f ca="1">REFERENCIA.Unidade</f>
        <v>UN</v>
      </c>
      <c r="T120" s="124">
        <f ca="1">OFFSET(CÁLCULO!H$15,ROW($T120)-ROW(T$15),0)</f>
        <v>1</v>
      </c>
      <c r="U120" s="125">
        <f t="shared" ca="1" si="17"/>
        <v>374.89</v>
      </c>
      <c r="V120" s="126" t="s">
        <v>155</v>
      </c>
      <c r="W120" s="124">
        <f ca="1">IF($C120="S",ROUND(IF(TIPOORCAMENTO="Proposto",ORÇAMENTO.CustoUnitario*(1+$AH120),ORÇAMENTO.PrecoUnitarioLicitado),15-13*$AF$10),0)</f>
        <v>465.61</v>
      </c>
      <c r="X120" s="127">
        <f ca="1">IF($C120="S",IF(OR(Import.TipoArredondamento&lt;&gt;"TransfereGOV",ACOMPANHAMENTO="BM"),VTOTAL1,SUM(OFFSET(CÁLCULO!$AI$15,ROW($X120)-ROW($X$15),1):OFFSET(CÁLCULO!$BB$15,ROW($X120)-ROW($X$15),-1))),IF($C120=0,0,ROUND(SomaAgrup,15-13*$AF$11)))</f>
        <v>465.61</v>
      </c>
      <c r="Y120" s="128" t="s">
        <v>243</v>
      </c>
      <c r="Z120" t="str">
        <f t="shared" ca="1" si="160"/>
        <v>RA</v>
      </c>
      <c r="AA120" s="129">
        <f ca="1">IF($C120="S",IF($Z120="CP",$X120,IF($Z120="RA",(($X120)*QCI!$AA$3),0)),SomaAgrup)</f>
        <v>465.61</v>
      </c>
      <c r="AB120" s="130">
        <f t="shared" ca="1" si="166"/>
        <v>0</v>
      </c>
      <c r="AC120" s="619" t="str">
        <f ca="1">IF($N120=""," ",
IF(AND($C120&lt;&gt;"S",OR($R120="",$R120="(digite a descrição aqui)")),"DESCRIÇÃO",
IF(AND($C120="S",OR($Q120&lt;&gt;0,$T120&gt;0,$U120&gt;0),$P120=0),"FONTE",
IF(AND($C120="S",$P120&lt;&gt;0,OR($T120&gt;0,$U120&gt;0),$Q120=0),"CÓDIGO",
IF(AND($C120="S",$P120&lt;&gt;0,$Q120&lt;&gt;0,$R120="(Código não identificado nas referências)"),"CÓDIGO N/ID",
IF(AND($C120="S",OR($R120="",$R120="(digite a descrição aqui)"),OR($Q120&lt;&gt;0,$T120&gt;0,$U120&gt;0)),"DESCRIÇÃO",
IF(AND($C120="S",$P120&lt;&gt;0,$Q120&lt;&gt;0,$S120=""),"UNIDADE",
IF(AND($C120="S",$P120&lt;&gt;0,$Q120&lt;&gt;0,$U120=0),"SEM CUSTO",
IF(AND(TIPOORCAMENTO="Licitado",$AL120=0,$AN120&gt;0),"SEM PREÇO",
IF(AND($C120="S",$P120&lt;&gt;0,$Q120&lt;&gt;0,$U120&gt;0,$V120=0),"BDI",
IF(OR(AND(TIPOORCAMENTO="Proposto",$AG120&lt;&gt;"",$AG120&gt;0,ORÇAMENTO.CustoUnitario&gt;$AG120),AND(TIPOORCAMENTO="LICITADO",ORÇAMENTO.PrecoUnitarioLicitado&gt;$AN120)),"ACIMA REF.",
IF(AND($C120="S",$P120&lt;&gt;0,$Q120&lt;&gt;0,$T120=0,$U120&gt;0),"QUANT.",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str">
        <f ca="1">IF(AND($C120="S",ORÇAMENTO.CodBarra&lt;&gt;""),IF(ORÇAMENTO.Fonte="",ORÇAMENTO.CodBarra,CONCATENATE(ORÇAMENTO.Fonte," ",ORÇAMENTO.CodBarra)))</f>
        <v>Cotação 75</v>
      </c>
      <c r="AF120" s="13">
        <f ca="1">IF(ISERROR(INDIRECT(ORÇAMENTO.BancoRef)),"(abra o arquivo 'Referência "&amp;Excel_BuiltIn_Database&amp;".xlsm)",IF(OR($C120&lt;&gt;"S",ORÇAMENTO.CodBarra=""),"(Sem Código)",IF(ISERROR(MATCH($AE120,INDIRECT(ORÇAMENTO.BancoRef),0)),"(Código não identificado nas referências)",MATCH($AE120,INDIRECT(ORÇAMENTO.BancoRef),0))))</f>
        <v>165</v>
      </c>
      <c r="AG120" s="453">
        <f ca="1">ROUND(IF(DESONERACAO="sim",REFERENCIA.Desonerado,REFERENCIA.NaoDesonerado),2)</f>
        <v>374.89</v>
      </c>
      <c r="AH120" s="454">
        <f t="shared" ca="1" si="167"/>
        <v>0.24199999999999999</v>
      </c>
      <c r="AJ120" s="456"/>
      <c r="AL120" s="471"/>
      <c r="AM120" s="348">
        <f t="shared" ca="1" si="136"/>
        <v>465.61</v>
      </c>
      <c r="AN120" s="504">
        <f t="shared" ca="1" si="168"/>
        <v>465.61</v>
      </c>
    </row>
    <row r="121" spans="1:40" ht="25.5" x14ac:dyDescent="0.2">
      <c r="A121" t="str">
        <f t="shared" si="165"/>
        <v>S</v>
      </c>
      <c r="B121">
        <f t="shared" ca="1" si="150"/>
        <v>2</v>
      </c>
      <c r="C121" t="str">
        <f t="shared" ca="1" si="151"/>
        <v>S</v>
      </c>
      <c r="D121">
        <f t="shared" ca="1" si="152"/>
        <v>0</v>
      </c>
      <c r="E121">
        <f ca="1">IF($C121=1,OFFSET(E121,-1,0)+MAX(1,COUNTIF(QCI!$A$13:$A$24,OFFSET(ORÇAMENTO!E121,-1,0))),OFFSET(E121,-1,0))</f>
        <v>1</v>
      </c>
      <c r="F121">
        <f t="shared" ca="1" si="153"/>
        <v>12</v>
      </c>
      <c r="G121">
        <f t="shared" ca="1" si="154"/>
        <v>0</v>
      </c>
      <c r="H121">
        <f t="shared" ca="1" si="155"/>
        <v>0</v>
      </c>
      <c r="I121">
        <f t="shared" ca="1" si="156"/>
        <v>35</v>
      </c>
      <c r="J121">
        <f t="shared" ca="1" si="138"/>
        <v>0</v>
      </c>
      <c r="K121">
        <f ca="1">IF(OR($C121="S",$C121=0),0,MATCH(OFFSET($D121,0,$C121)+IF($C121&lt;&gt;1,1,COUNTIF(QCI!$A$13:$A$24,ORÇAMENTO!E121)),OFFSET($D121,1,$C121,ROW($C$131)-ROW($C121)),0))</f>
        <v>0</v>
      </c>
      <c r="L121" s="116" t="str">
        <f t="shared" ca="1" si="157"/>
        <v>F</v>
      </c>
      <c r="M121" s="117" t="s">
        <v>197</v>
      </c>
      <c r="N121" s="118" t="str">
        <f t="shared" ca="1" si="158"/>
        <v>Serviço</v>
      </c>
      <c r="O121" s="119" t="str">
        <f t="shared" ca="1" si="159"/>
        <v>1.12.0.0.35.</v>
      </c>
      <c r="P121" s="120" t="s">
        <v>1036</v>
      </c>
      <c r="Q121" s="121" t="s">
        <v>1043</v>
      </c>
      <c r="R121" s="122" t="str">
        <f ca="1">IF($C121="S",REFERENCIA.Descricao,"(digite a descrição aqui)")</f>
        <v>11124/ORSE 	Entrada de energia elétrica monofásica demanda entre 6,3 e 8,8 kw - Rev 01</v>
      </c>
      <c r="S121" s="123" t="str">
        <f ca="1">REFERENCIA.Unidade</f>
        <v>UN</v>
      </c>
      <c r="T121" s="124">
        <f ca="1">OFFSET(CÁLCULO!H$15,ROW($T121)-ROW(T$15),0)</f>
        <v>1</v>
      </c>
      <c r="U121" s="125">
        <f t="shared" ca="1" si="17"/>
        <v>1889.51</v>
      </c>
      <c r="V121" s="126" t="s">
        <v>155</v>
      </c>
      <c r="W121" s="124">
        <f ca="1">IF($C121="S",ROUND(IF(TIPOORCAMENTO="Proposto",ORÇAMENTO.CustoUnitario*(1+$AH121),ORÇAMENTO.PrecoUnitarioLicitado),15-13*$AF$10),0)</f>
        <v>2346.77</v>
      </c>
      <c r="X121" s="127">
        <f ca="1">IF($C121="S",IF(OR(Import.TipoArredondamento&lt;&gt;"TransfereGOV",ACOMPANHAMENTO="BM"),VTOTAL1,SUM(OFFSET(CÁLCULO!$AI$15,ROW($X121)-ROW($X$15),1):OFFSET(CÁLCULO!$BB$15,ROW($X121)-ROW($X$15),-1))),IF($C121=0,0,ROUND(SomaAgrup,15-13*$AF$11)))</f>
        <v>2346.77</v>
      </c>
      <c r="Y121" s="128" t="s">
        <v>243</v>
      </c>
      <c r="Z121" t="str">
        <f t="shared" ca="1" si="160"/>
        <v>RA</v>
      </c>
      <c r="AA121" s="129">
        <f ca="1">IF($C121="S",IF($Z121="CP",$X121,IF($Z121="RA",(($X121)*QCI!$AA$3),0)),SomaAgrup)</f>
        <v>2346.77</v>
      </c>
      <c r="AB121" s="130">
        <f t="shared" ca="1" si="166"/>
        <v>0</v>
      </c>
      <c r="AC121" s="619" t="str">
        <f ca="1">IF($N121=""," ",
IF(AND($C121&lt;&gt;"S",OR($R121="",$R121="(digite a descrição aqui)")),"DESCRIÇÃO",
IF(AND($C121="S",OR($Q121&lt;&gt;0,$T121&gt;0,$U121&gt;0),$P121=0),"FONTE",
IF(AND($C121="S",$P121&lt;&gt;0,OR($T121&gt;0,$U121&gt;0),$Q121=0),"CÓDIGO",
IF(AND($C121="S",$P121&lt;&gt;0,$Q121&lt;&gt;0,$R121="(Código não identificado nas referências)"),"CÓDIGO N/ID",
IF(AND($C121="S",OR($R121="",$R121="(digite a descrição aqui)"),OR($Q121&lt;&gt;0,$T121&gt;0,$U121&gt;0)),"DESCRIÇÃO",
IF(AND($C121="S",$P121&lt;&gt;0,$Q121&lt;&gt;0,$S121=""),"UNIDADE",
IF(AND($C121="S",$P121&lt;&gt;0,$Q121&lt;&gt;0,$U121=0),"SEM CUSTO",
IF(AND(TIPOORCAMENTO="Licitado",$AL121=0,$AN121&gt;0),"SEM PREÇO",
IF(AND($C121="S",$P121&lt;&gt;0,$Q121&lt;&gt;0,$U121&gt;0,$V121=0),"BDI",
IF(OR(AND(TIPOORCAMENTO="Proposto",$AG121&lt;&gt;"",$AG121&gt;0,ORÇAMENTO.CustoUnitario&gt;$AG121),AND(TIPOORCAMENTO="LICITADO",ORÇAMENTO.PrecoUnitarioLicitado&gt;$AN121)),"ACIMA REF.",
IF(AND($C121="S",$P121&lt;&gt;0,$Q121&lt;&gt;0,$T121=0,$U121&gt;0),"QUANT.",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str">
        <f ca="1">IF(AND($C121="S",ORÇAMENTO.CodBarra&lt;&gt;""),IF(ORÇAMENTO.Fonte="",ORÇAMENTO.CodBarra,CONCATENATE(ORÇAMENTO.Fonte," ",ORÇAMENTO.CodBarra)))</f>
        <v>Cotação 76</v>
      </c>
      <c r="AF121" s="13">
        <f ca="1">IF(ISERROR(INDIRECT(ORÇAMENTO.BancoRef)),"(abra o arquivo 'Referência "&amp;Excel_BuiltIn_Database&amp;".xlsm)",IF(OR($C121&lt;&gt;"S",ORÇAMENTO.CodBarra=""),"(Sem Código)",IF(ISERROR(MATCH($AE121,INDIRECT(ORÇAMENTO.BancoRef),0)),"(Código não identificado nas referências)",MATCH($AE121,INDIRECT(ORÇAMENTO.BancoRef),0))))</f>
        <v>166</v>
      </c>
      <c r="AG121" s="453">
        <f ca="1">ROUND(IF(DESONERACAO="sim",REFERENCIA.Desonerado,REFERENCIA.NaoDesonerado),2)</f>
        <v>1889.51</v>
      </c>
      <c r="AH121" s="454">
        <f t="shared" ca="1" si="167"/>
        <v>0.24199999999999999</v>
      </c>
      <c r="AJ121" s="456"/>
      <c r="AL121" s="471"/>
      <c r="AM121" s="348">
        <f t="shared" ca="1" si="136"/>
        <v>2346.77</v>
      </c>
      <c r="AN121" s="504">
        <f t="shared" ca="1" si="168"/>
        <v>2346.77</v>
      </c>
    </row>
    <row r="122" spans="1:40" ht="38.25" x14ac:dyDescent="0.2">
      <c r="A122" t="str">
        <f t="shared" si="165"/>
        <v>S</v>
      </c>
      <c r="B122">
        <f t="shared" ca="1" si="150"/>
        <v>2</v>
      </c>
      <c r="C122" t="str">
        <f t="shared" ca="1" si="151"/>
        <v>S</v>
      </c>
      <c r="D122">
        <f t="shared" ca="1" si="152"/>
        <v>0</v>
      </c>
      <c r="E122">
        <f ca="1">IF($C122=1,OFFSET(E122,-1,0)+MAX(1,COUNTIF(QCI!$A$13:$A$24,OFFSET(ORÇAMENTO!E122,-1,0))),OFFSET(E122,-1,0))</f>
        <v>1</v>
      </c>
      <c r="F122">
        <f t="shared" ca="1" si="153"/>
        <v>12</v>
      </c>
      <c r="G122">
        <f t="shared" ca="1" si="154"/>
        <v>0</v>
      </c>
      <c r="H122">
        <f t="shared" ca="1" si="155"/>
        <v>0</v>
      </c>
      <c r="I122">
        <f t="shared" ca="1" si="156"/>
        <v>36</v>
      </c>
      <c r="J122">
        <f t="shared" ca="1" si="138"/>
        <v>0</v>
      </c>
      <c r="K122">
        <f ca="1">IF(OR($C122="S",$C122=0),0,MATCH(OFFSET($D122,0,$C122)+IF($C122&lt;&gt;1,1,COUNTIF(QCI!$A$13:$A$24,ORÇAMENTO!E122)),OFFSET($D122,1,$C122,ROW($C$131)-ROW($C122)),0))</f>
        <v>0</v>
      </c>
      <c r="L122" s="116" t="str">
        <f t="shared" ca="1" si="157"/>
        <v>F</v>
      </c>
      <c r="M122" s="117" t="s">
        <v>197</v>
      </c>
      <c r="N122" s="118" t="str">
        <f t="shared" ca="1" si="158"/>
        <v>Serviço</v>
      </c>
      <c r="O122" s="119" t="str">
        <f t="shared" ca="1" si="159"/>
        <v>1.12.0.0.36.</v>
      </c>
      <c r="P122" s="120" t="s">
        <v>245</v>
      </c>
      <c r="Q122" s="121" t="s">
        <v>1044</v>
      </c>
      <c r="R122" s="122" t="str">
        <f ca="1">IF($C122="S",REFERENCIA.Descricao,"(digite a descrição aqui)")</f>
        <v>CAIXA ENTERRADA ELÉTRICA RETANGULAR, EM ALVENARIA COM TIJOLOS CERÂMICOS MACIÇOS, FUNDO COM BRITA, DIMENSÕES INTERNAS: 0,6X0,6X0,6 M. AF_12/2020</v>
      </c>
      <c r="S122" s="123" t="str">
        <f ca="1">REFERENCIA.Unidade</f>
        <v>UN</v>
      </c>
      <c r="T122" s="124">
        <f ca="1">OFFSET(CÁLCULO!H$15,ROW($T122)-ROW(T$15),0)</f>
        <v>1</v>
      </c>
      <c r="U122" s="125">
        <f t="shared" ca="1" si="17"/>
        <v>592.36</v>
      </c>
      <c r="V122" s="126" t="s">
        <v>155</v>
      </c>
      <c r="W122" s="124">
        <f ca="1">IF($C122="S",ROUND(IF(TIPOORCAMENTO="Proposto",ORÇAMENTO.CustoUnitario*(1+$AH122),ORÇAMENTO.PrecoUnitarioLicitado),15-13*$AF$10),0)</f>
        <v>735.71</v>
      </c>
      <c r="X122" s="127">
        <f ca="1">IF($C122="S",IF(OR(Import.TipoArredondamento&lt;&gt;"TransfereGOV",ACOMPANHAMENTO="BM"),VTOTAL1,SUM(OFFSET(CÁLCULO!$AI$15,ROW($X122)-ROW($X$15),1):OFFSET(CÁLCULO!$BB$15,ROW($X122)-ROW($X$15),-1))),IF($C122=0,0,ROUND(SomaAgrup,15-13*$AF$11)))</f>
        <v>735.71</v>
      </c>
      <c r="Y122" s="128" t="s">
        <v>243</v>
      </c>
      <c r="Z122" t="str">
        <f t="shared" ca="1" si="160"/>
        <v>RA</v>
      </c>
      <c r="AA122" s="129">
        <f ca="1">IF($C122="S",IF($Z122="CP",$X122,IF($Z122="RA",(($X122)*QCI!$AA$3),0)),SomaAgrup)</f>
        <v>735.71</v>
      </c>
      <c r="AB122" s="130">
        <f t="shared" ca="1" si="166"/>
        <v>0</v>
      </c>
      <c r="AC122" s="619" t="str">
        <f ca="1">IF($N122=""," ",
IF(AND($C122&lt;&gt;"S",OR($R122="",$R122="(digite a descrição aqui)")),"DESCRIÇÃO",
IF(AND($C122="S",OR($Q122&lt;&gt;0,$T122&gt;0,$U122&gt;0),$P122=0),"FONTE",
IF(AND($C122="S",$P122&lt;&gt;0,OR($T122&gt;0,$U122&gt;0),$Q122=0),"CÓDIGO",
IF(AND($C122="S",$P122&lt;&gt;0,$Q122&lt;&gt;0,$R122="(Código não identificado nas referências)"),"CÓDIGO N/ID",
IF(AND($C122="S",OR($R122="",$R122="(digite a descrição aqui)"),OR($Q122&lt;&gt;0,$T122&gt;0,$U122&gt;0)),"DESCRIÇÃO",
IF(AND($C122="S",$P122&lt;&gt;0,$Q122&lt;&gt;0,$S122=""),"UNIDADE",
IF(AND($C122="S",$P122&lt;&gt;0,$Q122&lt;&gt;0,$U122=0),"SEM CUSTO",
IF(AND(TIPOORCAMENTO="Licitado",$AL122=0,$AN122&gt;0),"SEM PREÇO",
IF(AND($C122="S",$P122&lt;&gt;0,$Q122&lt;&gt;0,$U122&gt;0,$V122=0),"BDI",
IF(OR(AND(TIPOORCAMENTO="Proposto",$AG122&lt;&gt;"",$AG122&gt;0,ORÇAMENTO.CustoUnitario&gt;$AG122),AND(TIPOORCAMENTO="LICITADO",ORÇAMENTO.PrecoUnitarioLicitado&gt;$AN122)),"ACIMA REF.",
IF(AND($C122="S",$P122&lt;&gt;0,$Q122&lt;&gt;0,$T122=0,$U122&gt;0),"QUANT.",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str">
        <f ca="1">IF(AND($C122="S",ORÇAMENTO.CodBarra&lt;&gt;""),IF(ORÇAMENTO.Fonte="",ORÇAMENTO.CodBarra,CONCATENATE(ORÇAMENTO.Fonte," ",ORÇAMENTO.CodBarra)))</f>
        <v>SINAPI 97888</v>
      </c>
      <c r="AF122" s="13">
        <f ca="1">IF(ISERROR(INDIRECT(ORÇAMENTO.BancoRef)),"(abra o arquivo 'Referência "&amp;Excel_BuiltIn_Database&amp;".xlsm)",IF(OR($C122&lt;&gt;"S",ORÇAMENTO.CodBarra=""),"(Sem Código)",IF(ISERROR(MATCH($AE122,INDIRECT(ORÇAMENTO.BancoRef),0)),"(Código não identificado nas referências)",MATCH($AE122,INDIRECT(ORÇAMENTO.BancoRef),0))))</f>
        <v>7297</v>
      </c>
      <c r="AG122" s="453">
        <f ca="1">ROUND(IF(DESONERACAO="sim",REFERENCIA.Desonerado,REFERENCIA.NaoDesonerado),2)</f>
        <v>592.36</v>
      </c>
      <c r="AH122" s="454">
        <f t="shared" ca="1" si="167"/>
        <v>0.24199999999999999</v>
      </c>
      <c r="AJ122" s="456"/>
      <c r="AL122" s="471"/>
      <c r="AM122" s="348">
        <f t="shared" ca="1" si="136"/>
        <v>735.71</v>
      </c>
      <c r="AN122" s="504">
        <f t="shared" ca="1" si="168"/>
        <v>735.71</v>
      </c>
    </row>
    <row r="123" spans="1:40" x14ac:dyDescent="0.2">
      <c r="A123" t="str">
        <f t="shared" si="165"/>
        <v>S</v>
      </c>
      <c r="B123">
        <f t="shared" ca="1" si="150"/>
        <v>2</v>
      </c>
      <c r="C123" t="str">
        <f t="shared" ca="1" si="151"/>
        <v>S</v>
      </c>
      <c r="D123">
        <f t="shared" ca="1" si="152"/>
        <v>0</v>
      </c>
      <c r="E123">
        <f ca="1">IF($C123=1,OFFSET(E123,-1,0)+MAX(1,COUNTIF(QCI!$A$13:$A$24,OFFSET(ORÇAMENTO!E123,-1,0))),OFFSET(E123,-1,0))</f>
        <v>1</v>
      </c>
      <c r="F123">
        <f t="shared" ca="1" si="153"/>
        <v>12</v>
      </c>
      <c r="G123">
        <f t="shared" ca="1" si="154"/>
        <v>0</v>
      </c>
      <c r="H123">
        <f t="shared" ca="1" si="155"/>
        <v>0</v>
      </c>
      <c r="I123">
        <f t="shared" ca="1" si="156"/>
        <v>37</v>
      </c>
      <c r="J123">
        <f t="shared" ca="1" si="138"/>
        <v>0</v>
      </c>
      <c r="K123">
        <f ca="1">IF(OR($C123="S",$C123=0),0,MATCH(OFFSET($D123,0,$C123)+IF($C123&lt;&gt;1,1,COUNTIF(QCI!$A$13:$A$24,ORÇAMENTO!E123)),OFFSET($D123,1,$C123,ROW($C$131)-ROW($C123)),0))</f>
        <v>0</v>
      </c>
      <c r="L123" s="116" t="str">
        <f t="shared" ca="1" si="157"/>
        <v>F</v>
      </c>
      <c r="M123" s="117" t="s">
        <v>197</v>
      </c>
      <c r="N123" s="118" t="str">
        <f t="shared" ca="1" si="158"/>
        <v>Serviço</v>
      </c>
      <c r="O123" s="119" t="str">
        <f t="shared" ca="1" si="159"/>
        <v>1.12.0.0.37.</v>
      </c>
      <c r="P123" s="120" t="s">
        <v>1036</v>
      </c>
      <c r="Q123" s="121" t="s">
        <v>1045</v>
      </c>
      <c r="R123" s="122" t="str">
        <f ca="1">IF($C123="S",REFERENCIA.Descricao,"(digite a descrição aqui)")</f>
        <v>10332/ORSE 	Tampa de ferro fundido 60X40cm</v>
      </c>
      <c r="S123" s="123" t="str">
        <f ca="1">REFERENCIA.Unidade</f>
        <v>UN</v>
      </c>
      <c r="T123" s="124">
        <f ca="1">OFFSET(CÁLCULO!H$15,ROW($T123)-ROW(T$15),0)</f>
        <v>1</v>
      </c>
      <c r="U123" s="125">
        <f t="shared" ca="1" si="17"/>
        <v>525.66999999999996</v>
      </c>
      <c r="V123" s="126" t="s">
        <v>155</v>
      </c>
      <c r="W123" s="124">
        <f ca="1">IF($C123="S",ROUND(IF(TIPOORCAMENTO="Proposto",ORÇAMENTO.CustoUnitario*(1+$AH123),ORÇAMENTO.PrecoUnitarioLicitado),15-13*$AF$10),0)</f>
        <v>652.88</v>
      </c>
      <c r="X123" s="127">
        <f ca="1">IF($C123="S",IF(OR(Import.TipoArredondamento&lt;&gt;"TransfereGOV",ACOMPANHAMENTO="BM"),VTOTAL1,SUM(OFFSET(CÁLCULO!$AI$15,ROW($X123)-ROW($X$15),1):OFFSET(CÁLCULO!$BB$15,ROW($X123)-ROW($X$15),-1))),IF($C123=0,0,ROUND(SomaAgrup,15-13*$AF$11)))</f>
        <v>652.88</v>
      </c>
      <c r="Y123" s="128" t="s">
        <v>243</v>
      </c>
      <c r="Z123" t="str">
        <f t="shared" ca="1" si="160"/>
        <v>RA</v>
      </c>
      <c r="AA123" s="129">
        <f ca="1">IF($C123="S",IF($Z123="CP",$X123,IF($Z123="RA",(($X123)*QCI!$AA$3),0)),SomaAgrup)</f>
        <v>652.88</v>
      </c>
      <c r="AB123" s="130">
        <f t="shared" ca="1" si="166"/>
        <v>0</v>
      </c>
      <c r="AC123" s="619" t="str">
        <f ca="1">IF($N123=""," ",
IF(AND($C123&lt;&gt;"S",OR($R123="",$R123="(digite a descrição aqui)")),"DESCRIÇÃO",
IF(AND($C123="S",OR($Q123&lt;&gt;0,$T123&gt;0,$U123&gt;0),$P123=0),"FONTE",
IF(AND($C123="S",$P123&lt;&gt;0,OR($T123&gt;0,$U123&gt;0),$Q123=0),"CÓDIGO",
IF(AND($C123="S",$P123&lt;&gt;0,$Q123&lt;&gt;0,$R123="(Código não identificado nas referências)"),"CÓDIGO N/ID",
IF(AND($C123="S",OR($R123="",$R123="(digite a descrição aqui)"),OR($Q123&lt;&gt;0,$T123&gt;0,$U123&gt;0)),"DESCRIÇÃO",
IF(AND($C123="S",$P123&lt;&gt;0,$Q123&lt;&gt;0,$S123=""),"UNIDADE",
IF(AND($C123="S",$P123&lt;&gt;0,$Q123&lt;&gt;0,$U123=0),"SEM CUSTO",
IF(AND(TIPOORCAMENTO="Licitado",$AL123=0,$AN123&gt;0),"SEM PREÇO",
IF(AND($C123="S",$P123&lt;&gt;0,$Q123&lt;&gt;0,$U123&gt;0,$V123=0),"BDI",
IF(OR(AND(TIPOORCAMENTO="Proposto",$AG123&lt;&gt;"",$AG123&gt;0,ORÇAMENTO.CustoUnitario&gt;$AG123),AND(TIPOORCAMENTO="LICITADO",ORÇAMENTO.PrecoUnitarioLicitado&gt;$AN123)),"ACIMA REF.",
IF(AND($C123="S",$P123&lt;&gt;0,$Q123&lt;&gt;0,$T123=0,$U123&gt;0),"QUANT.",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f ca="1">IF(AND($C123="S",ORÇAMENTO.CodBarra&lt;&gt;""),IF(ORÇAMENTO.Fonte="",ORÇAMENTO.CodBarra,CONCATENATE(ORÇAMENTO.Fonte," ",ORÇAMENTO.CodBarra)))</f>
        <v>Cotação 77</v>
      </c>
      <c r="AF123" s="13">
        <f ca="1">IF(ISERROR(INDIRECT(ORÇAMENTO.BancoRef)),"(abra o arquivo 'Referência "&amp;Excel_BuiltIn_Database&amp;".xlsm)",IF(OR($C123&lt;&gt;"S",ORÇAMENTO.CodBarra=""),"(Sem Código)",IF(ISERROR(MATCH($AE123,INDIRECT(ORÇAMENTO.BancoRef),0)),"(Código não identificado nas referências)",MATCH($AE123,INDIRECT(ORÇAMENTO.BancoRef),0))))</f>
        <v>167</v>
      </c>
      <c r="AG123" s="453">
        <f ca="1">ROUND(IF(DESONERACAO="sim",REFERENCIA.Desonerado,REFERENCIA.NaoDesonerado),2)</f>
        <v>525.66999999999996</v>
      </c>
      <c r="AH123" s="454">
        <f t="shared" ca="1" si="167"/>
        <v>0.24199999999999999</v>
      </c>
      <c r="AJ123" s="456"/>
      <c r="AL123" s="471"/>
      <c r="AM123" s="348">
        <f t="shared" ca="1" si="136"/>
        <v>652.88</v>
      </c>
      <c r="AN123" s="504">
        <f t="shared" ca="1" si="168"/>
        <v>652.88</v>
      </c>
    </row>
    <row r="124" spans="1:40" ht="25.5" x14ac:dyDescent="0.2">
      <c r="A124" t="str">
        <f t="shared" si="165"/>
        <v>S</v>
      </c>
      <c r="B124">
        <f t="shared" ca="1" si="150"/>
        <v>2</v>
      </c>
      <c r="C124" t="str">
        <f t="shared" ca="1" si="151"/>
        <v>S</v>
      </c>
      <c r="D124">
        <f t="shared" ca="1" si="152"/>
        <v>0</v>
      </c>
      <c r="E124">
        <f ca="1">IF($C124=1,OFFSET(E124,-1,0)+MAX(1,COUNTIF(QCI!$A$13:$A$24,OFFSET(ORÇAMENTO!E124,-1,0))),OFFSET(E124,-1,0))</f>
        <v>1</v>
      </c>
      <c r="F124">
        <f t="shared" ca="1" si="153"/>
        <v>12</v>
      </c>
      <c r="G124">
        <f t="shared" ca="1" si="154"/>
        <v>0</v>
      </c>
      <c r="H124">
        <f t="shared" ca="1" si="155"/>
        <v>0</v>
      </c>
      <c r="I124">
        <f t="shared" ca="1" si="156"/>
        <v>38</v>
      </c>
      <c r="J124">
        <f t="shared" ca="1" si="138"/>
        <v>0</v>
      </c>
      <c r="K124">
        <f ca="1">IF(OR($C124="S",$C124=0),0,MATCH(OFFSET($D124,0,$C124)+IF($C124&lt;&gt;1,1,COUNTIF(QCI!$A$13:$A$24,ORÇAMENTO!E124)),OFFSET($D124,1,$C124,ROW($C$131)-ROW($C124)),0))</f>
        <v>0</v>
      </c>
      <c r="L124" s="116" t="str">
        <f t="shared" ca="1" si="157"/>
        <v>F</v>
      </c>
      <c r="M124" s="117" t="s">
        <v>197</v>
      </c>
      <c r="N124" s="118" t="str">
        <f t="shared" ca="1" si="158"/>
        <v>Serviço</v>
      </c>
      <c r="O124" s="119" t="str">
        <f t="shared" ca="1" si="159"/>
        <v>1.12.0.0.38.</v>
      </c>
      <c r="P124" s="120" t="s">
        <v>245</v>
      </c>
      <c r="Q124" s="121" t="s">
        <v>1046</v>
      </c>
      <c r="R124" s="122" t="str">
        <f ca="1">IF($C124="S",REFERENCIA.Descricao,"(digite a descrição aqui)")</f>
        <v>LASTRO DE CONCRETO MAGRO, APLICADO EM PISOS, LAJES SOBRE SOLO OU RADIERS. AF_01/2024</v>
      </c>
      <c r="S124" s="123" t="str">
        <f ca="1">REFERENCIA.Unidade</f>
        <v>M3</v>
      </c>
      <c r="T124" s="124">
        <f ca="1">OFFSET(CÁLCULO!H$15,ROW($T124)-ROW(T$15),0)</f>
        <v>0.57999999999999996</v>
      </c>
      <c r="U124" s="125">
        <f t="shared" ca="1" si="17"/>
        <v>891.66</v>
      </c>
      <c r="V124" s="126" t="s">
        <v>155</v>
      </c>
      <c r="W124" s="124">
        <f ca="1">IF($C124="S",ROUND(IF(TIPOORCAMENTO="Proposto",ORÇAMENTO.CustoUnitario*(1+$AH124),ORÇAMENTO.PrecoUnitarioLicitado),15-13*$AF$10),0)</f>
        <v>1107.44</v>
      </c>
      <c r="X124" s="127">
        <f ca="1">IF($C124="S",IF(OR(Import.TipoArredondamento&lt;&gt;"TransfereGOV",ACOMPANHAMENTO="BM"),VTOTAL1,SUM(OFFSET(CÁLCULO!$AI$15,ROW($X124)-ROW($X$15),1):OFFSET(CÁLCULO!$BB$15,ROW($X124)-ROW($X$15),-1))),IF($C124=0,0,ROUND(SomaAgrup,15-13*$AF$11)))</f>
        <v>642.32000000000005</v>
      </c>
      <c r="Y124" s="128" t="s">
        <v>243</v>
      </c>
      <c r="Z124" t="str">
        <f t="shared" ca="1" si="160"/>
        <v>RA</v>
      </c>
      <c r="AA124" s="129">
        <f ca="1">IF($C124="S",IF($Z124="CP",$X124,IF($Z124="RA",(($X124)*QCI!$AA$3),0)),SomaAgrup)</f>
        <v>642.32000000000005</v>
      </c>
      <c r="AB124" s="130">
        <f t="shared" ca="1" si="166"/>
        <v>0</v>
      </c>
      <c r="AC124" s="619" t="str">
        <f ca="1">IF($N124=""," ",
IF(AND($C124&lt;&gt;"S",OR($R124="",$R124="(digite a descrição aqui)")),"DESCRIÇÃO",
IF(AND($C124="S",OR($Q124&lt;&gt;0,$T124&gt;0,$U124&gt;0),$P124=0),"FONTE",
IF(AND($C124="S",$P124&lt;&gt;0,OR($T124&gt;0,$U124&gt;0),$Q124=0),"CÓDIGO",
IF(AND($C124="S",$P124&lt;&gt;0,$Q124&lt;&gt;0,$R124="(Código não identificado nas referências)"),"CÓDIGO N/ID",
IF(AND($C124="S",OR($R124="",$R124="(digite a descrição aqui)"),OR($Q124&lt;&gt;0,$T124&gt;0,$U124&gt;0)),"DESCRIÇÃO",
IF(AND($C124="S",$P124&lt;&gt;0,$Q124&lt;&gt;0,$S124=""),"UNIDADE",
IF(AND($C124="S",$P124&lt;&gt;0,$Q124&lt;&gt;0,$U124=0),"SEM CUSTO",
IF(AND(TIPOORCAMENTO="Licitado",$AL124=0,$AN124&gt;0),"SEM PREÇO",
IF(AND($C124="S",$P124&lt;&gt;0,$Q124&lt;&gt;0,$U124&gt;0,$V124=0),"BDI",
IF(OR(AND(TIPOORCAMENTO="Proposto",$AG124&lt;&gt;"",$AG124&gt;0,ORÇAMENTO.CustoUnitario&gt;$AG124),AND(TIPOORCAMENTO="LICITADO",ORÇAMENTO.PrecoUnitarioLicitado&gt;$AN124)),"ACIMA REF.",
IF(AND($C124="S",$P124&lt;&gt;0,$Q124&lt;&gt;0,$T124=0,$U124&gt;0),"QUANT.",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str">
        <f ca="1">IF(AND($C124="S",ORÇAMENTO.CodBarra&lt;&gt;""),IF(ORÇAMENTO.Fonte="",ORÇAMENTO.CodBarra,CONCATENATE(ORÇAMENTO.Fonte," ",ORÇAMENTO.CodBarra)))</f>
        <v>SINAPI 96620</v>
      </c>
      <c r="AF124" s="13">
        <f ca="1">IF(ISERROR(INDIRECT(ORÇAMENTO.BancoRef)),"(abra o arquivo 'Referência "&amp;Excel_BuiltIn_Database&amp;".xlsm)",IF(OR($C124&lt;&gt;"S",ORÇAMENTO.CodBarra=""),"(Sem Código)",IF(ISERROR(MATCH($AE124,INDIRECT(ORÇAMENTO.BancoRef),0)),"(Código não identificado nas referências)",MATCH($AE124,INDIRECT(ORÇAMENTO.BancoRef),0))))</f>
        <v>13151</v>
      </c>
      <c r="AG124" s="453">
        <f ca="1">ROUND(IF(DESONERACAO="sim",REFERENCIA.Desonerado,REFERENCIA.NaoDesonerado),2)</f>
        <v>891.66</v>
      </c>
      <c r="AH124" s="454">
        <f t="shared" ca="1" si="167"/>
        <v>0.24199999999999999</v>
      </c>
      <c r="AJ124" s="456"/>
      <c r="AL124" s="471"/>
      <c r="AM124" s="348">
        <f t="shared" ca="1" si="136"/>
        <v>642.32000000000005</v>
      </c>
      <c r="AN124" s="504">
        <f t="shared" ca="1" si="168"/>
        <v>1107.44</v>
      </c>
    </row>
    <row r="125" spans="1:40" ht="25.5" x14ac:dyDescent="0.2">
      <c r="A125" t="str">
        <f t="shared" si="165"/>
        <v>S</v>
      </c>
      <c r="B125">
        <f t="shared" ca="1" si="150"/>
        <v>2</v>
      </c>
      <c r="C125" t="str">
        <f t="shared" ca="1" si="151"/>
        <v>S</v>
      </c>
      <c r="D125">
        <f t="shared" ca="1" si="152"/>
        <v>0</v>
      </c>
      <c r="E125">
        <f ca="1">IF($C125=1,OFFSET(E125,-1,0)+MAX(1,COUNTIF(QCI!$A$13:$A$24,OFFSET(ORÇAMENTO!E125,-1,0))),OFFSET(E125,-1,0))</f>
        <v>1</v>
      </c>
      <c r="F125">
        <f t="shared" ca="1" si="153"/>
        <v>12</v>
      </c>
      <c r="G125">
        <f t="shared" ca="1" si="154"/>
        <v>0</v>
      </c>
      <c r="H125">
        <f t="shared" ca="1" si="155"/>
        <v>0</v>
      </c>
      <c r="I125">
        <f t="shared" ca="1" si="156"/>
        <v>39</v>
      </c>
      <c r="J125">
        <f t="shared" ca="1" si="138"/>
        <v>0</v>
      </c>
      <c r="K125">
        <f ca="1">IF(OR($C125="S",$C125=0),0,MATCH(OFFSET($D125,0,$C125)+IF($C125&lt;&gt;1,1,COUNTIF(QCI!$A$13:$A$24,ORÇAMENTO!E125)),OFFSET($D125,1,$C125,ROW($C$131)-ROW($C125)),0))</f>
        <v>0</v>
      </c>
      <c r="L125" s="116" t="str">
        <f t="shared" ca="1" si="157"/>
        <v>F</v>
      </c>
      <c r="M125" s="117" t="s">
        <v>197</v>
      </c>
      <c r="N125" s="118" t="str">
        <f t="shared" ca="1" si="158"/>
        <v>Serviço</v>
      </c>
      <c r="O125" s="119" t="str">
        <f t="shared" ca="1" si="159"/>
        <v>1.12.0.0.39.</v>
      </c>
      <c r="P125" s="120" t="s">
        <v>939</v>
      </c>
      <c r="Q125" s="121" t="s">
        <v>1047</v>
      </c>
      <c r="R125" s="122" t="str">
        <f ca="1">IF($C125="S",REFERENCIA.Descricao,"(digite a descrição aqui)")</f>
        <v>FORNECIMENTO E INSTALAÇÃO DE LUMINÁRIA TL SLIM CONFORME DETALHES E ESPECIFICAÇÕES LISTADAS EM PROJETO ELÉTRICO</v>
      </c>
      <c r="S125" s="123" t="str">
        <f ca="1">REFERENCIA.Unidade</f>
        <v>UN</v>
      </c>
      <c r="T125" s="124">
        <f ca="1">OFFSET(CÁLCULO!H$15,ROW($T125)-ROW(T$15),0)</f>
        <v>28</v>
      </c>
      <c r="U125" s="125">
        <f t="shared" ca="1" si="17"/>
        <v>239.11</v>
      </c>
      <c r="V125" s="126" t="s">
        <v>155</v>
      </c>
      <c r="W125" s="124">
        <f ca="1">IF($C125="S",ROUND(IF(TIPOORCAMENTO="Proposto",ORÇAMENTO.CustoUnitario*(1+$AH125),ORÇAMENTO.PrecoUnitarioLicitado),15-13*$AF$10),0)</f>
        <v>296.97000000000003</v>
      </c>
      <c r="X125" s="127">
        <f ca="1">IF($C125="S",IF(OR(Import.TipoArredondamento&lt;&gt;"TransfereGOV",ACOMPANHAMENTO="BM"),VTOTAL1,SUM(OFFSET(CÁLCULO!$AI$15,ROW($X125)-ROW($X$15),1):OFFSET(CÁLCULO!$BB$15,ROW($X125)-ROW($X$15),-1))),IF($C125=0,0,ROUND(SomaAgrup,15-13*$AF$11)))</f>
        <v>8315.16</v>
      </c>
      <c r="Y125" s="128" t="s">
        <v>243</v>
      </c>
      <c r="Z125" t="str">
        <f t="shared" ca="1" si="160"/>
        <v>RA</v>
      </c>
      <c r="AA125" s="129">
        <f ca="1">IF($C125="S",IF($Z125="CP",$X125,IF($Z125="RA",(($X125)*QCI!$AA$3),0)),SomaAgrup)</f>
        <v>8315.16</v>
      </c>
      <c r="AB125" s="130">
        <f t="shared" ca="1" si="166"/>
        <v>0</v>
      </c>
      <c r="AC125" s="619" t="str">
        <f ca="1">IF($N125=""," ",
IF(AND($C125&lt;&gt;"S",OR($R125="",$R125="(digite a descrição aqui)")),"DESCRIÇÃO",
IF(AND($C125="S",OR($Q125&lt;&gt;0,$T125&gt;0,$U125&gt;0),$P125=0),"FONTE",
IF(AND($C125="S",$P125&lt;&gt;0,OR($T125&gt;0,$U125&gt;0),$Q125=0),"CÓDIGO",
IF(AND($C125="S",$P125&lt;&gt;0,$Q125&lt;&gt;0,$R125="(Código não identificado nas referências)"),"CÓDIGO N/ID",
IF(AND($C125="S",OR($R125="",$R125="(digite a descrição aqui)"),OR($Q125&lt;&gt;0,$T125&gt;0,$U125&gt;0)),"DESCRIÇÃO",
IF(AND($C125="S",$P125&lt;&gt;0,$Q125&lt;&gt;0,$S125=""),"UNIDADE",
IF(AND($C125="S",$P125&lt;&gt;0,$Q125&lt;&gt;0,$U125=0),"SEM CUSTO",
IF(AND(TIPOORCAMENTO="Licitado",$AL125=0,$AN125&gt;0),"SEM PREÇO",
IF(AND($C125="S",$P125&lt;&gt;0,$Q125&lt;&gt;0,$U125&gt;0,$V125=0),"BDI",
IF(OR(AND(TIPOORCAMENTO="Proposto",$AG125&lt;&gt;"",$AG125&gt;0,ORÇAMENTO.CustoUnitario&gt;$AG125),AND(TIPOORCAMENTO="LICITADO",ORÇAMENTO.PrecoUnitarioLicitado&gt;$AN125)),"ACIMA REF.",
IF(AND($C125="S",$P125&lt;&gt;0,$Q125&lt;&gt;0,$T125=0,$U125&gt;0),"QUANT.",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str">
        <f ca="1">IF(AND($C125="S",ORÇAMENTO.CodBarra&lt;&gt;""),IF(ORÇAMENTO.Fonte="",ORÇAMENTO.CodBarra,CONCATENATE(ORÇAMENTO.Fonte," ",ORÇAMENTO.CodBarra)))</f>
        <v>Composição AMAUC 114</v>
      </c>
      <c r="AF125" s="13">
        <f ca="1">IF(ISERROR(INDIRECT(ORÇAMENTO.BancoRef)),"(abra o arquivo 'Referência "&amp;Excel_BuiltIn_Database&amp;".xlsm)",IF(OR($C125&lt;&gt;"S",ORÇAMENTO.CodBarra=""),"(Sem Código)",IF(ISERROR(MATCH($AE125,INDIRECT(ORÇAMENTO.BancoRef),0)),"(Código não identificado nas referências)",MATCH($AE125,INDIRECT(ORÇAMENTO.BancoRef),0))))</f>
        <v>84</v>
      </c>
      <c r="AG125" s="453">
        <f ca="1">ROUND(IF(DESONERACAO="sim",REFERENCIA.Desonerado,REFERENCIA.NaoDesonerado),2)</f>
        <v>239.11</v>
      </c>
      <c r="AH125" s="454">
        <f t="shared" ca="1" si="167"/>
        <v>0.24199999999999999</v>
      </c>
      <c r="AJ125" s="456"/>
      <c r="AL125" s="471"/>
      <c r="AM125" s="348">
        <f t="shared" ca="1" si="136"/>
        <v>8315.16</v>
      </c>
      <c r="AN125" s="504">
        <f t="shared" ca="1" si="168"/>
        <v>296.97000000000003</v>
      </c>
    </row>
    <row r="126" spans="1:40" ht="38.25" x14ac:dyDescent="0.2">
      <c r="A126" t="str">
        <f>CHOOSE(1+LOG(1+2*(ORÇAMENTO.Nivel="Meta")+4*(ORÇAMENTO.Nivel="Nível 2")+8*(ORÇAMENTO.Nivel="Nível 3")+16*(ORÇAMENTO.Nivel="Nível 4")+32*(ORÇAMENTO.Nivel="Serviço"),2),0,1,2,3,4,"S")</f>
        <v>S</v>
      </c>
      <c r="B126">
        <f ca="1">IF(OR(C126="s",C126=0),OFFSET(B126,-1,0),C126)</f>
        <v>2</v>
      </c>
      <c r="C126" t="str">
        <f ca="1">IF(OFFSET(C126,-1,0)="L",1,IF(OFFSET(C126,-1,0)=1,2,IF(OR(A126="s",A126=0),"S",IF(AND(OFFSET(C126,-1,0)=2,A126=4),3,IF(AND(OR(OFFSET(C126,-1,0)="s",OFFSET(C126,-1,0)=0),A126&lt;&gt;"s",A126&gt;OFFSET(B126,-1,0)),OFFSET(B126,-1,0),A126)))))</f>
        <v>S</v>
      </c>
      <c r="D126">
        <f ca="1">IF(OR(C126="S",C126=0),0,IF(ISERROR(K126),J126,SMALL(J126:K126,1)))</f>
        <v>0</v>
      </c>
      <c r="E126">
        <f ca="1">IF($C126=1,OFFSET(E126,-1,0)+MAX(1,COUNTIF(QCI!$A$13:$A$24,OFFSET(ORÇAMENTO!E126,-1,0))),OFFSET(E126,-1,0))</f>
        <v>1</v>
      </c>
      <c r="F126">
        <f ca="1">IF($C126=1,0,IF($C126=2,OFFSET(F126,-1,0)+1,OFFSET(F126,-1,0)))</f>
        <v>12</v>
      </c>
      <c r="G126">
        <f ca="1">IF(AND($C126&lt;=2,$C126&lt;&gt;0),0,IF($C126=3,OFFSET(G126,-1,0)+1,OFFSET(G126,-1,0)))</f>
        <v>0</v>
      </c>
      <c r="H126">
        <f ca="1">IF(AND($C126&lt;=3,$C126&lt;&gt;0),0,IF($C126=4,OFFSET(H126,-1,0)+1,OFFSET(H126,-1,0)))</f>
        <v>0</v>
      </c>
      <c r="I126">
        <f ca="1">IF(AND($C126&lt;=4,$C126&lt;&gt;0),0,IF(AND($C126="S",$X126&gt;0),OFFSET(I126,-1,0)+1,OFFSET(I126,-1,0)))</f>
        <v>40</v>
      </c>
      <c r="J126">
        <f ca="1">IF(OR($C126="S",$C126=0),0,MATCH(0,OFFSET($D126,1,$C126,ROW($C$131)-ROW($C126)),0))</f>
        <v>0</v>
      </c>
      <c r="K126">
        <f ca="1">IF(OR($C126="S",$C126=0),0,MATCH(OFFSET($D126,0,$C126)+IF($C126&lt;&gt;1,1,COUNTIF(QCI!$A$13:$A$24,ORÇAMENTO!E126)),OFFSET($D126,1,$C126,ROW($C$131)-ROW($C126)),0))</f>
        <v>0</v>
      </c>
      <c r="L126" s="116" t="str">
        <f ca="1">IF(OR($X126&gt;0,$C126=1,$C126=2,$C126=3,$C126=4),"F","")</f>
        <v>F</v>
      </c>
      <c r="M126" s="117" t="s">
        <v>197</v>
      </c>
      <c r="N126" s="118" t="str">
        <f ca="1">CHOOSE(1+LOG(1+2*(C126=1)+4*(C126=2)+8*(C126=3)+16*(C126=4)+32*(C126="S"),2),"","Meta","Nível 2","Nível 3","Nível 4","Serviço")</f>
        <v>Serviço</v>
      </c>
      <c r="O126" s="119" t="str">
        <f ca="1">IF(OR($C126=0,$L126=""),"-",CONCATENATE(E126&amp;".",IF(AND($A$5&gt;=2,$C126&gt;=2),F126&amp;".",""),IF(AND($A$5&gt;=3,$C126&gt;=3),G126&amp;".",""),IF(AND($A$5&gt;=4,$C126&gt;=4),H126&amp;".",""),IF($C126="S",I126&amp;".","")))</f>
        <v>1.12.0.0.40.</v>
      </c>
      <c r="P126" s="120" t="s">
        <v>939</v>
      </c>
      <c r="Q126" s="121" t="s">
        <v>1048</v>
      </c>
      <c r="R126" s="122" t="str">
        <f ca="1">IF($C126="S",REFERENCIA.Descricao,"(digite a descrição aqui)")</f>
        <v>FORNECIMENTO E INSTALAÇÃO DE LUMINÁRIA LINEAR DE ALTA EFICIÊNCIA CONFORME DETALHES E ESPECIFICAÇÕES LISTADAS EM PROJETO ELÉTRICO</v>
      </c>
      <c r="S126" s="123" t="str">
        <f ca="1">REFERENCIA.Unidade</f>
        <v>UN</v>
      </c>
      <c r="T126" s="124">
        <f ca="1">OFFSET(CÁLCULO!H$15,ROW($T126)-ROW(T$15),0)</f>
        <v>14</v>
      </c>
      <c r="U126" s="125">
        <f t="shared" ca="1" si="17"/>
        <v>720.73</v>
      </c>
      <c r="V126" s="126" t="s">
        <v>155</v>
      </c>
      <c r="W126" s="124">
        <f ca="1">IF($C126="S",ROUND(IF(TIPOORCAMENTO="Proposto",ORÇAMENTO.CustoUnitario*(1+$AH126),ORÇAMENTO.PrecoUnitarioLicitado),15-13*$AF$10),0)</f>
        <v>895.15</v>
      </c>
      <c r="X126" s="127">
        <f ca="1">IF($C126="S",IF(OR(Import.TipoArredondamento&lt;&gt;"TransfereGOV",ACOMPANHAMENTO="BM"),VTOTAL1,SUM(OFFSET(CÁLCULO!$AI$15,ROW($X126)-ROW($X$15),1):OFFSET(CÁLCULO!$BB$15,ROW($X126)-ROW($X$15),-1))),IF($C126=0,0,ROUND(SomaAgrup,15-13*$AF$11)))</f>
        <v>12532.1</v>
      </c>
      <c r="Y126" s="128" t="s">
        <v>243</v>
      </c>
      <c r="Z126" t="str">
        <f ca="1">IF(AND($C126="S",$X126&gt;0),IF(ISBLANK($Y126),"RA",LEFT($Y126,2)),"")</f>
        <v>RA</v>
      </c>
      <c r="AA126" s="129">
        <f ca="1">IF($C126="S",IF($Z126="CP",$X126,IF($Z126="RA",(($X126)*QCI!$AA$3),0)),SomaAgrup)</f>
        <v>12532.1</v>
      </c>
      <c r="AB126" s="130">
        <f ca="1">IF($C126="S",IF($Z126="OU",ROUND($X126,2),0),SomaAgrup)</f>
        <v>0</v>
      </c>
      <c r="AC126" s="619" t="str">
        <f ca="1">IF($N126=""," ",
IF(AND($C126&lt;&gt;"S",OR($R126="",$R126="(digite a descrição aqui)")),"DESCRIÇÃO",
IF(AND($C126="S",OR($Q126&lt;&gt;0,$T126&gt;0,$U126&gt;0),$P126=0),"FONTE",
IF(AND($C126="S",$P126&lt;&gt;0,OR($T126&gt;0,$U126&gt;0),$Q126=0),"CÓDIGO",
IF(AND($C126="S",$P126&lt;&gt;0,$Q126&lt;&gt;0,$R126="(Código não identificado nas referências)"),"CÓDIGO N/ID",
IF(AND($C126="S",OR($R126="",$R126="(digite a descrição aqui)"),OR($Q126&lt;&gt;0,$T126&gt;0,$U126&gt;0)),"DESCRIÇÃO",
IF(AND($C126="S",$P126&lt;&gt;0,$Q126&lt;&gt;0,$S126=""),"UNIDADE",
IF(AND($C126="S",$P126&lt;&gt;0,$Q126&lt;&gt;0,$U126=0),"SEM CUSTO",
IF(AND(TIPOORCAMENTO="Licitado",$AL126=0,$AN126&gt;0),"SEM PREÇO",
IF(AND($C126="S",$P126&lt;&gt;0,$Q126&lt;&gt;0,$U126&gt;0,$V126=0),"BDI",
IF(OR(AND(TIPOORCAMENTO="Proposto",$AG126&lt;&gt;"",$AG126&gt;0,ORÇAMENTO.CustoUnitario&gt;$AG126),AND(TIPOORCAMENTO="LICITADO",ORÇAMENTO.PrecoUnitarioLicitado&gt;$AN126)),"ACIMA REF.",
IF(AND($C126="S",$P126&lt;&gt;0,$Q126&lt;&gt;0,$T126=0,$U126&gt;0),"QUANT.",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f ca="1">IF(AND($C126="S",ORÇAMENTO.CodBarra&lt;&gt;""),IF(ORÇAMENTO.Fonte="",ORÇAMENTO.CodBarra,CONCATENATE(ORÇAMENTO.Fonte," ",ORÇAMENTO.CodBarra)))</f>
        <v>Composição AMAUC 115</v>
      </c>
      <c r="AF126" s="13">
        <f ca="1">IF(ISERROR(INDIRECT(ORÇAMENTO.BancoRef)),"(abra o arquivo 'Referência "&amp;Excel_BuiltIn_Database&amp;".xlsm)",IF(OR($C126&lt;&gt;"S",ORÇAMENTO.CodBarra=""),"(Sem Código)",IF(ISERROR(MATCH($AE126,INDIRECT(ORÇAMENTO.BancoRef),0)),"(Código não identificado nas referências)",MATCH($AE126,INDIRECT(ORÇAMENTO.BancoRef),0))))</f>
        <v>85</v>
      </c>
      <c r="AG126" s="453">
        <f ca="1">ROUND(IF(DESONERACAO="sim",REFERENCIA.Desonerado,REFERENCIA.NaoDesonerado),2)</f>
        <v>720.73</v>
      </c>
      <c r="AH126" s="454">
        <f ca="1">ROUND(IF(ISNUMBER(ORÇAMENTO.OpcaoBDI),ORÇAMENTO.OpcaoBDI,IF(LEFT(ORÇAMENTO.OpcaoBDI,3)="BDI",HLOOKUP(ORÇAMENTO.OpcaoBDI,$F$4:$H$5,2,FALSE),0)),15-11*$AF$9)</f>
        <v>0.24199999999999999</v>
      </c>
      <c r="AJ126" s="456"/>
      <c r="AL126" s="471"/>
      <c r="AM126" s="348">
        <f t="shared" ca="1" si="136"/>
        <v>12532.1</v>
      </c>
      <c r="AN126" s="504">
        <f ca="1">ROUND(ORÇAMENTO.CustoUnitario*(1+$AH126),2)</f>
        <v>895.15</v>
      </c>
    </row>
    <row r="127" spans="1:40" ht="38.25" x14ac:dyDescent="0.2">
      <c r="A127" t="str">
        <f t="shared" si="165"/>
        <v>S</v>
      </c>
      <c r="B127">
        <f t="shared" ca="1" si="150"/>
        <v>2</v>
      </c>
      <c r="C127" t="str">
        <f t="shared" ca="1" si="151"/>
        <v>S</v>
      </c>
      <c r="D127">
        <f t="shared" ca="1" si="152"/>
        <v>0</v>
      </c>
      <c r="E127">
        <f ca="1">IF($C127=1,OFFSET(E127,-1,0)+MAX(1,COUNTIF(QCI!$A$13:$A$24,OFFSET(ORÇAMENTO!E127,-1,0))),OFFSET(E127,-1,0))</f>
        <v>1</v>
      </c>
      <c r="F127">
        <f t="shared" ca="1" si="153"/>
        <v>12</v>
      </c>
      <c r="G127">
        <f t="shared" ca="1" si="154"/>
        <v>0</v>
      </c>
      <c r="H127">
        <f t="shared" ca="1" si="155"/>
        <v>0</v>
      </c>
      <c r="I127">
        <f t="shared" ca="1" si="156"/>
        <v>41</v>
      </c>
      <c r="J127">
        <f t="shared" ca="1" si="138"/>
        <v>0</v>
      </c>
      <c r="K127">
        <f ca="1">IF(OR($C127="S",$C127=0),0,MATCH(OFFSET($D127,0,$C127)+IF($C127&lt;&gt;1,1,COUNTIF(QCI!$A$13:$A$24,ORÇAMENTO!E127)),OFFSET($D127,1,$C127,ROW($C$131)-ROW($C127)),0))</f>
        <v>0</v>
      </c>
      <c r="L127" s="116" t="str">
        <f t="shared" ca="1" si="157"/>
        <v>F</v>
      </c>
      <c r="M127" s="117" t="s">
        <v>197</v>
      </c>
      <c r="N127" s="118" t="str">
        <f t="shared" ca="1" si="158"/>
        <v>Serviço</v>
      </c>
      <c r="O127" s="119" t="str">
        <f t="shared" ca="1" si="159"/>
        <v>1.12.0.0.41.</v>
      </c>
      <c r="P127" s="120" t="s">
        <v>939</v>
      </c>
      <c r="Q127" s="121" t="s">
        <v>1049</v>
      </c>
      <c r="R127" s="122" t="str">
        <f ca="1">IF($C127="S",REFERENCIA.Descricao,"(digite a descrição aqui)")</f>
        <v>FORNECIMENTO E INSTALAÇÃO DE LUMINÁRIA REFLETOR LED CONFORME DETALHES E ESPECIFICAÇÕES LISTADAS EM PROJETO ELÉTRICO</v>
      </c>
      <c r="S127" s="123" t="str">
        <f ca="1">REFERENCIA.Unidade</f>
        <v>UN</v>
      </c>
      <c r="T127" s="124">
        <f ca="1">OFFSET(CÁLCULO!H$15,ROW($T127)-ROW(T$15),0)</f>
        <v>4</v>
      </c>
      <c r="U127" s="125">
        <f t="shared" ca="1" si="17"/>
        <v>77.55</v>
      </c>
      <c r="V127" s="126" t="s">
        <v>155</v>
      </c>
      <c r="W127" s="124">
        <f ca="1">IF($C127="S",ROUND(IF(TIPOORCAMENTO="Proposto",ORÇAMENTO.CustoUnitario*(1+$AH127),ORÇAMENTO.PrecoUnitarioLicitado),15-13*$AF$10),0)</f>
        <v>96.32</v>
      </c>
      <c r="X127" s="127">
        <f ca="1">IF($C127="S",IF(OR(Import.TipoArredondamento&lt;&gt;"TransfereGOV",ACOMPANHAMENTO="BM"),VTOTAL1,SUM(OFFSET(CÁLCULO!$AI$15,ROW($X127)-ROW($X$15),1):OFFSET(CÁLCULO!$BB$15,ROW($X127)-ROW($X$15),-1))),IF($C127=0,0,ROUND(SomaAgrup,15-13*$AF$11)))</f>
        <v>385.28</v>
      </c>
      <c r="Y127" s="128" t="s">
        <v>243</v>
      </c>
      <c r="Z127" t="str">
        <f t="shared" ca="1" si="160"/>
        <v>RA</v>
      </c>
      <c r="AA127" s="129">
        <f ca="1">IF($C127="S",IF($Z127="CP",$X127,IF($Z127="RA",(($X127)*QCI!$AA$3),0)),SomaAgrup)</f>
        <v>385.28</v>
      </c>
      <c r="AB127" s="130">
        <f t="shared" ca="1" si="166"/>
        <v>0</v>
      </c>
      <c r="AC127" s="619" t="str">
        <f ca="1">IF($N127=""," ",
IF(AND($C127&lt;&gt;"S",OR($R127="",$R127="(digite a descrição aqui)")),"DESCRIÇÃO",
IF(AND($C127="S",OR($Q127&lt;&gt;0,$T127&gt;0,$U127&gt;0),$P127=0),"FONTE",
IF(AND($C127="S",$P127&lt;&gt;0,OR($T127&gt;0,$U127&gt;0),$Q127=0),"CÓDIGO",
IF(AND($C127="S",$P127&lt;&gt;0,$Q127&lt;&gt;0,$R127="(Código não identificado nas referências)"),"CÓDIGO N/ID",
IF(AND($C127="S",OR($R127="",$R127="(digite a descrição aqui)"),OR($Q127&lt;&gt;0,$T127&gt;0,$U127&gt;0)),"DESCRIÇÃO",
IF(AND($C127="S",$P127&lt;&gt;0,$Q127&lt;&gt;0,$S127=""),"UNIDADE",
IF(AND($C127="S",$P127&lt;&gt;0,$Q127&lt;&gt;0,$U127=0),"SEM CUSTO",
IF(AND(TIPOORCAMENTO="Licitado",$AL127=0,$AN127&gt;0),"SEM PREÇO",
IF(AND($C127="S",$P127&lt;&gt;0,$Q127&lt;&gt;0,$U127&gt;0,$V127=0),"BDI",
IF(OR(AND(TIPOORCAMENTO="Proposto",$AG127&lt;&gt;"",$AG127&gt;0,ORÇAMENTO.CustoUnitario&gt;$AG127),AND(TIPOORCAMENTO="LICITADO",ORÇAMENTO.PrecoUnitarioLicitado&gt;$AN127)),"ACIMA REF.",
IF(AND($C127="S",$P127&lt;&gt;0,$Q127&lt;&gt;0,$T127=0,$U127&gt;0),"QUANT.",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str">
        <f ca="1">IF(AND($C127="S",ORÇAMENTO.CodBarra&lt;&gt;""),IF(ORÇAMENTO.Fonte="",ORÇAMENTO.CodBarra,CONCATENATE(ORÇAMENTO.Fonte," ",ORÇAMENTO.CodBarra)))</f>
        <v>Composição AMAUC 116</v>
      </c>
      <c r="AF127" s="13">
        <f ca="1">IF(ISERROR(INDIRECT(ORÇAMENTO.BancoRef)),"(abra o arquivo 'Referência "&amp;Excel_BuiltIn_Database&amp;".xlsm)",IF(OR($C127&lt;&gt;"S",ORÇAMENTO.CodBarra=""),"(Sem Código)",IF(ISERROR(MATCH($AE127,INDIRECT(ORÇAMENTO.BancoRef),0)),"(Código não identificado nas referências)",MATCH($AE127,INDIRECT(ORÇAMENTO.BancoRef),0))))</f>
        <v>86</v>
      </c>
      <c r="AG127" s="453">
        <f ca="1">ROUND(IF(DESONERACAO="sim",REFERENCIA.Desonerado,REFERENCIA.NaoDesonerado),2)</f>
        <v>77.55</v>
      </c>
      <c r="AH127" s="454">
        <f t="shared" ca="1" si="167"/>
        <v>0.24199999999999999</v>
      </c>
      <c r="AJ127" s="456"/>
      <c r="AL127" s="471"/>
      <c r="AM127" s="348">
        <f t="shared" ca="1" si="136"/>
        <v>385.28</v>
      </c>
      <c r="AN127" s="504">
        <f t="shared" ca="1" si="168"/>
        <v>96.32</v>
      </c>
    </row>
    <row r="128" spans="1:40" x14ac:dyDescent="0.2">
      <c r="A128">
        <f t="shared" si="122"/>
        <v>2</v>
      </c>
      <c r="B128">
        <f t="shared" ca="1" si="123"/>
        <v>2</v>
      </c>
      <c r="C128">
        <f t="shared" ca="1" si="124"/>
        <v>2</v>
      </c>
      <c r="D128">
        <f t="shared" ca="1" si="125"/>
        <v>3</v>
      </c>
      <c r="E128">
        <f ca="1">IF($C128=1,OFFSET(E128,-1,0)+MAX(1,COUNTIF(QCI!$A$13:$A$24,OFFSET(ORÇAMENTO!E128,-1,0))),OFFSET(E128,-1,0))</f>
        <v>1</v>
      </c>
      <c r="F128">
        <f t="shared" ca="1" si="126"/>
        <v>13</v>
      </c>
      <c r="G128">
        <f t="shared" ca="1" si="127"/>
        <v>0</v>
      </c>
      <c r="H128">
        <f t="shared" ca="1" si="128"/>
        <v>0</v>
      </c>
      <c r="I128">
        <f t="shared" ca="1" si="129"/>
        <v>0</v>
      </c>
      <c r="J128">
        <f t="shared" ca="1" si="138"/>
        <v>3</v>
      </c>
      <c r="K128" t="e">
        <f ca="1">IF(OR($C128="S",$C128=0),0,MATCH(OFFSET($D128,0,$C128)+IF($C128&lt;&gt;1,1,COUNTIF(QCI!$A$13:$A$24,ORÇAMENTO!E128)),OFFSET($D128,1,$C128,ROW($C$131)-ROW($C128)),0))</f>
        <v>#N/A</v>
      </c>
      <c r="L128" s="116" t="str">
        <f t="shared" ca="1" si="130"/>
        <v>F</v>
      </c>
      <c r="M128" s="117" t="s">
        <v>194</v>
      </c>
      <c r="N128" s="118" t="str">
        <f t="shared" ca="1" si="131"/>
        <v>Nível 2</v>
      </c>
      <c r="O128" s="119" t="str">
        <f t="shared" ca="1" si="132"/>
        <v>1.13.</v>
      </c>
      <c r="P128" s="120" t="s">
        <v>245</v>
      </c>
      <c r="Q128" s="121"/>
      <c r="R128" s="122" t="s">
        <v>943</v>
      </c>
      <c r="S128" s="123" t="str">
        <f ca="1">REFERENCIA.Unidade</f>
        <v>-</v>
      </c>
      <c r="T128" s="124">
        <f ca="1">OFFSET(CÁLCULO!H$15,ROW($T128)-ROW(T$15),0)</f>
        <v>0</v>
      </c>
      <c r="U128" s="125">
        <f t="shared" ca="1" si="17"/>
        <v>0</v>
      </c>
      <c r="V128" s="126" t="s">
        <v>155</v>
      </c>
      <c r="W128" s="124">
        <f ca="1">IF($C128="S",ROUND(IF(TIPOORCAMENTO="Proposto",ORÇAMENTO.CustoUnitario*(1+$AH128),ORÇAMENTO.PrecoUnitarioLicitado),15-13*$AF$10),0)</f>
        <v>0</v>
      </c>
      <c r="X128" s="127">
        <f ca="1">IF($C128="S",IF(OR(Import.TipoArredondamento&lt;&gt;"TransfereGOV",ACOMPANHAMENTO="BM"),VTOTAL1,SUM(OFFSET(CÁLCULO!$AI$15,ROW($X128)-ROW($X$15),1):OFFSET(CÁLCULO!$BB$15,ROW($X128)-ROW($X$15),-1))),IF($C128=0,0,ROUND(SomaAgrup,15-13*$AF$11)))</f>
        <v>1244.8900000000001</v>
      </c>
      <c r="Y128" s="128" t="s">
        <v>243</v>
      </c>
      <c r="Z128" t="str">
        <f t="shared" ca="1" si="133"/>
        <v/>
      </c>
      <c r="AA128" s="129">
        <f ca="1">IF($C128="S",IF($Z128="CP",$X128,IF($Z128="RA",(($X128)*QCI!$AA$3),0)),SomaAgrup)</f>
        <v>1244.8899999999999</v>
      </c>
      <c r="AB128" s="130">
        <f t="shared" ca="1" si="134"/>
        <v>0</v>
      </c>
      <c r="AC128" s="619" t="str">
        <f ca="1">IF($N128=""," ",
IF(AND($C128&lt;&gt;"S",OR($R128="",$R128="(digite a descrição aqui)")),"DESCRIÇÃO",
IF(AND($C128="S",OR($Q128&lt;&gt;0,$T128&gt;0,$U128&gt;0),$P128=0),"FONTE",
IF(AND($C128="S",$P128&lt;&gt;0,OR($T128&gt;0,$U128&gt;0),$Q128=0),"CÓDIGO",
IF(AND($C128="S",$P128&lt;&gt;0,$Q128&lt;&gt;0,$R128="(Código não identificado nas referências)"),"CÓDIGO N/ID",
IF(AND($C128="S",OR($R128="",$R128="(digite a descrição aqui)"),OR($Q128&lt;&gt;0,$T128&gt;0,$U128&gt;0)),"DESCRIÇÃO",
IF(AND($C128="S",$P128&lt;&gt;0,$Q128&lt;&gt;0,$S128=""),"UNIDADE",
IF(AND($C128="S",$P128&lt;&gt;0,$Q128&lt;&gt;0,$U128=0),"SEM CUSTO",
IF(AND(TIPOORCAMENTO="Licitado",$AL128=0,$AN128&gt;0),"SEM PREÇO",
IF(AND($C128="S",$P128&lt;&gt;0,$Q128&lt;&gt;0,$U128&gt;0,$V128=0),"BDI",
IF(OR(AND(TIPOORCAMENTO="Proposto",$AG128&lt;&gt;"",$AG128&gt;0,ORÇAMENTO.CustoUnitario&gt;$AG128),AND(TIPOORCAMENTO="LICITADO",ORÇAMENTO.PrecoUnitarioLicitado&gt;$AN128)),"ACIMA REF.",
IF(AND($C128="S",$P128&lt;&gt;0,$Q128&lt;&gt;0,$T128=0,$U128&gt;0),"QUANT.",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f ca="1">IF(C128&lt;=CRONO.NivelExibicao,MAX($AD$15:OFFSET(AD128,-1,0))+IF($C128&lt;&gt;1,1,MAX(1,COUNTIF(QCI!$A$13:$A$24,OFFSET($E128,-1,0)))),"")</f>
        <v>14</v>
      </c>
      <c r="AE128" s="7" t="b">
        <f ca="1">IF(AND($C128="S",ORÇAMENTO.CodBarra&lt;&gt;""),IF(ORÇAMENTO.Fonte="",ORÇAMENTO.CodBarra,CONCATENATE(ORÇAMENTO.Fonte," ",ORÇAMENTO.CodBarra)))</f>
        <v>0</v>
      </c>
      <c r="AF128" s="13" t="str">
        <f ca="1">IF(ISERROR(INDIRECT(ORÇAMENTO.BancoRef)),"(abra o arquivo 'Referência "&amp;Excel_BuiltIn_Database&amp;".xlsm)",IF(OR($C128&lt;&gt;"S",ORÇAMENTO.CodBarra=""),"(Sem Código)",IF(ISERROR(MATCH($AE128,INDIRECT(ORÇAMENTO.BancoRef),0)),"(Código não identificado nas referências)",MATCH($AE128,INDIRECT(ORÇAMENTO.BancoRef),0))))</f>
        <v>(Sem Código)</v>
      </c>
      <c r="AG128" s="453">
        <f ca="1">ROUND(IF(DESONERACAO="sim",REFERENCIA.Desonerado,REFERENCIA.NaoDesonerado),2)</f>
        <v>0</v>
      </c>
      <c r="AH128" s="454">
        <f t="shared" ca="1" si="135"/>
        <v>0.24199999999999999</v>
      </c>
      <c r="AJ128" s="456"/>
      <c r="AL128" s="471"/>
      <c r="AM128" s="348">
        <f t="shared" ca="1" si="136"/>
        <v>1244.8900000000001</v>
      </c>
      <c r="AN128" s="504">
        <f t="shared" ca="1" si="137"/>
        <v>0</v>
      </c>
    </row>
    <row r="129" spans="1:40" ht="25.5" x14ac:dyDescent="0.2">
      <c r="A129" t="str">
        <f t="shared" si="122"/>
        <v>S</v>
      </c>
      <c r="B129">
        <f t="shared" ca="1" si="123"/>
        <v>2</v>
      </c>
      <c r="C129" t="str">
        <f t="shared" ca="1" si="124"/>
        <v>S</v>
      </c>
      <c r="D129">
        <f t="shared" ca="1" si="125"/>
        <v>0</v>
      </c>
      <c r="E129">
        <f ca="1">IF($C129=1,OFFSET(E129,-1,0)+MAX(1,COUNTIF(QCI!$A$13:$A$24,OFFSET(ORÇAMENTO!E129,-1,0))),OFFSET(E129,-1,0))</f>
        <v>1</v>
      </c>
      <c r="F129">
        <f t="shared" ca="1" si="126"/>
        <v>13</v>
      </c>
      <c r="G129">
        <f t="shared" ca="1" si="127"/>
        <v>0</v>
      </c>
      <c r="H129">
        <f t="shared" ca="1" si="128"/>
        <v>0</v>
      </c>
      <c r="I129">
        <f t="shared" ca="1" si="129"/>
        <v>1</v>
      </c>
      <c r="J129">
        <f t="shared" ca="1" si="138"/>
        <v>0</v>
      </c>
      <c r="K129">
        <f ca="1">IF(OR($C129="S",$C129=0),0,MATCH(OFFSET($D129,0,$C129)+IF($C129&lt;&gt;1,1,COUNTIF(QCI!$A$13:$A$24,ORÇAMENTO!E129)),OFFSET($D129,1,$C129,ROW($C$131)-ROW($C129)),0))</f>
        <v>0</v>
      </c>
      <c r="L129" s="116" t="str">
        <f t="shared" ca="1" si="130"/>
        <v>F</v>
      </c>
      <c r="M129" s="117" t="s">
        <v>197</v>
      </c>
      <c r="N129" s="118" t="str">
        <f t="shared" ca="1" si="131"/>
        <v>Serviço</v>
      </c>
      <c r="O129" s="119" t="str">
        <f t="shared" ca="1" si="132"/>
        <v>1.13.0.0.1.</v>
      </c>
      <c r="P129" s="120" t="s">
        <v>245</v>
      </c>
      <c r="Q129" s="121" t="s">
        <v>951</v>
      </c>
      <c r="R129" s="122" t="str">
        <f ca="1">IF($C129="S",REFERENCIA.Descricao,"(digite a descrição aqui)")</f>
        <v>LIMPEZA DE JANELA DE VIDRO COM CAIXILHO EM AÇO/ALUMÍNIO/PVC. AF_10/2025_PS</v>
      </c>
      <c r="S129" s="123" t="str">
        <f ca="1">REFERENCIA.Unidade</f>
        <v>M2</v>
      </c>
      <c r="T129" s="124">
        <f ca="1">OFFSET(CÁLCULO!H$15,ROW($T129)-ROW(T$15),0)</f>
        <v>34.56</v>
      </c>
      <c r="U129" s="125">
        <f t="shared" ref="U129:U130" ca="1" si="169">AG129</f>
        <v>5.24</v>
      </c>
      <c r="V129" s="126" t="s">
        <v>155</v>
      </c>
      <c r="W129" s="124">
        <f ca="1">IF($C129="S",ROUND(IF(TIPOORCAMENTO="Proposto",ORÇAMENTO.CustoUnitario*(1+$AH129),ORÇAMENTO.PrecoUnitarioLicitado),15-13*$AF$10),0)</f>
        <v>6.51</v>
      </c>
      <c r="X129" s="127">
        <f ca="1">IF($C129="S",IF(OR(Import.TipoArredondamento&lt;&gt;"TransfereGOV",ACOMPANHAMENTO="BM"),VTOTAL1,SUM(OFFSET(CÁLCULO!$AI$15,ROW($X129)-ROW($X$15),1):OFFSET(CÁLCULO!$BB$15,ROW($X129)-ROW($X$15),-1))),IF($C129=0,0,ROUND(SomaAgrup,15-13*$AF$11)))</f>
        <v>224.99</v>
      </c>
      <c r="Y129" s="128" t="s">
        <v>243</v>
      </c>
      <c r="Z129" t="str">
        <f t="shared" ca="1" si="133"/>
        <v>RA</v>
      </c>
      <c r="AA129" s="129">
        <f ca="1">IF($C129="S",IF($Z129="CP",$X129,IF($Z129="RA",(($X129)*QCI!$AA$3),0)),SomaAgrup)</f>
        <v>224.99</v>
      </c>
      <c r="AB129" s="130">
        <f t="shared" ca="1" si="134"/>
        <v>0</v>
      </c>
      <c r="AC129" s="619" t="str">
        <f ca="1">IF($N129=""," ",
IF(AND($C129&lt;&gt;"S",OR($R129="",$R129="(digite a descrição aqui)")),"DESCRIÇÃO",
IF(AND($C129="S",OR($Q129&lt;&gt;0,$T129&gt;0,$U129&gt;0),$P129=0),"FONTE",
IF(AND($C129="S",$P129&lt;&gt;0,OR($T129&gt;0,$U129&gt;0),$Q129=0),"CÓDIGO",
IF(AND($C129="S",$P129&lt;&gt;0,$Q129&lt;&gt;0,$R129="(Código não identificado nas referências)"),"CÓDIGO N/ID",
IF(AND($C129="S",OR($R129="",$R129="(digite a descrição aqui)"),OR($Q129&lt;&gt;0,$T129&gt;0,$U129&gt;0)),"DESCRIÇÃO",
IF(AND($C129="S",$P129&lt;&gt;0,$Q129&lt;&gt;0,$S129=""),"UNIDADE",
IF(AND($C129="S",$P129&lt;&gt;0,$Q129&lt;&gt;0,$U129=0),"SEM CUSTO",
IF(AND(TIPOORCAMENTO="Licitado",$AL129=0,$AN129&gt;0),"SEM PREÇO",
IF(AND($C129="S",$P129&lt;&gt;0,$Q129&lt;&gt;0,$U129&gt;0,$V129=0),"BDI",
IF(OR(AND(TIPOORCAMENTO="Proposto",$AG129&lt;&gt;"",$AG129&gt;0,ORÇAMENTO.CustoUnitario&gt;$AG129),AND(TIPOORCAMENTO="LICITADO",ORÇAMENTO.PrecoUnitarioLicitado&gt;$AN129)),"ACIMA REF.",
IF(AND($C129="S",$P129&lt;&gt;0,$Q129&lt;&gt;0,$T129=0,$U129&gt;0),"QUANT.",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f ca="1">IF(AND($C129="S",ORÇAMENTO.CodBarra&lt;&gt;""),IF(ORÇAMENTO.Fonte="",ORÇAMENTO.CodBarra,CONCATENATE(ORÇAMENTO.Fonte," ",ORÇAMENTO.CodBarra)))</f>
        <v>SINAPI 99821</v>
      </c>
      <c r="AF129" s="13">
        <f ca="1">IF(ISERROR(INDIRECT(ORÇAMENTO.BancoRef)),"(abra o arquivo 'Referência "&amp;Excel_BuiltIn_Database&amp;".xlsm)",IF(OR($C129&lt;&gt;"S",ORÇAMENTO.CodBarra=""),"(Sem Código)",IF(ISERROR(MATCH($AE129,INDIRECT(ORÇAMENTO.BancoRef),0)),"(Código não identificado nas referências)",MATCH($AE129,INDIRECT(ORÇAMENTO.BancoRef),0))))</f>
        <v>13204</v>
      </c>
      <c r="AG129" s="453">
        <f ca="1">ROUND(IF(DESONERACAO="sim",REFERENCIA.Desonerado,REFERENCIA.NaoDesonerado),2)</f>
        <v>5.24</v>
      </c>
      <c r="AH129" s="454">
        <f t="shared" ca="1" si="135"/>
        <v>0.24199999999999999</v>
      </c>
      <c r="AJ129" s="456"/>
      <c r="AL129" s="471"/>
      <c r="AM129" s="348">
        <f t="shared" ca="1" si="136"/>
        <v>224.99</v>
      </c>
      <c r="AN129" s="504">
        <f t="shared" ca="1" si="137"/>
        <v>6.51</v>
      </c>
    </row>
    <row r="130" spans="1:40" ht="25.5" x14ac:dyDescent="0.2">
      <c r="A130" t="str">
        <f t="shared" si="122"/>
        <v>S</v>
      </c>
      <c r="B130">
        <f t="shared" ca="1" si="123"/>
        <v>2</v>
      </c>
      <c r="C130" t="str">
        <f t="shared" ca="1" si="124"/>
        <v>S</v>
      </c>
      <c r="D130">
        <f t="shared" ca="1" si="125"/>
        <v>0</v>
      </c>
      <c r="E130">
        <f ca="1">IF($C130=1,OFFSET(E130,-1,0)+MAX(1,COUNTIF(QCI!$A$13:$A$24,OFFSET(ORÇAMENTO!E130,-1,0))),OFFSET(E130,-1,0))</f>
        <v>1</v>
      </c>
      <c r="F130">
        <f t="shared" ca="1" si="126"/>
        <v>13</v>
      </c>
      <c r="G130">
        <f t="shared" ca="1" si="127"/>
        <v>0</v>
      </c>
      <c r="H130">
        <f t="shared" ca="1" si="128"/>
        <v>0</v>
      </c>
      <c r="I130">
        <f t="shared" ca="1" si="129"/>
        <v>2</v>
      </c>
      <c r="J130">
        <f t="shared" ca="1" si="138"/>
        <v>0</v>
      </c>
      <c r="K130">
        <f ca="1">IF(OR($C130="S",$C130=0),0,MATCH(OFFSET($D130,0,$C130)+IF($C130&lt;&gt;1,1,COUNTIF(QCI!$A$13:$A$24,ORÇAMENTO!E130)),OFFSET($D130,1,$C130,ROW($C$131)-ROW($C130)),0))</f>
        <v>0</v>
      </c>
      <c r="L130" s="116" t="str">
        <f t="shared" ca="1" si="130"/>
        <v>F</v>
      </c>
      <c r="M130" s="117" t="s">
        <v>197</v>
      </c>
      <c r="N130" s="118" t="str">
        <f t="shared" ca="1" si="131"/>
        <v>Serviço</v>
      </c>
      <c r="O130" s="119" t="str">
        <f t="shared" ca="1" si="132"/>
        <v>1.13.0.0.2.</v>
      </c>
      <c r="P130" s="120" t="s">
        <v>245</v>
      </c>
      <c r="Q130" s="121" t="s">
        <v>944</v>
      </c>
      <c r="R130" s="122" t="str">
        <f ca="1">IF($C130="S",REFERENCIA.Descricao,"(digite a descrição aqui)")</f>
        <v>LIMPEZA DE SUPERFÍCIE PISO OU PAREDE COM JATO DE ALTA PRESSÃO. AF_10/2025</v>
      </c>
      <c r="S130" s="123" t="str">
        <f ca="1">REFERENCIA.Unidade</f>
        <v>M2</v>
      </c>
      <c r="T130" s="124">
        <f ca="1">OFFSET(CÁLCULO!H$15,ROW($T130)-ROW(T$15),0)</f>
        <v>470</v>
      </c>
      <c r="U130" s="125">
        <f t="shared" ca="1" si="169"/>
        <v>1.75</v>
      </c>
      <c r="V130" s="126" t="s">
        <v>155</v>
      </c>
      <c r="W130" s="124">
        <f ca="1">IF($C130="S",ROUND(IF(TIPOORCAMENTO="Proposto",ORÇAMENTO.CustoUnitario*(1+$AH130),ORÇAMENTO.PrecoUnitarioLicitado),15-13*$AF$10),0)</f>
        <v>2.17</v>
      </c>
      <c r="X130" s="127">
        <f ca="1">IF($C130="S",IF(OR(Import.TipoArredondamento&lt;&gt;"TransfereGOV",ACOMPANHAMENTO="BM"),VTOTAL1,SUM(OFFSET(CÁLCULO!$AI$15,ROW($X130)-ROW($X$15),1):OFFSET(CÁLCULO!$BB$15,ROW($X130)-ROW($X$15),-1))),IF($C130=0,0,ROUND(SomaAgrup,15-13*$AF$11)))</f>
        <v>1019.9</v>
      </c>
      <c r="Y130" s="128" t="s">
        <v>243</v>
      </c>
      <c r="Z130" t="str">
        <f t="shared" ca="1" si="133"/>
        <v>RA</v>
      </c>
      <c r="AA130" s="129">
        <f ca="1">IF($C130="S",IF($Z130="CP",$X130,IF($Z130="RA",(($X130)*QCI!$AA$3),0)),SomaAgrup)</f>
        <v>1019.9</v>
      </c>
      <c r="AB130" s="130">
        <f t="shared" ca="1" si="134"/>
        <v>0</v>
      </c>
      <c r="AC130" s="619" t="str">
        <f ca="1">IF($N130=""," ",
IF(AND($C130&lt;&gt;"S",OR($R130="",$R130="(digite a descrição aqui)")),"DESCRIÇÃO",
IF(AND($C130="S",OR($Q130&lt;&gt;0,$T130&gt;0,$U130&gt;0),$P130=0),"FONTE",
IF(AND($C130="S",$P130&lt;&gt;0,OR($T130&gt;0,$U130&gt;0),$Q130=0),"CÓDIGO",
IF(AND($C130="S",$P130&lt;&gt;0,$Q130&lt;&gt;0,$R130="(Código não identificado nas referências)"),"CÓDIGO N/ID",
IF(AND($C130="S",OR($R130="",$R130="(digite a descrição aqui)"),OR($Q130&lt;&gt;0,$T130&gt;0,$U130&gt;0)),"DESCRIÇÃO",
IF(AND($C130="S",$P130&lt;&gt;0,$Q130&lt;&gt;0,$S130=""),"UNIDADE",
IF(AND($C130="S",$P130&lt;&gt;0,$Q130&lt;&gt;0,$U130=0),"SEM CUSTO",
IF(AND(TIPOORCAMENTO="Licitado",$AL130=0,$AN130&gt;0),"SEM PREÇO",
IF(AND($C130="S",$P130&lt;&gt;0,$Q130&lt;&gt;0,$U130&gt;0,$V130=0),"BDI",
IF(OR(AND(TIPOORCAMENTO="Proposto",$AG130&lt;&gt;"",$AG130&gt;0,ORÇAMENTO.CustoUnitario&gt;$AG130),AND(TIPOORCAMENTO="LICITADO",ORÇAMENTO.PrecoUnitarioLicitado&gt;$AN130)),"ACIMA REF.",
IF(AND($C130="S",$P130&lt;&gt;0,$Q130&lt;&gt;0,$T130=0,$U130&gt;0),"QUANT.",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str">
        <f ca="1">IF(AND($C130="S",ORÇAMENTO.CodBarra&lt;&gt;""),IF(ORÇAMENTO.Fonte="",ORÇAMENTO.CodBarra,CONCATENATE(ORÇAMENTO.Fonte," ",ORÇAMENTO.CodBarra)))</f>
        <v>SINAPI 99814</v>
      </c>
      <c r="AF130" s="13">
        <f ca="1">IF(ISERROR(INDIRECT(ORÇAMENTO.BancoRef)),"(abra o arquivo 'Referência "&amp;Excel_BuiltIn_Database&amp;".xlsm)",IF(OR($C130&lt;&gt;"S",ORÇAMENTO.CodBarra=""),"(Sem Código)",IF(ISERROR(MATCH($AE130,INDIRECT(ORÇAMENTO.BancoRef),0)),"(Código não identificado nas referências)",MATCH($AE130,INDIRECT(ORÇAMENTO.BancoRef),0))))</f>
        <v>13222</v>
      </c>
      <c r="AG130" s="453">
        <f ca="1">ROUND(IF(DESONERACAO="sim",REFERENCIA.Desonerado,REFERENCIA.NaoDesonerado),2)</f>
        <v>1.75</v>
      </c>
      <c r="AH130" s="454">
        <f t="shared" ca="1" si="135"/>
        <v>0.24199999999999999</v>
      </c>
      <c r="AJ130" s="456"/>
      <c r="AL130" s="471"/>
      <c r="AM130" s="348">
        <f t="shared" ca="1" si="136"/>
        <v>1019.9</v>
      </c>
      <c r="AN130" s="504">
        <f t="shared" ca="1" si="137"/>
        <v>2.17</v>
      </c>
    </row>
    <row r="131" spans="1:40" ht="5.45" customHeight="1" x14ac:dyDescent="0.2">
      <c r="A131">
        <v>-1</v>
      </c>
      <c r="C131">
        <v>-1</v>
      </c>
      <c r="E131">
        <v>0</v>
      </c>
      <c r="F131">
        <v>0</v>
      </c>
      <c r="G131">
        <v>0</v>
      </c>
      <c r="H131">
        <v>0</v>
      </c>
      <c r="I131">
        <v>0</v>
      </c>
      <c r="L131" s="116" t="s">
        <v>244</v>
      </c>
      <c r="M131" s="447"/>
      <c r="N131" s="448"/>
      <c r="O131" s="447"/>
      <c r="P131" s="449"/>
      <c r="Q131" s="449"/>
      <c r="R131" s="449"/>
      <c r="S131" s="449"/>
      <c r="T131" s="449"/>
      <c r="U131" s="449"/>
      <c r="V131" s="449"/>
      <c r="W131" s="449"/>
      <c r="X131" s="448"/>
      <c r="Y131" s="448"/>
      <c r="AC131" s="619" t="str">
        <f>IF($N131=""," ",
IF(AND($C131&lt;&gt;"S",OR($R131="",$R131="(digite a descrição aqui)")),"DESCRIÇÃO",
IF(AND($C131="S",OR($Q131&lt;&gt;0,$T131&gt;0,$U131&gt;0),$P131=0),"FONTE",
IF(AND($C131="S",$P131&lt;&gt;0,OR($T131&gt;0,$U131&gt;0),$Q131=0),"CÓDIGO",
IF(AND($C131="S",$P131&lt;&gt;0,$Q131&lt;&gt;0,$R131="(Código não identificado nas referências)"),"CÓDIGO N/ID",
IF(AND($C131="S",OR($R131="",$R131="(digite a descrição aqui)"),OR($Q131&lt;&gt;0,$T131&gt;0,$U131&gt;0)),"DESCRIÇÃO",
IF(AND($C131="S",$P131&lt;&gt;0,$Q131&lt;&gt;0,$S131=""),"UNIDADE",
IF(AND($C131="S",$P131&lt;&gt;0,$Q131&lt;&gt;0,$U131=0),"SEM CUSTO",
IF(AND(TIPOORCAMENTO="Licitado",$AL131=0,$AN131&gt;0),"SEM PREÇO",
IF(AND($C131="S",$P131&lt;&gt;0,$Q131&lt;&gt;0,$U131&gt;0,$V131=0),"BDI",
IF(OR(AND(TIPOORCAMENTO="Proposto",$AG131&lt;&gt;"",$AG131&gt;0,ORÇAMENTO.CustoUnitario&gt;$AG131),AND(TIPOORCAMENTO="LICITADO",ORÇAMENTO.PrecoUnitarioLicitado&gt;$AN131)),"ACIMA REF.",
IF(AND($C131="S",$P131&lt;&gt;0,$Q131&lt;&gt;0,$T131=0,$U131&gt;0),"QUANT.",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G131" s="440"/>
      <c r="AH131" s="442"/>
      <c r="AJ131" s="450"/>
      <c r="AL131" s="440"/>
      <c r="AM131" s="441"/>
      <c r="AN131" s="442"/>
    </row>
    <row r="134" spans="1:40" ht="14.25" x14ac:dyDescent="0.2">
      <c r="O134" s="140" t="s">
        <v>246</v>
      </c>
      <c r="Q134" s="726" t="s">
        <v>247</v>
      </c>
      <c r="R134" s="726"/>
      <c r="S134" s="726"/>
      <c r="T134" s="726"/>
      <c r="U134" s="726"/>
      <c r="V134" s="726"/>
      <c r="W134" s="726"/>
      <c r="X134" s="726"/>
    </row>
    <row r="136" spans="1:40" ht="14.25" x14ac:dyDescent="0.2">
      <c r="O136" s="141" t="s">
        <v>185</v>
      </c>
      <c r="X136" s="4"/>
    </row>
    <row r="137" spans="1:40" ht="12.75" customHeight="1" x14ac:dyDescent="0.2">
      <c r="O137" s="727"/>
      <c r="P137" s="727"/>
      <c r="Q137" s="727"/>
      <c r="R137" s="727"/>
      <c r="S137" s="727"/>
      <c r="T137" s="727"/>
      <c r="U137" s="727"/>
      <c r="V137" s="727"/>
      <c r="W137" s="727"/>
      <c r="X137" s="727"/>
    </row>
    <row r="138" spans="1:40" x14ac:dyDescent="0.2">
      <c r="O138" s="727"/>
      <c r="P138" s="727"/>
      <c r="Q138" s="727"/>
      <c r="R138" s="727"/>
      <c r="S138" s="727"/>
      <c r="T138" s="727"/>
      <c r="U138" s="727"/>
      <c r="V138" s="727"/>
      <c r="W138" s="727"/>
      <c r="X138" s="727"/>
    </row>
    <row r="139" spans="1:40" x14ac:dyDescent="0.2">
      <c r="O139" s="727"/>
      <c r="P139" s="727"/>
      <c r="Q139" s="727"/>
      <c r="R139" s="727"/>
      <c r="S139" s="727"/>
      <c r="T139" s="727"/>
      <c r="U139" s="727"/>
      <c r="V139" s="727"/>
      <c r="W139" s="727"/>
      <c r="X139" s="727"/>
    </row>
    <row r="140" spans="1:40" ht="14.25" x14ac:dyDescent="0.2">
      <c r="O140" s="475"/>
      <c r="P140" s="475"/>
      <c r="Q140" s="475"/>
      <c r="R140" s="475"/>
      <c r="S140" s="475"/>
      <c r="T140" s="475"/>
      <c r="U140" s="475"/>
      <c r="V140" s="475"/>
      <c r="W140" s="475"/>
      <c r="X140" s="475"/>
      <c r="Y140" s="475"/>
      <c r="Z140" s="142"/>
      <c r="AA140" s="142"/>
      <c r="AB140" s="142"/>
    </row>
    <row r="141" spans="1:40" ht="15" x14ac:dyDescent="0.25">
      <c r="O141" s="72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41" s="728"/>
      <c r="Q141" s="728"/>
      <c r="R141" s="728"/>
      <c r="S141" s="728"/>
      <c r="T141" s="728"/>
      <c r="U141" s="728"/>
      <c r="V141" s="728"/>
      <c r="W141" s="728"/>
      <c r="X141" s="728"/>
      <c r="Y141" s="143"/>
      <c r="Z141" s="143"/>
      <c r="AA141" s="143"/>
      <c r="AB141" s="143"/>
    </row>
    <row r="142" spans="1:40" ht="15" customHeight="1" x14ac:dyDescent="0.25">
      <c r="O142" s="729" t="s">
        <v>248</v>
      </c>
      <c r="P142" s="729"/>
      <c r="Q142" s="729"/>
      <c r="R142" s="729"/>
      <c r="S142" s="729"/>
      <c r="T142" s="729"/>
      <c r="U142" s="729"/>
      <c r="V142" s="729"/>
      <c r="W142" s="729"/>
      <c r="X142" s="729"/>
      <c r="Y142" s="143"/>
      <c r="Z142" s="143"/>
      <c r="AA142" s="143"/>
      <c r="AB142" s="143"/>
    </row>
    <row r="144" spans="1:40" ht="30" customHeight="1" x14ac:dyDescent="0.2">
      <c r="O144" s="675" t="str">
        <f>Import.Município</f>
        <v>LINDÓIA DO SUL - SC</v>
      </c>
      <c r="P144" s="675"/>
      <c r="Q144" s="675"/>
      <c r="S144" s="492"/>
      <c r="T144" s="492"/>
      <c r="U144" s="492"/>
      <c r="V144" s="492"/>
      <c r="W144" s="435"/>
    </row>
    <row r="145" spans="15:22" x14ac:dyDescent="0.2">
      <c r="O145" s="10" t="s">
        <v>186</v>
      </c>
      <c r="S145" s="190" t="s">
        <v>188</v>
      </c>
      <c r="T145" s="190"/>
      <c r="U145" s="190"/>
      <c r="V145" s="190"/>
    </row>
    <row r="146" spans="15:22" x14ac:dyDescent="0.2">
      <c r="S146" s="78" t="s">
        <v>108</v>
      </c>
      <c r="T146" s="79" t="str">
        <f t="array" ref="T146:T148">Import.RespOrçamento</f>
        <v>RAFAELA B. BOSCHETTI</v>
      </c>
      <c r="V146" s="80"/>
    </row>
    <row r="147" spans="15:22" x14ac:dyDescent="0.2">
      <c r="O147" s="723">
        <f ca="1">DADOS!$C$25</f>
        <v>46189</v>
      </c>
      <c r="P147" s="723"/>
      <c r="Q147" s="723"/>
      <c r="S147" s="78" t="s">
        <v>109</v>
      </c>
      <c r="T147" s="79" t="str">
        <v>A295176-2</v>
      </c>
      <c r="U147" s="80"/>
      <c r="V147" s="80"/>
    </row>
    <row r="148" spans="15:22" x14ac:dyDescent="0.2">
      <c r="O148" s="146" t="s">
        <v>187</v>
      </c>
      <c r="P148" s="1"/>
      <c r="Q148" s="1"/>
      <c r="S148" s="78" t="s">
        <v>110</v>
      </c>
      <c r="T148" s="79" t="str">
        <v>16357172</v>
      </c>
      <c r="U148" s="80"/>
      <c r="V148" s="80"/>
    </row>
  </sheetData>
  <sheetProtection algorithmName="SHA-512" hashValue="Lc4mWJ0/6veEzIJ/I10qAwrxMlAM0tPu9N9X1hfHVGvZgBIXx48m6FXyz1cULGFbRejoz5G/FurTzxCpXcmpfg==" saltValue="JTstdBCpqnjVQUlrc7RAVg==" spinCount="100000" sheet="1" objects="1" scenarios="1" autoFilter="0"/>
  <autoFilter ref="L15:L131" xr:uid="{00000000-0001-0000-0400-000000000000}"/>
  <mergeCells count="24">
    <mergeCell ref="O147:Q147"/>
    <mergeCell ref="O15:R15"/>
    <mergeCell ref="Q134:X134"/>
    <mergeCell ref="O137:X139"/>
    <mergeCell ref="O141:X141"/>
    <mergeCell ref="O144:Q144"/>
    <mergeCell ref="O142:X142"/>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9:M130">
    <cfRule type="cellIs" dxfId="430" priority="26149" stopIfTrue="1" operator="notEqual">
      <formula>$N14</formula>
    </cfRule>
  </conditionalFormatting>
  <conditionalFormatting sqref="N14:O14 R14 W14 X70 W34:X34 W29:X29 X22:X23 W128:X130 X79 W65:X66 X25:X28 W30:W33 W42:X42 W57:X59 W56 W60:W64 X74:X77 W55:X55 W43:W54 W19:W28 W67:W127 N19:O130 R19:R130 W35:W41">
    <cfRule type="expression" dxfId="429" priority="26150" stopIfTrue="1">
      <formula>$C14=1</formula>
    </cfRule>
    <cfRule type="expression" dxfId="428" priority="26151" stopIfTrue="1">
      <formula>OR($C14=0,$C14=2,$C14=3,$C14=4)</formula>
    </cfRule>
  </conditionalFormatting>
  <conditionalFormatting sqref="U14:V14 U21:V130">
    <cfRule type="expression" dxfId="427" priority="26152" stopIfTrue="1">
      <formula>$C14=1</formula>
    </cfRule>
    <cfRule type="expression" dxfId="426" priority="26153" stopIfTrue="1">
      <formula>OR($C14=0,$C14=2,$C14=3,$C14=4)</formula>
    </cfRule>
    <cfRule type="expression" dxfId="425" priority="26154" stopIfTrue="1">
      <formula>AND(TIPOORCAMENTO="Licitado",$C14&lt;&gt;"L",$C14&lt;&gt;-1)</formula>
    </cfRule>
  </conditionalFormatting>
  <conditionalFormatting sqref="P14:Q14 S14:T14 Y14 AG14:AH14 P19:Q130 S19:T130 Y19:Y130 AG19:AH130">
    <cfRule type="expression" dxfId="424" priority="26155" stopIfTrue="1">
      <formula>$C14=1</formula>
    </cfRule>
    <cfRule type="expression" dxfId="423" priority="26156" stopIfTrue="1">
      <formula>OR($C14=0,$C14=2,$C14=3,$C14=4)</formula>
    </cfRule>
  </conditionalFormatting>
  <conditionalFormatting sqref="AJ7:AJ131">
    <cfRule type="expression" dxfId="422" priority="26157" stopIfTrue="1">
      <formula>OR(ACOMPANHAMENTO&lt;&gt;"BM",TIPOORCAMENTO="Licitado")</formula>
    </cfRule>
    <cfRule type="expression" dxfId="421" priority="26158" stopIfTrue="1">
      <formula>$C7=1</formula>
    </cfRule>
    <cfRule type="expression" dxfId="420" priority="26159" stopIfTrue="1">
      <formula>OR(AND(ISNUMBER($C7),$C7=0),$C7=2,$C7=3,$C7=4)</formula>
    </cfRule>
  </conditionalFormatting>
  <conditionalFormatting sqref="AL7:AL131">
    <cfRule type="expression" dxfId="419" priority="26160" stopIfTrue="1">
      <formula>TIPOORCAMENTO="PROPOSTO"</formula>
    </cfRule>
    <cfRule type="expression" dxfId="418" priority="26161" stopIfTrue="1">
      <formula>$C7=1</formula>
    </cfRule>
    <cfRule type="expression" dxfId="417" priority="26162" stopIfTrue="1">
      <formula>OR(AND(ISNUMBER($C7),$C7=0),$C7=2,$C7=3,$C7=4)</formula>
    </cfRule>
  </conditionalFormatting>
  <conditionalFormatting sqref="O8:P8">
    <cfRule type="expression" dxfId="416" priority="26166" stopIfTrue="1">
      <formula>ISERROR(INDIRECT($F$9))</formula>
    </cfRule>
  </conditionalFormatting>
  <conditionalFormatting sqref="S7:V8">
    <cfRule type="expression" dxfId="415" priority="26167" stopIfTrue="1">
      <formula>TIPOORCAMENTO="Proposto"</formula>
    </cfRule>
  </conditionalFormatting>
  <conditionalFormatting sqref="S9:V9">
    <cfRule type="expression" dxfId="414" priority="26114" stopIfTrue="1">
      <formula>TIPOORCAMENTO="Proposto"</formula>
    </cfRule>
  </conditionalFormatting>
  <conditionalFormatting sqref="AM7:AN131">
    <cfRule type="expression" dxfId="413" priority="26163" stopIfTrue="1">
      <formula>TIPOORCAMENTO="PROPOSTO"</formula>
    </cfRule>
    <cfRule type="expression" dxfId="412" priority="26164" stopIfTrue="1">
      <formula>$C7=1</formula>
    </cfRule>
    <cfRule type="expression" dxfId="411" priority="26165" stopIfTrue="1">
      <formula>OR(AND(ISNUMBER($C7),$C7=0),$C7=2,$C7=3,$C7=4)</formula>
    </cfRule>
  </conditionalFormatting>
  <conditionalFormatting sqref="R14 R19:R130">
    <cfRule type="beginsWith" dxfId="410" priority="13459" operator="beginsWith" text="(">
      <formula>LEFT(R14,LEN("("))="("</formula>
    </cfRule>
  </conditionalFormatting>
  <conditionalFormatting sqref="X14">
    <cfRule type="expression" dxfId="409" priority="11739" stopIfTrue="1">
      <formula>$C14=1</formula>
    </cfRule>
    <cfRule type="expression" dxfId="408" priority="11740" stopIfTrue="1">
      <formula>OR($C14=0,$C14=2,$C14=3,$C14=4)</formula>
    </cfRule>
  </conditionalFormatting>
  <conditionalFormatting sqref="AC11">
    <cfRule type="cellIs" dxfId="407" priority="2574" operator="equal">
      <formula>"OK"</formula>
    </cfRule>
  </conditionalFormatting>
  <conditionalFormatting sqref="M16:M18">
    <cfRule type="cellIs" dxfId="406" priority="2139" stopIfTrue="1" operator="notEqual">
      <formula>$N16</formula>
    </cfRule>
  </conditionalFormatting>
  <conditionalFormatting sqref="N16:O18 R16:R18 W16:W18">
    <cfRule type="expression" dxfId="405" priority="2140" stopIfTrue="1">
      <formula>$C16=1</formula>
    </cfRule>
    <cfRule type="expression" dxfId="404" priority="2141" stopIfTrue="1">
      <formula>OR($C16=0,$C16=2,$C16=3,$C16=4)</formula>
    </cfRule>
  </conditionalFormatting>
  <conditionalFormatting sqref="U16:V18">
    <cfRule type="expression" dxfId="403" priority="2142" stopIfTrue="1">
      <formula>$C16=1</formula>
    </cfRule>
    <cfRule type="expression" dxfId="402" priority="2143" stopIfTrue="1">
      <formula>OR($C16=0,$C16=2,$C16=3,$C16=4)</formula>
    </cfRule>
    <cfRule type="expression" dxfId="401" priority="2144" stopIfTrue="1">
      <formula>AND(TIPOORCAMENTO="Licitado",$C16&lt;&gt;"L",$C16&lt;&gt;-1)</formula>
    </cfRule>
  </conditionalFormatting>
  <conditionalFormatting sqref="P16:Q18 S16:T18 Y16:Y18 AG16:AH18">
    <cfRule type="expression" dxfId="400" priority="2145" stopIfTrue="1">
      <formula>$C16=1</formula>
    </cfRule>
    <cfRule type="expression" dxfId="399" priority="2146" stopIfTrue="1">
      <formula>OR($C16=0,$C16=2,$C16=3,$C16=4)</formula>
    </cfRule>
  </conditionalFormatting>
  <conditionalFormatting sqref="R16:R18">
    <cfRule type="beginsWith" dxfId="398" priority="2138" operator="beginsWith" text="(">
      <formula>LEFT(R16,LEN("("))="("</formula>
    </cfRule>
  </conditionalFormatting>
  <conditionalFormatting sqref="X16:X18">
    <cfRule type="expression" dxfId="397" priority="2136" stopIfTrue="1">
      <formula>$C16=1</formula>
    </cfRule>
    <cfRule type="expression" dxfId="396" priority="2137" stopIfTrue="1">
      <formula>OR($C16=0,$C16=2,$C16=3,$C16=4)</formula>
    </cfRule>
  </conditionalFormatting>
  <conditionalFormatting sqref="X72">
    <cfRule type="expression" dxfId="395" priority="966" stopIfTrue="1">
      <formula>$C72=1</formula>
    </cfRule>
    <cfRule type="expression" dxfId="394" priority="967" stopIfTrue="1">
      <formula>OR($C72=0,$C72=2,$C72=3,$C72=4)</formula>
    </cfRule>
  </conditionalFormatting>
  <conditionalFormatting sqref="X71">
    <cfRule type="expression" dxfId="393" priority="962" stopIfTrue="1">
      <formula>$C71=1</formula>
    </cfRule>
    <cfRule type="expression" dxfId="392" priority="963" stopIfTrue="1">
      <formula>OR($C71=0,$C71=2,$C71=3,$C71=4)</formula>
    </cfRule>
  </conditionalFormatting>
  <conditionalFormatting sqref="X83">
    <cfRule type="expression" dxfId="391" priority="960" stopIfTrue="1">
      <formula>$C83=1</formula>
    </cfRule>
    <cfRule type="expression" dxfId="390" priority="961" stopIfTrue="1">
      <formula>OR($C83=0,$C83=2,$C83=3,$C83=4)</formula>
    </cfRule>
  </conditionalFormatting>
  <conditionalFormatting sqref="X84">
    <cfRule type="expression" dxfId="389" priority="958" stopIfTrue="1">
      <formula>$C84=1</formula>
    </cfRule>
    <cfRule type="expression" dxfId="388" priority="959" stopIfTrue="1">
      <formula>OR($C84=0,$C84=2,$C84=3,$C84=4)</formula>
    </cfRule>
  </conditionalFormatting>
  <conditionalFormatting sqref="X21">
    <cfRule type="expression" dxfId="387" priority="440" stopIfTrue="1">
      <formula>$C21=1</formula>
    </cfRule>
    <cfRule type="expression" dxfId="386" priority="441" stopIfTrue="1">
      <formula>OR($C21=0,$C21=2,$C21=3,$C21=4)</formula>
    </cfRule>
  </conditionalFormatting>
  <conditionalFormatting sqref="X35">
    <cfRule type="expression" dxfId="385" priority="211" stopIfTrue="1">
      <formula>$C35=1</formula>
    </cfRule>
    <cfRule type="expression" dxfId="384" priority="212" stopIfTrue="1">
      <formula>OR($C35=0,$C35=2,$C35=3,$C35=4)</formula>
    </cfRule>
  </conditionalFormatting>
  <conditionalFormatting sqref="X85">
    <cfRule type="expression" dxfId="383" priority="130" stopIfTrue="1">
      <formula>$C85=1</formula>
    </cfRule>
    <cfRule type="expression" dxfId="382" priority="131" stopIfTrue="1">
      <formula>OR($C85=0,$C85=2,$C85=3,$C85=4)</formula>
    </cfRule>
  </conditionalFormatting>
  <conditionalFormatting sqref="X78">
    <cfRule type="expression" dxfId="381" priority="126" stopIfTrue="1">
      <formula>$C78=1</formula>
    </cfRule>
    <cfRule type="expression" dxfId="380" priority="127" stopIfTrue="1">
      <formula>OR($C78=0,$C78=2,$C78=3,$C78=4)</formula>
    </cfRule>
  </conditionalFormatting>
  <conditionalFormatting sqref="X30">
    <cfRule type="expression" dxfId="379" priority="106" stopIfTrue="1">
      <formula>$C30=1</formula>
    </cfRule>
    <cfRule type="expression" dxfId="378" priority="107" stopIfTrue="1">
      <formula>OR($C30=0,$C30=2,$C30=3,$C30=4)</formula>
    </cfRule>
  </conditionalFormatting>
  <conditionalFormatting sqref="X36">
    <cfRule type="expression" dxfId="377" priority="104" stopIfTrue="1">
      <formula>$C36=1</formula>
    </cfRule>
    <cfRule type="expression" dxfId="376" priority="105" stopIfTrue="1">
      <formula>OR($C36=0,$C36=2,$C36=3,$C36=4)</formula>
    </cfRule>
  </conditionalFormatting>
  <conditionalFormatting sqref="X38">
    <cfRule type="expression" dxfId="375" priority="102" stopIfTrue="1">
      <formula>$C38=1</formula>
    </cfRule>
    <cfRule type="expression" dxfId="374" priority="103" stopIfTrue="1">
      <formula>OR($C38=0,$C38=2,$C38=3,$C38=4)</formula>
    </cfRule>
  </conditionalFormatting>
  <conditionalFormatting sqref="X37">
    <cfRule type="expression" dxfId="373" priority="100" stopIfTrue="1">
      <formula>$C37=1</formula>
    </cfRule>
    <cfRule type="expression" dxfId="372" priority="101" stopIfTrue="1">
      <formula>OR($C37=0,$C37=2,$C37=3,$C37=4)</formula>
    </cfRule>
  </conditionalFormatting>
  <conditionalFormatting sqref="X41">
    <cfRule type="expression" dxfId="371" priority="98" stopIfTrue="1">
      <formula>$C41=1</formula>
    </cfRule>
    <cfRule type="expression" dxfId="370" priority="99" stopIfTrue="1">
      <formula>OR($C41=0,$C41=2,$C41=3,$C41=4)</formula>
    </cfRule>
  </conditionalFormatting>
  <conditionalFormatting sqref="X68">
    <cfRule type="expression" dxfId="369" priority="94" stopIfTrue="1">
      <formula>$C68=1</formula>
    </cfRule>
    <cfRule type="expression" dxfId="368" priority="95" stopIfTrue="1">
      <formula>OR($C68=0,$C68=2,$C68=3,$C68=4)</formula>
    </cfRule>
  </conditionalFormatting>
  <conditionalFormatting sqref="X82">
    <cfRule type="expression" dxfId="367" priority="74" stopIfTrue="1">
      <formula>$C82=1</formula>
    </cfRule>
    <cfRule type="expression" dxfId="366" priority="75" stopIfTrue="1">
      <formula>OR($C82=0,$C82=2,$C82=3,$C82=4)</formula>
    </cfRule>
  </conditionalFormatting>
  <conditionalFormatting sqref="X31">
    <cfRule type="expression" dxfId="365" priority="68" stopIfTrue="1">
      <formula>$C31=1</formula>
    </cfRule>
    <cfRule type="expression" dxfId="364" priority="69" stopIfTrue="1">
      <formula>OR($C31=0,$C31=2,$C31=3,$C31=4)</formula>
    </cfRule>
  </conditionalFormatting>
  <conditionalFormatting sqref="X63:X64">
    <cfRule type="expression" dxfId="363" priority="66" stopIfTrue="1">
      <formula>$C63=1</formula>
    </cfRule>
    <cfRule type="expression" dxfId="362" priority="67" stopIfTrue="1">
      <formula>OR($C63=0,$C63=2,$C63=3,$C63=4)</formula>
    </cfRule>
  </conditionalFormatting>
  <conditionalFormatting sqref="X24">
    <cfRule type="expression" dxfId="361" priority="64" stopIfTrue="1">
      <formula>$C24=1</formula>
    </cfRule>
    <cfRule type="expression" dxfId="360" priority="65" stopIfTrue="1">
      <formula>OR($C24=0,$C24=2,$C24=3,$C24=4)</formula>
    </cfRule>
  </conditionalFormatting>
  <conditionalFormatting sqref="X80">
    <cfRule type="expression" dxfId="359" priority="62" stopIfTrue="1">
      <formula>$C80=1</formula>
    </cfRule>
    <cfRule type="expression" dxfId="358" priority="63" stopIfTrue="1">
      <formula>OR($C80=0,$C80=2,$C80=3,$C80=4)</formula>
    </cfRule>
  </conditionalFormatting>
  <conditionalFormatting sqref="X81">
    <cfRule type="expression" dxfId="357" priority="60" stopIfTrue="1">
      <formula>$C81=1</formula>
    </cfRule>
    <cfRule type="expression" dxfId="356" priority="61" stopIfTrue="1">
      <formula>OR($C81=0,$C81=2,$C81=3,$C81=4)</formula>
    </cfRule>
  </conditionalFormatting>
  <conditionalFormatting sqref="X32:X33">
    <cfRule type="expression" dxfId="355" priority="56" stopIfTrue="1">
      <formula>$C32=1</formula>
    </cfRule>
    <cfRule type="expression" dxfId="354" priority="57" stopIfTrue="1">
      <formula>OR($C32=0,$C32=2,$C32=3,$C32=4)</formula>
    </cfRule>
  </conditionalFormatting>
  <conditionalFormatting sqref="X73">
    <cfRule type="expression" dxfId="353" priority="54" stopIfTrue="1">
      <formula>$C73=1</formula>
    </cfRule>
    <cfRule type="expression" dxfId="352" priority="55" stopIfTrue="1">
      <formula>OR($C73=0,$C73=2,$C73=3,$C73=4)</formula>
    </cfRule>
  </conditionalFormatting>
  <conditionalFormatting sqref="X56">
    <cfRule type="expression" dxfId="351" priority="46" stopIfTrue="1">
      <formula>$C56=1</formula>
    </cfRule>
    <cfRule type="expression" dxfId="350" priority="47" stopIfTrue="1">
      <formula>OR($C56=0,$C56=2,$C56=3,$C56=4)</formula>
    </cfRule>
  </conditionalFormatting>
  <conditionalFormatting sqref="X60:X62">
    <cfRule type="expression" dxfId="349" priority="44" stopIfTrue="1">
      <formula>$C60=1</formula>
    </cfRule>
    <cfRule type="expression" dxfId="348" priority="45" stopIfTrue="1">
      <formula>OR($C60=0,$C60=2,$C60=3,$C60=4)</formula>
    </cfRule>
  </conditionalFormatting>
  <conditionalFormatting sqref="X67">
    <cfRule type="expression" dxfId="347" priority="36" stopIfTrue="1">
      <formula>$C67=1</formula>
    </cfRule>
    <cfRule type="expression" dxfId="346" priority="37" stopIfTrue="1">
      <formula>OR($C67=0,$C67=2,$C67=3,$C67=4)</formula>
    </cfRule>
  </conditionalFormatting>
  <conditionalFormatting sqref="X86:X87 X94">
    <cfRule type="expression" dxfId="345" priority="34" stopIfTrue="1">
      <formula>$C86=1</formula>
    </cfRule>
    <cfRule type="expression" dxfId="344" priority="35" stopIfTrue="1">
      <formula>OR($C86=0,$C86=2,$C86=3,$C86=4)</formula>
    </cfRule>
  </conditionalFormatting>
  <conditionalFormatting sqref="X88:X93">
    <cfRule type="expression" dxfId="343" priority="32" stopIfTrue="1">
      <formula>$C88=1</formula>
    </cfRule>
    <cfRule type="expression" dxfId="342" priority="33" stopIfTrue="1">
      <formula>OR($C88=0,$C88=2,$C88=3,$C88=4)</formula>
    </cfRule>
  </conditionalFormatting>
  <conditionalFormatting sqref="X95:X99 X102:X105">
    <cfRule type="expression" dxfId="341" priority="30" stopIfTrue="1">
      <formula>$C95=1</formula>
    </cfRule>
    <cfRule type="expression" dxfId="340" priority="31" stopIfTrue="1">
      <formula>OR($C95=0,$C95=2,$C95=3,$C95=4)</formula>
    </cfRule>
  </conditionalFormatting>
  <conditionalFormatting sqref="X106 X108:X115">
    <cfRule type="expression" dxfId="339" priority="28" stopIfTrue="1">
      <formula>$C106=1</formula>
    </cfRule>
    <cfRule type="expression" dxfId="338" priority="29" stopIfTrue="1">
      <formula>OR($C106=0,$C106=2,$C106=3,$C106=4)</formula>
    </cfRule>
  </conditionalFormatting>
  <conditionalFormatting sqref="X116 X127">
    <cfRule type="expression" dxfId="337" priority="26" stopIfTrue="1">
      <formula>$C116=1</formula>
    </cfRule>
    <cfRule type="expression" dxfId="336" priority="27" stopIfTrue="1">
      <formula>OR($C116=0,$C116=2,$C116=3,$C116=4)</formula>
    </cfRule>
  </conditionalFormatting>
  <conditionalFormatting sqref="X100:X101">
    <cfRule type="expression" dxfId="335" priority="24" stopIfTrue="1">
      <formula>$C100=1</formula>
    </cfRule>
    <cfRule type="expression" dxfId="334" priority="25" stopIfTrue="1">
      <formula>OR($C100=0,$C100=2,$C100=3,$C100=4)</formula>
    </cfRule>
  </conditionalFormatting>
  <conditionalFormatting sqref="X117:X125">
    <cfRule type="expression" dxfId="333" priority="22" stopIfTrue="1">
      <formula>$C117=1</formula>
    </cfRule>
    <cfRule type="expression" dxfId="332" priority="23" stopIfTrue="1">
      <formula>OR($C117=0,$C117=2,$C117=3,$C117=4)</formula>
    </cfRule>
  </conditionalFormatting>
  <conditionalFormatting sqref="X126">
    <cfRule type="expression" dxfId="331" priority="20" stopIfTrue="1">
      <formula>$C126=1</formula>
    </cfRule>
    <cfRule type="expression" dxfId="330" priority="21" stopIfTrue="1">
      <formula>OR($C126=0,$C126=2,$C126=3,$C126=4)</formula>
    </cfRule>
  </conditionalFormatting>
  <conditionalFormatting sqref="X107">
    <cfRule type="expression" dxfId="329" priority="18" stopIfTrue="1">
      <formula>$C107=1</formula>
    </cfRule>
    <cfRule type="expression" dxfId="328" priority="19" stopIfTrue="1">
      <formula>OR($C107=0,$C107=2,$C107=3,$C107=4)</formula>
    </cfRule>
  </conditionalFormatting>
  <conditionalFormatting sqref="X43:X47">
    <cfRule type="expression" dxfId="327" priority="16" stopIfTrue="1">
      <formula>$C43=1</formula>
    </cfRule>
    <cfRule type="expression" dxfId="326" priority="17" stopIfTrue="1">
      <formula>OR($C43=0,$C43=2,$C43=3,$C43=4)</formula>
    </cfRule>
  </conditionalFormatting>
  <conditionalFormatting sqref="X48:X51 X53">
    <cfRule type="expression" dxfId="325" priority="14" stopIfTrue="1">
      <formula>$C48=1</formula>
    </cfRule>
    <cfRule type="expression" dxfId="324" priority="15" stopIfTrue="1">
      <formula>OR($C48=0,$C48=2,$C48=3,$C48=4)</formula>
    </cfRule>
  </conditionalFormatting>
  <conditionalFormatting sqref="X52">
    <cfRule type="expression" dxfId="323" priority="12" stopIfTrue="1">
      <formula>$C52=1</formula>
    </cfRule>
    <cfRule type="expression" dxfId="322" priority="13" stopIfTrue="1">
      <formula>OR($C52=0,$C52=2,$C52=3,$C52=4)</formula>
    </cfRule>
  </conditionalFormatting>
  <conditionalFormatting sqref="X54">
    <cfRule type="expression" dxfId="321" priority="10" stopIfTrue="1">
      <formula>$C54=1</formula>
    </cfRule>
    <cfRule type="expression" dxfId="320" priority="11" stopIfTrue="1">
      <formula>OR($C54=0,$C54=2,$C54=3,$C54=4)</formula>
    </cfRule>
  </conditionalFormatting>
  <conditionalFormatting sqref="U19:V20">
    <cfRule type="expression" dxfId="319" priority="7" stopIfTrue="1">
      <formula>$C19=1</formula>
    </cfRule>
    <cfRule type="expression" dxfId="318" priority="8" stopIfTrue="1">
      <formula>OR($C19=0,$C19=2,$C19=3,$C19=4)</formula>
    </cfRule>
    <cfRule type="expression" dxfId="317" priority="9" stopIfTrue="1">
      <formula>AND(TIPOORCAMENTO="Licitado",$C19&lt;&gt;"L",$C19&lt;&gt;-1)</formula>
    </cfRule>
  </conditionalFormatting>
  <conditionalFormatting sqref="X19:X20">
    <cfRule type="expression" dxfId="316" priority="5" stopIfTrue="1">
      <formula>$C19=1</formula>
    </cfRule>
    <cfRule type="expression" dxfId="315" priority="6" stopIfTrue="1">
      <formula>OR($C19=0,$C19=2,$C19=3,$C19=4)</formula>
    </cfRule>
  </conditionalFormatting>
  <conditionalFormatting sqref="X69">
    <cfRule type="expression" dxfId="314" priority="3" stopIfTrue="1">
      <formula>$C69=1</formula>
    </cfRule>
    <cfRule type="expression" dxfId="313" priority="4" stopIfTrue="1">
      <formula>OR($C69=0,$C69=2,$C69=3,$C69=4)</formula>
    </cfRule>
  </conditionalFormatting>
  <conditionalFormatting sqref="X39:X40">
    <cfRule type="expression" dxfId="312" priority="1" stopIfTrue="1">
      <formula>$C39=1</formula>
    </cfRule>
    <cfRule type="expression" dxfId="311" priority="2" stopIfTrue="1">
      <formula>OR($C39=0,$C39=2,$C39=3,$C39=4)</formula>
    </cfRule>
  </conditionalFormatting>
  <dataValidations count="8">
    <dataValidation type="decimal" operator="greaterThan" allowBlank="1" showErrorMessage="1" error="Apenas números decimais maiores que zero." sqref="U14 AL14 AJ14 AJ16:AJ130 AL16:AL130 U16:U130" xr:uid="{00000000-0002-0000-0400-000000000000}">
      <formula1>0</formula1>
      <formula2>0</formula2>
    </dataValidation>
    <dataValidation type="list" allowBlank="1" sqref="P14 P16:P130"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30"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130" xr:uid="{00000000-0002-0000-0400-000003000000}">
      <mc:AlternateContent xmlns:x12ac="http://schemas.microsoft.com/office/spreadsheetml/2011/1/ac" xmlns:mc="http://schemas.openxmlformats.org/markup-compatibility/2006">
        <mc:Choice Requires="x12ac">
          <x12ac:list>BDI 1,BDI 2,BDI 3,"0,00%"</x12ac:list>
        </mc:Choice>
        <mc:Fallback>
          <formula1>"BDI 1,BDI 2,BDI 3,0,00%"</formula1>
        </mc:Fallback>
      </mc:AlternateContent>
      <formula2>0</formula2>
    </dataValidation>
    <dataValidation type="list" showErrorMessage="1" errorTitle="Erro de Entrada" error="Selecione somente os itens da lista." promptTitle="Nível:" prompt="Selecione na lista o nível de itemização da Planilha." sqref="M14 M16:M130"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13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30" xr:uid="{00000000-0002-0000-0400-000006000000}"/>
    <dataValidation type="list" errorStyle="information" allowBlank="1" showInputMessage="1" prompt="Selecione uma sigla de unidade na lista suspensa." sqref="S14 S16:S130" xr:uid="{C5291EE7-CEB6-4383-A3D0-59315FB79EED}">
      <formula1>ListaTgov.Unidades</formula1>
    </dataValidation>
  </dataValidations>
  <pageMargins left="0.78740157480314965" right="0.78740157480314965" top="0.78740157480314965" bottom="0.78740157480314965" header="0.59055118110236227" footer="0.59055118110236227"/>
  <pageSetup paperSize="9" scale="62" firstPageNumber="0" fitToHeight="0" orientation="landscape" r:id="rId1"/>
  <headerFooter alignWithMargins="0">
    <oddHeader>&amp;C&amp;14I</oddHeader>
    <oddFooter>&amp;LPMv3.09&amp;R&amp;P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66675</xdr:rowOff>
                  </from>
                  <to>
                    <xdr:col>19</xdr:col>
                    <xdr:colOff>895350</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66675</xdr:rowOff>
                  </from>
                  <to>
                    <xdr:col>20</xdr:col>
                    <xdr:colOff>876300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66675</xdr:rowOff>
                  </from>
                  <to>
                    <xdr:col>21</xdr:col>
                    <xdr:colOff>704850</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66675</xdr:rowOff>
                  </from>
                  <to>
                    <xdr:col>22</xdr:col>
                    <xdr:colOff>790575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47625</xdr:rowOff>
                  </from>
                  <to>
                    <xdr:col>23</xdr:col>
                    <xdr:colOff>876300</xdr:colOff>
                    <xdr:row>10</xdr:row>
                    <xdr:rowOff>133350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sheetView>
  </sheetViews>
  <sheetFormatPr defaultRowHeight="12.75" x14ac:dyDescent="0.2"/>
  <cols>
    <col min="1" max="1" width="3.7109375" style="546"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46" t="str">
        <f t="shared" ref="A1" si="0">IF(D1="","","F")</f>
        <v/>
      </c>
      <c r="B1" t="e">
        <f ca="1">IF(OR(C1=" ",D1=""),"",CONCATENATE(C1,". ",D1))</f>
        <v>#REF!</v>
      </c>
      <c r="C1" s="191" t="e" cm="1">
        <f t="array" aca="1" ref="C1" ca="1">IF(OR(ROW(C1)=ROW(EVENTOS.firstrow)+1,AND(OFFSET(C1,-1,0)&lt;&gt;" ",OFFSET(C1,-1,1)&lt;&gt;"")),OFFSET(C1,-1,0)+1," ")</f>
        <v>#REF!</v>
      </c>
      <c r="D1" s="532"/>
      <c r="E1" s="543" cm="1">
        <f t="array" aca="1" ref="E1" ca="1">IF(AUTOEVENTO="Manual",ROUND(SUMPRODUCT((CÁLCULO!$M$15:$M$131=EVENTOS!$C1)*(OFFSET(CÁLCULO!$AI$15:$AI$131,0,E$13))),2),0)</f>
        <v>0</v>
      </c>
      <c r="F1" s="192">
        <f ca="1">IF(AUTOEVENTO="Manual",ROUND(SUMPRODUCT((CÁLCULO!$M$15:$M$131=EVENTOS!$C1)*(OFFSET(CÁLCULO!$AI$15,0,1):OFFSET(CÁLCULO!$BB$131,0,-1))),2),0)</f>
        <v>0</v>
      </c>
      <c r="G1" s="627" t="str">
        <f ca="1">IF(AND(D1=0,F1&gt;0),"NOME",
 IF(AND(D1&lt;&gt;0,$F$14&gt;0,F1=0),"VALOR",
 IF(AND(Import.TipoArredondamento="TransfereGOV",$A1="F",LEN(D1)&gt;100),"Nome &gt;100","")))</f>
        <v/>
      </c>
      <c r="H1" s="543" cm="1">
        <f t="array" aca="1" ref="H1" ca="1">IF(AUTOEVENTO="Manual",ROUND(SUMPRODUCT((CÁLCULO!$M$15:$M$131=EVENTOS!$C1)*(OFFSET(CÁLCULO!$AI$15:$AI$131,0,H$13))),2),0)</f>
        <v>0</v>
      </c>
      <c r="I1" s="543" cm="1">
        <f t="array" aca="1" ref="I1" ca="1">IF(AUTOEVENTO="Manual",ROUND(SUMPRODUCT((CÁLCULO!$M$15:$M$131=EVENTOS!$C1)*(OFFSET(CÁLCULO!$AI$15:$AI$131,0,I$13))),2),0)</f>
        <v>0</v>
      </c>
      <c r="J1" s="543" cm="1">
        <f t="array" aca="1" ref="J1" ca="1">IF(AUTOEVENTO="Manual",ROUND(SUMPRODUCT((CÁLCULO!$M$15:$M$131=EVENTOS!$C1)*(OFFSET(CÁLCULO!$AI$15:$AI$131,0,J$13))),2),0)</f>
        <v>0</v>
      </c>
      <c r="K1" s="543" cm="1">
        <f t="array" aca="1" ref="K1" ca="1">IF(AUTOEVENTO="Manual",ROUND(SUMPRODUCT((CÁLCULO!$M$15:$M$131=EVENTOS!$C1)*(OFFSET(CÁLCULO!$AI$15:$AI$131,0,K$13))),2),0)</f>
        <v>0</v>
      </c>
      <c r="L1" s="543" cm="1">
        <f t="array" aca="1" ref="L1" ca="1">IF(AUTOEVENTO="Manual",ROUND(SUMPRODUCT((CÁLCULO!$M$15:$M$131=EVENTOS!$C1)*(OFFSET(CÁLCULO!$AI$15:$AI$131,0,L$13))),2),0)</f>
        <v>0</v>
      </c>
      <c r="M1" s="543" cm="1">
        <f t="array" aca="1" ref="M1" ca="1">IF(AUTOEVENTO="Manual",ROUND(SUMPRODUCT((CÁLCULO!$M$15:$M$131=EVENTOS!$C1)*(OFFSET(CÁLCULO!$AI$15:$AI$131,0,M$13))),2),0)</f>
        <v>0</v>
      </c>
      <c r="N1" s="543" cm="1">
        <f t="array" aca="1" ref="N1" ca="1">IF(AUTOEVENTO="Manual",ROUND(SUMPRODUCT((CÁLCULO!$M$15:$M$131=EVENTOS!$C1)*(OFFSET(CÁLCULO!$AI$15:$AI$131,0,N$13))),2),0)</f>
        <v>0</v>
      </c>
      <c r="O1" s="543" cm="1">
        <f t="array" aca="1" ref="O1" ca="1">IF(AUTOEVENTO="Manual",ROUND(SUMPRODUCT((CÁLCULO!$M$15:$M$131=EVENTOS!$C1)*(OFFSET(CÁLCULO!$AI$15:$AI$131,0,O$13))),2),0)</f>
        <v>0</v>
      </c>
      <c r="P1" s="543" cm="1">
        <f t="array" aca="1" ref="P1" ca="1">IF(AUTOEVENTO="Manual",ROUND(SUMPRODUCT((CÁLCULO!$M$15:$M$131=EVENTOS!$C1)*(OFFSET(CÁLCULO!$AI$15:$AI$131,0,P$13))),2),0)</f>
        <v>0</v>
      </c>
      <c r="Q1" s="543" cm="1">
        <f t="array" aca="1" ref="Q1" ca="1">IF(AUTOEVENTO="Manual",ROUND(SUMPRODUCT((CÁLCULO!$M$15:$M$131=EVENTOS!$C1)*(OFFSET(CÁLCULO!$AI$15:$AI$131,0,Q$13))),2),0)</f>
        <v>0</v>
      </c>
      <c r="R1" s="543" cm="1">
        <f t="array" aca="1" ref="R1" ca="1">IF(AUTOEVENTO="Manual",ROUND(SUMPRODUCT((CÁLCULO!$M$15:$M$131=EVENTOS!$C1)*(OFFSET(CÁLCULO!$AI$15:$AI$131,0,R$13))),2),0)</f>
        <v>0</v>
      </c>
      <c r="S1" s="543" cm="1">
        <f t="array" aca="1" ref="S1" ca="1">IF(AUTOEVENTO="Manual",ROUND(SUMPRODUCT((CÁLCULO!$M$15:$M$131=EVENTOS!$C1)*(OFFSET(CÁLCULO!$AI$15:$AI$131,0,S$13))),2),0)</f>
        <v>0</v>
      </c>
      <c r="T1" s="543" cm="1">
        <f t="array" aca="1" ref="T1" ca="1">IF(AUTOEVENTO="Manual",ROUND(SUMPRODUCT((CÁLCULO!$M$15:$M$131=EVENTOS!$C1)*(OFFSET(CÁLCULO!$AI$15:$AI$131,0,T$13))),2),0)</f>
        <v>0</v>
      </c>
      <c r="U1" s="543" cm="1">
        <f t="array" aca="1" ref="U1" ca="1">IF(AUTOEVENTO="Manual",ROUND(SUMPRODUCT((CÁLCULO!$M$15:$M$131=EVENTOS!$C1)*(OFFSET(CÁLCULO!$AI$15:$AI$131,0,U$13))),2),0)</f>
        <v>0</v>
      </c>
      <c r="V1" s="543" cm="1">
        <f t="array" aca="1" ref="V1" ca="1">IF(AUTOEVENTO="Manual",ROUND(SUMPRODUCT((CÁLCULO!$M$15:$M$131=EVENTOS!$C1)*(OFFSET(CÁLCULO!$AI$15:$AI$131,0,V$13))),2),0)</f>
        <v>0</v>
      </c>
      <c r="W1" s="543" cm="1">
        <f t="array" aca="1" ref="W1" ca="1">IF(AUTOEVENTO="Manual",ROUND(SUMPRODUCT((CÁLCULO!$M$15:$M$131=EVENTOS!$C1)*(OFFSET(CÁLCULO!$AI$15:$AI$131,0,W$13))),2),0)</f>
        <v>0</v>
      </c>
      <c r="X1" s="543" cm="1">
        <f t="array" aca="1" ref="X1" ca="1">IF(AUTOEVENTO="Manual",ROUND(SUMPRODUCT((CÁLCULO!$M$15:$M$131=EVENTOS!$C1)*(OFFSET(CÁLCULO!$AI$15:$AI$131,0,X$13))),2),0)</f>
        <v>0</v>
      </c>
      <c r="Y1" s="543" cm="1">
        <f t="array" aca="1" ref="Y1" ca="1">IF(AUTOEVENTO="Manual",ROUND(SUMPRODUCT((CÁLCULO!$M$15:$M$131=EVENTOS!$C1)*(OFFSET(CÁLCULO!$AI$15:$AI$131,0,Y$13))),2),0)</f>
        <v>0</v>
      </c>
    </row>
    <row r="2" spans="1:26" ht="30" customHeight="1" x14ac:dyDescent="0.2">
      <c r="F2" s="83" t="s">
        <v>456</v>
      </c>
      <c r="O2" s="540" t="s">
        <v>441</v>
      </c>
      <c r="Y2" s="540" t="s">
        <v>441</v>
      </c>
    </row>
    <row r="4" spans="1:26" ht="12.75" customHeight="1" x14ac:dyDescent="0.2">
      <c r="C4" s="56" t="s">
        <v>146</v>
      </c>
      <c r="D4" s="98"/>
      <c r="E4" s="78"/>
      <c r="F4" s="218" t="s">
        <v>269</v>
      </c>
      <c r="G4" s="78"/>
      <c r="H4" s="519"/>
      <c r="I4" s="519"/>
      <c r="J4" s="519"/>
      <c r="K4" s="519"/>
      <c r="L4" s="519"/>
      <c r="N4" s="56" t="s">
        <v>145</v>
      </c>
      <c r="O4" s="544" t="s">
        <v>422</v>
      </c>
      <c r="P4" s="218" t="s">
        <v>269</v>
      </c>
      <c r="Q4" s="78"/>
      <c r="R4" s="519"/>
      <c r="S4" s="519"/>
      <c r="T4" s="519"/>
      <c r="U4" s="519"/>
      <c r="V4" s="519"/>
      <c r="X4" s="56" t="s">
        <v>145</v>
      </c>
      <c r="Y4" s="544" t="s">
        <v>422</v>
      </c>
    </row>
    <row r="5" spans="1:26" ht="12.75" customHeight="1" x14ac:dyDescent="0.2">
      <c r="C5" s="545" t="str">
        <f>Import.Proponente</f>
        <v>0</v>
      </c>
      <c r="D5" s="541"/>
      <c r="E5" s="541"/>
      <c r="F5" s="730" t="str">
        <f>Import.Apelido</f>
        <v>RUA COBERTA MUNICIPAL</v>
      </c>
      <c r="G5" s="731"/>
      <c r="H5" s="731"/>
      <c r="I5" s="731"/>
      <c r="J5" s="731"/>
      <c r="K5" s="731"/>
      <c r="L5" s="731"/>
      <c r="M5" s="732"/>
      <c r="N5" s="57" t="str">
        <f>Import.CR</f>
        <v>0</v>
      </c>
      <c r="O5" s="57" t="str">
        <f>Import.SICONV</f>
        <v>0</v>
      </c>
      <c r="P5" s="730" t="str">
        <f>Import.Apelido</f>
        <v>RUA COBERTA MUNICIPAL</v>
      </c>
      <c r="Q5" s="731"/>
      <c r="R5" s="731"/>
      <c r="S5" s="731"/>
      <c r="T5" s="731"/>
      <c r="U5" s="731"/>
      <c r="V5" s="731"/>
      <c r="W5" s="732"/>
      <c r="X5" s="57" t="str">
        <f>Import.CR</f>
        <v>0</v>
      </c>
      <c r="Y5" s="57" t="str">
        <f>Import.SICONV</f>
        <v>0</v>
      </c>
      <c r="Z5" t="s">
        <v>455</v>
      </c>
    </row>
    <row r="6" spans="1:26" ht="24.95" customHeight="1" x14ac:dyDescent="0.25">
      <c r="C6" t="s">
        <v>262</v>
      </c>
      <c r="F6" s="564" t="str">
        <f ca="1">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IF($F$14&lt;&gt;ORÇAMENTO!$X$15,"O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row r="8" spans="1:26" ht="16.5" thickBot="1" x14ac:dyDescent="0.3">
      <c r="C8" s="676" t="s">
        <v>929</v>
      </c>
      <c r="D8" s="678"/>
      <c r="F8" s="564" t="str">
        <f>IF(ACOMPANHAMENTO="BM","",
 IF(Import.Eventos.Nível="","◄ Selecione a forma de definição dos agrupadores de eventos",
 IF(Import.Eventos.Nível="","◄ Selecione a forma de definição dos agrupadores de eventos","")))</f>
        <v/>
      </c>
    </row>
    <row r="9" spans="1:26" ht="12" customHeight="1" x14ac:dyDescent="0.2"/>
    <row r="10" spans="1:26" ht="33.950000000000003" customHeight="1" x14ac:dyDescent="0.2">
      <c r="C10" s="644">
        <f ca="1">COUNTIF($C$15:$C$65,"&gt;0")-1</f>
        <v>0</v>
      </c>
      <c r="D10" t="s">
        <v>455</v>
      </c>
      <c r="E10" s="733" t="str">
        <f ca="1">OFFSET(CÁLCULO!$P$12,0,EVENTOS!E$13)</f>
        <v>SERVIÇOS INICIAIS E ESCAVAÇÕES</v>
      </c>
      <c r="F10" t="s">
        <v>455</v>
      </c>
      <c r="G10" s="734"/>
      <c r="H10" s="733" t="str">
        <f ca="1">OFFSET(CÁLCULO!$P$12,0,EVENTOS!H$13)</f>
        <v>SERVIÇOS INICIAIS E ESCAVAÇÕES</v>
      </c>
      <c r="I10" s="733" t="str">
        <f ca="1">OFFSET(CÁLCULO!$P$12,0,EVENTOS!I$13)</f>
        <v xml:space="preserve">FUNDAÇÕES E ESTRUTURA </v>
      </c>
      <c r="J10" s="733" t="str">
        <f ca="1">OFFSET(CÁLCULO!$P$12,0,EVENTOS!J$13)</f>
        <v>PAVIMENTAÇÃO E FECHAMENTO METÁLICO</v>
      </c>
      <c r="K10" s="734" t="str">
        <f ca="1">OFFSET(CÁLCULO!$P$12,0,EVENTOS!K$13)</f>
        <v>ALVENARIA, ESQUADRIAS E INSTALAÇÕES ELÉTRICAS</v>
      </c>
      <c r="L10" s="734" t="str">
        <f ca="1">OFFSET(CÁLCULO!$P$12,0,EVENTOS!L$13)</f>
        <v>SERVIÇOS FINAIS</v>
      </c>
      <c r="M10" s="734" t="str">
        <f ca="1">OFFSET(CÁLCULO!$P$12,0,EVENTOS!M$13)</f>
        <v>.</v>
      </c>
      <c r="N10" s="734" t="str">
        <f ca="1">OFFSET(CÁLCULO!$P$12,0,EVENTOS!N$13)</f>
        <v>.</v>
      </c>
      <c r="O10" s="734" t="str">
        <f ca="1">OFFSET(CÁLCULO!$P$12,0,EVENTOS!O$13)</f>
        <v>.</v>
      </c>
      <c r="P10" s="734" t="str">
        <f ca="1">OFFSET(CÁLCULO!$P$12,0,EVENTOS!P$13)</f>
        <v>.</v>
      </c>
      <c r="Q10" s="734" t="str">
        <f ca="1">OFFSET(CÁLCULO!$P$12,0,EVENTOS!Q$13)</f>
        <v>.</v>
      </c>
      <c r="R10" s="734" t="str">
        <f ca="1">OFFSET(CÁLCULO!$P$12,0,EVENTOS!R$13)</f>
        <v>.</v>
      </c>
      <c r="S10" s="734" t="str">
        <f ca="1">OFFSET(CÁLCULO!$P$12,0,EVENTOS!S$13)</f>
        <v>.</v>
      </c>
      <c r="T10" s="734" t="str">
        <f ca="1">OFFSET(CÁLCULO!$P$12,0,EVENTOS!T$13)</f>
        <v>.</v>
      </c>
      <c r="U10" s="734" t="str">
        <f ca="1">OFFSET(CÁLCULO!$P$12,0,EVENTOS!U$13)</f>
        <v>.</v>
      </c>
      <c r="V10" s="734" t="str">
        <f ca="1">OFFSET(CÁLCULO!$P$12,0,EVENTOS!V$13)</f>
        <v>.</v>
      </c>
      <c r="W10" s="734" t="str">
        <f ca="1">OFFSET(CÁLCULO!$P$12,0,EVENTOS!W$13)</f>
        <v>.</v>
      </c>
      <c r="X10" s="734" t="str">
        <f ca="1">OFFSET(CÁLCULO!$P$12,0,EVENTOS!X$13)</f>
        <v>.</v>
      </c>
      <c r="Y10" s="734" t="str">
        <f ca="1">OFFSET(CÁLCULO!$P$12,0,EVENTOS!Y$13)</f>
        <v>.</v>
      </c>
    </row>
    <row r="11" spans="1:26" ht="35.25" customHeight="1" x14ac:dyDescent="0.2">
      <c r="A11" s="547" t="s">
        <v>207</v>
      </c>
      <c r="C11" s="737" t="str">
        <f>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7"/>
      <c r="E11" s="733"/>
      <c r="F11" s="533"/>
      <c r="G11" s="735"/>
      <c r="H11" s="733"/>
      <c r="I11" s="733"/>
      <c r="J11" s="733"/>
      <c r="K11" s="735"/>
      <c r="L11" s="735"/>
      <c r="M11" s="735"/>
      <c r="N11" s="735"/>
      <c r="O11" s="735"/>
      <c r="P11" s="735"/>
      <c r="Q11" s="735"/>
      <c r="R11" s="735"/>
      <c r="S11" s="735"/>
      <c r="T11" s="735"/>
      <c r="U11" s="735"/>
      <c r="V11" s="735"/>
      <c r="W11" s="735"/>
      <c r="X11" s="735"/>
      <c r="Y11" s="735"/>
    </row>
    <row r="12" spans="1:26" ht="12" customHeight="1" x14ac:dyDescent="0.2">
      <c r="A12" s="548" t="s">
        <v>215</v>
      </c>
      <c r="E12" s="733"/>
      <c r="G12" s="736"/>
      <c r="H12" s="733"/>
      <c r="I12" s="733"/>
      <c r="J12" s="733"/>
      <c r="K12" s="736"/>
      <c r="L12" s="736"/>
      <c r="M12" s="736"/>
      <c r="N12" s="736"/>
      <c r="O12" s="736"/>
      <c r="P12" s="736"/>
      <c r="Q12" s="736"/>
      <c r="R12" s="736"/>
      <c r="S12" s="736"/>
      <c r="T12" s="736"/>
      <c r="U12" s="736"/>
      <c r="V12" s="736"/>
      <c r="W12" s="736"/>
      <c r="X12" s="736"/>
      <c r="Y12" s="736"/>
    </row>
    <row r="13" spans="1:26" ht="15" x14ac:dyDescent="0.25">
      <c r="A13" s="548"/>
      <c r="C13" s="534" t="s">
        <v>263</v>
      </c>
      <c r="D13" s="595" t="s">
        <v>264</v>
      </c>
      <c r="E13" s="597">
        <f ca="1">IF(NOT(ISNUMBER(OFFSET(E13,0,-1))),1,IF(OR(OFFSET(E13,0,-1)=0,OFFSET(E13,0,-1)+1&gt;CÁLCULO.FrentesPreenchidas),0,OFFSET(E13,0,-1)+1))</f>
        <v>1</v>
      </c>
      <c r="F13" s="596" t="s">
        <v>265</v>
      </c>
      <c r="G13" s="531"/>
      <c r="H13" s="597">
        <f ca="1">IF(NOT(ISNUMBER(OFFSET(H13,0,-1))),1,IF(OR(OFFSET(H13,0,-1)=0,OFFSET(H13,0,-1)+1&gt;CÁLCULO.FrentesPreenchidas),0,OFFSET(H13,0,-1)+1))</f>
        <v>1</v>
      </c>
      <c r="I13" s="597">
        <f ca="1">IF(NOT(ISNUMBER(OFFSET(I13,0,-1))),1,IF(OR(OFFSET(I13,0,-1)=0,OFFSET(I13,0,-1)+1&gt;CÁLCULO.FrentesPreenchidas),0,OFFSET(I13,0,-1)+1))</f>
        <v>2</v>
      </c>
      <c r="J13" s="597">
        <f ca="1">IF(NOT(ISNUMBER(OFFSET(J13,0,-1))),1,IF(OR(OFFSET(J13,0,-1)=0,OFFSET(J13,0,-1)+1&gt;CÁLCULO.FrentesPreenchidas),0,OFFSET(J13,0,-1)+1))</f>
        <v>3</v>
      </c>
      <c r="K13" s="531">
        <f t="shared" ref="K13:O13" ca="1" si="1">IF(NOT(ISNUMBER(OFFSET(K13,0,-1))),1,IF(OR(OFFSET(K13,0,-1)=0,OFFSET(K13,0,-1)+1&gt;CÁLCULO.FrentesPreenchidas),0,OFFSET(K13,0,-1)+1))</f>
        <v>4</v>
      </c>
      <c r="L13" s="531">
        <f t="shared" ca="1" si="1"/>
        <v>5</v>
      </c>
      <c r="M13" s="531">
        <f t="shared" ca="1" si="1"/>
        <v>0</v>
      </c>
      <c r="N13" s="531">
        <f t="shared" ca="1" si="1"/>
        <v>0</v>
      </c>
      <c r="O13" s="531">
        <f t="shared" ca="1" si="1"/>
        <v>0</v>
      </c>
      <c r="P13" s="531">
        <f ca="1">IF(NOT(ISNUMBER(OFFSET(P13,0,-1))),1,IF(OR(OFFSET(P13,0,-1)=0,OFFSET(P13,0,-1)+1&gt;CÁLCULO.NúmeroDeFrentes),0,OFFSET(P13,0,-1)+1))</f>
        <v>0</v>
      </c>
      <c r="Q13" s="531">
        <f ca="1">IF(NOT(ISNUMBER(OFFSET(Q13,0,-1))),1,IF(OR(OFFSET(Q13,0,-1)=0,OFFSET(Q13,0,-1)+1&gt;CÁLCULO.NúmeroDeFrentes),0,OFFSET(Q13,0,-1)+1))</f>
        <v>0</v>
      </c>
      <c r="R13" s="531">
        <f ca="1">IF(NOT(ISNUMBER(OFFSET(R13,0,-1))),1,IF(OR(OFFSET(R13,0,-1)=0,OFFSET(R13,0,-1)+1&gt;CÁLCULO.NúmeroDeFrentes),0,OFFSET(R13,0,-1)+1))</f>
        <v>0</v>
      </c>
      <c r="S13" s="531">
        <f ca="1">IF(NOT(ISNUMBER(OFFSET(S13,0,-1))),1,IF(OR(OFFSET(S13,0,-1)=0,OFFSET(S13,0,-1)+1&gt;CÁLCULO.NúmeroDeFrentes),0,OFFSET(S13,0,-1)+1))</f>
        <v>0</v>
      </c>
      <c r="T13" s="531">
        <f ca="1">IF(NOT(ISNUMBER(OFFSET(T13,0,-1))),1,IF(OR(OFFSET(T13,0,-1)=0,OFFSET(T13,0,-1)+1&gt;CÁLCULO.NúmeroDeFrentes),0,OFFSET(T13,0,-1)+1))</f>
        <v>0</v>
      </c>
      <c r="U13" s="531">
        <f ca="1">IF(NOT(ISNUMBER(OFFSET(U13,0,-1))),1,IF(OR(OFFSET(U13,0,-1)=0,OFFSET(U13,0,-1)+1&gt;CÁLCULO.NúmeroDeFrentes),0,OFFSET(U13,0,-1)+1))</f>
        <v>0</v>
      </c>
      <c r="V13" s="531">
        <f ca="1">IF(NOT(ISNUMBER(OFFSET(V13,0,-1))),1,IF(OR(OFFSET(V13,0,-1)=0,OFFSET(V13,0,-1)+1&gt;CÁLCULO.NúmeroDeFrentes),0,OFFSET(V13,0,-1)+1))</f>
        <v>0</v>
      </c>
      <c r="W13" s="531">
        <f ca="1">IF(NOT(ISNUMBER(OFFSET(W13,0,-1))),1,IF(OR(OFFSET(W13,0,-1)=0,OFFSET(W13,0,-1)+1&gt;CÁLCULO.NúmeroDeFrentes),0,OFFSET(W13,0,-1)+1))</f>
        <v>0</v>
      </c>
      <c r="X13" s="531">
        <f ca="1">IF(NOT(ISNUMBER(OFFSET(X13,0,-1))),1,IF(OR(OFFSET(X13,0,-1)=0,OFFSET(X13,0,-1)+1&gt;CÁLCULO.NúmeroDeFrentes),0,OFFSET(X13,0,-1)+1))</f>
        <v>0</v>
      </c>
      <c r="Y13" s="531">
        <f ca="1">IF(NOT(ISNUMBER(OFFSET(Y13,0,-1))),1,IF(OR(OFFSET(Y13,0,-1)=0,OFFSET(Y13,0,-1)+1&gt;CÁLCULO.NúmeroDeFrentes),0,OFFSET(Y13,0,-1)+1))</f>
        <v>0</v>
      </c>
    </row>
    <row r="14" spans="1:26" ht="15" customHeight="1" x14ac:dyDescent="0.2">
      <c r="A14" s="546" t="s">
        <v>244</v>
      </c>
      <c r="C14" s="589"/>
      <c r="D14" s="590" t="s">
        <v>493</v>
      </c>
      <c r="E14" s="591">
        <f ca="1">SUM(E$15:E$65)</f>
        <v>0</v>
      </c>
      <c r="F14" s="592">
        <f ca="1">SUM(F$15:F$65)</f>
        <v>0</v>
      </c>
      <c r="H14" s="591">
        <f t="shared" ref="H14:Y14" ca="1" si="2">SUM(H$15:H$65)</f>
        <v>0</v>
      </c>
      <c r="I14" s="591">
        <f t="shared" ca="1" si="2"/>
        <v>0</v>
      </c>
      <c r="J14" s="591">
        <f t="shared" ca="1" si="2"/>
        <v>0</v>
      </c>
      <c r="K14" s="591">
        <f t="shared" ca="1" si="2"/>
        <v>0</v>
      </c>
      <c r="L14" s="591">
        <f t="shared" ca="1" si="2"/>
        <v>0</v>
      </c>
      <c r="M14" s="591">
        <f t="shared" ca="1" si="2"/>
        <v>0</v>
      </c>
      <c r="N14" s="591">
        <f t="shared" ca="1" si="2"/>
        <v>0</v>
      </c>
      <c r="O14" s="591">
        <f t="shared" ca="1" si="2"/>
        <v>0</v>
      </c>
      <c r="P14" s="591">
        <f t="shared" ca="1" si="2"/>
        <v>0</v>
      </c>
      <c r="Q14" s="591">
        <f t="shared" ca="1" si="2"/>
        <v>0</v>
      </c>
      <c r="R14" s="591">
        <f t="shared" ca="1" si="2"/>
        <v>0</v>
      </c>
      <c r="S14" s="591">
        <f t="shared" ca="1" si="2"/>
        <v>0</v>
      </c>
      <c r="T14" s="591">
        <f t="shared" ca="1" si="2"/>
        <v>0</v>
      </c>
      <c r="U14" s="591">
        <f t="shared" ca="1" si="2"/>
        <v>0</v>
      </c>
      <c r="V14" s="591">
        <f t="shared" ca="1" si="2"/>
        <v>0</v>
      </c>
      <c r="W14" s="591">
        <f t="shared" ca="1" si="2"/>
        <v>0</v>
      </c>
      <c r="X14" s="591">
        <f t="shared" ca="1" si="2"/>
        <v>0</v>
      </c>
      <c r="Y14" s="591">
        <f t="shared" ca="1" si="2"/>
        <v>0</v>
      </c>
    </row>
    <row r="15" spans="1:26" x14ac:dyDescent="0.2">
      <c r="A15" s="546" t="str">
        <f t="shared" ref="A15:A64" ca="1" si="3">IF(D15="","","F")</f>
        <v/>
      </c>
      <c r="B15" t="str">
        <f ca="1">IF(OR(C15=" ",D15=""),"",CONCATENATE(C15,". ",D15))</f>
        <v/>
      </c>
      <c r="C15" s="598">
        <f ca="1">IF(AdmLocal="Automática",1,0)</f>
        <v>0</v>
      </c>
      <c r="D15" s="599" t="str">
        <f ca="1">IF(C15=1,"Administração Local","")</f>
        <v/>
      </c>
      <c r="E15" s="600">
        <f ca="1">IF($F$15=0,0,IF(E13=1,$F$15-SUM($I$15:$Z$15),ROUND(SUM(OFFSET(E15,1,0):OFFSET(E$65,-1,0))/SUM(OFFSET($F15,1,0):OFFSET($F$65,-1,0))*$F$15,2)))</f>
        <v>0</v>
      </c>
      <c r="F15" s="601" cm="1">
        <f t="array" aca="1" ref="F15" ca="1">IF($C$15=0,0,ROUND(SUMPRODUCT((CÁLCULO!$M$15:$M$131=EVENTOS!$C15)*(ORÇAMENTO!$X$15:'ORÇAMENTO'!$X$131)),2))</f>
        <v>0</v>
      </c>
      <c r="G15" s="542"/>
      <c r="H15" s="600">
        <f ca="1">IF($F$15=0,0,IF(H13=1,$F$15-SUM($I$15:$Z$15),ROUND(SUM(OFFSET(H15,1,0):OFFSET(H$65,-1,0))/SUM(OFFSET($F15,1,0):OFFSET($F$65,-1,0))*$F$15,2)))</f>
        <v>0</v>
      </c>
      <c r="I15" s="600">
        <f ca="1">IF($F$15=0,0,IF(I13=1,$F$15-SUM($I$15:$Z$15),ROUND(SUM(OFFSET(I15,1,0):OFFSET(I$65,-1,0))/SUM(OFFSET($F15,1,0):OFFSET($F$65,-1,0))*$F$15,2)))</f>
        <v>0</v>
      </c>
      <c r="J15" s="600">
        <f ca="1">IF($F$15=0,0,IF(J13=1,$F$15-SUM($I$15:$Z$15),ROUND(SUM(OFFSET(J15,1,0):OFFSET(J$65,-1,0))/SUM(OFFSET($F15,1,0):OFFSET($F$65,-1,0))*$F$15,2)))</f>
        <v>0</v>
      </c>
      <c r="K15" s="600">
        <f ca="1">IF($F$15=0,0,IF(K13=1,$F$15-SUM($I$15:$Z$15),ROUND(SUM(OFFSET(K15,1,0):OFFSET(K$65,-1,0))/SUM(OFFSET($F15,1,0):OFFSET($F$65,-1,0))*$F$15,2)))</f>
        <v>0</v>
      </c>
      <c r="L15" s="600">
        <f ca="1">IF($F$15=0,0,IF(L13=1,$F$15-SUM($I$15:$Z$15),ROUND(SUM(OFFSET(L15,1,0):OFFSET(L$65,-1,0))/SUM(OFFSET($F15,1,0):OFFSET($F$65,-1,0))*$F$15,2)))</f>
        <v>0</v>
      </c>
      <c r="M15" s="600">
        <f ca="1">IF($F$15=0,0,IF(M13=1,$F$15-SUM($I$15:$Z$15),ROUND(SUM(OFFSET(M15,1,0):OFFSET(M$65,-1,0))/SUM(OFFSET($F15,1,0):OFFSET($F$65,-1,0))*$F$15,2)))</f>
        <v>0</v>
      </c>
      <c r="N15" s="600">
        <f ca="1">IF($F$15=0,0,IF(N13=1,$F$15-SUM($I$15:$Z$15),ROUND(SUM(OFFSET(N15,1,0):OFFSET(N$65,-1,0))/SUM(OFFSET($F15,1,0):OFFSET($F$65,-1,0))*$F$15,2)))</f>
        <v>0</v>
      </c>
      <c r="O15" s="600">
        <f ca="1">IF($F$15=0,0,IF(O13=1,$F$15-SUM($I$15:$Z$15),ROUND(SUM(OFFSET(O15,1,0):OFFSET(O$65,-1,0))/SUM(OFFSET($F15,1,0):OFFSET($F$65,-1,0))*$F$15,2)))</f>
        <v>0</v>
      </c>
      <c r="P15" s="600">
        <f ca="1">IF($F$15=0,0,IF(P13=1,$F$15-SUM($I$15:$Z$15),ROUND(SUM(OFFSET(P15,1,0):OFFSET(P$65,-1,0))/SUM(OFFSET($F15,1,0):OFFSET($F$65,-1,0))*$F$15,2)))</f>
        <v>0</v>
      </c>
      <c r="Q15" s="600">
        <f ca="1">IF($F$15=0,0,IF(Q13=1,$F$15-SUM($I$15:$Z$15),ROUND(SUM(OFFSET(Q15,1,0):OFFSET(Q$65,-1,0))/SUM(OFFSET($F15,1,0):OFFSET($F$65,-1,0))*$F$15,2)))</f>
        <v>0</v>
      </c>
      <c r="R15" s="600">
        <f ca="1">IF($F$15=0,0,IF(R13=1,$F$15-SUM($I$15:$Z$15),ROUND(SUM(OFFSET(R15,1,0):OFFSET(R$65,-1,0))/SUM(OFFSET($F15,1,0):OFFSET($F$65,-1,0))*$F$15,2)))</f>
        <v>0</v>
      </c>
      <c r="S15" s="600">
        <f ca="1">IF($F$15=0,0,IF(S13=1,$F$15-SUM($I$15:$Z$15),ROUND(SUM(OFFSET(S15,1,0):OFFSET(S$65,-1,0))/SUM(OFFSET($F15,1,0):OFFSET($F$65,-1,0))*$F$15,2)))</f>
        <v>0</v>
      </c>
      <c r="T15" s="600">
        <f ca="1">IF($F$15=0,0,IF(T13=1,$F$15-SUM($I$15:$Z$15),ROUND(SUM(OFFSET(T15,1,0):OFFSET(T$65,-1,0))/SUM(OFFSET($F15,1,0):OFFSET($F$65,-1,0))*$F$15,2)))</f>
        <v>0</v>
      </c>
      <c r="U15" s="600">
        <f ca="1">IF($F$15=0,0,IF(U13=1,$F$15-SUM($I$15:$Z$15),ROUND(SUM(OFFSET(U15,1,0):OFFSET(U$65,-1,0))/SUM(OFFSET($F15,1,0):OFFSET($F$65,-1,0))*$F$15,2)))</f>
        <v>0</v>
      </c>
      <c r="V15" s="600">
        <f ca="1">IF($F$15=0,0,IF(V13=1,$F$15-SUM($I$15:$Z$15),ROUND(SUM(OFFSET(V15,1,0):OFFSET(V$65,-1,0))/SUM(OFFSET($F15,1,0):OFFSET($F$65,-1,0))*$F$15,2)))</f>
        <v>0</v>
      </c>
      <c r="W15" s="600">
        <f ca="1">IF($F$15=0,0,IF(W13=1,$F$15-SUM($I$15:$Z$15),ROUND(SUM(OFFSET(W15,1,0):OFFSET(W$65,-1,0))/SUM(OFFSET($F15,1,0):OFFSET($F$65,-1,0))*$F$15,2)))</f>
        <v>0</v>
      </c>
      <c r="X15" s="600">
        <f ca="1">IF($F$15=0,0,IF(X13=1,$F$15-SUM($I$15:$Z$15),ROUND(SUM(OFFSET(X15,1,0):OFFSET(X$65,-1,0))/SUM(OFFSET($F15,1,0):OFFSET($F$65,-1,0))*$F$15,2)))</f>
        <v>0</v>
      </c>
      <c r="Y15" s="600">
        <f ca="1">IF($F$15=0,0,IF(Y13=1,$F$15-SUM($I$15:$Z$15),ROUND(SUM(OFFSET(Y15,1,0):OFFSET(Y$65,-1,0))/SUM(OFFSET($F15,1,0):OFFSET($F$65,-1,0))*$F$15,2)))</f>
        <v>0</v>
      </c>
    </row>
    <row r="16" spans="1:26" x14ac:dyDescent="0.2">
      <c r="A16" s="546" t="str">
        <f t="shared" si="3"/>
        <v/>
      </c>
      <c r="B16" t="str">
        <f t="shared" ref="B16:B64" ca="1" si="4">IF(OR(C16=" ",D16=""),"",CONCATENATE(C16,". ",D16))</f>
        <v/>
      </c>
      <c r="C16" s="191" cm="1">
        <f t="array" aca="1" ref="C16" ca="1">IF(OR(ROW(C16)=ROW(EVENTOS.firstrow)+1,AND(OFFSET(C16,-1,0)&lt;&gt;" ",OFFSET(C16,-1,1)&lt;&gt;"")),OFFSET(C16,-1,0)+1," ")</f>
        <v>1</v>
      </c>
      <c r="D16" s="532"/>
      <c r="E16" s="543" cm="1">
        <f t="array" aca="1" ref="E16" ca="1">IF(AUTOEVENTO="Manual",ROUND(SUMPRODUCT((CÁLCULO!$M$15:$M$131=EVENTOS!$C16)*(OFFSET(CÁLCULO!$AI$15:$AI$131,0,E$13))),2),0)</f>
        <v>0</v>
      </c>
      <c r="F16" s="192">
        <f ca="1">IF(AUTOEVENTO="Manual",ROUND(SUMPRODUCT((CÁLCULO!$M$15:$M$131=EVENTOS!$C16)*(OFFSET(CÁLCULO!$AI$15,0,1):OFFSET(CÁLCULO!$BB$131,0,-1))),2),0)</f>
        <v>0</v>
      </c>
      <c r="G16" s="627" t="str">
        <f ca="1">IF(AND(D16=0,F16&gt;0),"NOME",
 IF(AND(D16&lt;&gt;0,$F$14&gt;0,F16=0),"VALOR",
 IF(AND(Import.TipoArredondamento="TransfereGOV",$A16="F",LEN(D16)&gt;100),"Nome &gt;100","")))</f>
        <v/>
      </c>
      <c r="H16" s="543" cm="1">
        <f t="array" aca="1" ref="H16" ca="1">IF(AUTOEVENTO="Manual",ROUND(SUMPRODUCT((CÁLCULO!$M$15:$M$131=EVENTOS!$C16)*(OFFSET(CÁLCULO!$AI$15:$AI$131,0,H$13))),2),0)</f>
        <v>0</v>
      </c>
      <c r="I16" s="543" cm="1">
        <f t="array" aca="1" ref="I16" ca="1">IF(AUTOEVENTO="Manual",ROUND(SUMPRODUCT((CÁLCULO!$M$15:$M$131=EVENTOS!$C16)*(OFFSET(CÁLCULO!$AI$15:$AI$131,0,I$13))),2),0)</f>
        <v>0</v>
      </c>
      <c r="J16" s="543" cm="1">
        <f t="array" aca="1" ref="J16" ca="1">IF(AUTOEVENTO="Manual",ROUND(SUMPRODUCT((CÁLCULO!$M$15:$M$131=EVENTOS!$C16)*(OFFSET(CÁLCULO!$AI$15:$AI$131,0,J$13))),2),0)</f>
        <v>0</v>
      </c>
      <c r="K16" s="543" cm="1">
        <f t="array" aca="1" ref="K16" ca="1">IF(AUTOEVENTO="Manual",ROUND(SUMPRODUCT((CÁLCULO!$M$15:$M$131=EVENTOS!$C16)*(OFFSET(CÁLCULO!$AI$15:$AI$131,0,K$13))),2),0)</f>
        <v>0</v>
      </c>
      <c r="L16" s="543" cm="1">
        <f t="array" aca="1" ref="L16" ca="1">IF(AUTOEVENTO="Manual",ROUND(SUMPRODUCT((CÁLCULO!$M$15:$M$131=EVENTOS!$C16)*(OFFSET(CÁLCULO!$AI$15:$AI$131,0,L$13))),2),0)</f>
        <v>0</v>
      </c>
      <c r="M16" s="543" cm="1">
        <f t="array" aca="1" ref="M16" ca="1">IF(AUTOEVENTO="Manual",ROUND(SUMPRODUCT((CÁLCULO!$M$15:$M$131=EVENTOS!$C16)*(OFFSET(CÁLCULO!$AI$15:$AI$131,0,M$13))),2),0)</f>
        <v>0</v>
      </c>
      <c r="N16" s="543" cm="1">
        <f t="array" aca="1" ref="N16" ca="1">IF(AUTOEVENTO="Manual",ROUND(SUMPRODUCT((CÁLCULO!$M$15:$M$131=EVENTOS!$C16)*(OFFSET(CÁLCULO!$AI$15:$AI$131,0,N$13))),2),0)</f>
        <v>0</v>
      </c>
      <c r="O16" s="543" cm="1">
        <f t="array" aca="1" ref="O16" ca="1">IF(AUTOEVENTO="Manual",ROUND(SUMPRODUCT((CÁLCULO!$M$15:$M$131=EVENTOS!$C16)*(OFFSET(CÁLCULO!$AI$15:$AI$131,0,O$13))),2),0)</f>
        <v>0</v>
      </c>
      <c r="P16" s="543" cm="1">
        <f t="array" aca="1" ref="P16" ca="1">IF(AUTOEVENTO="Manual",ROUND(SUMPRODUCT((CÁLCULO!$M$15:$M$131=EVENTOS!$C16)*(OFFSET(CÁLCULO!$AI$15:$AI$131,0,P$13))),2),0)</f>
        <v>0</v>
      </c>
      <c r="Q16" s="543" cm="1">
        <f t="array" aca="1" ref="Q16" ca="1">IF(AUTOEVENTO="Manual",ROUND(SUMPRODUCT((CÁLCULO!$M$15:$M$131=EVENTOS!$C16)*(OFFSET(CÁLCULO!$AI$15:$AI$131,0,Q$13))),2),0)</f>
        <v>0</v>
      </c>
      <c r="R16" s="543" cm="1">
        <f t="array" aca="1" ref="R16" ca="1">IF(AUTOEVENTO="Manual",ROUND(SUMPRODUCT((CÁLCULO!$M$15:$M$131=EVENTOS!$C16)*(OFFSET(CÁLCULO!$AI$15:$AI$131,0,R$13))),2),0)</f>
        <v>0</v>
      </c>
      <c r="S16" s="543" cm="1">
        <f t="array" aca="1" ref="S16" ca="1">IF(AUTOEVENTO="Manual",ROUND(SUMPRODUCT((CÁLCULO!$M$15:$M$131=EVENTOS!$C16)*(OFFSET(CÁLCULO!$AI$15:$AI$131,0,S$13))),2),0)</f>
        <v>0</v>
      </c>
      <c r="T16" s="543" cm="1">
        <f t="array" aca="1" ref="T16" ca="1">IF(AUTOEVENTO="Manual",ROUND(SUMPRODUCT((CÁLCULO!$M$15:$M$131=EVENTOS!$C16)*(OFFSET(CÁLCULO!$AI$15:$AI$131,0,T$13))),2),0)</f>
        <v>0</v>
      </c>
      <c r="U16" s="543" cm="1">
        <f t="array" aca="1" ref="U16" ca="1">IF(AUTOEVENTO="Manual",ROUND(SUMPRODUCT((CÁLCULO!$M$15:$M$131=EVENTOS!$C16)*(OFFSET(CÁLCULO!$AI$15:$AI$131,0,U$13))),2),0)</f>
        <v>0</v>
      </c>
      <c r="V16" s="543" cm="1">
        <f t="array" aca="1" ref="V16" ca="1">IF(AUTOEVENTO="Manual",ROUND(SUMPRODUCT((CÁLCULO!$M$15:$M$131=EVENTOS!$C16)*(OFFSET(CÁLCULO!$AI$15:$AI$131,0,V$13))),2),0)</f>
        <v>0</v>
      </c>
      <c r="W16" s="543" cm="1">
        <f t="array" aca="1" ref="W16" ca="1">IF(AUTOEVENTO="Manual",ROUND(SUMPRODUCT((CÁLCULO!$M$15:$M$131=EVENTOS!$C16)*(OFFSET(CÁLCULO!$AI$15:$AI$131,0,W$13))),2),0)</f>
        <v>0</v>
      </c>
      <c r="X16" s="543" cm="1">
        <f t="array" aca="1" ref="X16" ca="1">IF(AUTOEVENTO="Manual",ROUND(SUMPRODUCT((CÁLCULO!$M$15:$M$131=EVENTOS!$C16)*(OFFSET(CÁLCULO!$AI$15:$AI$131,0,X$13))),2),0)</f>
        <v>0</v>
      </c>
      <c r="Y16" s="543" cm="1">
        <f t="array" aca="1" ref="Y16" ca="1">IF(AUTOEVENTO="Manual",ROUND(SUMPRODUCT((CÁLCULO!$M$15:$M$131=EVENTOS!$C16)*(OFFSET(CÁLCULO!$AI$15:$AI$131,0,Y$13))),2),0)</f>
        <v>0</v>
      </c>
    </row>
    <row r="17" spans="1:25" x14ac:dyDescent="0.2">
      <c r="A17" s="546" t="str">
        <f t="shared" si="3"/>
        <v/>
      </c>
      <c r="B17" t="str">
        <f t="shared" ca="1" si="4"/>
        <v/>
      </c>
      <c r="C17" s="191" t="str" cm="1">
        <f t="array" aca="1" ref="C17" ca="1">IF(OR(ROW(C17)=ROW(EVENTOS.firstrow)+1,AND(OFFSET(C17,-1,0)&lt;&gt;" ",OFFSET(C17,-1,1)&lt;&gt;"")),OFFSET(C17,-1,0)+1," ")</f>
        <v xml:space="preserve"> </v>
      </c>
      <c r="D17" s="532"/>
      <c r="E17" s="543" cm="1">
        <f t="array" aca="1" ref="E17" ca="1">IF(AUTOEVENTO="Manual",ROUND(SUMPRODUCT((CÁLCULO!$M$15:$M$131=EVENTOS!$C17)*(OFFSET(CÁLCULO!$AI$15:$AI$131,0,E$13))),2),0)</f>
        <v>0</v>
      </c>
      <c r="F17" s="192">
        <f ca="1">IF(AUTOEVENTO="Manual",ROUND(SUMPRODUCT((CÁLCULO!$M$15:$M$131=EVENTOS!$C17)*(OFFSET(CÁLCULO!$AI$15,0,1):OFFSET(CÁLCULO!$BB$131,0,-1))),2),0)</f>
        <v>0</v>
      </c>
      <c r="G17" s="627" t="str">
        <f ca="1">IF(AND(D17=0,F17&gt;0),"NOME",
 IF(AND(D17&lt;&gt;0,$F$14&gt;0,F17=0),"VALOR",
 IF(AND(Import.TipoArredondamento="TransfereGOV",$A17="F",LEN(D17)&gt;100),"Nome &gt;100","")))</f>
        <v/>
      </c>
      <c r="H17" s="543" cm="1">
        <f t="array" aca="1" ref="H17" ca="1">IF(AUTOEVENTO="Manual",ROUND(SUMPRODUCT((CÁLCULO!$M$15:$M$131=EVENTOS!$C17)*(OFFSET(CÁLCULO!$AI$15:$AI$131,0,H$13))),2),0)</f>
        <v>0</v>
      </c>
      <c r="I17" s="543" cm="1">
        <f t="array" aca="1" ref="I17" ca="1">IF(AUTOEVENTO="Manual",ROUND(SUMPRODUCT((CÁLCULO!$M$15:$M$131=EVENTOS!$C17)*(OFFSET(CÁLCULO!$AI$15:$AI$131,0,I$13))),2),0)</f>
        <v>0</v>
      </c>
      <c r="J17" s="543" cm="1">
        <f t="array" aca="1" ref="J17" ca="1">IF(AUTOEVENTO="Manual",ROUND(SUMPRODUCT((CÁLCULO!$M$15:$M$131=EVENTOS!$C17)*(OFFSET(CÁLCULO!$AI$15:$AI$131,0,J$13))),2),0)</f>
        <v>0</v>
      </c>
      <c r="K17" s="543" cm="1">
        <f t="array" aca="1" ref="K17" ca="1">IF(AUTOEVENTO="Manual",ROUND(SUMPRODUCT((CÁLCULO!$M$15:$M$131=EVENTOS!$C17)*(OFFSET(CÁLCULO!$AI$15:$AI$131,0,K$13))),2),0)</f>
        <v>0</v>
      </c>
      <c r="L17" s="543" cm="1">
        <f t="array" aca="1" ref="L17" ca="1">IF(AUTOEVENTO="Manual",ROUND(SUMPRODUCT((CÁLCULO!$M$15:$M$131=EVENTOS!$C17)*(OFFSET(CÁLCULO!$AI$15:$AI$131,0,L$13))),2),0)</f>
        <v>0</v>
      </c>
      <c r="M17" s="543" cm="1">
        <f t="array" aca="1" ref="M17" ca="1">IF(AUTOEVENTO="Manual",ROUND(SUMPRODUCT((CÁLCULO!$M$15:$M$131=EVENTOS!$C17)*(OFFSET(CÁLCULO!$AI$15:$AI$131,0,M$13))),2),0)</f>
        <v>0</v>
      </c>
      <c r="N17" s="543" cm="1">
        <f t="array" aca="1" ref="N17" ca="1">IF(AUTOEVENTO="Manual",ROUND(SUMPRODUCT((CÁLCULO!$M$15:$M$131=EVENTOS!$C17)*(OFFSET(CÁLCULO!$AI$15:$AI$131,0,N$13))),2),0)</f>
        <v>0</v>
      </c>
      <c r="O17" s="543" cm="1">
        <f t="array" aca="1" ref="O17" ca="1">IF(AUTOEVENTO="Manual",ROUND(SUMPRODUCT((CÁLCULO!$M$15:$M$131=EVENTOS!$C17)*(OFFSET(CÁLCULO!$AI$15:$AI$131,0,O$13))),2),0)</f>
        <v>0</v>
      </c>
      <c r="P17" s="543" cm="1">
        <f t="array" aca="1" ref="P17" ca="1">IF(AUTOEVENTO="Manual",ROUND(SUMPRODUCT((CÁLCULO!$M$15:$M$131=EVENTOS!$C17)*(OFFSET(CÁLCULO!$AI$15:$AI$131,0,P$13))),2),0)</f>
        <v>0</v>
      </c>
      <c r="Q17" s="543" cm="1">
        <f t="array" aca="1" ref="Q17" ca="1">IF(AUTOEVENTO="Manual",ROUND(SUMPRODUCT((CÁLCULO!$M$15:$M$131=EVENTOS!$C17)*(OFFSET(CÁLCULO!$AI$15:$AI$131,0,Q$13))),2),0)</f>
        <v>0</v>
      </c>
      <c r="R17" s="543" cm="1">
        <f t="array" aca="1" ref="R17" ca="1">IF(AUTOEVENTO="Manual",ROUND(SUMPRODUCT((CÁLCULO!$M$15:$M$131=EVENTOS!$C17)*(OFFSET(CÁLCULO!$AI$15:$AI$131,0,R$13))),2),0)</f>
        <v>0</v>
      </c>
      <c r="S17" s="543" cm="1">
        <f t="array" aca="1" ref="S17" ca="1">IF(AUTOEVENTO="Manual",ROUND(SUMPRODUCT((CÁLCULO!$M$15:$M$131=EVENTOS!$C17)*(OFFSET(CÁLCULO!$AI$15:$AI$131,0,S$13))),2),0)</f>
        <v>0</v>
      </c>
      <c r="T17" s="543" cm="1">
        <f t="array" aca="1" ref="T17" ca="1">IF(AUTOEVENTO="Manual",ROUND(SUMPRODUCT((CÁLCULO!$M$15:$M$131=EVENTOS!$C17)*(OFFSET(CÁLCULO!$AI$15:$AI$131,0,T$13))),2),0)</f>
        <v>0</v>
      </c>
      <c r="U17" s="543" cm="1">
        <f t="array" aca="1" ref="U17" ca="1">IF(AUTOEVENTO="Manual",ROUND(SUMPRODUCT((CÁLCULO!$M$15:$M$131=EVENTOS!$C17)*(OFFSET(CÁLCULO!$AI$15:$AI$131,0,U$13))),2),0)</f>
        <v>0</v>
      </c>
      <c r="V17" s="543" cm="1">
        <f t="array" aca="1" ref="V17" ca="1">IF(AUTOEVENTO="Manual",ROUND(SUMPRODUCT((CÁLCULO!$M$15:$M$131=EVENTOS!$C17)*(OFFSET(CÁLCULO!$AI$15:$AI$131,0,V$13))),2),0)</f>
        <v>0</v>
      </c>
      <c r="W17" s="543" cm="1">
        <f t="array" aca="1" ref="W17" ca="1">IF(AUTOEVENTO="Manual",ROUND(SUMPRODUCT((CÁLCULO!$M$15:$M$131=EVENTOS!$C17)*(OFFSET(CÁLCULO!$AI$15:$AI$131,0,W$13))),2),0)</f>
        <v>0</v>
      </c>
      <c r="X17" s="543" cm="1">
        <f t="array" aca="1" ref="X17" ca="1">IF(AUTOEVENTO="Manual",ROUND(SUMPRODUCT((CÁLCULO!$M$15:$M$131=EVENTOS!$C17)*(OFFSET(CÁLCULO!$AI$15:$AI$131,0,X$13))),2),0)</f>
        <v>0</v>
      </c>
      <c r="Y17" s="543" cm="1">
        <f t="array" aca="1" ref="Y17" ca="1">IF(AUTOEVENTO="Manual",ROUND(SUMPRODUCT((CÁLCULO!$M$15:$M$131=EVENTOS!$C17)*(OFFSET(CÁLCULO!$AI$15:$AI$131,0,Y$13))),2),0)</f>
        <v>0</v>
      </c>
    </row>
    <row r="18" spans="1:25" x14ac:dyDescent="0.2">
      <c r="A18" s="546" t="str">
        <f t="shared" si="3"/>
        <v/>
      </c>
      <c r="B18" t="str">
        <f t="shared" ca="1" si="4"/>
        <v/>
      </c>
      <c r="C18" s="191" t="str" cm="1">
        <f t="array" aca="1" ref="C18" ca="1">IF(OR(ROW(C18)=ROW(EVENTOS.firstrow)+1,AND(OFFSET(C18,-1,0)&lt;&gt;" ",OFFSET(C18,-1,1)&lt;&gt;"")),OFFSET(C18,-1,0)+1," ")</f>
        <v xml:space="preserve"> </v>
      </c>
      <c r="D18" s="532"/>
      <c r="E18" s="543" cm="1">
        <f t="array" aca="1" ref="E18" ca="1">IF(AUTOEVENTO="Manual",ROUND(SUMPRODUCT((CÁLCULO!$M$15:$M$131=EVENTOS!$C18)*(OFFSET(CÁLCULO!$AI$15:$AI$131,0,E$13))),2),0)</f>
        <v>0</v>
      </c>
      <c r="F18" s="192">
        <f ca="1">IF(AUTOEVENTO="Manual",ROUND(SUMPRODUCT((CÁLCULO!$M$15:$M$131=EVENTOS!$C18)*(OFFSET(CÁLCULO!$AI$15,0,1):OFFSET(CÁLCULO!$BB$131,0,-1))),2),0)</f>
        <v>0</v>
      </c>
      <c r="G18" s="627" t="str">
        <f ca="1">IF(AND(D18=0,F18&gt;0),"NOME",
 IF(AND(D18&lt;&gt;0,$F$14&gt;0,F18=0),"VALOR",
 IF(AND(Import.TipoArredondamento="TransfereGOV",$A18="F",LEN(D18)&gt;100),"Nome &gt;100","")))</f>
        <v/>
      </c>
      <c r="H18" s="543" cm="1">
        <f t="array" aca="1" ref="H18" ca="1">IF(AUTOEVENTO="Manual",ROUND(SUMPRODUCT((CÁLCULO!$M$15:$M$131=EVENTOS!$C18)*(OFFSET(CÁLCULO!$AI$15:$AI$131,0,H$13))),2),0)</f>
        <v>0</v>
      </c>
      <c r="I18" s="543" cm="1">
        <f t="array" aca="1" ref="I18" ca="1">IF(AUTOEVENTO="Manual",ROUND(SUMPRODUCT((CÁLCULO!$M$15:$M$131=EVENTOS!$C18)*(OFFSET(CÁLCULO!$AI$15:$AI$131,0,I$13))),2),0)</f>
        <v>0</v>
      </c>
      <c r="J18" s="543" cm="1">
        <f t="array" aca="1" ref="J18" ca="1">IF(AUTOEVENTO="Manual",ROUND(SUMPRODUCT((CÁLCULO!$M$15:$M$131=EVENTOS!$C18)*(OFFSET(CÁLCULO!$AI$15:$AI$131,0,J$13))),2),0)</f>
        <v>0</v>
      </c>
      <c r="K18" s="543" cm="1">
        <f t="array" aca="1" ref="K18" ca="1">IF(AUTOEVENTO="Manual",ROUND(SUMPRODUCT((CÁLCULO!$M$15:$M$131=EVENTOS!$C18)*(OFFSET(CÁLCULO!$AI$15:$AI$131,0,K$13))),2),0)</f>
        <v>0</v>
      </c>
      <c r="L18" s="543" cm="1">
        <f t="array" aca="1" ref="L18" ca="1">IF(AUTOEVENTO="Manual",ROUND(SUMPRODUCT((CÁLCULO!$M$15:$M$131=EVENTOS!$C18)*(OFFSET(CÁLCULO!$AI$15:$AI$131,0,L$13))),2),0)</f>
        <v>0</v>
      </c>
      <c r="M18" s="543" cm="1">
        <f t="array" aca="1" ref="M18" ca="1">IF(AUTOEVENTO="Manual",ROUND(SUMPRODUCT((CÁLCULO!$M$15:$M$131=EVENTOS!$C18)*(OFFSET(CÁLCULO!$AI$15:$AI$131,0,M$13))),2),0)</f>
        <v>0</v>
      </c>
      <c r="N18" s="543" cm="1">
        <f t="array" aca="1" ref="N18" ca="1">IF(AUTOEVENTO="Manual",ROUND(SUMPRODUCT((CÁLCULO!$M$15:$M$131=EVENTOS!$C18)*(OFFSET(CÁLCULO!$AI$15:$AI$131,0,N$13))),2),0)</f>
        <v>0</v>
      </c>
      <c r="O18" s="543" cm="1">
        <f t="array" aca="1" ref="O18" ca="1">IF(AUTOEVENTO="Manual",ROUND(SUMPRODUCT((CÁLCULO!$M$15:$M$131=EVENTOS!$C18)*(OFFSET(CÁLCULO!$AI$15:$AI$131,0,O$13))),2),0)</f>
        <v>0</v>
      </c>
      <c r="P18" s="543" cm="1">
        <f t="array" aca="1" ref="P18" ca="1">IF(AUTOEVENTO="Manual",ROUND(SUMPRODUCT((CÁLCULO!$M$15:$M$131=EVENTOS!$C18)*(OFFSET(CÁLCULO!$AI$15:$AI$131,0,P$13))),2),0)</f>
        <v>0</v>
      </c>
      <c r="Q18" s="543" cm="1">
        <f t="array" aca="1" ref="Q18" ca="1">IF(AUTOEVENTO="Manual",ROUND(SUMPRODUCT((CÁLCULO!$M$15:$M$131=EVENTOS!$C18)*(OFFSET(CÁLCULO!$AI$15:$AI$131,0,Q$13))),2),0)</f>
        <v>0</v>
      </c>
      <c r="R18" s="543" cm="1">
        <f t="array" aca="1" ref="R18" ca="1">IF(AUTOEVENTO="Manual",ROUND(SUMPRODUCT((CÁLCULO!$M$15:$M$131=EVENTOS!$C18)*(OFFSET(CÁLCULO!$AI$15:$AI$131,0,R$13))),2),0)</f>
        <v>0</v>
      </c>
      <c r="S18" s="543" cm="1">
        <f t="array" aca="1" ref="S18" ca="1">IF(AUTOEVENTO="Manual",ROUND(SUMPRODUCT((CÁLCULO!$M$15:$M$131=EVENTOS!$C18)*(OFFSET(CÁLCULO!$AI$15:$AI$131,0,S$13))),2),0)</f>
        <v>0</v>
      </c>
      <c r="T18" s="543" cm="1">
        <f t="array" aca="1" ref="T18" ca="1">IF(AUTOEVENTO="Manual",ROUND(SUMPRODUCT((CÁLCULO!$M$15:$M$131=EVENTOS!$C18)*(OFFSET(CÁLCULO!$AI$15:$AI$131,0,T$13))),2),0)</f>
        <v>0</v>
      </c>
      <c r="U18" s="543" cm="1">
        <f t="array" aca="1" ref="U18" ca="1">IF(AUTOEVENTO="Manual",ROUND(SUMPRODUCT((CÁLCULO!$M$15:$M$131=EVENTOS!$C18)*(OFFSET(CÁLCULO!$AI$15:$AI$131,0,U$13))),2),0)</f>
        <v>0</v>
      </c>
      <c r="V18" s="543" cm="1">
        <f t="array" aca="1" ref="V18" ca="1">IF(AUTOEVENTO="Manual",ROUND(SUMPRODUCT((CÁLCULO!$M$15:$M$131=EVENTOS!$C18)*(OFFSET(CÁLCULO!$AI$15:$AI$131,0,V$13))),2),0)</f>
        <v>0</v>
      </c>
      <c r="W18" s="543" cm="1">
        <f t="array" aca="1" ref="W18" ca="1">IF(AUTOEVENTO="Manual",ROUND(SUMPRODUCT((CÁLCULO!$M$15:$M$131=EVENTOS!$C18)*(OFFSET(CÁLCULO!$AI$15:$AI$131,0,W$13))),2),0)</f>
        <v>0</v>
      </c>
      <c r="X18" s="543" cm="1">
        <f t="array" aca="1" ref="X18" ca="1">IF(AUTOEVENTO="Manual",ROUND(SUMPRODUCT((CÁLCULO!$M$15:$M$131=EVENTOS!$C18)*(OFFSET(CÁLCULO!$AI$15:$AI$131,0,X$13))),2),0)</f>
        <v>0</v>
      </c>
      <c r="Y18" s="543" cm="1">
        <f t="array" aca="1" ref="Y18" ca="1">IF(AUTOEVENTO="Manual",ROUND(SUMPRODUCT((CÁLCULO!$M$15:$M$131=EVENTOS!$C18)*(OFFSET(CÁLCULO!$AI$15:$AI$131,0,Y$13))),2),0)</f>
        <v>0</v>
      </c>
    </row>
    <row r="19" spans="1:25" x14ac:dyDescent="0.2">
      <c r="A19" s="546" t="str">
        <f t="shared" si="3"/>
        <v/>
      </c>
      <c r="B19" t="str">
        <f t="shared" ca="1" si="4"/>
        <v/>
      </c>
      <c r="C19" s="191" t="str" cm="1">
        <f t="array" aca="1" ref="C19" ca="1">IF(OR(ROW(C19)=ROW(EVENTOS.firstrow)+1,AND(OFFSET(C19,-1,0)&lt;&gt;" ",OFFSET(C19,-1,1)&lt;&gt;"")),OFFSET(C19,-1,0)+1," ")</f>
        <v xml:space="preserve"> </v>
      </c>
      <c r="D19" s="532"/>
      <c r="E19" s="543" cm="1">
        <f t="array" aca="1" ref="E19" ca="1">IF(AUTOEVENTO="Manual",ROUND(SUMPRODUCT((CÁLCULO!$M$15:$M$131=EVENTOS!$C19)*(OFFSET(CÁLCULO!$AI$15:$AI$131,0,E$13))),2),0)</f>
        <v>0</v>
      </c>
      <c r="F19" s="192">
        <f ca="1">IF(AUTOEVENTO="Manual",ROUND(SUMPRODUCT((CÁLCULO!$M$15:$M$131=EVENTOS!$C19)*(OFFSET(CÁLCULO!$AI$15,0,1):OFFSET(CÁLCULO!$BB$131,0,-1))),2),0)</f>
        <v>0</v>
      </c>
      <c r="G19" s="627" t="str">
        <f ca="1">IF(AND(D19=0,F19&gt;0),"NOME",
 IF(AND(D19&lt;&gt;0,$F$14&gt;0,F19=0),"VALOR",
 IF(AND(Import.TipoArredondamento="TransfereGOV",$A19="F",LEN(D19)&gt;100),"Nome &gt;100","")))</f>
        <v/>
      </c>
      <c r="H19" s="543" cm="1">
        <f t="array" aca="1" ref="H19" ca="1">IF(AUTOEVENTO="Manual",ROUND(SUMPRODUCT((CÁLCULO!$M$15:$M$131=EVENTOS!$C19)*(OFFSET(CÁLCULO!$AI$15:$AI$131,0,H$13))),2),0)</f>
        <v>0</v>
      </c>
      <c r="I19" s="543" cm="1">
        <f t="array" aca="1" ref="I19" ca="1">IF(AUTOEVENTO="Manual",ROUND(SUMPRODUCT((CÁLCULO!$M$15:$M$131=EVENTOS!$C19)*(OFFSET(CÁLCULO!$AI$15:$AI$131,0,I$13))),2),0)</f>
        <v>0</v>
      </c>
      <c r="J19" s="543" cm="1">
        <f t="array" aca="1" ref="J19" ca="1">IF(AUTOEVENTO="Manual",ROUND(SUMPRODUCT((CÁLCULO!$M$15:$M$131=EVENTOS!$C19)*(OFFSET(CÁLCULO!$AI$15:$AI$131,0,J$13))),2),0)</f>
        <v>0</v>
      </c>
      <c r="K19" s="543" cm="1">
        <f t="array" aca="1" ref="K19" ca="1">IF(AUTOEVENTO="Manual",ROUND(SUMPRODUCT((CÁLCULO!$M$15:$M$131=EVENTOS!$C19)*(OFFSET(CÁLCULO!$AI$15:$AI$131,0,K$13))),2),0)</f>
        <v>0</v>
      </c>
      <c r="L19" s="543" cm="1">
        <f t="array" aca="1" ref="L19" ca="1">IF(AUTOEVENTO="Manual",ROUND(SUMPRODUCT((CÁLCULO!$M$15:$M$131=EVENTOS!$C19)*(OFFSET(CÁLCULO!$AI$15:$AI$131,0,L$13))),2),0)</f>
        <v>0</v>
      </c>
      <c r="M19" s="543" cm="1">
        <f t="array" aca="1" ref="M19" ca="1">IF(AUTOEVENTO="Manual",ROUND(SUMPRODUCT((CÁLCULO!$M$15:$M$131=EVENTOS!$C19)*(OFFSET(CÁLCULO!$AI$15:$AI$131,0,M$13))),2),0)</f>
        <v>0</v>
      </c>
      <c r="N19" s="543" cm="1">
        <f t="array" aca="1" ref="N19" ca="1">IF(AUTOEVENTO="Manual",ROUND(SUMPRODUCT((CÁLCULO!$M$15:$M$131=EVENTOS!$C19)*(OFFSET(CÁLCULO!$AI$15:$AI$131,0,N$13))),2),0)</f>
        <v>0</v>
      </c>
      <c r="O19" s="543" cm="1">
        <f t="array" aca="1" ref="O19" ca="1">IF(AUTOEVENTO="Manual",ROUND(SUMPRODUCT((CÁLCULO!$M$15:$M$131=EVENTOS!$C19)*(OFFSET(CÁLCULO!$AI$15:$AI$131,0,O$13))),2),0)</f>
        <v>0</v>
      </c>
      <c r="P19" s="543" cm="1">
        <f t="array" aca="1" ref="P19" ca="1">IF(AUTOEVENTO="Manual",ROUND(SUMPRODUCT((CÁLCULO!$M$15:$M$131=EVENTOS!$C19)*(OFFSET(CÁLCULO!$AI$15:$AI$131,0,P$13))),2),0)</f>
        <v>0</v>
      </c>
      <c r="Q19" s="543" cm="1">
        <f t="array" aca="1" ref="Q19" ca="1">IF(AUTOEVENTO="Manual",ROUND(SUMPRODUCT((CÁLCULO!$M$15:$M$131=EVENTOS!$C19)*(OFFSET(CÁLCULO!$AI$15:$AI$131,0,Q$13))),2),0)</f>
        <v>0</v>
      </c>
      <c r="R19" s="543" cm="1">
        <f t="array" aca="1" ref="R19" ca="1">IF(AUTOEVENTO="Manual",ROUND(SUMPRODUCT((CÁLCULO!$M$15:$M$131=EVENTOS!$C19)*(OFFSET(CÁLCULO!$AI$15:$AI$131,0,R$13))),2),0)</f>
        <v>0</v>
      </c>
      <c r="S19" s="543" cm="1">
        <f t="array" aca="1" ref="S19" ca="1">IF(AUTOEVENTO="Manual",ROUND(SUMPRODUCT((CÁLCULO!$M$15:$M$131=EVENTOS!$C19)*(OFFSET(CÁLCULO!$AI$15:$AI$131,0,S$13))),2),0)</f>
        <v>0</v>
      </c>
      <c r="T19" s="543" cm="1">
        <f t="array" aca="1" ref="T19" ca="1">IF(AUTOEVENTO="Manual",ROUND(SUMPRODUCT((CÁLCULO!$M$15:$M$131=EVENTOS!$C19)*(OFFSET(CÁLCULO!$AI$15:$AI$131,0,T$13))),2),0)</f>
        <v>0</v>
      </c>
      <c r="U19" s="543" cm="1">
        <f t="array" aca="1" ref="U19" ca="1">IF(AUTOEVENTO="Manual",ROUND(SUMPRODUCT((CÁLCULO!$M$15:$M$131=EVENTOS!$C19)*(OFFSET(CÁLCULO!$AI$15:$AI$131,0,U$13))),2),0)</f>
        <v>0</v>
      </c>
      <c r="V19" s="543" cm="1">
        <f t="array" aca="1" ref="V19" ca="1">IF(AUTOEVENTO="Manual",ROUND(SUMPRODUCT((CÁLCULO!$M$15:$M$131=EVENTOS!$C19)*(OFFSET(CÁLCULO!$AI$15:$AI$131,0,V$13))),2),0)</f>
        <v>0</v>
      </c>
      <c r="W19" s="543" cm="1">
        <f t="array" aca="1" ref="W19" ca="1">IF(AUTOEVENTO="Manual",ROUND(SUMPRODUCT((CÁLCULO!$M$15:$M$131=EVENTOS!$C19)*(OFFSET(CÁLCULO!$AI$15:$AI$131,0,W$13))),2),0)</f>
        <v>0</v>
      </c>
      <c r="X19" s="543" cm="1">
        <f t="array" aca="1" ref="X19" ca="1">IF(AUTOEVENTO="Manual",ROUND(SUMPRODUCT((CÁLCULO!$M$15:$M$131=EVENTOS!$C19)*(OFFSET(CÁLCULO!$AI$15:$AI$131,0,X$13))),2),0)</f>
        <v>0</v>
      </c>
      <c r="Y19" s="543" cm="1">
        <f t="array" aca="1" ref="Y19" ca="1">IF(AUTOEVENTO="Manual",ROUND(SUMPRODUCT((CÁLCULO!$M$15:$M$131=EVENTOS!$C19)*(OFFSET(CÁLCULO!$AI$15:$AI$131,0,Y$13))),2),0)</f>
        <v>0</v>
      </c>
    </row>
    <row r="20" spans="1:25" x14ac:dyDescent="0.2">
      <c r="A20" s="546" t="str">
        <f t="shared" si="3"/>
        <v/>
      </c>
      <c r="B20" t="str">
        <f t="shared" ca="1" si="4"/>
        <v/>
      </c>
      <c r="C20" s="191" t="str" cm="1">
        <f t="array" aca="1" ref="C20" ca="1">IF(OR(ROW(C20)=ROW(EVENTOS.firstrow)+1,AND(OFFSET(C20,-1,0)&lt;&gt;" ",OFFSET(C20,-1,1)&lt;&gt;"")),OFFSET(C20,-1,0)+1," ")</f>
        <v xml:space="preserve"> </v>
      </c>
      <c r="D20" s="532"/>
      <c r="E20" s="543" cm="1">
        <f t="array" aca="1" ref="E20" ca="1">IF(AUTOEVENTO="Manual",ROUND(SUMPRODUCT((CÁLCULO!$M$15:$M$131=EVENTOS!$C20)*(OFFSET(CÁLCULO!$AI$15:$AI$131,0,E$13))),2),0)</f>
        <v>0</v>
      </c>
      <c r="F20" s="192">
        <f ca="1">IF(AUTOEVENTO="Manual",ROUND(SUMPRODUCT((CÁLCULO!$M$15:$M$131=EVENTOS!$C20)*(OFFSET(CÁLCULO!$AI$15,0,1):OFFSET(CÁLCULO!$BB$131,0,-1))),2),0)</f>
        <v>0</v>
      </c>
      <c r="G20" s="627" t="str">
        <f ca="1">IF(AND(D20=0,F20&gt;0),"NOME",
 IF(AND(D20&lt;&gt;0,$F$14&gt;0,F20=0),"VALOR",
 IF(AND(Import.TipoArredondamento="TransfereGOV",$A20="F",LEN(D20)&gt;100),"Nome &gt;100","")))</f>
        <v/>
      </c>
      <c r="H20" s="543" cm="1">
        <f t="array" aca="1" ref="H20" ca="1">IF(AUTOEVENTO="Manual",ROUND(SUMPRODUCT((CÁLCULO!$M$15:$M$131=EVENTOS!$C20)*(OFFSET(CÁLCULO!$AI$15:$AI$131,0,H$13))),2),0)</f>
        <v>0</v>
      </c>
      <c r="I20" s="543" cm="1">
        <f t="array" aca="1" ref="I20" ca="1">IF(AUTOEVENTO="Manual",ROUND(SUMPRODUCT((CÁLCULO!$M$15:$M$131=EVENTOS!$C20)*(OFFSET(CÁLCULO!$AI$15:$AI$131,0,I$13))),2),0)</f>
        <v>0</v>
      </c>
      <c r="J20" s="543" cm="1">
        <f t="array" aca="1" ref="J20" ca="1">IF(AUTOEVENTO="Manual",ROUND(SUMPRODUCT((CÁLCULO!$M$15:$M$131=EVENTOS!$C20)*(OFFSET(CÁLCULO!$AI$15:$AI$131,0,J$13))),2),0)</f>
        <v>0</v>
      </c>
      <c r="K20" s="543" cm="1">
        <f t="array" aca="1" ref="K20" ca="1">IF(AUTOEVENTO="Manual",ROUND(SUMPRODUCT((CÁLCULO!$M$15:$M$131=EVENTOS!$C20)*(OFFSET(CÁLCULO!$AI$15:$AI$131,0,K$13))),2),0)</f>
        <v>0</v>
      </c>
      <c r="L20" s="543" cm="1">
        <f t="array" aca="1" ref="L20" ca="1">IF(AUTOEVENTO="Manual",ROUND(SUMPRODUCT((CÁLCULO!$M$15:$M$131=EVENTOS!$C20)*(OFFSET(CÁLCULO!$AI$15:$AI$131,0,L$13))),2),0)</f>
        <v>0</v>
      </c>
      <c r="M20" s="543" cm="1">
        <f t="array" aca="1" ref="M20" ca="1">IF(AUTOEVENTO="Manual",ROUND(SUMPRODUCT((CÁLCULO!$M$15:$M$131=EVENTOS!$C20)*(OFFSET(CÁLCULO!$AI$15:$AI$131,0,M$13))),2),0)</f>
        <v>0</v>
      </c>
      <c r="N20" s="543" cm="1">
        <f t="array" aca="1" ref="N20" ca="1">IF(AUTOEVENTO="Manual",ROUND(SUMPRODUCT((CÁLCULO!$M$15:$M$131=EVENTOS!$C20)*(OFFSET(CÁLCULO!$AI$15:$AI$131,0,N$13))),2),0)</f>
        <v>0</v>
      </c>
      <c r="O20" s="543" cm="1">
        <f t="array" aca="1" ref="O20" ca="1">IF(AUTOEVENTO="Manual",ROUND(SUMPRODUCT((CÁLCULO!$M$15:$M$131=EVENTOS!$C20)*(OFFSET(CÁLCULO!$AI$15:$AI$131,0,O$13))),2),0)</f>
        <v>0</v>
      </c>
      <c r="P20" s="543" cm="1">
        <f t="array" aca="1" ref="P20" ca="1">IF(AUTOEVENTO="Manual",ROUND(SUMPRODUCT((CÁLCULO!$M$15:$M$131=EVENTOS!$C20)*(OFFSET(CÁLCULO!$AI$15:$AI$131,0,P$13))),2),0)</f>
        <v>0</v>
      </c>
      <c r="Q20" s="543" cm="1">
        <f t="array" aca="1" ref="Q20" ca="1">IF(AUTOEVENTO="Manual",ROUND(SUMPRODUCT((CÁLCULO!$M$15:$M$131=EVENTOS!$C20)*(OFFSET(CÁLCULO!$AI$15:$AI$131,0,Q$13))),2),0)</f>
        <v>0</v>
      </c>
      <c r="R20" s="543" cm="1">
        <f t="array" aca="1" ref="R20" ca="1">IF(AUTOEVENTO="Manual",ROUND(SUMPRODUCT((CÁLCULO!$M$15:$M$131=EVENTOS!$C20)*(OFFSET(CÁLCULO!$AI$15:$AI$131,0,R$13))),2),0)</f>
        <v>0</v>
      </c>
      <c r="S20" s="543" cm="1">
        <f t="array" aca="1" ref="S20" ca="1">IF(AUTOEVENTO="Manual",ROUND(SUMPRODUCT((CÁLCULO!$M$15:$M$131=EVENTOS!$C20)*(OFFSET(CÁLCULO!$AI$15:$AI$131,0,S$13))),2),0)</f>
        <v>0</v>
      </c>
      <c r="T20" s="543" cm="1">
        <f t="array" aca="1" ref="T20" ca="1">IF(AUTOEVENTO="Manual",ROUND(SUMPRODUCT((CÁLCULO!$M$15:$M$131=EVENTOS!$C20)*(OFFSET(CÁLCULO!$AI$15:$AI$131,0,T$13))),2),0)</f>
        <v>0</v>
      </c>
      <c r="U20" s="543" cm="1">
        <f t="array" aca="1" ref="U20" ca="1">IF(AUTOEVENTO="Manual",ROUND(SUMPRODUCT((CÁLCULO!$M$15:$M$131=EVENTOS!$C20)*(OFFSET(CÁLCULO!$AI$15:$AI$131,0,U$13))),2),0)</f>
        <v>0</v>
      </c>
      <c r="V20" s="543" cm="1">
        <f t="array" aca="1" ref="V20" ca="1">IF(AUTOEVENTO="Manual",ROUND(SUMPRODUCT((CÁLCULO!$M$15:$M$131=EVENTOS!$C20)*(OFFSET(CÁLCULO!$AI$15:$AI$131,0,V$13))),2),0)</f>
        <v>0</v>
      </c>
      <c r="W20" s="543" cm="1">
        <f t="array" aca="1" ref="W20" ca="1">IF(AUTOEVENTO="Manual",ROUND(SUMPRODUCT((CÁLCULO!$M$15:$M$131=EVENTOS!$C20)*(OFFSET(CÁLCULO!$AI$15:$AI$131,0,W$13))),2),0)</f>
        <v>0</v>
      </c>
      <c r="X20" s="543" cm="1">
        <f t="array" aca="1" ref="X20" ca="1">IF(AUTOEVENTO="Manual",ROUND(SUMPRODUCT((CÁLCULO!$M$15:$M$131=EVENTOS!$C20)*(OFFSET(CÁLCULO!$AI$15:$AI$131,0,X$13))),2),0)</f>
        <v>0</v>
      </c>
      <c r="Y20" s="543" cm="1">
        <f t="array" aca="1" ref="Y20" ca="1">IF(AUTOEVENTO="Manual",ROUND(SUMPRODUCT((CÁLCULO!$M$15:$M$131=EVENTOS!$C20)*(OFFSET(CÁLCULO!$AI$15:$AI$131,0,Y$13))),2),0)</f>
        <v>0</v>
      </c>
    </row>
    <row r="21" spans="1:25" x14ac:dyDescent="0.2">
      <c r="A21" s="546" t="str">
        <f t="shared" si="3"/>
        <v/>
      </c>
      <c r="B21" t="str">
        <f t="shared" ca="1" si="4"/>
        <v/>
      </c>
      <c r="C21" s="191" t="str" cm="1">
        <f t="array" aca="1" ref="C21" ca="1">IF(OR(ROW(C21)=ROW(EVENTOS.firstrow)+1,AND(OFFSET(C21,-1,0)&lt;&gt;" ",OFFSET(C21,-1,1)&lt;&gt;"")),OFFSET(C21,-1,0)+1," ")</f>
        <v xml:space="preserve"> </v>
      </c>
      <c r="D21" s="532"/>
      <c r="E21" s="543" cm="1">
        <f t="array" aca="1" ref="E21" ca="1">IF(AUTOEVENTO="Manual",ROUND(SUMPRODUCT((CÁLCULO!$M$15:$M$131=EVENTOS!$C21)*(OFFSET(CÁLCULO!$AI$15:$AI$131,0,E$13))),2),0)</f>
        <v>0</v>
      </c>
      <c r="F21" s="192">
        <f ca="1">IF(AUTOEVENTO="Manual",ROUND(SUMPRODUCT((CÁLCULO!$M$15:$M$131=EVENTOS!$C21)*(OFFSET(CÁLCULO!$AI$15,0,1):OFFSET(CÁLCULO!$BB$131,0,-1))),2),0)</f>
        <v>0</v>
      </c>
      <c r="G21" s="627" t="str">
        <f ca="1">IF(AND(D21=0,F21&gt;0),"NOME",
 IF(AND(D21&lt;&gt;0,$F$14&gt;0,F21=0),"VALOR",
 IF(AND(Import.TipoArredondamento="TransfereGOV",$A21="F",LEN(D21)&gt;100),"Nome &gt;100","")))</f>
        <v/>
      </c>
      <c r="H21" s="543" cm="1">
        <f t="array" aca="1" ref="H21" ca="1">IF(AUTOEVENTO="Manual",ROUND(SUMPRODUCT((CÁLCULO!$M$15:$M$131=EVENTOS!$C21)*(OFFSET(CÁLCULO!$AI$15:$AI$131,0,H$13))),2),0)</f>
        <v>0</v>
      </c>
      <c r="I21" s="543" cm="1">
        <f t="array" aca="1" ref="I21" ca="1">IF(AUTOEVENTO="Manual",ROUND(SUMPRODUCT((CÁLCULO!$M$15:$M$131=EVENTOS!$C21)*(OFFSET(CÁLCULO!$AI$15:$AI$131,0,I$13))),2),0)</f>
        <v>0</v>
      </c>
      <c r="J21" s="543" cm="1">
        <f t="array" aca="1" ref="J21" ca="1">IF(AUTOEVENTO="Manual",ROUND(SUMPRODUCT((CÁLCULO!$M$15:$M$131=EVENTOS!$C21)*(OFFSET(CÁLCULO!$AI$15:$AI$131,0,J$13))),2),0)</f>
        <v>0</v>
      </c>
      <c r="K21" s="543" cm="1">
        <f t="array" aca="1" ref="K21" ca="1">IF(AUTOEVENTO="Manual",ROUND(SUMPRODUCT((CÁLCULO!$M$15:$M$131=EVENTOS!$C21)*(OFFSET(CÁLCULO!$AI$15:$AI$131,0,K$13))),2),0)</f>
        <v>0</v>
      </c>
      <c r="L21" s="543" cm="1">
        <f t="array" aca="1" ref="L21" ca="1">IF(AUTOEVENTO="Manual",ROUND(SUMPRODUCT((CÁLCULO!$M$15:$M$131=EVENTOS!$C21)*(OFFSET(CÁLCULO!$AI$15:$AI$131,0,L$13))),2),0)</f>
        <v>0</v>
      </c>
      <c r="M21" s="543" cm="1">
        <f t="array" aca="1" ref="M21" ca="1">IF(AUTOEVENTO="Manual",ROUND(SUMPRODUCT((CÁLCULO!$M$15:$M$131=EVENTOS!$C21)*(OFFSET(CÁLCULO!$AI$15:$AI$131,0,M$13))),2),0)</f>
        <v>0</v>
      </c>
      <c r="N21" s="543" cm="1">
        <f t="array" aca="1" ref="N21" ca="1">IF(AUTOEVENTO="Manual",ROUND(SUMPRODUCT((CÁLCULO!$M$15:$M$131=EVENTOS!$C21)*(OFFSET(CÁLCULO!$AI$15:$AI$131,0,N$13))),2),0)</f>
        <v>0</v>
      </c>
      <c r="O21" s="543" cm="1">
        <f t="array" aca="1" ref="O21" ca="1">IF(AUTOEVENTO="Manual",ROUND(SUMPRODUCT((CÁLCULO!$M$15:$M$131=EVENTOS!$C21)*(OFFSET(CÁLCULO!$AI$15:$AI$131,0,O$13))),2),0)</f>
        <v>0</v>
      </c>
      <c r="P21" s="543" cm="1">
        <f t="array" aca="1" ref="P21" ca="1">IF(AUTOEVENTO="Manual",ROUND(SUMPRODUCT((CÁLCULO!$M$15:$M$131=EVENTOS!$C21)*(OFFSET(CÁLCULO!$AI$15:$AI$131,0,P$13))),2),0)</f>
        <v>0</v>
      </c>
      <c r="Q21" s="543" cm="1">
        <f t="array" aca="1" ref="Q21" ca="1">IF(AUTOEVENTO="Manual",ROUND(SUMPRODUCT((CÁLCULO!$M$15:$M$131=EVENTOS!$C21)*(OFFSET(CÁLCULO!$AI$15:$AI$131,0,Q$13))),2),0)</f>
        <v>0</v>
      </c>
      <c r="R21" s="543" cm="1">
        <f t="array" aca="1" ref="R21" ca="1">IF(AUTOEVENTO="Manual",ROUND(SUMPRODUCT((CÁLCULO!$M$15:$M$131=EVENTOS!$C21)*(OFFSET(CÁLCULO!$AI$15:$AI$131,0,R$13))),2),0)</f>
        <v>0</v>
      </c>
      <c r="S21" s="543" cm="1">
        <f t="array" aca="1" ref="S21" ca="1">IF(AUTOEVENTO="Manual",ROUND(SUMPRODUCT((CÁLCULO!$M$15:$M$131=EVENTOS!$C21)*(OFFSET(CÁLCULO!$AI$15:$AI$131,0,S$13))),2),0)</f>
        <v>0</v>
      </c>
      <c r="T21" s="543" cm="1">
        <f t="array" aca="1" ref="T21" ca="1">IF(AUTOEVENTO="Manual",ROUND(SUMPRODUCT((CÁLCULO!$M$15:$M$131=EVENTOS!$C21)*(OFFSET(CÁLCULO!$AI$15:$AI$131,0,T$13))),2),0)</f>
        <v>0</v>
      </c>
      <c r="U21" s="543" cm="1">
        <f t="array" aca="1" ref="U21" ca="1">IF(AUTOEVENTO="Manual",ROUND(SUMPRODUCT((CÁLCULO!$M$15:$M$131=EVENTOS!$C21)*(OFFSET(CÁLCULO!$AI$15:$AI$131,0,U$13))),2),0)</f>
        <v>0</v>
      </c>
      <c r="V21" s="543" cm="1">
        <f t="array" aca="1" ref="V21" ca="1">IF(AUTOEVENTO="Manual",ROUND(SUMPRODUCT((CÁLCULO!$M$15:$M$131=EVENTOS!$C21)*(OFFSET(CÁLCULO!$AI$15:$AI$131,0,V$13))),2),0)</f>
        <v>0</v>
      </c>
      <c r="W21" s="543" cm="1">
        <f t="array" aca="1" ref="W21" ca="1">IF(AUTOEVENTO="Manual",ROUND(SUMPRODUCT((CÁLCULO!$M$15:$M$131=EVENTOS!$C21)*(OFFSET(CÁLCULO!$AI$15:$AI$131,0,W$13))),2),0)</f>
        <v>0</v>
      </c>
      <c r="X21" s="543" cm="1">
        <f t="array" aca="1" ref="X21" ca="1">IF(AUTOEVENTO="Manual",ROUND(SUMPRODUCT((CÁLCULO!$M$15:$M$131=EVENTOS!$C21)*(OFFSET(CÁLCULO!$AI$15:$AI$131,0,X$13))),2),0)</f>
        <v>0</v>
      </c>
      <c r="Y21" s="543" cm="1">
        <f t="array" aca="1" ref="Y21" ca="1">IF(AUTOEVENTO="Manual",ROUND(SUMPRODUCT((CÁLCULO!$M$15:$M$131=EVENTOS!$C21)*(OFFSET(CÁLCULO!$AI$15:$AI$131,0,Y$13))),2),0)</f>
        <v>0</v>
      </c>
    </row>
    <row r="22" spans="1:25" x14ac:dyDescent="0.2">
      <c r="A22" s="546" t="str">
        <f t="shared" si="3"/>
        <v/>
      </c>
      <c r="B22" t="str">
        <f t="shared" ca="1" si="4"/>
        <v/>
      </c>
      <c r="C22" s="191" t="str" cm="1">
        <f t="array" aca="1" ref="C22" ca="1">IF(OR(ROW(C22)=ROW(EVENTOS.firstrow)+1,AND(OFFSET(C22,-1,0)&lt;&gt;" ",OFFSET(C22,-1,1)&lt;&gt;"")),OFFSET(C22,-1,0)+1," ")</f>
        <v xml:space="preserve"> </v>
      </c>
      <c r="D22" s="532"/>
      <c r="E22" s="543" cm="1">
        <f t="array" aca="1" ref="E22" ca="1">IF(AUTOEVENTO="Manual",ROUND(SUMPRODUCT((CÁLCULO!$M$15:$M$131=EVENTOS!$C22)*(OFFSET(CÁLCULO!$AI$15:$AI$131,0,E$13))),2),0)</f>
        <v>0</v>
      </c>
      <c r="F22" s="192">
        <f ca="1">IF(AUTOEVENTO="Manual",ROUND(SUMPRODUCT((CÁLCULO!$M$15:$M$131=EVENTOS!$C22)*(OFFSET(CÁLCULO!$AI$15,0,1):OFFSET(CÁLCULO!$BB$131,0,-1))),2),0)</f>
        <v>0</v>
      </c>
      <c r="G22" s="627" t="str">
        <f ca="1">IF(AND(D22=0,F22&gt;0),"NOME",
 IF(AND(D22&lt;&gt;0,$F$14&gt;0,F22=0),"VALOR",
 IF(AND(Import.TipoArredondamento="TransfereGOV",$A22="F",LEN(D22)&gt;100),"Nome &gt;100","")))</f>
        <v/>
      </c>
      <c r="H22" s="543" cm="1">
        <f t="array" aca="1" ref="H22" ca="1">IF(AUTOEVENTO="Manual",ROUND(SUMPRODUCT((CÁLCULO!$M$15:$M$131=EVENTOS!$C22)*(OFFSET(CÁLCULO!$AI$15:$AI$131,0,H$13))),2),0)</f>
        <v>0</v>
      </c>
      <c r="I22" s="543" cm="1">
        <f t="array" aca="1" ref="I22" ca="1">IF(AUTOEVENTO="Manual",ROUND(SUMPRODUCT((CÁLCULO!$M$15:$M$131=EVENTOS!$C22)*(OFFSET(CÁLCULO!$AI$15:$AI$131,0,I$13))),2),0)</f>
        <v>0</v>
      </c>
      <c r="J22" s="543" cm="1">
        <f t="array" aca="1" ref="J22" ca="1">IF(AUTOEVENTO="Manual",ROUND(SUMPRODUCT((CÁLCULO!$M$15:$M$131=EVENTOS!$C22)*(OFFSET(CÁLCULO!$AI$15:$AI$131,0,J$13))),2),0)</f>
        <v>0</v>
      </c>
      <c r="K22" s="543" cm="1">
        <f t="array" aca="1" ref="K22" ca="1">IF(AUTOEVENTO="Manual",ROUND(SUMPRODUCT((CÁLCULO!$M$15:$M$131=EVENTOS!$C22)*(OFFSET(CÁLCULO!$AI$15:$AI$131,0,K$13))),2),0)</f>
        <v>0</v>
      </c>
      <c r="L22" s="543" cm="1">
        <f t="array" aca="1" ref="L22" ca="1">IF(AUTOEVENTO="Manual",ROUND(SUMPRODUCT((CÁLCULO!$M$15:$M$131=EVENTOS!$C22)*(OFFSET(CÁLCULO!$AI$15:$AI$131,0,L$13))),2),0)</f>
        <v>0</v>
      </c>
      <c r="M22" s="543" cm="1">
        <f t="array" aca="1" ref="M22" ca="1">IF(AUTOEVENTO="Manual",ROUND(SUMPRODUCT((CÁLCULO!$M$15:$M$131=EVENTOS!$C22)*(OFFSET(CÁLCULO!$AI$15:$AI$131,0,M$13))),2),0)</f>
        <v>0</v>
      </c>
      <c r="N22" s="543" cm="1">
        <f t="array" aca="1" ref="N22" ca="1">IF(AUTOEVENTO="Manual",ROUND(SUMPRODUCT((CÁLCULO!$M$15:$M$131=EVENTOS!$C22)*(OFFSET(CÁLCULO!$AI$15:$AI$131,0,N$13))),2),0)</f>
        <v>0</v>
      </c>
      <c r="O22" s="543" cm="1">
        <f t="array" aca="1" ref="O22" ca="1">IF(AUTOEVENTO="Manual",ROUND(SUMPRODUCT((CÁLCULO!$M$15:$M$131=EVENTOS!$C22)*(OFFSET(CÁLCULO!$AI$15:$AI$131,0,O$13))),2),0)</f>
        <v>0</v>
      </c>
      <c r="P22" s="543" cm="1">
        <f t="array" aca="1" ref="P22" ca="1">IF(AUTOEVENTO="Manual",ROUND(SUMPRODUCT((CÁLCULO!$M$15:$M$131=EVENTOS!$C22)*(OFFSET(CÁLCULO!$AI$15:$AI$131,0,P$13))),2),0)</f>
        <v>0</v>
      </c>
      <c r="Q22" s="543" cm="1">
        <f t="array" aca="1" ref="Q22" ca="1">IF(AUTOEVENTO="Manual",ROUND(SUMPRODUCT((CÁLCULO!$M$15:$M$131=EVENTOS!$C22)*(OFFSET(CÁLCULO!$AI$15:$AI$131,0,Q$13))),2),0)</f>
        <v>0</v>
      </c>
      <c r="R22" s="543" cm="1">
        <f t="array" aca="1" ref="R22" ca="1">IF(AUTOEVENTO="Manual",ROUND(SUMPRODUCT((CÁLCULO!$M$15:$M$131=EVENTOS!$C22)*(OFFSET(CÁLCULO!$AI$15:$AI$131,0,R$13))),2),0)</f>
        <v>0</v>
      </c>
      <c r="S22" s="543" cm="1">
        <f t="array" aca="1" ref="S22" ca="1">IF(AUTOEVENTO="Manual",ROUND(SUMPRODUCT((CÁLCULO!$M$15:$M$131=EVENTOS!$C22)*(OFFSET(CÁLCULO!$AI$15:$AI$131,0,S$13))),2),0)</f>
        <v>0</v>
      </c>
      <c r="T22" s="543" cm="1">
        <f t="array" aca="1" ref="T22" ca="1">IF(AUTOEVENTO="Manual",ROUND(SUMPRODUCT((CÁLCULO!$M$15:$M$131=EVENTOS!$C22)*(OFFSET(CÁLCULO!$AI$15:$AI$131,0,T$13))),2),0)</f>
        <v>0</v>
      </c>
      <c r="U22" s="543" cm="1">
        <f t="array" aca="1" ref="U22" ca="1">IF(AUTOEVENTO="Manual",ROUND(SUMPRODUCT((CÁLCULO!$M$15:$M$131=EVENTOS!$C22)*(OFFSET(CÁLCULO!$AI$15:$AI$131,0,U$13))),2),0)</f>
        <v>0</v>
      </c>
      <c r="V22" s="543" cm="1">
        <f t="array" aca="1" ref="V22" ca="1">IF(AUTOEVENTO="Manual",ROUND(SUMPRODUCT((CÁLCULO!$M$15:$M$131=EVENTOS!$C22)*(OFFSET(CÁLCULO!$AI$15:$AI$131,0,V$13))),2),0)</f>
        <v>0</v>
      </c>
      <c r="W22" s="543" cm="1">
        <f t="array" aca="1" ref="W22" ca="1">IF(AUTOEVENTO="Manual",ROUND(SUMPRODUCT((CÁLCULO!$M$15:$M$131=EVENTOS!$C22)*(OFFSET(CÁLCULO!$AI$15:$AI$131,0,W$13))),2),0)</f>
        <v>0</v>
      </c>
      <c r="X22" s="543" cm="1">
        <f t="array" aca="1" ref="X22" ca="1">IF(AUTOEVENTO="Manual",ROUND(SUMPRODUCT((CÁLCULO!$M$15:$M$131=EVENTOS!$C22)*(OFFSET(CÁLCULO!$AI$15:$AI$131,0,X$13))),2),0)</f>
        <v>0</v>
      </c>
      <c r="Y22" s="543" cm="1">
        <f t="array" aca="1" ref="Y22" ca="1">IF(AUTOEVENTO="Manual",ROUND(SUMPRODUCT((CÁLCULO!$M$15:$M$131=EVENTOS!$C22)*(OFFSET(CÁLCULO!$AI$15:$AI$131,0,Y$13))),2),0)</f>
        <v>0</v>
      </c>
    </row>
    <row r="23" spans="1:25" x14ac:dyDescent="0.2">
      <c r="A23" s="546" t="str">
        <f t="shared" si="3"/>
        <v/>
      </c>
      <c r="B23" t="str">
        <f t="shared" ca="1" si="4"/>
        <v/>
      </c>
      <c r="C23" s="191" t="str" cm="1">
        <f t="array" aca="1" ref="C23" ca="1">IF(OR(ROW(C23)=ROW(EVENTOS.firstrow)+1,AND(OFFSET(C23,-1,0)&lt;&gt;" ",OFFSET(C23,-1,1)&lt;&gt;"")),OFFSET(C23,-1,0)+1," ")</f>
        <v xml:space="preserve"> </v>
      </c>
      <c r="D23" s="532"/>
      <c r="E23" s="543" cm="1">
        <f t="array" aca="1" ref="E23" ca="1">IF(AUTOEVENTO="Manual",ROUND(SUMPRODUCT((CÁLCULO!$M$15:$M$131=EVENTOS!$C23)*(OFFSET(CÁLCULO!$AI$15:$AI$131,0,E$13))),2),0)</f>
        <v>0</v>
      </c>
      <c r="F23" s="192">
        <f ca="1">IF(AUTOEVENTO="Manual",ROUND(SUMPRODUCT((CÁLCULO!$M$15:$M$131=EVENTOS!$C23)*(OFFSET(CÁLCULO!$AI$15,0,1):OFFSET(CÁLCULO!$BB$131,0,-1))),2),0)</f>
        <v>0</v>
      </c>
      <c r="G23" s="627" t="str">
        <f ca="1">IF(AND(D23=0,F23&gt;0),"NOME",
 IF(AND(D23&lt;&gt;0,$F$14&gt;0,F23=0),"VALOR",
 IF(AND(Import.TipoArredondamento="TransfereGOV",$A23="F",LEN(D23)&gt;100),"Nome &gt;100","")))</f>
        <v/>
      </c>
      <c r="H23" s="543" cm="1">
        <f t="array" aca="1" ref="H23" ca="1">IF(AUTOEVENTO="Manual",ROUND(SUMPRODUCT((CÁLCULO!$M$15:$M$131=EVENTOS!$C23)*(OFFSET(CÁLCULO!$AI$15:$AI$131,0,H$13))),2),0)</f>
        <v>0</v>
      </c>
      <c r="I23" s="543" cm="1">
        <f t="array" aca="1" ref="I23" ca="1">IF(AUTOEVENTO="Manual",ROUND(SUMPRODUCT((CÁLCULO!$M$15:$M$131=EVENTOS!$C23)*(OFFSET(CÁLCULO!$AI$15:$AI$131,0,I$13))),2),0)</f>
        <v>0</v>
      </c>
      <c r="J23" s="543" cm="1">
        <f t="array" aca="1" ref="J23" ca="1">IF(AUTOEVENTO="Manual",ROUND(SUMPRODUCT((CÁLCULO!$M$15:$M$131=EVENTOS!$C23)*(OFFSET(CÁLCULO!$AI$15:$AI$131,0,J$13))),2),0)</f>
        <v>0</v>
      </c>
      <c r="K23" s="543" cm="1">
        <f t="array" aca="1" ref="K23" ca="1">IF(AUTOEVENTO="Manual",ROUND(SUMPRODUCT((CÁLCULO!$M$15:$M$131=EVENTOS!$C23)*(OFFSET(CÁLCULO!$AI$15:$AI$131,0,K$13))),2),0)</f>
        <v>0</v>
      </c>
      <c r="L23" s="543" cm="1">
        <f t="array" aca="1" ref="L23" ca="1">IF(AUTOEVENTO="Manual",ROUND(SUMPRODUCT((CÁLCULO!$M$15:$M$131=EVENTOS!$C23)*(OFFSET(CÁLCULO!$AI$15:$AI$131,0,L$13))),2),0)</f>
        <v>0</v>
      </c>
      <c r="M23" s="543" cm="1">
        <f t="array" aca="1" ref="M23" ca="1">IF(AUTOEVENTO="Manual",ROUND(SUMPRODUCT((CÁLCULO!$M$15:$M$131=EVENTOS!$C23)*(OFFSET(CÁLCULO!$AI$15:$AI$131,0,M$13))),2),0)</f>
        <v>0</v>
      </c>
      <c r="N23" s="543" cm="1">
        <f t="array" aca="1" ref="N23" ca="1">IF(AUTOEVENTO="Manual",ROUND(SUMPRODUCT((CÁLCULO!$M$15:$M$131=EVENTOS!$C23)*(OFFSET(CÁLCULO!$AI$15:$AI$131,0,N$13))),2),0)</f>
        <v>0</v>
      </c>
      <c r="O23" s="543" cm="1">
        <f t="array" aca="1" ref="O23" ca="1">IF(AUTOEVENTO="Manual",ROUND(SUMPRODUCT((CÁLCULO!$M$15:$M$131=EVENTOS!$C23)*(OFFSET(CÁLCULO!$AI$15:$AI$131,0,O$13))),2),0)</f>
        <v>0</v>
      </c>
      <c r="P23" s="543" cm="1">
        <f t="array" aca="1" ref="P23" ca="1">IF(AUTOEVENTO="Manual",ROUND(SUMPRODUCT((CÁLCULO!$M$15:$M$131=EVENTOS!$C23)*(OFFSET(CÁLCULO!$AI$15:$AI$131,0,P$13))),2),0)</f>
        <v>0</v>
      </c>
      <c r="Q23" s="543" cm="1">
        <f t="array" aca="1" ref="Q23" ca="1">IF(AUTOEVENTO="Manual",ROUND(SUMPRODUCT((CÁLCULO!$M$15:$M$131=EVENTOS!$C23)*(OFFSET(CÁLCULO!$AI$15:$AI$131,0,Q$13))),2),0)</f>
        <v>0</v>
      </c>
      <c r="R23" s="543" cm="1">
        <f t="array" aca="1" ref="R23" ca="1">IF(AUTOEVENTO="Manual",ROUND(SUMPRODUCT((CÁLCULO!$M$15:$M$131=EVENTOS!$C23)*(OFFSET(CÁLCULO!$AI$15:$AI$131,0,R$13))),2),0)</f>
        <v>0</v>
      </c>
      <c r="S23" s="543" cm="1">
        <f t="array" aca="1" ref="S23" ca="1">IF(AUTOEVENTO="Manual",ROUND(SUMPRODUCT((CÁLCULO!$M$15:$M$131=EVENTOS!$C23)*(OFFSET(CÁLCULO!$AI$15:$AI$131,0,S$13))),2),0)</f>
        <v>0</v>
      </c>
      <c r="T23" s="543" cm="1">
        <f t="array" aca="1" ref="T23" ca="1">IF(AUTOEVENTO="Manual",ROUND(SUMPRODUCT((CÁLCULO!$M$15:$M$131=EVENTOS!$C23)*(OFFSET(CÁLCULO!$AI$15:$AI$131,0,T$13))),2),0)</f>
        <v>0</v>
      </c>
      <c r="U23" s="543" cm="1">
        <f t="array" aca="1" ref="U23" ca="1">IF(AUTOEVENTO="Manual",ROUND(SUMPRODUCT((CÁLCULO!$M$15:$M$131=EVENTOS!$C23)*(OFFSET(CÁLCULO!$AI$15:$AI$131,0,U$13))),2),0)</f>
        <v>0</v>
      </c>
      <c r="V23" s="543" cm="1">
        <f t="array" aca="1" ref="V23" ca="1">IF(AUTOEVENTO="Manual",ROUND(SUMPRODUCT((CÁLCULO!$M$15:$M$131=EVENTOS!$C23)*(OFFSET(CÁLCULO!$AI$15:$AI$131,0,V$13))),2),0)</f>
        <v>0</v>
      </c>
      <c r="W23" s="543" cm="1">
        <f t="array" aca="1" ref="W23" ca="1">IF(AUTOEVENTO="Manual",ROUND(SUMPRODUCT((CÁLCULO!$M$15:$M$131=EVENTOS!$C23)*(OFFSET(CÁLCULO!$AI$15:$AI$131,0,W$13))),2),0)</f>
        <v>0</v>
      </c>
      <c r="X23" s="543" cm="1">
        <f t="array" aca="1" ref="X23" ca="1">IF(AUTOEVENTO="Manual",ROUND(SUMPRODUCT((CÁLCULO!$M$15:$M$131=EVENTOS!$C23)*(OFFSET(CÁLCULO!$AI$15:$AI$131,0,X$13))),2),0)</f>
        <v>0</v>
      </c>
      <c r="Y23" s="543" cm="1">
        <f t="array" aca="1" ref="Y23" ca="1">IF(AUTOEVENTO="Manual",ROUND(SUMPRODUCT((CÁLCULO!$M$15:$M$131=EVENTOS!$C23)*(OFFSET(CÁLCULO!$AI$15:$AI$131,0,Y$13))),2),0)</f>
        <v>0</v>
      </c>
    </row>
    <row r="24" spans="1:25" x14ac:dyDescent="0.2">
      <c r="A24" s="546" t="str">
        <f t="shared" si="3"/>
        <v/>
      </c>
      <c r="B24" t="str">
        <f t="shared" ca="1" si="4"/>
        <v/>
      </c>
      <c r="C24" s="191" t="str" cm="1">
        <f t="array" aca="1" ref="C24" ca="1">IF(OR(ROW(C24)=ROW(EVENTOS.firstrow)+1,AND(OFFSET(C24,-1,0)&lt;&gt;" ",OFFSET(C24,-1,1)&lt;&gt;"")),OFFSET(C24,-1,0)+1," ")</f>
        <v xml:space="preserve"> </v>
      </c>
      <c r="D24" s="532"/>
      <c r="E24" s="543" cm="1">
        <f t="array" aca="1" ref="E24" ca="1">IF(AUTOEVENTO="Manual",ROUND(SUMPRODUCT((CÁLCULO!$M$15:$M$131=EVENTOS!$C24)*(OFFSET(CÁLCULO!$AI$15:$AI$131,0,E$13))),2),0)</f>
        <v>0</v>
      </c>
      <c r="F24" s="192">
        <f ca="1">IF(AUTOEVENTO="Manual",ROUND(SUMPRODUCT((CÁLCULO!$M$15:$M$131=EVENTOS!$C24)*(OFFSET(CÁLCULO!$AI$15,0,1):OFFSET(CÁLCULO!$BB$131,0,-1))),2),0)</f>
        <v>0</v>
      </c>
      <c r="G24" s="627" t="str">
        <f ca="1">IF(AND(D24=0,F24&gt;0),"NOME",
 IF(AND(D24&lt;&gt;0,$F$14&gt;0,F24=0),"VALOR",
 IF(AND(Import.TipoArredondamento="TransfereGOV",$A24="F",LEN(D24)&gt;100),"Nome &gt;100","")))</f>
        <v/>
      </c>
      <c r="H24" s="543" cm="1">
        <f t="array" aca="1" ref="H24" ca="1">IF(AUTOEVENTO="Manual",ROUND(SUMPRODUCT((CÁLCULO!$M$15:$M$131=EVENTOS!$C24)*(OFFSET(CÁLCULO!$AI$15:$AI$131,0,H$13))),2),0)</f>
        <v>0</v>
      </c>
      <c r="I24" s="543" cm="1">
        <f t="array" aca="1" ref="I24" ca="1">IF(AUTOEVENTO="Manual",ROUND(SUMPRODUCT((CÁLCULO!$M$15:$M$131=EVENTOS!$C24)*(OFFSET(CÁLCULO!$AI$15:$AI$131,0,I$13))),2),0)</f>
        <v>0</v>
      </c>
      <c r="J24" s="543" cm="1">
        <f t="array" aca="1" ref="J24" ca="1">IF(AUTOEVENTO="Manual",ROUND(SUMPRODUCT((CÁLCULO!$M$15:$M$131=EVENTOS!$C24)*(OFFSET(CÁLCULO!$AI$15:$AI$131,0,J$13))),2),0)</f>
        <v>0</v>
      </c>
      <c r="K24" s="543" cm="1">
        <f t="array" aca="1" ref="K24" ca="1">IF(AUTOEVENTO="Manual",ROUND(SUMPRODUCT((CÁLCULO!$M$15:$M$131=EVENTOS!$C24)*(OFFSET(CÁLCULO!$AI$15:$AI$131,0,K$13))),2),0)</f>
        <v>0</v>
      </c>
      <c r="L24" s="543" cm="1">
        <f t="array" aca="1" ref="L24" ca="1">IF(AUTOEVENTO="Manual",ROUND(SUMPRODUCT((CÁLCULO!$M$15:$M$131=EVENTOS!$C24)*(OFFSET(CÁLCULO!$AI$15:$AI$131,0,L$13))),2),0)</f>
        <v>0</v>
      </c>
      <c r="M24" s="543" cm="1">
        <f t="array" aca="1" ref="M24" ca="1">IF(AUTOEVENTO="Manual",ROUND(SUMPRODUCT((CÁLCULO!$M$15:$M$131=EVENTOS!$C24)*(OFFSET(CÁLCULO!$AI$15:$AI$131,0,M$13))),2),0)</f>
        <v>0</v>
      </c>
      <c r="N24" s="543" cm="1">
        <f t="array" aca="1" ref="N24" ca="1">IF(AUTOEVENTO="Manual",ROUND(SUMPRODUCT((CÁLCULO!$M$15:$M$131=EVENTOS!$C24)*(OFFSET(CÁLCULO!$AI$15:$AI$131,0,N$13))),2),0)</f>
        <v>0</v>
      </c>
      <c r="O24" s="543" cm="1">
        <f t="array" aca="1" ref="O24" ca="1">IF(AUTOEVENTO="Manual",ROUND(SUMPRODUCT((CÁLCULO!$M$15:$M$131=EVENTOS!$C24)*(OFFSET(CÁLCULO!$AI$15:$AI$131,0,O$13))),2),0)</f>
        <v>0</v>
      </c>
      <c r="P24" s="543" cm="1">
        <f t="array" aca="1" ref="P24" ca="1">IF(AUTOEVENTO="Manual",ROUND(SUMPRODUCT((CÁLCULO!$M$15:$M$131=EVENTOS!$C24)*(OFFSET(CÁLCULO!$AI$15:$AI$131,0,P$13))),2),0)</f>
        <v>0</v>
      </c>
      <c r="Q24" s="543" cm="1">
        <f t="array" aca="1" ref="Q24" ca="1">IF(AUTOEVENTO="Manual",ROUND(SUMPRODUCT((CÁLCULO!$M$15:$M$131=EVENTOS!$C24)*(OFFSET(CÁLCULO!$AI$15:$AI$131,0,Q$13))),2),0)</f>
        <v>0</v>
      </c>
      <c r="R24" s="543" cm="1">
        <f t="array" aca="1" ref="R24" ca="1">IF(AUTOEVENTO="Manual",ROUND(SUMPRODUCT((CÁLCULO!$M$15:$M$131=EVENTOS!$C24)*(OFFSET(CÁLCULO!$AI$15:$AI$131,0,R$13))),2),0)</f>
        <v>0</v>
      </c>
      <c r="S24" s="543" cm="1">
        <f t="array" aca="1" ref="S24" ca="1">IF(AUTOEVENTO="Manual",ROUND(SUMPRODUCT((CÁLCULO!$M$15:$M$131=EVENTOS!$C24)*(OFFSET(CÁLCULO!$AI$15:$AI$131,0,S$13))),2),0)</f>
        <v>0</v>
      </c>
      <c r="T24" s="543" cm="1">
        <f t="array" aca="1" ref="T24" ca="1">IF(AUTOEVENTO="Manual",ROUND(SUMPRODUCT((CÁLCULO!$M$15:$M$131=EVENTOS!$C24)*(OFFSET(CÁLCULO!$AI$15:$AI$131,0,T$13))),2),0)</f>
        <v>0</v>
      </c>
      <c r="U24" s="543" cm="1">
        <f t="array" aca="1" ref="U24" ca="1">IF(AUTOEVENTO="Manual",ROUND(SUMPRODUCT((CÁLCULO!$M$15:$M$131=EVENTOS!$C24)*(OFFSET(CÁLCULO!$AI$15:$AI$131,0,U$13))),2),0)</f>
        <v>0</v>
      </c>
      <c r="V24" s="543" cm="1">
        <f t="array" aca="1" ref="V24" ca="1">IF(AUTOEVENTO="Manual",ROUND(SUMPRODUCT((CÁLCULO!$M$15:$M$131=EVENTOS!$C24)*(OFFSET(CÁLCULO!$AI$15:$AI$131,0,V$13))),2),0)</f>
        <v>0</v>
      </c>
      <c r="W24" s="543" cm="1">
        <f t="array" aca="1" ref="W24" ca="1">IF(AUTOEVENTO="Manual",ROUND(SUMPRODUCT((CÁLCULO!$M$15:$M$131=EVENTOS!$C24)*(OFFSET(CÁLCULO!$AI$15:$AI$131,0,W$13))),2),0)</f>
        <v>0</v>
      </c>
      <c r="X24" s="543" cm="1">
        <f t="array" aca="1" ref="X24" ca="1">IF(AUTOEVENTO="Manual",ROUND(SUMPRODUCT((CÁLCULO!$M$15:$M$131=EVENTOS!$C24)*(OFFSET(CÁLCULO!$AI$15:$AI$131,0,X$13))),2),0)</f>
        <v>0</v>
      </c>
      <c r="Y24" s="543" cm="1">
        <f t="array" aca="1" ref="Y24" ca="1">IF(AUTOEVENTO="Manual",ROUND(SUMPRODUCT((CÁLCULO!$M$15:$M$131=EVENTOS!$C24)*(OFFSET(CÁLCULO!$AI$15:$AI$131,0,Y$13))),2),0)</f>
        <v>0</v>
      </c>
    </row>
    <row r="25" spans="1:25" x14ac:dyDescent="0.2">
      <c r="A25" s="546" t="str">
        <f t="shared" si="3"/>
        <v/>
      </c>
      <c r="B25" t="str">
        <f t="shared" ca="1" si="4"/>
        <v/>
      </c>
      <c r="C25" s="191" t="str" cm="1">
        <f t="array" aca="1" ref="C25" ca="1">IF(OR(ROW(C25)=ROW(EVENTOS.firstrow)+1,AND(OFFSET(C25,-1,0)&lt;&gt;" ",OFFSET(C25,-1,1)&lt;&gt;"")),OFFSET(C25,-1,0)+1," ")</f>
        <v xml:space="preserve"> </v>
      </c>
      <c r="D25" s="532"/>
      <c r="E25" s="543" cm="1">
        <f t="array" aca="1" ref="E25" ca="1">IF(AUTOEVENTO="Manual",ROUND(SUMPRODUCT((CÁLCULO!$M$15:$M$131=EVENTOS!$C25)*(OFFSET(CÁLCULO!$AI$15:$AI$131,0,E$13))),2),0)</f>
        <v>0</v>
      </c>
      <c r="F25" s="192">
        <f ca="1">IF(AUTOEVENTO="Manual",ROUND(SUMPRODUCT((CÁLCULO!$M$15:$M$131=EVENTOS!$C25)*(OFFSET(CÁLCULO!$AI$15,0,1):OFFSET(CÁLCULO!$BB$131,0,-1))),2),0)</f>
        <v>0</v>
      </c>
      <c r="G25" s="627" t="str">
        <f ca="1">IF(AND(D25=0,F25&gt;0),"NOME",
 IF(AND(D25&lt;&gt;0,$F$14&gt;0,F25=0),"VALOR",
 IF(AND(Import.TipoArredondamento="TransfereGOV",$A25="F",LEN(D25)&gt;100),"Nome &gt;100","")))</f>
        <v/>
      </c>
      <c r="H25" s="543" cm="1">
        <f t="array" aca="1" ref="H25" ca="1">IF(AUTOEVENTO="Manual",ROUND(SUMPRODUCT((CÁLCULO!$M$15:$M$131=EVENTOS!$C25)*(OFFSET(CÁLCULO!$AI$15:$AI$131,0,H$13))),2),0)</f>
        <v>0</v>
      </c>
      <c r="I25" s="543" cm="1">
        <f t="array" aca="1" ref="I25" ca="1">IF(AUTOEVENTO="Manual",ROUND(SUMPRODUCT((CÁLCULO!$M$15:$M$131=EVENTOS!$C25)*(OFFSET(CÁLCULO!$AI$15:$AI$131,0,I$13))),2),0)</f>
        <v>0</v>
      </c>
      <c r="J25" s="543" cm="1">
        <f t="array" aca="1" ref="J25" ca="1">IF(AUTOEVENTO="Manual",ROUND(SUMPRODUCT((CÁLCULO!$M$15:$M$131=EVENTOS!$C25)*(OFFSET(CÁLCULO!$AI$15:$AI$131,0,J$13))),2),0)</f>
        <v>0</v>
      </c>
      <c r="K25" s="543" cm="1">
        <f t="array" aca="1" ref="K25" ca="1">IF(AUTOEVENTO="Manual",ROUND(SUMPRODUCT((CÁLCULO!$M$15:$M$131=EVENTOS!$C25)*(OFFSET(CÁLCULO!$AI$15:$AI$131,0,K$13))),2),0)</f>
        <v>0</v>
      </c>
      <c r="L25" s="543" cm="1">
        <f t="array" aca="1" ref="L25" ca="1">IF(AUTOEVENTO="Manual",ROUND(SUMPRODUCT((CÁLCULO!$M$15:$M$131=EVENTOS!$C25)*(OFFSET(CÁLCULO!$AI$15:$AI$131,0,L$13))),2),0)</f>
        <v>0</v>
      </c>
      <c r="M25" s="543" cm="1">
        <f t="array" aca="1" ref="M25" ca="1">IF(AUTOEVENTO="Manual",ROUND(SUMPRODUCT((CÁLCULO!$M$15:$M$131=EVENTOS!$C25)*(OFFSET(CÁLCULO!$AI$15:$AI$131,0,M$13))),2),0)</f>
        <v>0</v>
      </c>
      <c r="N25" s="543" cm="1">
        <f t="array" aca="1" ref="N25" ca="1">IF(AUTOEVENTO="Manual",ROUND(SUMPRODUCT((CÁLCULO!$M$15:$M$131=EVENTOS!$C25)*(OFFSET(CÁLCULO!$AI$15:$AI$131,0,N$13))),2),0)</f>
        <v>0</v>
      </c>
      <c r="O25" s="543" cm="1">
        <f t="array" aca="1" ref="O25" ca="1">IF(AUTOEVENTO="Manual",ROUND(SUMPRODUCT((CÁLCULO!$M$15:$M$131=EVENTOS!$C25)*(OFFSET(CÁLCULO!$AI$15:$AI$131,0,O$13))),2),0)</f>
        <v>0</v>
      </c>
      <c r="P25" s="543" cm="1">
        <f t="array" aca="1" ref="P25" ca="1">IF(AUTOEVENTO="Manual",ROUND(SUMPRODUCT((CÁLCULO!$M$15:$M$131=EVENTOS!$C25)*(OFFSET(CÁLCULO!$AI$15:$AI$131,0,P$13))),2),0)</f>
        <v>0</v>
      </c>
      <c r="Q25" s="543" cm="1">
        <f t="array" aca="1" ref="Q25" ca="1">IF(AUTOEVENTO="Manual",ROUND(SUMPRODUCT((CÁLCULO!$M$15:$M$131=EVENTOS!$C25)*(OFFSET(CÁLCULO!$AI$15:$AI$131,0,Q$13))),2),0)</f>
        <v>0</v>
      </c>
      <c r="R25" s="543" cm="1">
        <f t="array" aca="1" ref="R25" ca="1">IF(AUTOEVENTO="Manual",ROUND(SUMPRODUCT((CÁLCULO!$M$15:$M$131=EVENTOS!$C25)*(OFFSET(CÁLCULO!$AI$15:$AI$131,0,R$13))),2),0)</f>
        <v>0</v>
      </c>
      <c r="S25" s="543" cm="1">
        <f t="array" aca="1" ref="S25" ca="1">IF(AUTOEVENTO="Manual",ROUND(SUMPRODUCT((CÁLCULO!$M$15:$M$131=EVENTOS!$C25)*(OFFSET(CÁLCULO!$AI$15:$AI$131,0,S$13))),2),0)</f>
        <v>0</v>
      </c>
      <c r="T25" s="543" cm="1">
        <f t="array" aca="1" ref="T25" ca="1">IF(AUTOEVENTO="Manual",ROUND(SUMPRODUCT((CÁLCULO!$M$15:$M$131=EVENTOS!$C25)*(OFFSET(CÁLCULO!$AI$15:$AI$131,0,T$13))),2),0)</f>
        <v>0</v>
      </c>
      <c r="U25" s="543" cm="1">
        <f t="array" aca="1" ref="U25" ca="1">IF(AUTOEVENTO="Manual",ROUND(SUMPRODUCT((CÁLCULO!$M$15:$M$131=EVENTOS!$C25)*(OFFSET(CÁLCULO!$AI$15:$AI$131,0,U$13))),2),0)</f>
        <v>0</v>
      </c>
      <c r="V25" s="543" cm="1">
        <f t="array" aca="1" ref="V25" ca="1">IF(AUTOEVENTO="Manual",ROUND(SUMPRODUCT((CÁLCULO!$M$15:$M$131=EVENTOS!$C25)*(OFFSET(CÁLCULO!$AI$15:$AI$131,0,V$13))),2),0)</f>
        <v>0</v>
      </c>
      <c r="W25" s="543" cm="1">
        <f t="array" aca="1" ref="W25" ca="1">IF(AUTOEVENTO="Manual",ROUND(SUMPRODUCT((CÁLCULO!$M$15:$M$131=EVENTOS!$C25)*(OFFSET(CÁLCULO!$AI$15:$AI$131,0,W$13))),2),0)</f>
        <v>0</v>
      </c>
      <c r="X25" s="543" cm="1">
        <f t="array" aca="1" ref="X25" ca="1">IF(AUTOEVENTO="Manual",ROUND(SUMPRODUCT((CÁLCULO!$M$15:$M$131=EVENTOS!$C25)*(OFFSET(CÁLCULO!$AI$15:$AI$131,0,X$13))),2),0)</f>
        <v>0</v>
      </c>
      <c r="Y25" s="543" cm="1">
        <f t="array" aca="1" ref="Y25" ca="1">IF(AUTOEVENTO="Manual",ROUND(SUMPRODUCT((CÁLCULO!$M$15:$M$131=EVENTOS!$C25)*(OFFSET(CÁLCULO!$AI$15:$AI$131,0,Y$13))),2),0)</f>
        <v>0</v>
      </c>
    </row>
    <row r="26" spans="1:25" x14ac:dyDescent="0.2">
      <c r="A26" s="546" t="str">
        <f t="shared" si="3"/>
        <v/>
      </c>
      <c r="B26" t="str">
        <f t="shared" ca="1" si="4"/>
        <v/>
      </c>
      <c r="C26" s="191" t="str" cm="1">
        <f t="array" aca="1" ref="C26" ca="1">IF(OR(ROW(C26)=ROW(EVENTOS.firstrow)+1,AND(OFFSET(C26,-1,0)&lt;&gt;" ",OFFSET(C26,-1,1)&lt;&gt;"")),OFFSET(C26,-1,0)+1," ")</f>
        <v xml:space="preserve"> </v>
      </c>
      <c r="D26" s="532"/>
      <c r="E26" s="543" cm="1">
        <f t="array" aca="1" ref="E26" ca="1">IF(AUTOEVENTO="Manual",ROUND(SUMPRODUCT((CÁLCULO!$M$15:$M$131=EVENTOS!$C26)*(OFFSET(CÁLCULO!$AI$15:$AI$131,0,E$13))),2),0)</f>
        <v>0</v>
      </c>
      <c r="F26" s="192">
        <f ca="1">IF(AUTOEVENTO="Manual",ROUND(SUMPRODUCT((CÁLCULO!$M$15:$M$131=EVENTOS!$C26)*(OFFSET(CÁLCULO!$AI$15,0,1):OFFSET(CÁLCULO!$BB$131,0,-1))),2),0)</f>
        <v>0</v>
      </c>
      <c r="G26" s="627" t="str">
        <f ca="1">IF(AND(D26=0,F26&gt;0),"NOME",
 IF(AND(D26&lt;&gt;0,$F$14&gt;0,F26=0),"VALOR",
 IF(AND(Import.TipoArredondamento="TransfereGOV",$A26="F",LEN(D26)&gt;100),"Nome &gt;100","")))</f>
        <v/>
      </c>
      <c r="H26" s="543" cm="1">
        <f t="array" aca="1" ref="H26" ca="1">IF(AUTOEVENTO="Manual",ROUND(SUMPRODUCT((CÁLCULO!$M$15:$M$131=EVENTOS!$C26)*(OFFSET(CÁLCULO!$AI$15:$AI$131,0,H$13))),2),0)</f>
        <v>0</v>
      </c>
      <c r="I26" s="543" cm="1">
        <f t="array" aca="1" ref="I26" ca="1">IF(AUTOEVENTO="Manual",ROUND(SUMPRODUCT((CÁLCULO!$M$15:$M$131=EVENTOS!$C26)*(OFFSET(CÁLCULO!$AI$15:$AI$131,0,I$13))),2),0)</f>
        <v>0</v>
      </c>
      <c r="J26" s="543" cm="1">
        <f t="array" aca="1" ref="J26" ca="1">IF(AUTOEVENTO="Manual",ROUND(SUMPRODUCT((CÁLCULO!$M$15:$M$131=EVENTOS!$C26)*(OFFSET(CÁLCULO!$AI$15:$AI$131,0,J$13))),2),0)</f>
        <v>0</v>
      </c>
      <c r="K26" s="543" cm="1">
        <f t="array" aca="1" ref="K26" ca="1">IF(AUTOEVENTO="Manual",ROUND(SUMPRODUCT((CÁLCULO!$M$15:$M$131=EVENTOS!$C26)*(OFFSET(CÁLCULO!$AI$15:$AI$131,0,K$13))),2),0)</f>
        <v>0</v>
      </c>
      <c r="L26" s="543" cm="1">
        <f t="array" aca="1" ref="L26" ca="1">IF(AUTOEVENTO="Manual",ROUND(SUMPRODUCT((CÁLCULO!$M$15:$M$131=EVENTOS!$C26)*(OFFSET(CÁLCULO!$AI$15:$AI$131,0,L$13))),2),0)</f>
        <v>0</v>
      </c>
      <c r="M26" s="543" cm="1">
        <f t="array" aca="1" ref="M26" ca="1">IF(AUTOEVENTO="Manual",ROUND(SUMPRODUCT((CÁLCULO!$M$15:$M$131=EVENTOS!$C26)*(OFFSET(CÁLCULO!$AI$15:$AI$131,0,M$13))),2),0)</f>
        <v>0</v>
      </c>
      <c r="N26" s="543" cm="1">
        <f t="array" aca="1" ref="N26" ca="1">IF(AUTOEVENTO="Manual",ROUND(SUMPRODUCT((CÁLCULO!$M$15:$M$131=EVENTOS!$C26)*(OFFSET(CÁLCULO!$AI$15:$AI$131,0,N$13))),2),0)</f>
        <v>0</v>
      </c>
      <c r="O26" s="543" cm="1">
        <f t="array" aca="1" ref="O26" ca="1">IF(AUTOEVENTO="Manual",ROUND(SUMPRODUCT((CÁLCULO!$M$15:$M$131=EVENTOS!$C26)*(OFFSET(CÁLCULO!$AI$15:$AI$131,0,O$13))),2),0)</f>
        <v>0</v>
      </c>
      <c r="P26" s="543" cm="1">
        <f t="array" aca="1" ref="P26" ca="1">IF(AUTOEVENTO="Manual",ROUND(SUMPRODUCT((CÁLCULO!$M$15:$M$131=EVENTOS!$C26)*(OFFSET(CÁLCULO!$AI$15:$AI$131,0,P$13))),2),0)</f>
        <v>0</v>
      </c>
      <c r="Q26" s="543" cm="1">
        <f t="array" aca="1" ref="Q26" ca="1">IF(AUTOEVENTO="Manual",ROUND(SUMPRODUCT((CÁLCULO!$M$15:$M$131=EVENTOS!$C26)*(OFFSET(CÁLCULO!$AI$15:$AI$131,0,Q$13))),2),0)</f>
        <v>0</v>
      </c>
      <c r="R26" s="543" cm="1">
        <f t="array" aca="1" ref="R26" ca="1">IF(AUTOEVENTO="Manual",ROUND(SUMPRODUCT((CÁLCULO!$M$15:$M$131=EVENTOS!$C26)*(OFFSET(CÁLCULO!$AI$15:$AI$131,0,R$13))),2),0)</f>
        <v>0</v>
      </c>
      <c r="S26" s="543" cm="1">
        <f t="array" aca="1" ref="S26" ca="1">IF(AUTOEVENTO="Manual",ROUND(SUMPRODUCT((CÁLCULO!$M$15:$M$131=EVENTOS!$C26)*(OFFSET(CÁLCULO!$AI$15:$AI$131,0,S$13))),2),0)</f>
        <v>0</v>
      </c>
      <c r="T26" s="543" cm="1">
        <f t="array" aca="1" ref="T26" ca="1">IF(AUTOEVENTO="Manual",ROUND(SUMPRODUCT((CÁLCULO!$M$15:$M$131=EVENTOS!$C26)*(OFFSET(CÁLCULO!$AI$15:$AI$131,0,T$13))),2),0)</f>
        <v>0</v>
      </c>
      <c r="U26" s="543" cm="1">
        <f t="array" aca="1" ref="U26" ca="1">IF(AUTOEVENTO="Manual",ROUND(SUMPRODUCT((CÁLCULO!$M$15:$M$131=EVENTOS!$C26)*(OFFSET(CÁLCULO!$AI$15:$AI$131,0,U$13))),2),0)</f>
        <v>0</v>
      </c>
      <c r="V26" s="543" cm="1">
        <f t="array" aca="1" ref="V26" ca="1">IF(AUTOEVENTO="Manual",ROUND(SUMPRODUCT((CÁLCULO!$M$15:$M$131=EVENTOS!$C26)*(OFFSET(CÁLCULO!$AI$15:$AI$131,0,V$13))),2),0)</f>
        <v>0</v>
      </c>
      <c r="W26" s="543" cm="1">
        <f t="array" aca="1" ref="W26" ca="1">IF(AUTOEVENTO="Manual",ROUND(SUMPRODUCT((CÁLCULO!$M$15:$M$131=EVENTOS!$C26)*(OFFSET(CÁLCULO!$AI$15:$AI$131,0,W$13))),2),0)</f>
        <v>0</v>
      </c>
      <c r="X26" s="543" cm="1">
        <f t="array" aca="1" ref="X26" ca="1">IF(AUTOEVENTO="Manual",ROUND(SUMPRODUCT((CÁLCULO!$M$15:$M$131=EVENTOS!$C26)*(OFFSET(CÁLCULO!$AI$15:$AI$131,0,X$13))),2),0)</f>
        <v>0</v>
      </c>
      <c r="Y26" s="543" cm="1">
        <f t="array" aca="1" ref="Y26" ca="1">IF(AUTOEVENTO="Manual",ROUND(SUMPRODUCT((CÁLCULO!$M$15:$M$131=EVENTOS!$C26)*(OFFSET(CÁLCULO!$AI$15:$AI$131,0,Y$13))),2),0)</f>
        <v>0</v>
      </c>
    </row>
    <row r="27" spans="1:25" x14ac:dyDescent="0.2">
      <c r="A27" s="546" t="str">
        <f t="shared" si="3"/>
        <v/>
      </c>
      <c r="B27" t="str">
        <f t="shared" ca="1" si="4"/>
        <v/>
      </c>
      <c r="C27" s="191" t="str" cm="1">
        <f t="array" aca="1" ref="C27" ca="1">IF(OR(ROW(C27)=ROW(EVENTOS.firstrow)+1,AND(OFFSET(C27,-1,0)&lt;&gt;" ",OFFSET(C27,-1,1)&lt;&gt;"")),OFFSET(C27,-1,0)+1," ")</f>
        <v xml:space="preserve"> </v>
      </c>
      <c r="D27" s="532"/>
      <c r="E27" s="543" cm="1">
        <f t="array" aca="1" ref="E27" ca="1">IF(AUTOEVENTO="Manual",ROUND(SUMPRODUCT((CÁLCULO!$M$15:$M$131=EVENTOS!$C27)*(OFFSET(CÁLCULO!$AI$15:$AI$131,0,E$13))),2),0)</f>
        <v>0</v>
      </c>
      <c r="F27" s="192">
        <f ca="1">IF(AUTOEVENTO="Manual",ROUND(SUMPRODUCT((CÁLCULO!$M$15:$M$131=EVENTOS!$C27)*(OFFSET(CÁLCULO!$AI$15,0,1):OFFSET(CÁLCULO!$BB$131,0,-1))),2),0)</f>
        <v>0</v>
      </c>
      <c r="G27" s="627" t="str">
        <f ca="1">IF(AND(D27=0,F27&gt;0),"NOME",
 IF(AND(D27&lt;&gt;0,$F$14&gt;0,F27=0),"VALOR",
 IF(AND(Import.TipoArredondamento="TransfereGOV",$A27="F",LEN(D27)&gt;100),"Nome &gt;100","")))</f>
        <v/>
      </c>
      <c r="H27" s="543" cm="1">
        <f t="array" aca="1" ref="H27" ca="1">IF(AUTOEVENTO="Manual",ROUND(SUMPRODUCT((CÁLCULO!$M$15:$M$131=EVENTOS!$C27)*(OFFSET(CÁLCULO!$AI$15:$AI$131,0,H$13))),2),0)</f>
        <v>0</v>
      </c>
      <c r="I27" s="543" cm="1">
        <f t="array" aca="1" ref="I27" ca="1">IF(AUTOEVENTO="Manual",ROUND(SUMPRODUCT((CÁLCULO!$M$15:$M$131=EVENTOS!$C27)*(OFFSET(CÁLCULO!$AI$15:$AI$131,0,I$13))),2),0)</f>
        <v>0</v>
      </c>
      <c r="J27" s="543" cm="1">
        <f t="array" aca="1" ref="J27" ca="1">IF(AUTOEVENTO="Manual",ROUND(SUMPRODUCT((CÁLCULO!$M$15:$M$131=EVENTOS!$C27)*(OFFSET(CÁLCULO!$AI$15:$AI$131,0,J$13))),2),0)</f>
        <v>0</v>
      </c>
      <c r="K27" s="543" cm="1">
        <f t="array" aca="1" ref="K27" ca="1">IF(AUTOEVENTO="Manual",ROUND(SUMPRODUCT((CÁLCULO!$M$15:$M$131=EVENTOS!$C27)*(OFFSET(CÁLCULO!$AI$15:$AI$131,0,K$13))),2),0)</f>
        <v>0</v>
      </c>
      <c r="L27" s="543" cm="1">
        <f t="array" aca="1" ref="L27" ca="1">IF(AUTOEVENTO="Manual",ROUND(SUMPRODUCT((CÁLCULO!$M$15:$M$131=EVENTOS!$C27)*(OFFSET(CÁLCULO!$AI$15:$AI$131,0,L$13))),2),0)</f>
        <v>0</v>
      </c>
      <c r="M27" s="543" cm="1">
        <f t="array" aca="1" ref="M27" ca="1">IF(AUTOEVENTO="Manual",ROUND(SUMPRODUCT((CÁLCULO!$M$15:$M$131=EVENTOS!$C27)*(OFFSET(CÁLCULO!$AI$15:$AI$131,0,M$13))),2),0)</f>
        <v>0</v>
      </c>
      <c r="N27" s="543" cm="1">
        <f t="array" aca="1" ref="N27" ca="1">IF(AUTOEVENTO="Manual",ROUND(SUMPRODUCT((CÁLCULO!$M$15:$M$131=EVENTOS!$C27)*(OFFSET(CÁLCULO!$AI$15:$AI$131,0,N$13))),2),0)</f>
        <v>0</v>
      </c>
      <c r="O27" s="543" cm="1">
        <f t="array" aca="1" ref="O27" ca="1">IF(AUTOEVENTO="Manual",ROUND(SUMPRODUCT((CÁLCULO!$M$15:$M$131=EVENTOS!$C27)*(OFFSET(CÁLCULO!$AI$15:$AI$131,0,O$13))),2),0)</f>
        <v>0</v>
      </c>
      <c r="P27" s="543" cm="1">
        <f t="array" aca="1" ref="P27" ca="1">IF(AUTOEVENTO="Manual",ROUND(SUMPRODUCT((CÁLCULO!$M$15:$M$131=EVENTOS!$C27)*(OFFSET(CÁLCULO!$AI$15:$AI$131,0,P$13))),2),0)</f>
        <v>0</v>
      </c>
      <c r="Q27" s="543" cm="1">
        <f t="array" aca="1" ref="Q27" ca="1">IF(AUTOEVENTO="Manual",ROUND(SUMPRODUCT((CÁLCULO!$M$15:$M$131=EVENTOS!$C27)*(OFFSET(CÁLCULO!$AI$15:$AI$131,0,Q$13))),2),0)</f>
        <v>0</v>
      </c>
      <c r="R27" s="543" cm="1">
        <f t="array" aca="1" ref="R27" ca="1">IF(AUTOEVENTO="Manual",ROUND(SUMPRODUCT((CÁLCULO!$M$15:$M$131=EVENTOS!$C27)*(OFFSET(CÁLCULO!$AI$15:$AI$131,0,R$13))),2),0)</f>
        <v>0</v>
      </c>
      <c r="S27" s="543" cm="1">
        <f t="array" aca="1" ref="S27" ca="1">IF(AUTOEVENTO="Manual",ROUND(SUMPRODUCT((CÁLCULO!$M$15:$M$131=EVENTOS!$C27)*(OFFSET(CÁLCULO!$AI$15:$AI$131,0,S$13))),2),0)</f>
        <v>0</v>
      </c>
      <c r="T27" s="543" cm="1">
        <f t="array" aca="1" ref="T27" ca="1">IF(AUTOEVENTO="Manual",ROUND(SUMPRODUCT((CÁLCULO!$M$15:$M$131=EVENTOS!$C27)*(OFFSET(CÁLCULO!$AI$15:$AI$131,0,T$13))),2),0)</f>
        <v>0</v>
      </c>
      <c r="U27" s="543" cm="1">
        <f t="array" aca="1" ref="U27" ca="1">IF(AUTOEVENTO="Manual",ROUND(SUMPRODUCT((CÁLCULO!$M$15:$M$131=EVENTOS!$C27)*(OFFSET(CÁLCULO!$AI$15:$AI$131,0,U$13))),2),0)</f>
        <v>0</v>
      </c>
      <c r="V27" s="543" cm="1">
        <f t="array" aca="1" ref="V27" ca="1">IF(AUTOEVENTO="Manual",ROUND(SUMPRODUCT((CÁLCULO!$M$15:$M$131=EVENTOS!$C27)*(OFFSET(CÁLCULO!$AI$15:$AI$131,0,V$13))),2),0)</f>
        <v>0</v>
      </c>
      <c r="W27" s="543" cm="1">
        <f t="array" aca="1" ref="W27" ca="1">IF(AUTOEVENTO="Manual",ROUND(SUMPRODUCT((CÁLCULO!$M$15:$M$131=EVENTOS!$C27)*(OFFSET(CÁLCULO!$AI$15:$AI$131,0,W$13))),2),0)</f>
        <v>0</v>
      </c>
      <c r="X27" s="543" cm="1">
        <f t="array" aca="1" ref="X27" ca="1">IF(AUTOEVENTO="Manual",ROUND(SUMPRODUCT((CÁLCULO!$M$15:$M$131=EVENTOS!$C27)*(OFFSET(CÁLCULO!$AI$15:$AI$131,0,X$13))),2),0)</f>
        <v>0</v>
      </c>
      <c r="Y27" s="543" cm="1">
        <f t="array" aca="1" ref="Y27" ca="1">IF(AUTOEVENTO="Manual",ROUND(SUMPRODUCT((CÁLCULO!$M$15:$M$131=EVENTOS!$C27)*(OFFSET(CÁLCULO!$AI$15:$AI$131,0,Y$13))),2),0)</f>
        <v>0</v>
      </c>
    </row>
    <row r="28" spans="1:25" x14ac:dyDescent="0.2">
      <c r="A28" s="546" t="str">
        <f t="shared" si="3"/>
        <v/>
      </c>
      <c r="B28" t="str">
        <f t="shared" ca="1" si="4"/>
        <v/>
      </c>
      <c r="C28" s="191" t="str" cm="1">
        <f t="array" aca="1" ref="C28" ca="1">IF(OR(ROW(C28)=ROW(EVENTOS.firstrow)+1,AND(OFFSET(C28,-1,0)&lt;&gt;" ",OFFSET(C28,-1,1)&lt;&gt;"")),OFFSET(C28,-1,0)+1," ")</f>
        <v xml:space="preserve"> </v>
      </c>
      <c r="D28" s="532"/>
      <c r="E28" s="543" cm="1">
        <f t="array" aca="1" ref="E28" ca="1">IF(AUTOEVENTO="Manual",ROUND(SUMPRODUCT((CÁLCULO!$M$15:$M$131=EVENTOS!$C28)*(OFFSET(CÁLCULO!$AI$15:$AI$131,0,E$13))),2),0)</f>
        <v>0</v>
      </c>
      <c r="F28" s="192">
        <f ca="1">IF(AUTOEVENTO="Manual",ROUND(SUMPRODUCT((CÁLCULO!$M$15:$M$131=EVENTOS!$C28)*(OFFSET(CÁLCULO!$AI$15,0,1):OFFSET(CÁLCULO!$BB$131,0,-1))),2),0)</f>
        <v>0</v>
      </c>
      <c r="G28" s="627" t="str">
        <f ca="1">IF(AND(D28=0,F28&gt;0),"NOME",
 IF(AND(D28&lt;&gt;0,$F$14&gt;0,F28=0),"VALOR",
 IF(AND(Import.TipoArredondamento="TransfereGOV",$A28="F",LEN(D28)&gt;100),"Nome &gt;100","")))</f>
        <v/>
      </c>
      <c r="H28" s="543" cm="1">
        <f t="array" aca="1" ref="H28" ca="1">IF(AUTOEVENTO="Manual",ROUND(SUMPRODUCT((CÁLCULO!$M$15:$M$131=EVENTOS!$C28)*(OFFSET(CÁLCULO!$AI$15:$AI$131,0,H$13))),2),0)</f>
        <v>0</v>
      </c>
      <c r="I28" s="543" cm="1">
        <f t="array" aca="1" ref="I28" ca="1">IF(AUTOEVENTO="Manual",ROUND(SUMPRODUCT((CÁLCULO!$M$15:$M$131=EVENTOS!$C28)*(OFFSET(CÁLCULO!$AI$15:$AI$131,0,I$13))),2),0)</f>
        <v>0</v>
      </c>
      <c r="J28" s="543" cm="1">
        <f t="array" aca="1" ref="J28" ca="1">IF(AUTOEVENTO="Manual",ROUND(SUMPRODUCT((CÁLCULO!$M$15:$M$131=EVENTOS!$C28)*(OFFSET(CÁLCULO!$AI$15:$AI$131,0,J$13))),2),0)</f>
        <v>0</v>
      </c>
      <c r="K28" s="543" cm="1">
        <f t="array" aca="1" ref="K28" ca="1">IF(AUTOEVENTO="Manual",ROUND(SUMPRODUCT((CÁLCULO!$M$15:$M$131=EVENTOS!$C28)*(OFFSET(CÁLCULO!$AI$15:$AI$131,0,K$13))),2),0)</f>
        <v>0</v>
      </c>
      <c r="L28" s="543" cm="1">
        <f t="array" aca="1" ref="L28" ca="1">IF(AUTOEVENTO="Manual",ROUND(SUMPRODUCT((CÁLCULO!$M$15:$M$131=EVENTOS!$C28)*(OFFSET(CÁLCULO!$AI$15:$AI$131,0,L$13))),2),0)</f>
        <v>0</v>
      </c>
      <c r="M28" s="543" cm="1">
        <f t="array" aca="1" ref="M28" ca="1">IF(AUTOEVENTO="Manual",ROUND(SUMPRODUCT((CÁLCULO!$M$15:$M$131=EVENTOS!$C28)*(OFFSET(CÁLCULO!$AI$15:$AI$131,0,M$13))),2),0)</f>
        <v>0</v>
      </c>
      <c r="N28" s="543" cm="1">
        <f t="array" aca="1" ref="N28" ca="1">IF(AUTOEVENTO="Manual",ROUND(SUMPRODUCT((CÁLCULO!$M$15:$M$131=EVENTOS!$C28)*(OFFSET(CÁLCULO!$AI$15:$AI$131,0,N$13))),2),0)</f>
        <v>0</v>
      </c>
      <c r="O28" s="543" cm="1">
        <f t="array" aca="1" ref="O28" ca="1">IF(AUTOEVENTO="Manual",ROUND(SUMPRODUCT((CÁLCULO!$M$15:$M$131=EVENTOS!$C28)*(OFFSET(CÁLCULO!$AI$15:$AI$131,0,O$13))),2),0)</f>
        <v>0</v>
      </c>
      <c r="P28" s="543" cm="1">
        <f t="array" aca="1" ref="P28" ca="1">IF(AUTOEVENTO="Manual",ROUND(SUMPRODUCT((CÁLCULO!$M$15:$M$131=EVENTOS!$C28)*(OFFSET(CÁLCULO!$AI$15:$AI$131,0,P$13))),2),0)</f>
        <v>0</v>
      </c>
      <c r="Q28" s="543" cm="1">
        <f t="array" aca="1" ref="Q28" ca="1">IF(AUTOEVENTO="Manual",ROUND(SUMPRODUCT((CÁLCULO!$M$15:$M$131=EVENTOS!$C28)*(OFFSET(CÁLCULO!$AI$15:$AI$131,0,Q$13))),2),0)</f>
        <v>0</v>
      </c>
      <c r="R28" s="543" cm="1">
        <f t="array" aca="1" ref="R28" ca="1">IF(AUTOEVENTO="Manual",ROUND(SUMPRODUCT((CÁLCULO!$M$15:$M$131=EVENTOS!$C28)*(OFFSET(CÁLCULO!$AI$15:$AI$131,0,R$13))),2),0)</f>
        <v>0</v>
      </c>
      <c r="S28" s="543" cm="1">
        <f t="array" aca="1" ref="S28" ca="1">IF(AUTOEVENTO="Manual",ROUND(SUMPRODUCT((CÁLCULO!$M$15:$M$131=EVENTOS!$C28)*(OFFSET(CÁLCULO!$AI$15:$AI$131,0,S$13))),2),0)</f>
        <v>0</v>
      </c>
      <c r="T28" s="543" cm="1">
        <f t="array" aca="1" ref="T28" ca="1">IF(AUTOEVENTO="Manual",ROUND(SUMPRODUCT((CÁLCULO!$M$15:$M$131=EVENTOS!$C28)*(OFFSET(CÁLCULO!$AI$15:$AI$131,0,T$13))),2),0)</f>
        <v>0</v>
      </c>
      <c r="U28" s="543" cm="1">
        <f t="array" aca="1" ref="U28" ca="1">IF(AUTOEVENTO="Manual",ROUND(SUMPRODUCT((CÁLCULO!$M$15:$M$131=EVENTOS!$C28)*(OFFSET(CÁLCULO!$AI$15:$AI$131,0,U$13))),2),0)</f>
        <v>0</v>
      </c>
      <c r="V28" s="543" cm="1">
        <f t="array" aca="1" ref="V28" ca="1">IF(AUTOEVENTO="Manual",ROUND(SUMPRODUCT((CÁLCULO!$M$15:$M$131=EVENTOS!$C28)*(OFFSET(CÁLCULO!$AI$15:$AI$131,0,V$13))),2),0)</f>
        <v>0</v>
      </c>
      <c r="W28" s="543" cm="1">
        <f t="array" aca="1" ref="W28" ca="1">IF(AUTOEVENTO="Manual",ROUND(SUMPRODUCT((CÁLCULO!$M$15:$M$131=EVENTOS!$C28)*(OFFSET(CÁLCULO!$AI$15:$AI$131,0,W$13))),2),0)</f>
        <v>0</v>
      </c>
      <c r="X28" s="543" cm="1">
        <f t="array" aca="1" ref="X28" ca="1">IF(AUTOEVENTO="Manual",ROUND(SUMPRODUCT((CÁLCULO!$M$15:$M$131=EVENTOS!$C28)*(OFFSET(CÁLCULO!$AI$15:$AI$131,0,X$13))),2),0)</f>
        <v>0</v>
      </c>
      <c r="Y28" s="543" cm="1">
        <f t="array" aca="1" ref="Y28" ca="1">IF(AUTOEVENTO="Manual",ROUND(SUMPRODUCT((CÁLCULO!$M$15:$M$131=EVENTOS!$C28)*(OFFSET(CÁLCULO!$AI$15:$AI$131,0,Y$13))),2),0)</f>
        <v>0</v>
      </c>
    </row>
    <row r="29" spans="1:25" x14ac:dyDescent="0.2">
      <c r="A29" s="546" t="str">
        <f t="shared" si="3"/>
        <v/>
      </c>
      <c r="B29" t="str">
        <f t="shared" ca="1" si="4"/>
        <v/>
      </c>
      <c r="C29" s="191" t="str" cm="1">
        <f t="array" aca="1" ref="C29" ca="1">IF(OR(ROW(C29)=ROW(EVENTOS.firstrow)+1,AND(OFFSET(C29,-1,0)&lt;&gt;" ",OFFSET(C29,-1,1)&lt;&gt;"")),OFFSET(C29,-1,0)+1," ")</f>
        <v xml:space="preserve"> </v>
      </c>
      <c r="D29" s="532"/>
      <c r="E29" s="543" cm="1">
        <f t="array" aca="1" ref="E29" ca="1">IF(AUTOEVENTO="Manual",ROUND(SUMPRODUCT((CÁLCULO!$M$15:$M$131=EVENTOS!$C29)*(OFFSET(CÁLCULO!$AI$15:$AI$131,0,E$13))),2),0)</f>
        <v>0</v>
      </c>
      <c r="F29" s="192">
        <f ca="1">IF(AUTOEVENTO="Manual",ROUND(SUMPRODUCT((CÁLCULO!$M$15:$M$131=EVENTOS!$C29)*(OFFSET(CÁLCULO!$AI$15,0,1):OFFSET(CÁLCULO!$BB$131,0,-1))),2),0)</f>
        <v>0</v>
      </c>
      <c r="G29" s="627" t="str">
        <f ca="1">IF(AND(D29=0,F29&gt;0),"NOME",
 IF(AND(D29&lt;&gt;0,$F$14&gt;0,F29=0),"VALOR",
 IF(AND(Import.TipoArredondamento="TransfereGOV",$A29="F",LEN(D29)&gt;100),"Nome &gt;100","")))</f>
        <v/>
      </c>
      <c r="H29" s="543" cm="1">
        <f t="array" aca="1" ref="H29" ca="1">IF(AUTOEVENTO="Manual",ROUND(SUMPRODUCT((CÁLCULO!$M$15:$M$131=EVENTOS!$C29)*(OFFSET(CÁLCULO!$AI$15:$AI$131,0,H$13))),2),0)</f>
        <v>0</v>
      </c>
      <c r="I29" s="543" cm="1">
        <f t="array" aca="1" ref="I29" ca="1">IF(AUTOEVENTO="Manual",ROUND(SUMPRODUCT((CÁLCULO!$M$15:$M$131=EVENTOS!$C29)*(OFFSET(CÁLCULO!$AI$15:$AI$131,0,I$13))),2),0)</f>
        <v>0</v>
      </c>
      <c r="J29" s="543" cm="1">
        <f t="array" aca="1" ref="J29" ca="1">IF(AUTOEVENTO="Manual",ROUND(SUMPRODUCT((CÁLCULO!$M$15:$M$131=EVENTOS!$C29)*(OFFSET(CÁLCULO!$AI$15:$AI$131,0,J$13))),2),0)</f>
        <v>0</v>
      </c>
      <c r="K29" s="543" cm="1">
        <f t="array" aca="1" ref="K29" ca="1">IF(AUTOEVENTO="Manual",ROUND(SUMPRODUCT((CÁLCULO!$M$15:$M$131=EVENTOS!$C29)*(OFFSET(CÁLCULO!$AI$15:$AI$131,0,K$13))),2),0)</f>
        <v>0</v>
      </c>
      <c r="L29" s="543" cm="1">
        <f t="array" aca="1" ref="L29" ca="1">IF(AUTOEVENTO="Manual",ROUND(SUMPRODUCT((CÁLCULO!$M$15:$M$131=EVENTOS!$C29)*(OFFSET(CÁLCULO!$AI$15:$AI$131,0,L$13))),2),0)</f>
        <v>0</v>
      </c>
      <c r="M29" s="543" cm="1">
        <f t="array" aca="1" ref="M29" ca="1">IF(AUTOEVENTO="Manual",ROUND(SUMPRODUCT((CÁLCULO!$M$15:$M$131=EVENTOS!$C29)*(OFFSET(CÁLCULO!$AI$15:$AI$131,0,M$13))),2),0)</f>
        <v>0</v>
      </c>
      <c r="N29" s="543" cm="1">
        <f t="array" aca="1" ref="N29" ca="1">IF(AUTOEVENTO="Manual",ROUND(SUMPRODUCT((CÁLCULO!$M$15:$M$131=EVENTOS!$C29)*(OFFSET(CÁLCULO!$AI$15:$AI$131,0,N$13))),2),0)</f>
        <v>0</v>
      </c>
      <c r="O29" s="543" cm="1">
        <f t="array" aca="1" ref="O29" ca="1">IF(AUTOEVENTO="Manual",ROUND(SUMPRODUCT((CÁLCULO!$M$15:$M$131=EVENTOS!$C29)*(OFFSET(CÁLCULO!$AI$15:$AI$131,0,O$13))),2),0)</f>
        <v>0</v>
      </c>
      <c r="P29" s="543" cm="1">
        <f t="array" aca="1" ref="P29" ca="1">IF(AUTOEVENTO="Manual",ROUND(SUMPRODUCT((CÁLCULO!$M$15:$M$131=EVENTOS!$C29)*(OFFSET(CÁLCULO!$AI$15:$AI$131,0,P$13))),2),0)</f>
        <v>0</v>
      </c>
      <c r="Q29" s="543" cm="1">
        <f t="array" aca="1" ref="Q29" ca="1">IF(AUTOEVENTO="Manual",ROUND(SUMPRODUCT((CÁLCULO!$M$15:$M$131=EVENTOS!$C29)*(OFFSET(CÁLCULO!$AI$15:$AI$131,0,Q$13))),2),0)</f>
        <v>0</v>
      </c>
      <c r="R29" s="543" cm="1">
        <f t="array" aca="1" ref="R29" ca="1">IF(AUTOEVENTO="Manual",ROUND(SUMPRODUCT((CÁLCULO!$M$15:$M$131=EVENTOS!$C29)*(OFFSET(CÁLCULO!$AI$15:$AI$131,0,R$13))),2),0)</f>
        <v>0</v>
      </c>
      <c r="S29" s="543" cm="1">
        <f t="array" aca="1" ref="S29" ca="1">IF(AUTOEVENTO="Manual",ROUND(SUMPRODUCT((CÁLCULO!$M$15:$M$131=EVENTOS!$C29)*(OFFSET(CÁLCULO!$AI$15:$AI$131,0,S$13))),2),0)</f>
        <v>0</v>
      </c>
      <c r="T29" s="543" cm="1">
        <f t="array" aca="1" ref="T29" ca="1">IF(AUTOEVENTO="Manual",ROUND(SUMPRODUCT((CÁLCULO!$M$15:$M$131=EVENTOS!$C29)*(OFFSET(CÁLCULO!$AI$15:$AI$131,0,T$13))),2),0)</f>
        <v>0</v>
      </c>
      <c r="U29" s="543" cm="1">
        <f t="array" aca="1" ref="U29" ca="1">IF(AUTOEVENTO="Manual",ROUND(SUMPRODUCT((CÁLCULO!$M$15:$M$131=EVENTOS!$C29)*(OFFSET(CÁLCULO!$AI$15:$AI$131,0,U$13))),2),0)</f>
        <v>0</v>
      </c>
      <c r="V29" s="543" cm="1">
        <f t="array" aca="1" ref="V29" ca="1">IF(AUTOEVENTO="Manual",ROUND(SUMPRODUCT((CÁLCULO!$M$15:$M$131=EVENTOS!$C29)*(OFFSET(CÁLCULO!$AI$15:$AI$131,0,V$13))),2),0)</f>
        <v>0</v>
      </c>
      <c r="W29" s="543" cm="1">
        <f t="array" aca="1" ref="W29" ca="1">IF(AUTOEVENTO="Manual",ROUND(SUMPRODUCT((CÁLCULO!$M$15:$M$131=EVENTOS!$C29)*(OFFSET(CÁLCULO!$AI$15:$AI$131,0,W$13))),2),0)</f>
        <v>0</v>
      </c>
      <c r="X29" s="543" cm="1">
        <f t="array" aca="1" ref="X29" ca="1">IF(AUTOEVENTO="Manual",ROUND(SUMPRODUCT((CÁLCULO!$M$15:$M$131=EVENTOS!$C29)*(OFFSET(CÁLCULO!$AI$15:$AI$131,0,X$13))),2),0)</f>
        <v>0</v>
      </c>
      <c r="Y29" s="543" cm="1">
        <f t="array" aca="1" ref="Y29" ca="1">IF(AUTOEVENTO="Manual",ROUND(SUMPRODUCT((CÁLCULO!$M$15:$M$131=EVENTOS!$C29)*(OFFSET(CÁLCULO!$AI$15:$AI$131,0,Y$13))),2),0)</f>
        <v>0</v>
      </c>
    </row>
    <row r="30" spans="1:25" x14ac:dyDescent="0.2">
      <c r="A30" s="546" t="str">
        <f t="shared" si="3"/>
        <v/>
      </c>
      <c r="B30" t="str">
        <f t="shared" ca="1" si="4"/>
        <v/>
      </c>
      <c r="C30" s="191" t="str" cm="1">
        <f t="array" aca="1" ref="C30" ca="1">IF(OR(ROW(C30)=ROW(EVENTOS.firstrow)+1,AND(OFFSET(C30,-1,0)&lt;&gt;" ",OFFSET(C30,-1,1)&lt;&gt;"")),OFFSET(C30,-1,0)+1," ")</f>
        <v xml:space="preserve"> </v>
      </c>
      <c r="D30" s="532"/>
      <c r="E30" s="543" cm="1">
        <f t="array" aca="1" ref="E30" ca="1">IF(AUTOEVENTO="Manual",ROUND(SUMPRODUCT((CÁLCULO!$M$15:$M$131=EVENTOS!$C30)*(OFFSET(CÁLCULO!$AI$15:$AI$131,0,E$13))),2),0)</f>
        <v>0</v>
      </c>
      <c r="F30" s="192">
        <f ca="1">IF(AUTOEVENTO="Manual",ROUND(SUMPRODUCT((CÁLCULO!$M$15:$M$131=EVENTOS!$C30)*(OFFSET(CÁLCULO!$AI$15,0,1):OFFSET(CÁLCULO!$BB$131,0,-1))),2),0)</f>
        <v>0</v>
      </c>
      <c r="G30" s="627" t="str">
        <f ca="1">IF(AND(D30=0,F30&gt;0),"NOME",
 IF(AND(D30&lt;&gt;0,$F$14&gt;0,F30=0),"VALOR",
 IF(AND(Import.TipoArredondamento="TransfereGOV",$A30="F",LEN(D30)&gt;100),"Nome &gt;100","")))</f>
        <v/>
      </c>
      <c r="H30" s="543" cm="1">
        <f t="array" aca="1" ref="H30" ca="1">IF(AUTOEVENTO="Manual",ROUND(SUMPRODUCT((CÁLCULO!$M$15:$M$131=EVENTOS!$C30)*(OFFSET(CÁLCULO!$AI$15:$AI$131,0,H$13))),2),0)</f>
        <v>0</v>
      </c>
      <c r="I30" s="543" cm="1">
        <f t="array" aca="1" ref="I30" ca="1">IF(AUTOEVENTO="Manual",ROUND(SUMPRODUCT((CÁLCULO!$M$15:$M$131=EVENTOS!$C30)*(OFFSET(CÁLCULO!$AI$15:$AI$131,0,I$13))),2),0)</f>
        <v>0</v>
      </c>
      <c r="J30" s="543" cm="1">
        <f t="array" aca="1" ref="J30" ca="1">IF(AUTOEVENTO="Manual",ROUND(SUMPRODUCT((CÁLCULO!$M$15:$M$131=EVENTOS!$C30)*(OFFSET(CÁLCULO!$AI$15:$AI$131,0,J$13))),2),0)</f>
        <v>0</v>
      </c>
      <c r="K30" s="543" cm="1">
        <f t="array" aca="1" ref="K30" ca="1">IF(AUTOEVENTO="Manual",ROUND(SUMPRODUCT((CÁLCULO!$M$15:$M$131=EVENTOS!$C30)*(OFFSET(CÁLCULO!$AI$15:$AI$131,0,K$13))),2),0)</f>
        <v>0</v>
      </c>
      <c r="L30" s="543" cm="1">
        <f t="array" aca="1" ref="L30" ca="1">IF(AUTOEVENTO="Manual",ROUND(SUMPRODUCT((CÁLCULO!$M$15:$M$131=EVENTOS!$C30)*(OFFSET(CÁLCULO!$AI$15:$AI$131,0,L$13))),2),0)</f>
        <v>0</v>
      </c>
      <c r="M30" s="543" cm="1">
        <f t="array" aca="1" ref="M30" ca="1">IF(AUTOEVENTO="Manual",ROUND(SUMPRODUCT((CÁLCULO!$M$15:$M$131=EVENTOS!$C30)*(OFFSET(CÁLCULO!$AI$15:$AI$131,0,M$13))),2),0)</f>
        <v>0</v>
      </c>
      <c r="N30" s="543" cm="1">
        <f t="array" aca="1" ref="N30" ca="1">IF(AUTOEVENTO="Manual",ROUND(SUMPRODUCT((CÁLCULO!$M$15:$M$131=EVENTOS!$C30)*(OFFSET(CÁLCULO!$AI$15:$AI$131,0,N$13))),2),0)</f>
        <v>0</v>
      </c>
      <c r="O30" s="543" cm="1">
        <f t="array" aca="1" ref="O30" ca="1">IF(AUTOEVENTO="Manual",ROUND(SUMPRODUCT((CÁLCULO!$M$15:$M$131=EVENTOS!$C30)*(OFFSET(CÁLCULO!$AI$15:$AI$131,0,O$13))),2),0)</f>
        <v>0</v>
      </c>
      <c r="P30" s="543" cm="1">
        <f t="array" aca="1" ref="P30" ca="1">IF(AUTOEVENTO="Manual",ROUND(SUMPRODUCT((CÁLCULO!$M$15:$M$131=EVENTOS!$C30)*(OFFSET(CÁLCULO!$AI$15:$AI$131,0,P$13))),2),0)</f>
        <v>0</v>
      </c>
      <c r="Q30" s="543" cm="1">
        <f t="array" aca="1" ref="Q30" ca="1">IF(AUTOEVENTO="Manual",ROUND(SUMPRODUCT((CÁLCULO!$M$15:$M$131=EVENTOS!$C30)*(OFFSET(CÁLCULO!$AI$15:$AI$131,0,Q$13))),2),0)</f>
        <v>0</v>
      </c>
      <c r="R30" s="543" cm="1">
        <f t="array" aca="1" ref="R30" ca="1">IF(AUTOEVENTO="Manual",ROUND(SUMPRODUCT((CÁLCULO!$M$15:$M$131=EVENTOS!$C30)*(OFFSET(CÁLCULO!$AI$15:$AI$131,0,R$13))),2),0)</f>
        <v>0</v>
      </c>
      <c r="S30" s="543" cm="1">
        <f t="array" aca="1" ref="S30" ca="1">IF(AUTOEVENTO="Manual",ROUND(SUMPRODUCT((CÁLCULO!$M$15:$M$131=EVENTOS!$C30)*(OFFSET(CÁLCULO!$AI$15:$AI$131,0,S$13))),2),0)</f>
        <v>0</v>
      </c>
      <c r="T30" s="543" cm="1">
        <f t="array" aca="1" ref="T30" ca="1">IF(AUTOEVENTO="Manual",ROUND(SUMPRODUCT((CÁLCULO!$M$15:$M$131=EVENTOS!$C30)*(OFFSET(CÁLCULO!$AI$15:$AI$131,0,T$13))),2),0)</f>
        <v>0</v>
      </c>
      <c r="U30" s="543" cm="1">
        <f t="array" aca="1" ref="U30" ca="1">IF(AUTOEVENTO="Manual",ROUND(SUMPRODUCT((CÁLCULO!$M$15:$M$131=EVENTOS!$C30)*(OFFSET(CÁLCULO!$AI$15:$AI$131,0,U$13))),2),0)</f>
        <v>0</v>
      </c>
      <c r="V30" s="543" cm="1">
        <f t="array" aca="1" ref="V30" ca="1">IF(AUTOEVENTO="Manual",ROUND(SUMPRODUCT((CÁLCULO!$M$15:$M$131=EVENTOS!$C30)*(OFFSET(CÁLCULO!$AI$15:$AI$131,0,V$13))),2),0)</f>
        <v>0</v>
      </c>
      <c r="W30" s="543" cm="1">
        <f t="array" aca="1" ref="W30" ca="1">IF(AUTOEVENTO="Manual",ROUND(SUMPRODUCT((CÁLCULO!$M$15:$M$131=EVENTOS!$C30)*(OFFSET(CÁLCULO!$AI$15:$AI$131,0,W$13))),2),0)</f>
        <v>0</v>
      </c>
      <c r="X30" s="543" cm="1">
        <f t="array" aca="1" ref="X30" ca="1">IF(AUTOEVENTO="Manual",ROUND(SUMPRODUCT((CÁLCULO!$M$15:$M$131=EVENTOS!$C30)*(OFFSET(CÁLCULO!$AI$15:$AI$131,0,X$13))),2),0)</f>
        <v>0</v>
      </c>
      <c r="Y30" s="543" cm="1">
        <f t="array" aca="1" ref="Y30" ca="1">IF(AUTOEVENTO="Manual",ROUND(SUMPRODUCT((CÁLCULO!$M$15:$M$131=EVENTOS!$C30)*(OFFSET(CÁLCULO!$AI$15:$AI$131,0,Y$13))),2),0)</f>
        <v>0</v>
      </c>
    </row>
    <row r="31" spans="1:25" x14ac:dyDescent="0.2">
      <c r="A31" s="546" t="str">
        <f t="shared" si="3"/>
        <v/>
      </c>
      <c r="B31" t="str">
        <f t="shared" ca="1" si="4"/>
        <v/>
      </c>
      <c r="C31" s="191" t="str" cm="1">
        <f t="array" aca="1" ref="C31" ca="1">IF(OR(ROW(C31)=ROW(EVENTOS.firstrow)+1,AND(OFFSET(C31,-1,0)&lt;&gt;" ",OFFSET(C31,-1,1)&lt;&gt;"")),OFFSET(C31,-1,0)+1," ")</f>
        <v xml:space="preserve"> </v>
      </c>
      <c r="D31" s="532"/>
      <c r="E31" s="543" cm="1">
        <f t="array" aca="1" ref="E31" ca="1">IF(AUTOEVENTO="Manual",ROUND(SUMPRODUCT((CÁLCULO!$M$15:$M$131=EVENTOS!$C31)*(OFFSET(CÁLCULO!$AI$15:$AI$131,0,E$13))),2),0)</f>
        <v>0</v>
      </c>
      <c r="F31" s="192">
        <f ca="1">IF(AUTOEVENTO="Manual",ROUND(SUMPRODUCT((CÁLCULO!$M$15:$M$131=EVENTOS!$C31)*(OFFSET(CÁLCULO!$AI$15,0,1):OFFSET(CÁLCULO!$BB$131,0,-1))),2),0)</f>
        <v>0</v>
      </c>
      <c r="G31" s="627" t="str">
        <f ca="1">IF(AND(D31=0,F31&gt;0),"NOME",
 IF(AND(D31&lt;&gt;0,$F$14&gt;0,F31=0),"VALOR",
 IF(AND(Import.TipoArredondamento="TransfereGOV",$A31="F",LEN(D31)&gt;100),"Nome &gt;100","")))</f>
        <v/>
      </c>
      <c r="H31" s="543" cm="1">
        <f t="array" aca="1" ref="H31" ca="1">IF(AUTOEVENTO="Manual",ROUND(SUMPRODUCT((CÁLCULO!$M$15:$M$131=EVENTOS!$C31)*(OFFSET(CÁLCULO!$AI$15:$AI$131,0,H$13))),2),0)</f>
        <v>0</v>
      </c>
      <c r="I31" s="543" cm="1">
        <f t="array" aca="1" ref="I31" ca="1">IF(AUTOEVENTO="Manual",ROUND(SUMPRODUCT((CÁLCULO!$M$15:$M$131=EVENTOS!$C31)*(OFFSET(CÁLCULO!$AI$15:$AI$131,0,I$13))),2),0)</f>
        <v>0</v>
      </c>
      <c r="J31" s="543" cm="1">
        <f t="array" aca="1" ref="J31" ca="1">IF(AUTOEVENTO="Manual",ROUND(SUMPRODUCT((CÁLCULO!$M$15:$M$131=EVENTOS!$C31)*(OFFSET(CÁLCULO!$AI$15:$AI$131,0,J$13))),2),0)</f>
        <v>0</v>
      </c>
      <c r="K31" s="543" cm="1">
        <f t="array" aca="1" ref="K31" ca="1">IF(AUTOEVENTO="Manual",ROUND(SUMPRODUCT((CÁLCULO!$M$15:$M$131=EVENTOS!$C31)*(OFFSET(CÁLCULO!$AI$15:$AI$131,0,K$13))),2),0)</f>
        <v>0</v>
      </c>
      <c r="L31" s="543" cm="1">
        <f t="array" aca="1" ref="L31" ca="1">IF(AUTOEVENTO="Manual",ROUND(SUMPRODUCT((CÁLCULO!$M$15:$M$131=EVENTOS!$C31)*(OFFSET(CÁLCULO!$AI$15:$AI$131,0,L$13))),2),0)</f>
        <v>0</v>
      </c>
      <c r="M31" s="543" cm="1">
        <f t="array" aca="1" ref="M31" ca="1">IF(AUTOEVENTO="Manual",ROUND(SUMPRODUCT((CÁLCULO!$M$15:$M$131=EVENTOS!$C31)*(OFFSET(CÁLCULO!$AI$15:$AI$131,0,M$13))),2),0)</f>
        <v>0</v>
      </c>
      <c r="N31" s="543" cm="1">
        <f t="array" aca="1" ref="N31" ca="1">IF(AUTOEVENTO="Manual",ROUND(SUMPRODUCT((CÁLCULO!$M$15:$M$131=EVENTOS!$C31)*(OFFSET(CÁLCULO!$AI$15:$AI$131,0,N$13))),2),0)</f>
        <v>0</v>
      </c>
      <c r="O31" s="543" cm="1">
        <f t="array" aca="1" ref="O31" ca="1">IF(AUTOEVENTO="Manual",ROUND(SUMPRODUCT((CÁLCULO!$M$15:$M$131=EVENTOS!$C31)*(OFFSET(CÁLCULO!$AI$15:$AI$131,0,O$13))),2),0)</f>
        <v>0</v>
      </c>
      <c r="P31" s="543" cm="1">
        <f t="array" aca="1" ref="P31" ca="1">IF(AUTOEVENTO="Manual",ROUND(SUMPRODUCT((CÁLCULO!$M$15:$M$131=EVENTOS!$C31)*(OFFSET(CÁLCULO!$AI$15:$AI$131,0,P$13))),2),0)</f>
        <v>0</v>
      </c>
      <c r="Q31" s="543" cm="1">
        <f t="array" aca="1" ref="Q31" ca="1">IF(AUTOEVENTO="Manual",ROUND(SUMPRODUCT((CÁLCULO!$M$15:$M$131=EVENTOS!$C31)*(OFFSET(CÁLCULO!$AI$15:$AI$131,0,Q$13))),2),0)</f>
        <v>0</v>
      </c>
      <c r="R31" s="543" cm="1">
        <f t="array" aca="1" ref="R31" ca="1">IF(AUTOEVENTO="Manual",ROUND(SUMPRODUCT((CÁLCULO!$M$15:$M$131=EVENTOS!$C31)*(OFFSET(CÁLCULO!$AI$15:$AI$131,0,R$13))),2),0)</f>
        <v>0</v>
      </c>
      <c r="S31" s="543" cm="1">
        <f t="array" aca="1" ref="S31" ca="1">IF(AUTOEVENTO="Manual",ROUND(SUMPRODUCT((CÁLCULO!$M$15:$M$131=EVENTOS!$C31)*(OFFSET(CÁLCULO!$AI$15:$AI$131,0,S$13))),2),0)</f>
        <v>0</v>
      </c>
      <c r="T31" s="543" cm="1">
        <f t="array" aca="1" ref="T31" ca="1">IF(AUTOEVENTO="Manual",ROUND(SUMPRODUCT((CÁLCULO!$M$15:$M$131=EVENTOS!$C31)*(OFFSET(CÁLCULO!$AI$15:$AI$131,0,T$13))),2),0)</f>
        <v>0</v>
      </c>
      <c r="U31" s="543" cm="1">
        <f t="array" aca="1" ref="U31" ca="1">IF(AUTOEVENTO="Manual",ROUND(SUMPRODUCT((CÁLCULO!$M$15:$M$131=EVENTOS!$C31)*(OFFSET(CÁLCULO!$AI$15:$AI$131,0,U$13))),2),0)</f>
        <v>0</v>
      </c>
      <c r="V31" s="543" cm="1">
        <f t="array" aca="1" ref="V31" ca="1">IF(AUTOEVENTO="Manual",ROUND(SUMPRODUCT((CÁLCULO!$M$15:$M$131=EVENTOS!$C31)*(OFFSET(CÁLCULO!$AI$15:$AI$131,0,V$13))),2),0)</f>
        <v>0</v>
      </c>
      <c r="W31" s="543" cm="1">
        <f t="array" aca="1" ref="W31" ca="1">IF(AUTOEVENTO="Manual",ROUND(SUMPRODUCT((CÁLCULO!$M$15:$M$131=EVENTOS!$C31)*(OFFSET(CÁLCULO!$AI$15:$AI$131,0,W$13))),2),0)</f>
        <v>0</v>
      </c>
      <c r="X31" s="543" cm="1">
        <f t="array" aca="1" ref="X31" ca="1">IF(AUTOEVENTO="Manual",ROUND(SUMPRODUCT((CÁLCULO!$M$15:$M$131=EVENTOS!$C31)*(OFFSET(CÁLCULO!$AI$15:$AI$131,0,X$13))),2),0)</f>
        <v>0</v>
      </c>
      <c r="Y31" s="543" cm="1">
        <f t="array" aca="1" ref="Y31" ca="1">IF(AUTOEVENTO="Manual",ROUND(SUMPRODUCT((CÁLCULO!$M$15:$M$131=EVENTOS!$C31)*(OFFSET(CÁLCULO!$AI$15:$AI$131,0,Y$13))),2),0)</f>
        <v>0</v>
      </c>
    </row>
    <row r="32" spans="1:25" x14ac:dyDescent="0.2">
      <c r="A32" s="546" t="str">
        <f t="shared" si="3"/>
        <v/>
      </c>
      <c r="B32" t="str">
        <f t="shared" ca="1" si="4"/>
        <v/>
      </c>
      <c r="C32" s="191" t="str" cm="1">
        <f t="array" aca="1" ref="C32" ca="1">IF(OR(ROW(C32)=ROW(EVENTOS.firstrow)+1,AND(OFFSET(C32,-1,0)&lt;&gt;" ",OFFSET(C32,-1,1)&lt;&gt;"")),OFFSET(C32,-1,0)+1," ")</f>
        <v xml:space="preserve"> </v>
      </c>
      <c r="D32" s="532"/>
      <c r="E32" s="543" cm="1">
        <f t="array" aca="1" ref="E32" ca="1">IF(AUTOEVENTO="Manual",ROUND(SUMPRODUCT((CÁLCULO!$M$15:$M$131=EVENTOS!$C32)*(OFFSET(CÁLCULO!$AI$15:$AI$131,0,E$13))),2),0)</f>
        <v>0</v>
      </c>
      <c r="F32" s="192">
        <f ca="1">IF(AUTOEVENTO="Manual",ROUND(SUMPRODUCT((CÁLCULO!$M$15:$M$131=EVENTOS!$C32)*(OFFSET(CÁLCULO!$AI$15,0,1):OFFSET(CÁLCULO!$BB$131,0,-1))),2),0)</f>
        <v>0</v>
      </c>
      <c r="G32" s="627" t="str">
        <f ca="1">IF(AND(D32=0,F32&gt;0),"NOME",
 IF(AND(D32&lt;&gt;0,$F$14&gt;0,F32=0),"VALOR",
 IF(AND(Import.TipoArredondamento="TransfereGOV",$A32="F",LEN(D32)&gt;100),"Nome &gt;100","")))</f>
        <v/>
      </c>
      <c r="H32" s="543" cm="1">
        <f t="array" aca="1" ref="H32" ca="1">IF(AUTOEVENTO="Manual",ROUND(SUMPRODUCT((CÁLCULO!$M$15:$M$131=EVENTOS!$C32)*(OFFSET(CÁLCULO!$AI$15:$AI$131,0,H$13))),2),0)</f>
        <v>0</v>
      </c>
      <c r="I32" s="543" cm="1">
        <f t="array" aca="1" ref="I32" ca="1">IF(AUTOEVENTO="Manual",ROUND(SUMPRODUCT((CÁLCULO!$M$15:$M$131=EVENTOS!$C32)*(OFFSET(CÁLCULO!$AI$15:$AI$131,0,I$13))),2),0)</f>
        <v>0</v>
      </c>
      <c r="J32" s="543" cm="1">
        <f t="array" aca="1" ref="J32" ca="1">IF(AUTOEVENTO="Manual",ROUND(SUMPRODUCT((CÁLCULO!$M$15:$M$131=EVENTOS!$C32)*(OFFSET(CÁLCULO!$AI$15:$AI$131,0,J$13))),2),0)</f>
        <v>0</v>
      </c>
      <c r="K32" s="543" cm="1">
        <f t="array" aca="1" ref="K32" ca="1">IF(AUTOEVENTO="Manual",ROUND(SUMPRODUCT((CÁLCULO!$M$15:$M$131=EVENTOS!$C32)*(OFFSET(CÁLCULO!$AI$15:$AI$131,0,K$13))),2),0)</f>
        <v>0</v>
      </c>
      <c r="L32" s="543" cm="1">
        <f t="array" aca="1" ref="L32" ca="1">IF(AUTOEVENTO="Manual",ROUND(SUMPRODUCT((CÁLCULO!$M$15:$M$131=EVENTOS!$C32)*(OFFSET(CÁLCULO!$AI$15:$AI$131,0,L$13))),2),0)</f>
        <v>0</v>
      </c>
      <c r="M32" s="543" cm="1">
        <f t="array" aca="1" ref="M32" ca="1">IF(AUTOEVENTO="Manual",ROUND(SUMPRODUCT((CÁLCULO!$M$15:$M$131=EVENTOS!$C32)*(OFFSET(CÁLCULO!$AI$15:$AI$131,0,M$13))),2),0)</f>
        <v>0</v>
      </c>
      <c r="N32" s="543" cm="1">
        <f t="array" aca="1" ref="N32" ca="1">IF(AUTOEVENTO="Manual",ROUND(SUMPRODUCT((CÁLCULO!$M$15:$M$131=EVENTOS!$C32)*(OFFSET(CÁLCULO!$AI$15:$AI$131,0,N$13))),2),0)</f>
        <v>0</v>
      </c>
      <c r="O32" s="543" cm="1">
        <f t="array" aca="1" ref="O32" ca="1">IF(AUTOEVENTO="Manual",ROUND(SUMPRODUCT((CÁLCULO!$M$15:$M$131=EVENTOS!$C32)*(OFFSET(CÁLCULO!$AI$15:$AI$131,0,O$13))),2),0)</f>
        <v>0</v>
      </c>
      <c r="P32" s="543" cm="1">
        <f t="array" aca="1" ref="P32" ca="1">IF(AUTOEVENTO="Manual",ROUND(SUMPRODUCT((CÁLCULO!$M$15:$M$131=EVENTOS!$C32)*(OFFSET(CÁLCULO!$AI$15:$AI$131,0,P$13))),2),0)</f>
        <v>0</v>
      </c>
      <c r="Q32" s="543" cm="1">
        <f t="array" aca="1" ref="Q32" ca="1">IF(AUTOEVENTO="Manual",ROUND(SUMPRODUCT((CÁLCULO!$M$15:$M$131=EVENTOS!$C32)*(OFFSET(CÁLCULO!$AI$15:$AI$131,0,Q$13))),2),0)</f>
        <v>0</v>
      </c>
      <c r="R32" s="543" cm="1">
        <f t="array" aca="1" ref="R32" ca="1">IF(AUTOEVENTO="Manual",ROUND(SUMPRODUCT((CÁLCULO!$M$15:$M$131=EVENTOS!$C32)*(OFFSET(CÁLCULO!$AI$15:$AI$131,0,R$13))),2),0)</f>
        <v>0</v>
      </c>
      <c r="S32" s="543" cm="1">
        <f t="array" aca="1" ref="S32" ca="1">IF(AUTOEVENTO="Manual",ROUND(SUMPRODUCT((CÁLCULO!$M$15:$M$131=EVENTOS!$C32)*(OFFSET(CÁLCULO!$AI$15:$AI$131,0,S$13))),2),0)</f>
        <v>0</v>
      </c>
      <c r="T32" s="543" cm="1">
        <f t="array" aca="1" ref="T32" ca="1">IF(AUTOEVENTO="Manual",ROUND(SUMPRODUCT((CÁLCULO!$M$15:$M$131=EVENTOS!$C32)*(OFFSET(CÁLCULO!$AI$15:$AI$131,0,T$13))),2),0)</f>
        <v>0</v>
      </c>
      <c r="U32" s="543" cm="1">
        <f t="array" aca="1" ref="U32" ca="1">IF(AUTOEVENTO="Manual",ROUND(SUMPRODUCT((CÁLCULO!$M$15:$M$131=EVENTOS!$C32)*(OFFSET(CÁLCULO!$AI$15:$AI$131,0,U$13))),2),0)</f>
        <v>0</v>
      </c>
      <c r="V32" s="543" cm="1">
        <f t="array" aca="1" ref="V32" ca="1">IF(AUTOEVENTO="Manual",ROUND(SUMPRODUCT((CÁLCULO!$M$15:$M$131=EVENTOS!$C32)*(OFFSET(CÁLCULO!$AI$15:$AI$131,0,V$13))),2),0)</f>
        <v>0</v>
      </c>
      <c r="W32" s="543" cm="1">
        <f t="array" aca="1" ref="W32" ca="1">IF(AUTOEVENTO="Manual",ROUND(SUMPRODUCT((CÁLCULO!$M$15:$M$131=EVENTOS!$C32)*(OFFSET(CÁLCULO!$AI$15:$AI$131,0,W$13))),2),0)</f>
        <v>0</v>
      </c>
      <c r="X32" s="543" cm="1">
        <f t="array" aca="1" ref="X32" ca="1">IF(AUTOEVENTO="Manual",ROUND(SUMPRODUCT((CÁLCULO!$M$15:$M$131=EVENTOS!$C32)*(OFFSET(CÁLCULO!$AI$15:$AI$131,0,X$13))),2),0)</f>
        <v>0</v>
      </c>
      <c r="Y32" s="543" cm="1">
        <f t="array" aca="1" ref="Y32" ca="1">IF(AUTOEVENTO="Manual",ROUND(SUMPRODUCT((CÁLCULO!$M$15:$M$131=EVENTOS!$C32)*(OFFSET(CÁLCULO!$AI$15:$AI$131,0,Y$13))),2),0)</f>
        <v>0</v>
      </c>
    </row>
    <row r="33" spans="1:25" x14ac:dyDescent="0.2">
      <c r="A33" s="546" t="str">
        <f t="shared" si="3"/>
        <v/>
      </c>
      <c r="B33" t="str">
        <f t="shared" ca="1" si="4"/>
        <v/>
      </c>
      <c r="C33" s="191" t="str" cm="1">
        <f t="array" aca="1" ref="C33" ca="1">IF(OR(ROW(C33)=ROW(EVENTOS.firstrow)+1,AND(OFFSET(C33,-1,0)&lt;&gt;" ",OFFSET(C33,-1,1)&lt;&gt;"")),OFFSET(C33,-1,0)+1," ")</f>
        <v xml:space="preserve"> </v>
      </c>
      <c r="D33" s="532"/>
      <c r="E33" s="543" cm="1">
        <f t="array" aca="1" ref="E33" ca="1">IF(AUTOEVENTO="Manual",ROUND(SUMPRODUCT((CÁLCULO!$M$15:$M$131=EVENTOS!$C33)*(OFFSET(CÁLCULO!$AI$15:$AI$131,0,E$13))),2),0)</f>
        <v>0</v>
      </c>
      <c r="F33" s="192">
        <f ca="1">IF(AUTOEVENTO="Manual",ROUND(SUMPRODUCT((CÁLCULO!$M$15:$M$131=EVENTOS!$C33)*(OFFSET(CÁLCULO!$AI$15,0,1):OFFSET(CÁLCULO!$BB$131,0,-1))),2),0)</f>
        <v>0</v>
      </c>
      <c r="G33" s="627" t="str">
        <f ca="1">IF(AND(D33=0,F33&gt;0),"NOME",
 IF(AND(D33&lt;&gt;0,$F$14&gt;0,F33=0),"VALOR",
 IF(AND(Import.TipoArredondamento="TransfereGOV",$A33="F",LEN(D33)&gt;100),"Nome &gt;100","")))</f>
        <v/>
      </c>
      <c r="H33" s="543" cm="1">
        <f t="array" aca="1" ref="H33" ca="1">IF(AUTOEVENTO="Manual",ROUND(SUMPRODUCT((CÁLCULO!$M$15:$M$131=EVENTOS!$C33)*(OFFSET(CÁLCULO!$AI$15:$AI$131,0,H$13))),2),0)</f>
        <v>0</v>
      </c>
      <c r="I33" s="543" cm="1">
        <f t="array" aca="1" ref="I33" ca="1">IF(AUTOEVENTO="Manual",ROUND(SUMPRODUCT((CÁLCULO!$M$15:$M$131=EVENTOS!$C33)*(OFFSET(CÁLCULO!$AI$15:$AI$131,0,I$13))),2),0)</f>
        <v>0</v>
      </c>
      <c r="J33" s="543" cm="1">
        <f t="array" aca="1" ref="J33" ca="1">IF(AUTOEVENTO="Manual",ROUND(SUMPRODUCT((CÁLCULO!$M$15:$M$131=EVENTOS!$C33)*(OFFSET(CÁLCULO!$AI$15:$AI$131,0,J$13))),2),0)</f>
        <v>0</v>
      </c>
      <c r="K33" s="543" cm="1">
        <f t="array" aca="1" ref="K33" ca="1">IF(AUTOEVENTO="Manual",ROUND(SUMPRODUCT((CÁLCULO!$M$15:$M$131=EVENTOS!$C33)*(OFFSET(CÁLCULO!$AI$15:$AI$131,0,K$13))),2),0)</f>
        <v>0</v>
      </c>
      <c r="L33" s="543" cm="1">
        <f t="array" aca="1" ref="L33" ca="1">IF(AUTOEVENTO="Manual",ROUND(SUMPRODUCT((CÁLCULO!$M$15:$M$131=EVENTOS!$C33)*(OFFSET(CÁLCULO!$AI$15:$AI$131,0,L$13))),2),0)</f>
        <v>0</v>
      </c>
      <c r="M33" s="543" cm="1">
        <f t="array" aca="1" ref="M33" ca="1">IF(AUTOEVENTO="Manual",ROUND(SUMPRODUCT((CÁLCULO!$M$15:$M$131=EVENTOS!$C33)*(OFFSET(CÁLCULO!$AI$15:$AI$131,0,M$13))),2),0)</f>
        <v>0</v>
      </c>
      <c r="N33" s="543" cm="1">
        <f t="array" aca="1" ref="N33" ca="1">IF(AUTOEVENTO="Manual",ROUND(SUMPRODUCT((CÁLCULO!$M$15:$M$131=EVENTOS!$C33)*(OFFSET(CÁLCULO!$AI$15:$AI$131,0,N$13))),2),0)</f>
        <v>0</v>
      </c>
      <c r="O33" s="543" cm="1">
        <f t="array" aca="1" ref="O33" ca="1">IF(AUTOEVENTO="Manual",ROUND(SUMPRODUCT((CÁLCULO!$M$15:$M$131=EVENTOS!$C33)*(OFFSET(CÁLCULO!$AI$15:$AI$131,0,O$13))),2),0)</f>
        <v>0</v>
      </c>
      <c r="P33" s="543" cm="1">
        <f t="array" aca="1" ref="P33" ca="1">IF(AUTOEVENTO="Manual",ROUND(SUMPRODUCT((CÁLCULO!$M$15:$M$131=EVENTOS!$C33)*(OFFSET(CÁLCULO!$AI$15:$AI$131,0,P$13))),2),0)</f>
        <v>0</v>
      </c>
      <c r="Q33" s="543" cm="1">
        <f t="array" aca="1" ref="Q33" ca="1">IF(AUTOEVENTO="Manual",ROUND(SUMPRODUCT((CÁLCULO!$M$15:$M$131=EVENTOS!$C33)*(OFFSET(CÁLCULO!$AI$15:$AI$131,0,Q$13))),2),0)</f>
        <v>0</v>
      </c>
      <c r="R33" s="543" cm="1">
        <f t="array" aca="1" ref="R33" ca="1">IF(AUTOEVENTO="Manual",ROUND(SUMPRODUCT((CÁLCULO!$M$15:$M$131=EVENTOS!$C33)*(OFFSET(CÁLCULO!$AI$15:$AI$131,0,R$13))),2),0)</f>
        <v>0</v>
      </c>
      <c r="S33" s="543" cm="1">
        <f t="array" aca="1" ref="S33" ca="1">IF(AUTOEVENTO="Manual",ROUND(SUMPRODUCT((CÁLCULO!$M$15:$M$131=EVENTOS!$C33)*(OFFSET(CÁLCULO!$AI$15:$AI$131,0,S$13))),2),0)</f>
        <v>0</v>
      </c>
      <c r="T33" s="543" cm="1">
        <f t="array" aca="1" ref="T33" ca="1">IF(AUTOEVENTO="Manual",ROUND(SUMPRODUCT((CÁLCULO!$M$15:$M$131=EVENTOS!$C33)*(OFFSET(CÁLCULO!$AI$15:$AI$131,0,T$13))),2),0)</f>
        <v>0</v>
      </c>
      <c r="U33" s="543" cm="1">
        <f t="array" aca="1" ref="U33" ca="1">IF(AUTOEVENTO="Manual",ROUND(SUMPRODUCT((CÁLCULO!$M$15:$M$131=EVENTOS!$C33)*(OFFSET(CÁLCULO!$AI$15:$AI$131,0,U$13))),2),0)</f>
        <v>0</v>
      </c>
      <c r="V33" s="543" cm="1">
        <f t="array" aca="1" ref="V33" ca="1">IF(AUTOEVENTO="Manual",ROUND(SUMPRODUCT((CÁLCULO!$M$15:$M$131=EVENTOS!$C33)*(OFFSET(CÁLCULO!$AI$15:$AI$131,0,V$13))),2),0)</f>
        <v>0</v>
      </c>
      <c r="W33" s="543" cm="1">
        <f t="array" aca="1" ref="W33" ca="1">IF(AUTOEVENTO="Manual",ROUND(SUMPRODUCT((CÁLCULO!$M$15:$M$131=EVENTOS!$C33)*(OFFSET(CÁLCULO!$AI$15:$AI$131,0,W$13))),2),0)</f>
        <v>0</v>
      </c>
      <c r="X33" s="543" cm="1">
        <f t="array" aca="1" ref="X33" ca="1">IF(AUTOEVENTO="Manual",ROUND(SUMPRODUCT((CÁLCULO!$M$15:$M$131=EVENTOS!$C33)*(OFFSET(CÁLCULO!$AI$15:$AI$131,0,X$13))),2),0)</f>
        <v>0</v>
      </c>
      <c r="Y33" s="543" cm="1">
        <f t="array" aca="1" ref="Y33" ca="1">IF(AUTOEVENTO="Manual",ROUND(SUMPRODUCT((CÁLCULO!$M$15:$M$131=EVENTOS!$C33)*(OFFSET(CÁLCULO!$AI$15:$AI$131,0,Y$13))),2),0)</f>
        <v>0</v>
      </c>
    </row>
    <row r="34" spans="1:25" x14ac:dyDescent="0.2">
      <c r="A34" s="546" t="str">
        <f t="shared" si="3"/>
        <v/>
      </c>
      <c r="B34" t="str">
        <f t="shared" ca="1" si="4"/>
        <v/>
      </c>
      <c r="C34" s="191" t="str" cm="1">
        <f t="array" aca="1" ref="C34" ca="1">IF(OR(ROW(C34)=ROW(EVENTOS.firstrow)+1,AND(OFFSET(C34,-1,0)&lt;&gt;" ",OFFSET(C34,-1,1)&lt;&gt;"")),OFFSET(C34,-1,0)+1," ")</f>
        <v xml:space="preserve"> </v>
      </c>
      <c r="D34" s="532"/>
      <c r="E34" s="543" cm="1">
        <f t="array" aca="1" ref="E34" ca="1">IF(AUTOEVENTO="Manual",ROUND(SUMPRODUCT((CÁLCULO!$M$15:$M$131=EVENTOS!$C34)*(OFFSET(CÁLCULO!$AI$15:$AI$131,0,E$13))),2),0)</f>
        <v>0</v>
      </c>
      <c r="F34" s="192">
        <f ca="1">IF(AUTOEVENTO="Manual",ROUND(SUMPRODUCT((CÁLCULO!$M$15:$M$131=EVENTOS!$C34)*(OFFSET(CÁLCULO!$AI$15,0,1):OFFSET(CÁLCULO!$BB$131,0,-1))),2),0)</f>
        <v>0</v>
      </c>
      <c r="G34" s="627" t="str">
        <f ca="1">IF(AND(D34=0,F34&gt;0),"NOME",
 IF(AND(D34&lt;&gt;0,$F$14&gt;0,F34=0),"VALOR",
 IF(AND(Import.TipoArredondamento="TransfereGOV",$A34="F",LEN(D34)&gt;100),"Nome &gt;100","")))</f>
        <v/>
      </c>
      <c r="H34" s="543" cm="1">
        <f t="array" aca="1" ref="H34" ca="1">IF(AUTOEVENTO="Manual",ROUND(SUMPRODUCT((CÁLCULO!$M$15:$M$131=EVENTOS!$C34)*(OFFSET(CÁLCULO!$AI$15:$AI$131,0,H$13))),2),0)</f>
        <v>0</v>
      </c>
      <c r="I34" s="543" cm="1">
        <f t="array" aca="1" ref="I34" ca="1">IF(AUTOEVENTO="Manual",ROUND(SUMPRODUCT((CÁLCULO!$M$15:$M$131=EVENTOS!$C34)*(OFFSET(CÁLCULO!$AI$15:$AI$131,0,I$13))),2),0)</f>
        <v>0</v>
      </c>
      <c r="J34" s="543" cm="1">
        <f t="array" aca="1" ref="J34" ca="1">IF(AUTOEVENTO="Manual",ROUND(SUMPRODUCT((CÁLCULO!$M$15:$M$131=EVENTOS!$C34)*(OFFSET(CÁLCULO!$AI$15:$AI$131,0,J$13))),2),0)</f>
        <v>0</v>
      </c>
      <c r="K34" s="543" cm="1">
        <f t="array" aca="1" ref="K34" ca="1">IF(AUTOEVENTO="Manual",ROUND(SUMPRODUCT((CÁLCULO!$M$15:$M$131=EVENTOS!$C34)*(OFFSET(CÁLCULO!$AI$15:$AI$131,0,K$13))),2),0)</f>
        <v>0</v>
      </c>
      <c r="L34" s="543" cm="1">
        <f t="array" aca="1" ref="L34" ca="1">IF(AUTOEVENTO="Manual",ROUND(SUMPRODUCT((CÁLCULO!$M$15:$M$131=EVENTOS!$C34)*(OFFSET(CÁLCULO!$AI$15:$AI$131,0,L$13))),2),0)</f>
        <v>0</v>
      </c>
      <c r="M34" s="543" cm="1">
        <f t="array" aca="1" ref="M34" ca="1">IF(AUTOEVENTO="Manual",ROUND(SUMPRODUCT((CÁLCULO!$M$15:$M$131=EVENTOS!$C34)*(OFFSET(CÁLCULO!$AI$15:$AI$131,0,M$13))),2),0)</f>
        <v>0</v>
      </c>
      <c r="N34" s="543" cm="1">
        <f t="array" aca="1" ref="N34" ca="1">IF(AUTOEVENTO="Manual",ROUND(SUMPRODUCT((CÁLCULO!$M$15:$M$131=EVENTOS!$C34)*(OFFSET(CÁLCULO!$AI$15:$AI$131,0,N$13))),2),0)</f>
        <v>0</v>
      </c>
      <c r="O34" s="543" cm="1">
        <f t="array" aca="1" ref="O34" ca="1">IF(AUTOEVENTO="Manual",ROUND(SUMPRODUCT((CÁLCULO!$M$15:$M$131=EVENTOS!$C34)*(OFFSET(CÁLCULO!$AI$15:$AI$131,0,O$13))),2),0)</f>
        <v>0</v>
      </c>
      <c r="P34" s="543" cm="1">
        <f t="array" aca="1" ref="P34" ca="1">IF(AUTOEVENTO="Manual",ROUND(SUMPRODUCT((CÁLCULO!$M$15:$M$131=EVENTOS!$C34)*(OFFSET(CÁLCULO!$AI$15:$AI$131,0,P$13))),2),0)</f>
        <v>0</v>
      </c>
      <c r="Q34" s="543" cm="1">
        <f t="array" aca="1" ref="Q34" ca="1">IF(AUTOEVENTO="Manual",ROUND(SUMPRODUCT((CÁLCULO!$M$15:$M$131=EVENTOS!$C34)*(OFFSET(CÁLCULO!$AI$15:$AI$131,0,Q$13))),2),0)</f>
        <v>0</v>
      </c>
      <c r="R34" s="543" cm="1">
        <f t="array" aca="1" ref="R34" ca="1">IF(AUTOEVENTO="Manual",ROUND(SUMPRODUCT((CÁLCULO!$M$15:$M$131=EVENTOS!$C34)*(OFFSET(CÁLCULO!$AI$15:$AI$131,0,R$13))),2),0)</f>
        <v>0</v>
      </c>
      <c r="S34" s="543" cm="1">
        <f t="array" aca="1" ref="S34" ca="1">IF(AUTOEVENTO="Manual",ROUND(SUMPRODUCT((CÁLCULO!$M$15:$M$131=EVENTOS!$C34)*(OFFSET(CÁLCULO!$AI$15:$AI$131,0,S$13))),2),0)</f>
        <v>0</v>
      </c>
      <c r="T34" s="543" cm="1">
        <f t="array" aca="1" ref="T34" ca="1">IF(AUTOEVENTO="Manual",ROUND(SUMPRODUCT((CÁLCULO!$M$15:$M$131=EVENTOS!$C34)*(OFFSET(CÁLCULO!$AI$15:$AI$131,0,T$13))),2),0)</f>
        <v>0</v>
      </c>
      <c r="U34" s="543" cm="1">
        <f t="array" aca="1" ref="U34" ca="1">IF(AUTOEVENTO="Manual",ROUND(SUMPRODUCT((CÁLCULO!$M$15:$M$131=EVENTOS!$C34)*(OFFSET(CÁLCULO!$AI$15:$AI$131,0,U$13))),2),0)</f>
        <v>0</v>
      </c>
      <c r="V34" s="543" cm="1">
        <f t="array" aca="1" ref="V34" ca="1">IF(AUTOEVENTO="Manual",ROUND(SUMPRODUCT((CÁLCULO!$M$15:$M$131=EVENTOS!$C34)*(OFFSET(CÁLCULO!$AI$15:$AI$131,0,V$13))),2),0)</f>
        <v>0</v>
      </c>
      <c r="W34" s="543" cm="1">
        <f t="array" aca="1" ref="W34" ca="1">IF(AUTOEVENTO="Manual",ROUND(SUMPRODUCT((CÁLCULO!$M$15:$M$131=EVENTOS!$C34)*(OFFSET(CÁLCULO!$AI$15:$AI$131,0,W$13))),2),0)</f>
        <v>0</v>
      </c>
      <c r="X34" s="543" cm="1">
        <f t="array" aca="1" ref="X34" ca="1">IF(AUTOEVENTO="Manual",ROUND(SUMPRODUCT((CÁLCULO!$M$15:$M$131=EVENTOS!$C34)*(OFFSET(CÁLCULO!$AI$15:$AI$131,0,X$13))),2),0)</f>
        <v>0</v>
      </c>
      <c r="Y34" s="543" cm="1">
        <f t="array" aca="1" ref="Y34" ca="1">IF(AUTOEVENTO="Manual",ROUND(SUMPRODUCT((CÁLCULO!$M$15:$M$131=EVENTOS!$C34)*(OFFSET(CÁLCULO!$AI$15:$AI$131,0,Y$13))),2),0)</f>
        <v>0</v>
      </c>
    </row>
    <row r="35" spans="1:25" x14ac:dyDescent="0.2">
      <c r="A35" s="546" t="str">
        <f t="shared" si="3"/>
        <v/>
      </c>
      <c r="B35" t="str">
        <f t="shared" ca="1" si="4"/>
        <v/>
      </c>
      <c r="C35" s="191" t="str" cm="1">
        <f t="array" aca="1" ref="C35" ca="1">IF(OR(ROW(C35)=ROW(EVENTOS.firstrow)+1,AND(OFFSET(C35,-1,0)&lt;&gt;" ",OFFSET(C35,-1,1)&lt;&gt;"")),OFFSET(C35,-1,0)+1," ")</f>
        <v xml:space="preserve"> </v>
      </c>
      <c r="D35" s="532"/>
      <c r="E35" s="543" cm="1">
        <f t="array" aca="1" ref="E35" ca="1">IF(AUTOEVENTO="Manual",ROUND(SUMPRODUCT((CÁLCULO!$M$15:$M$131=EVENTOS!$C35)*(OFFSET(CÁLCULO!$AI$15:$AI$131,0,E$13))),2),0)</f>
        <v>0</v>
      </c>
      <c r="F35" s="192">
        <f ca="1">IF(AUTOEVENTO="Manual",ROUND(SUMPRODUCT((CÁLCULO!$M$15:$M$131=EVENTOS!$C35)*(OFFSET(CÁLCULO!$AI$15,0,1):OFFSET(CÁLCULO!$BB$131,0,-1))),2),0)</f>
        <v>0</v>
      </c>
      <c r="G35" s="627" t="str">
        <f ca="1">IF(AND(D35=0,F35&gt;0),"NOME",
 IF(AND(D35&lt;&gt;0,$F$14&gt;0,F35=0),"VALOR",
 IF(AND(Import.TipoArredondamento="TransfereGOV",$A35="F",LEN(D35)&gt;100),"Nome &gt;100","")))</f>
        <v/>
      </c>
      <c r="H35" s="543" cm="1">
        <f t="array" aca="1" ref="H35" ca="1">IF(AUTOEVENTO="Manual",ROUND(SUMPRODUCT((CÁLCULO!$M$15:$M$131=EVENTOS!$C35)*(OFFSET(CÁLCULO!$AI$15:$AI$131,0,H$13))),2),0)</f>
        <v>0</v>
      </c>
      <c r="I35" s="543" cm="1">
        <f t="array" aca="1" ref="I35" ca="1">IF(AUTOEVENTO="Manual",ROUND(SUMPRODUCT((CÁLCULO!$M$15:$M$131=EVENTOS!$C35)*(OFFSET(CÁLCULO!$AI$15:$AI$131,0,I$13))),2),0)</f>
        <v>0</v>
      </c>
      <c r="J35" s="543" cm="1">
        <f t="array" aca="1" ref="J35" ca="1">IF(AUTOEVENTO="Manual",ROUND(SUMPRODUCT((CÁLCULO!$M$15:$M$131=EVENTOS!$C35)*(OFFSET(CÁLCULO!$AI$15:$AI$131,0,J$13))),2),0)</f>
        <v>0</v>
      </c>
      <c r="K35" s="543" cm="1">
        <f t="array" aca="1" ref="K35" ca="1">IF(AUTOEVENTO="Manual",ROUND(SUMPRODUCT((CÁLCULO!$M$15:$M$131=EVENTOS!$C35)*(OFFSET(CÁLCULO!$AI$15:$AI$131,0,K$13))),2),0)</f>
        <v>0</v>
      </c>
      <c r="L35" s="543" cm="1">
        <f t="array" aca="1" ref="L35" ca="1">IF(AUTOEVENTO="Manual",ROUND(SUMPRODUCT((CÁLCULO!$M$15:$M$131=EVENTOS!$C35)*(OFFSET(CÁLCULO!$AI$15:$AI$131,0,L$13))),2),0)</f>
        <v>0</v>
      </c>
      <c r="M35" s="543" cm="1">
        <f t="array" aca="1" ref="M35" ca="1">IF(AUTOEVENTO="Manual",ROUND(SUMPRODUCT((CÁLCULO!$M$15:$M$131=EVENTOS!$C35)*(OFFSET(CÁLCULO!$AI$15:$AI$131,0,M$13))),2),0)</f>
        <v>0</v>
      </c>
      <c r="N35" s="543" cm="1">
        <f t="array" aca="1" ref="N35" ca="1">IF(AUTOEVENTO="Manual",ROUND(SUMPRODUCT((CÁLCULO!$M$15:$M$131=EVENTOS!$C35)*(OFFSET(CÁLCULO!$AI$15:$AI$131,0,N$13))),2),0)</f>
        <v>0</v>
      </c>
      <c r="O35" s="543" cm="1">
        <f t="array" aca="1" ref="O35" ca="1">IF(AUTOEVENTO="Manual",ROUND(SUMPRODUCT((CÁLCULO!$M$15:$M$131=EVENTOS!$C35)*(OFFSET(CÁLCULO!$AI$15:$AI$131,0,O$13))),2),0)</f>
        <v>0</v>
      </c>
      <c r="P35" s="543" cm="1">
        <f t="array" aca="1" ref="P35" ca="1">IF(AUTOEVENTO="Manual",ROUND(SUMPRODUCT((CÁLCULO!$M$15:$M$131=EVENTOS!$C35)*(OFFSET(CÁLCULO!$AI$15:$AI$131,0,P$13))),2),0)</f>
        <v>0</v>
      </c>
      <c r="Q35" s="543" cm="1">
        <f t="array" aca="1" ref="Q35" ca="1">IF(AUTOEVENTO="Manual",ROUND(SUMPRODUCT((CÁLCULO!$M$15:$M$131=EVENTOS!$C35)*(OFFSET(CÁLCULO!$AI$15:$AI$131,0,Q$13))),2),0)</f>
        <v>0</v>
      </c>
      <c r="R35" s="543" cm="1">
        <f t="array" aca="1" ref="R35" ca="1">IF(AUTOEVENTO="Manual",ROUND(SUMPRODUCT((CÁLCULO!$M$15:$M$131=EVENTOS!$C35)*(OFFSET(CÁLCULO!$AI$15:$AI$131,0,R$13))),2),0)</f>
        <v>0</v>
      </c>
      <c r="S35" s="543" cm="1">
        <f t="array" aca="1" ref="S35" ca="1">IF(AUTOEVENTO="Manual",ROUND(SUMPRODUCT((CÁLCULO!$M$15:$M$131=EVENTOS!$C35)*(OFFSET(CÁLCULO!$AI$15:$AI$131,0,S$13))),2),0)</f>
        <v>0</v>
      </c>
      <c r="T35" s="543" cm="1">
        <f t="array" aca="1" ref="T35" ca="1">IF(AUTOEVENTO="Manual",ROUND(SUMPRODUCT((CÁLCULO!$M$15:$M$131=EVENTOS!$C35)*(OFFSET(CÁLCULO!$AI$15:$AI$131,0,T$13))),2),0)</f>
        <v>0</v>
      </c>
      <c r="U35" s="543" cm="1">
        <f t="array" aca="1" ref="U35" ca="1">IF(AUTOEVENTO="Manual",ROUND(SUMPRODUCT((CÁLCULO!$M$15:$M$131=EVENTOS!$C35)*(OFFSET(CÁLCULO!$AI$15:$AI$131,0,U$13))),2),0)</f>
        <v>0</v>
      </c>
      <c r="V35" s="543" cm="1">
        <f t="array" aca="1" ref="V35" ca="1">IF(AUTOEVENTO="Manual",ROUND(SUMPRODUCT((CÁLCULO!$M$15:$M$131=EVENTOS!$C35)*(OFFSET(CÁLCULO!$AI$15:$AI$131,0,V$13))),2),0)</f>
        <v>0</v>
      </c>
      <c r="W35" s="543" cm="1">
        <f t="array" aca="1" ref="W35" ca="1">IF(AUTOEVENTO="Manual",ROUND(SUMPRODUCT((CÁLCULO!$M$15:$M$131=EVENTOS!$C35)*(OFFSET(CÁLCULO!$AI$15:$AI$131,0,W$13))),2),0)</f>
        <v>0</v>
      </c>
      <c r="X35" s="543" cm="1">
        <f t="array" aca="1" ref="X35" ca="1">IF(AUTOEVENTO="Manual",ROUND(SUMPRODUCT((CÁLCULO!$M$15:$M$131=EVENTOS!$C35)*(OFFSET(CÁLCULO!$AI$15:$AI$131,0,X$13))),2),0)</f>
        <v>0</v>
      </c>
      <c r="Y35" s="543" cm="1">
        <f t="array" aca="1" ref="Y35" ca="1">IF(AUTOEVENTO="Manual",ROUND(SUMPRODUCT((CÁLCULO!$M$15:$M$131=EVENTOS!$C35)*(OFFSET(CÁLCULO!$AI$15:$AI$131,0,Y$13))),2),0)</f>
        <v>0</v>
      </c>
    </row>
    <row r="36" spans="1:25" x14ac:dyDescent="0.2">
      <c r="A36" s="546" t="str">
        <f t="shared" si="3"/>
        <v/>
      </c>
      <c r="B36" t="str">
        <f t="shared" ca="1" si="4"/>
        <v/>
      </c>
      <c r="C36" s="191" t="str" cm="1">
        <f t="array" aca="1" ref="C36" ca="1">IF(OR(ROW(C36)=ROW(EVENTOS.firstrow)+1,AND(OFFSET(C36,-1,0)&lt;&gt;" ",OFFSET(C36,-1,1)&lt;&gt;"")),OFFSET(C36,-1,0)+1," ")</f>
        <v xml:space="preserve"> </v>
      </c>
      <c r="D36" s="532"/>
      <c r="E36" s="543" cm="1">
        <f t="array" aca="1" ref="E36" ca="1">IF(AUTOEVENTO="Manual",ROUND(SUMPRODUCT((CÁLCULO!$M$15:$M$131=EVENTOS!$C36)*(OFFSET(CÁLCULO!$AI$15:$AI$131,0,E$13))),2),0)</f>
        <v>0</v>
      </c>
      <c r="F36" s="192">
        <f ca="1">IF(AUTOEVENTO="Manual",ROUND(SUMPRODUCT((CÁLCULO!$M$15:$M$131=EVENTOS!$C36)*(OFFSET(CÁLCULO!$AI$15,0,1):OFFSET(CÁLCULO!$BB$131,0,-1))),2),0)</f>
        <v>0</v>
      </c>
      <c r="G36" s="627" t="str">
        <f ca="1">IF(AND(D36=0,F36&gt;0),"NOME",
 IF(AND(D36&lt;&gt;0,$F$14&gt;0,F36=0),"VALOR",
 IF(AND(Import.TipoArredondamento="TransfereGOV",$A36="F",LEN(D36)&gt;100),"Nome &gt;100","")))</f>
        <v/>
      </c>
      <c r="H36" s="543" cm="1">
        <f t="array" aca="1" ref="H36" ca="1">IF(AUTOEVENTO="Manual",ROUND(SUMPRODUCT((CÁLCULO!$M$15:$M$131=EVENTOS!$C36)*(OFFSET(CÁLCULO!$AI$15:$AI$131,0,H$13))),2),0)</f>
        <v>0</v>
      </c>
      <c r="I36" s="543" cm="1">
        <f t="array" aca="1" ref="I36" ca="1">IF(AUTOEVENTO="Manual",ROUND(SUMPRODUCT((CÁLCULO!$M$15:$M$131=EVENTOS!$C36)*(OFFSET(CÁLCULO!$AI$15:$AI$131,0,I$13))),2),0)</f>
        <v>0</v>
      </c>
      <c r="J36" s="543" cm="1">
        <f t="array" aca="1" ref="J36" ca="1">IF(AUTOEVENTO="Manual",ROUND(SUMPRODUCT((CÁLCULO!$M$15:$M$131=EVENTOS!$C36)*(OFFSET(CÁLCULO!$AI$15:$AI$131,0,J$13))),2),0)</f>
        <v>0</v>
      </c>
      <c r="K36" s="543" cm="1">
        <f t="array" aca="1" ref="K36" ca="1">IF(AUTOEVENTO="Manual",ROUND(SUMPRODUCT((CÁLCULO!$M$15:$M$131=EVENTOS!$C36)*(OFFSET(CÁLCULO!$AI$15:$AI$131,0,K$13))),2),0)</f>
        <v>0</v>
      </c>
      <c r="L36" s="543" cm="1">
        <f t="array" aca="1" ref="L36" ca="1">IF(AUTOEVENTO="Manual",ROUND(SUMPRODUCT((CÁLCULO!$M$15:$M$131=EVENTOS!$C36)*(OFFSET(CÁLCULO!$AI$15:$AI$131,0,L$13))),2),0)</f>
        <v>0</v>
      </c>
      <c r="M36" s="543" cm="1">
        <f t="array" aca="1" ref="M36" ca="1">IF(AUTOEVENTO="Manual",ROUND(SUMPRODUCT((CÁLCULO!$M$15:$M$131=EVENTOS!$C36)*(OFFSET(CÁLCULO!$AI$15:$AI$131,0,M$13))),2),0)</f>
        <v>0</v>
      </c>
      <c r="N36" s="543" cm="1">
        <f t="array" aca="1" ref="N36" ca="1">IF(AUTOEVENTO="Manual",ROUND(SUMPRODUCT((CÁLCULO!$M$15:$M$131=EVENTOS!$C36)*(OFFSET(CÁLCULO!$AI$15:$AI$131,0,N$13))),2),0)</f>
        <v>0</v>
      </c>
      <c r="O36" s="543" cm="1">
        <f t="array" aca="1" ref="O36" ca="1">IF(AUTOEVENTO="Manual",ROUND(SUMPRODUCT((CÁLCULO!$M$15:$M$131=EVENTOS!$C36)*(OFFSET(CÁLCULO!$AI$15:$AI$131,0,O$13))),2),0)</f>
        <v>0</v>
      </c>
      <c r="P36" s="543" cm="1">
        <f t="array" aca="1" ref="P36" ca="1">IF(AUTOEVENTO="Manual",ROUND(SUMPRODUCT((CÁLCULO!$M$15:$M$131=EVENTOS!$C36)*(OFFSET(CÁLCULO!$AI$15:$AI$131,0,P$13))),2),0)</f>
        <v>0</v>
      </c>
      <c r="Q36" s="543" cm="1">
        <f t="array" aca="1" ref="Q36" ca="1">IF(AUTOEVENTO="Manual",ROUND(SUMPRODUCT((CÁLCULO!$M$15:$M$131=EVENTOS!$C36)*(OFFSET(CÁLCULO!$AI$15:$AI$131,0,Q$13))),2),0)</f>
        <v>0</v>
      </c>
      <c r="R36" s="543" cm="1">
        <f t="array" aca="1" ref="R36" ca="1">IF(AUTOEVENTO="Manual",ROUND(SUMPRODUCT((CÁLCULO!$M$15:$M$131=EVENTOS!$C36)*(OFFSET(CÁLCULO!$AI$15:$AI$131,0,R$13))),2),0)</f>
        <v>0</v>
      </c>
      <c r="S36" s="543" cm="1">
        <f t="array" aca="1" ref="S36" ca="1">IF(AUTOEVENTO="Manual",ROUND(SUMPRODUCT((CÁLCULO!$M$15:$M$131=EVENTOS!$C36)*(OFFSET(CÁLCULO!$AI$15:$AI$131,0,S$13))),2),0)</f>
        <v>0</v>
      </c>
      <c r="T36" s="543" cm="1">
        <f t="array" aca="1" ref="T36" ca="1">IF(AUTOEVENTO="Manual",ROUND(SUMPRODUCT((CÁLCULO!$M$15:$M$131=EVENTOS!$C36)*(OFFSET(CÁLCULO!$AI$15:$AI$131,0,T$13))),2),0)</f>
        <v>0</v>
      </c>
      <c r="U36" s="543" cm="1">
        <f t="array" aca="1" ref="U36" ca="1">IF(AUTOEVENTO="Manual",ROUND(SUMPRODUCT((CÁLCULO!$M$15:$M$131=EVENTOS!$C36)*(OFFSET(CÁLCULO!$AI$15:$AI$131,0,U$13))),2),0)</f>
        <v>0</v>
      </c>
      <c r="V36" s="543" cm="1">
        <f t="array" aca="1" ref="V36" ca="1">IF(AUTOEVENTO="Manual",ROUND(SUMPRODUCT((CÁLCULO!$M$15:$M$131=EVENTOS!$C36)*(OFFSET(CÁLCULO!$AI$15:$AI$131,0,V$13))),2),0)</f>
        <v>0</v>
      </c>
      <c r="W36" s="543" cm="1">
        <f t="array" aca="1" ref="W36" ca="1">IF(AUTOEVENTO="Manual",ROUND(SUMPRODUCT((CÁLCULO!$M$15:$M$131=EVENTOS!$C36)*(OFFSET(CÁLCULO!$AI$15:$AI$131,0,W$13))),2),0)</f>
        <v>0</v>
      </c>
      <c r="X36" s="543" cm="1">
        <f t="array" aca="1" ref="X36" ca="1">IF(AUTOEVENTO="Manual",ROUND(SUMPRODUCT((CÁLCULO!$M$15:$M$131=EVENTOS!$C36)*(OFFSET(CÁLCULO!$AI$15:$AI$131,0,X$13))),2),0)</f>
        <v>0</v>
      </c>
      <c r="Y36" s="543" cm="1">
        <f t="array" aca="1" ref="Y36" ca="1">IF(AUTOEVENTO="Manual",ROUND(SUMPRODUCT((CÁLCULO!$M$15:$M$131=EVENTOS!$C36)*(OFFSET(CÁLCULO!$AI$15:$AI$131,0,Y$13))),2),0)</f>
        <v>0</v>
      </c>
    </row>
    <row r="37" spans="1:25" x14ac:dyDescent="0.2">
      <c r="A37" s="546" t="str">
        <f t="shared" si="3"/>
        <v/>
      </c>
      <c r="B37" t="str">
        <f t="shared" ca="1" si="4"/>
        <v/>
      </c>
      <c r="C37" s="191" t="str" cm="1">
        <f t="array" aca="1" ref="C37" ca="1">IF(OR(ROW(C37)=ROW(EVENTOS.firstrow)+1,AND(OFFSET(C37,-1,0)&lt;&gt;" ",OFFSET(C37,-1,1)&lt;&gt;"")),OFFSET(C37,-1,0)+1," ")</f>
        <v xml:space="preserve"> </v>
      </c>
      <c r="D37" s="532"/>
      <c r="E37" s="543" cm="1">
        <f t="array" aca="1" ref="E37" ca="1">IF(AUTOEVENTO="Manual",ROUND(SUMPRODUCT((CÁLCULO!$M$15:$M$131=EVENTOS!$C37)*(OFFSET(CÁLCULO!$AI$15:$AI$131,0,E$13))),2),0)</f>
        <v>0</v>
      </c>
      <c r="F37" s="192">
        <f ca="1">IF(AUTOEVENTO="Manual",ROUND(SUMPRODUCT((CÁLCULO!$M$15:$M$131=EVENTOS!$C37)*(OFFSET(CÁLCULO!$AI$15,0,1):OFFSET(CÁLCULO!$BB$131,0,-1))),2),0)</f>
        <v>0</v>
      </c>
      <c r="G37" s="627" t="str">
        <f ca="1">IF(AND(D37=0,F37&gt;0),"NOME",
 IF(AND(D37&lt;&gt;0,$F$14&gt;0,F37=0),"VALOR",
 IF(AND(Import.TipoArredondamento="TransfereGOV",$A37="F",LEN(D37)&gt;100),"Nome &gt;100","")))</f>
        <v/>
      </c>
      <c r="H37" s="543" cm="1">
        <f t="array" aca="1" ref="H37" ca="1">IF(AUTOEVENTO="Manual",ROUND(SUMPRODUCT((CÁLCULO!$M$15:$M$131=EVENTOS!$C37)*(OFFSET(CÁLCULO!$AI$15:$AI$131,0,H$13))),2),0)</f>
        <v>0</v>
      </c>
      <c r="I37" s="543" cm="1">
        <f t="array" aca="1" ref="I37" ca="1">IF(AUTOEVENTO="Manual",ROUND(SUMPRODUCT((CÁLCULO!$M$15:$M$131=EVENTOS!$C37)*(OFFSET(CÁLCULO!$AI$15:$AI$131,0,I$13))),2),0)</f>
        <v>0</v>
      </c>
      <c r="J37" s="543" cm="1">
        <f t="array" aca="1" ref="J37" ca="1">IF(AUTOEVENTO="Manual",ROUND(SUMPRODUCT((CÁLCULO!$M$15:$M$131=EVENTOS!$C37)*(OFFSET(CÁLCULO!$AI$15:$AI$131,0,J$13))),2),0)</f>
        <v>0</v>
      </c>
      <c r="K37" s="543" cm="1">
        <f t="array" aca="1" ref="K37" ca="1">IF(AUTOEVENTO="Manual",ROUND(SUMPRODUCT((CÁLCULO!$M$15:$M$131=EVENTOS!$C37)*(OFFSET(CÁLCULO!$AI$15:$AI$131,0,K$13))),2),0)</f>
        <v>0</v>
      </c>
      <c r="L37" s="543" cm="1">
        <f t="array" aca="1" ref="L37" ca="1">IF(AUTOEVENTO="Manual",ROUND(SUMPRODUCT((CÁLCULO!$M$15:$M$131=EVENTOS!$C37)*(OFFSET(CÁLCULO!$AI$15:$AI$131,0,L$13))),2),0)</f>
        <v>0</v>
      </c>
      <c r="M37" s="543" cm="1">
        <f t="array" aca="1" ref="M37" ca="1">IF(AUTOEVENTO="Manual",ROUND(SUMPRODUCT((CÁLCULO!$M$15:$M$131=EVENTOS!$C37)*(OFFSET(CÁLCULO!$AI$15:$AI$131,0,M$13))),2),0)</f>
        <v>0</v>
      </c>
      <c r="N37" s="543" cm="1">
        <f t="array" aca="1" ref="N37" ca="1">IF(AUTOEVENTO="Manual",ROUND(SUMPRODUCT((CÁLCULO!$M$15:$M$131=EVENTOS!$C37)*(OFFSET(CÁLCULO!$AI$15:$AI$131,0,N$13))),2),0)</f>
        <v>0</v>
      </c>
      <c r="O37" s="543" cm="1">
        <f t="array" aca="1" ref="O37" ca="1">IF(AUTOEVENTO="Manual",ROUND(SUMPRODUCT((CÁLCULO!$M$15:$M$131=EVENTOS!$C37)*(OFFSET(CÁLCULO!$AI$15:$AI$131,0,O$13))),2),0)</f>
        <v>0</v>
      </c>
      <c r="P37" s="543" cm="1">
        <f t="array" aca="1" ref="P37" ca="1">IF(AUTOEVENTO="Manual",ROUND(SUMPRODUCT((CÁLCULO!$M$15:$M$131=EVENTOS!$C37)*(OFFSET(CÁLCULO!$AI$15:$AI$131,0,P$13))),2),0)</f>
        <v>0</v>
      </c>
      <c r="Q37" s="543" cm="1">
        <f t="array" aca="1" ref="Q37" ca="1">IF(AUTOEVENTO="Manual",ROUND(SUMPRODUCT((CÁLCULO!$M$15:$M$131=EVENTOS!$C37)*(OFFSET(CÁLCULO!$AI$15:$AI$131,0,Q$13))),2),0)</f>
        <v>0</v>
      </c>
      <c r="R37" s="543" cm="1">
        <f t="array" aca="1" ref="R37" ca="1">IF(AUTOEVENTO="Manual",ROUND(SUMPRODUCT((CÁLCULO!$M$15:$M$131=EVENTOS!$C37)*(OFFSET(CÁLCULO!$AI$15:$AI$131,0,R$13))),2),0)</f>
        <v>0</v>
      </c>
      <c r="S37" s="543" cm="1">
        <f t="array" aca="1" ref="S37" ca="1">IF(AUTOEVENTO="Manual",ROUND(SUMPRODUCT((CÁLCULO!$M$15:$M$131=EVENTOS!$C37)*(OFFSET(CÁLCULO!$AI$15:$AI$131,0,S$13))),2),0)</f>
        <v>0</v>
      </c>
      <c r="T37" s="543" cm="1">
        <f t="array" aca="1" ref="T37" ca="1">IF(AUTOEVENTO="Manual",ROUND(SUMPRODUCT((CÁLCULO!$M$15:$M$131=EVENTOS!$C37)*(OFFSET(CÁLCULO!$AI$15:$AI$131,0,T$13))),2),0)</f>
        <v>0</v>
      </c>
      <c r="U37" s="543" cm="1">
        <f t="array" aca="1" ref="U37" ca="1">IF(AUTOEVENTO="Manual",ROUND(SUMPRODUCT((CÁLCULO!$M$15:$M$131=EVENTOS!$C37)*(OFFSET(CÁLCULO!$AI$15:$AI$131,0,U$13))),2),0)</f>
        <v>0</v>
      </c>
      <c r="V37" s="543" cm="1">
        <f t="array" aca="1" ref="V37" ca="1">IF(AUTOEVENTO="Manual",ROUND(SUMPRODUCT((CÁLCULO!$M$15:$M$131=EVENTOS!$C37)*(OFFSET(CÁLCULO!$AI$15:$AI$131,0,V$13))),2),0)</f>
        <v>0</v>
      </c>
      <c r="W37" s="543" cm="1">
        <f t="array" aca="1" ref="W37" ca="1">IF(AUTOEVENTO="Manual",ROUND(SUMPRODUCT((CÁLCULO!$M$15:$M$131=EVENTOS!$C37)*(OFFSET(CÁLCULO!$AI$15:$AI$131,0,W$13))),2),0)</f>
        <v>0</v>
      </c>
      <c r="X37" s="543" cm="1">
        <f t="array" aca="1" ref="X37" ca="1">IF(AUTOEVENTO="Manual",ROUND(SUMPRODUCT((CÁLCULO!$M$15:$M$131=EVENTOS!$C37)*(OFFSET(CÁLCULO!$AI$15:$AI$131,0,X$13))),2),0)</f>
        <v>0</v>
      </c>
      <c r="Y37" s="543" cm="1">
        <f t="array" aca="1" ref="Y37" ca="1">IF(AUTOEVENTO="Manual",ROUND(SUMPRODUCT((CÁLCULO!$M$15:$M$131=EVENTOS!$C37)*(OFFSET(CÁLCULO!$AI$15:$AI$131,0,Y$13))),2),0)</f>
        <v>0</v>
      </c>
    </row>
    <row r="38" spans="1:25" x14ac:dyDescent="0.2">
      <c r="A38" s="546" t="str">
        <f t="shared" si="3"/>
        <v/>
      </c>
      <c r="B38" t="str">
        <f t="shared" ca="1" si="4"/>
        <v/>
      </c>
      <c r="C38" s="191" t="str" cm="1">
        <f t="array" aca="1" ref="C38" ca="1">IF(OR(ROW(C38)=ROW(EVENTOS.firstrow)+1,AND(OFFSET(C38,-1,0)&lt;&gt;" ",OFFSET(C38,-1,1)&lt;&gt;"")),OFFSET(C38,-1,0)+1," ")</f>
        <v xml:space="preserve"> </v>
      </c>
      <c r="D38" s="532"/>
      <c r="E38" s="543" cm="1">
        <f t="array" aca="1" ref="E38" ca="1">IF(AUTOEVENTO="Manual",ROUND(SUMPRODUCT((CÁLCULO!$M$15:$M$131=EVENTOS!$C38)*(OFFSET(CÁLCULO!$AI$15:$AI$131,0,E$13))),2),0)</f>
        <v>0</v>
      </c>
      <c r="F38" s="192">
        <f ca="1">IF(AUTOEVENTO="Manual",ROUND(SUMPRODUCT((CÁLCULO!$M$15:$M$131=EVENTOS!$C38)*(OFFSET(CÁLCULO!$AI$15,0,1):OFFSET(CÁLCULO!$BB$131,0,-1))),2),0)</f>
        <v>0</v>
      </c>
      <c r="G38" s="627" t="str">
        <f ca="1">IF(AND(D38=0,F38&gt;0),"NOME",
 IF(AND(D38&lt;&gt;0,$F$14&gt;0,F38=0),"VALOR",
 IF(AND(Import.TipoArredondamento="TransfereGOV",$A38="F",LEN(D38)&gt;100),"Nome &gt;100","")))</f>
        <v/>
      </c>
      <c r="H38" s="543" cm="1">
        <f t="array" aca="1" ref="H38" ca="1">IF(AUTOEVENTO="Manual",ROUND(SUMPRODUCT((CÁLCULO!$M$15:$M$131=EVENTOS!$C38)*(OFFSET(CÁLCULO!$AI$15:$AI$131,0,H$13))),2),0)</f>
        <v>0</v>
      </c>
      <c r="I38" s="543" cm="1">
        <f t="array" aca="1" ref="I38" ca="1">IF(AUTOEVENTO="Manual",ROUND(SUMPRODUCT((CÁLCULO!$M$15:$M$131=EVENTOS!$C38)*(OFFSET(CÁLCULO!$AI$15:$AI$131,0,I$13))),2),0)</f>
        <v>0</v>
      </c>
      <c r="J38" s="543" cm="1">
        <f t="array" aca="1" ref="J38" ca="1">IF(AUTOEVENTO="Manual",ROUND(SUMPRODUCT((CÁLCULO!$M$15:$M$131=EVENTOS!$C38)*(OFFSET(CÁLCULO!$AI$15:$AI$131,0,J$13))),2),0)</f>
        <v>0</v>
      </c>
      <c r="K38" s="543" cm="1">
        <f t="array" aca="1" ref="K38" ca="1">IF(AUTOEVENTO="Manual",ROUND(SUMPRODUCT((CÁLCULO!$M$15:$M$131=EVENTOS!$C38)*(OFFSET(CÁLCULO!$AI$15:$AI$131,0,K$13))),2),0)</f>
        <v>0</v>
      </c>
      <c r="L38" s="543" cm="1">
        <f t="array" aca="1" ref="L38" ca="1">IF(AUTOEVENTO="Manual",ROUND(SUMPRODUCT((CÁLCULO!$M$15:$M$131=EVENTOS!$C38)*(OFFSET(CÁLCULO!$AI$15:$AI$131,0,L$13))),2),0)</f>
        <v>0</v>
      </c>
      <c r="M38" s="543" cm="1">
        <f t="array" aca="1" ref="M38" ca="1">IF(AUTOEVENTO="Manual",ROUND(SUMPRODUCT((CÁLCULO!$M$15:$M$131=EVENTOS!$C38)*(OFFSET(CÁLCULO!$AI$15:$AI$131,0,M$13))),2),0)</f>
        <v>0</v>
      </c>
      <c r="N38" s="543" cm="1">
        <f t="array" aca="1" ref="N38" ca="1">IF(AUTOEVENTO="Manual",ROUND(SUMPRODUCT((CÁLCULO!$M$15:$M$131=EVENTOS!$C38)*(OFFSET(CÁLCULO!$AI$15:$AI$131,0,N$13))),2),0)</f>
        <v>0</v>
      </c>
      <c r="O38" s="543" cm="1">
        <f t="array" aca="1" ref="O38" ca="1">IF(AUTOEVENTO="Manual",ROUND(SUMPRODUCT((CÁLCULO!$M$15:$M$131=EVENTOS!$C38)*(OFFSET(CÁLCULO!$AI$15:$AI$131,0,O$13))),2),0)</f>
        <v>0</v>
      </c>
      <c r="P38" s="543" cm="1">
        <f t="array" aca="1" ref="P38" ca="1">IF(AUTOEVENTO="Manual",ROUND(SUMPRODUCT((CÁLCULO!$M$15:$M$131=EVENTOS!$C38)*(OFFSET(CÁLCULO!$AI$15:$AI$131,0,P$13))),2),0)</f>
        <v>0</v>
      </c>
      <c r="Q38" s="543" cm="1">
        <f t="array" aca="1" ref="Q38" ca="1">IF(AUTOEVENTO="Manual",ROUND(SUMPRODUCT((CÁLCULO!$M$15:$M$131=EVENTOS!$C38)*(OFFSET(CÁLCULO!$AI$15:$AI$131,0,Q$13))),2),0)</f>
        <v>0</v>
      </c>
      <c r="R38" s="543" cm="1">
        <f t="array" aca="1" ref="R38" ca="1">IF(AUTOEVENTO="Manual",ROUND(SUMPRODUCT((CÁLCULO!$M$15:$M$131=EVENTOS!$C38)*(OFFSET(CÁLCULO!$AI$15:$AI$131,0,R$13))),2),0)</f>
        <v>0</v>
      </c>
      <c r="S38" s="543" cm="1">
        <f t="array" aca="1" ref="S38" ca="1">IF(AUTOEVENTO="Manual",ROUND(SUMPRODUCT((CÁLCULO!$M$15:$M$131=EVENTOS!$C38)*(OFFSET(CÁLCULO!$AI$15:$AI$131,0,S$13))),2),0)</f>
        <v>0</v>
      </c>
      <c r="T38" s="543" cm="1">
        <f t="array" aca="1" ref="T38" ca="1">IF(AUTOEVENTO="Manual",ROUND(SUMPRODUCT((CÁLCULO!$M$15:$M$131=EVENTOS!$C38)*(OFFSET(CÁLCULO!$AI$15:$AI$131,0,T$13))),2),0)</f>
        <v>0</v>
      </c>
      <c r="U38" s="543" cm="1">
        <f t="array" aca="1" ref="U38" ca="1">IF(AUTOEVENTO="Manual",ROUND(SUMPRODUCT((CÁLCULO!$M$15:$M$131=EVENTOS!$C38)*(OFFSET(CÁLCULO!$AI$15:$AI$131,0,U$13))),2),0)</f>
        <v>0</v>
      </c>
      <c r="V38" s="543" cm="1">
        <f t="array" aca="1" ref="V38" ca="1">IF(AUTOEVENTO="Manual",ROUND(SUMPRODUCT((CÁLCULO!$M$15:$M$131=EVENTOS!$C38)*(OFFSET(CÁLCULO!$AI$15:$AI$131,0,V$13))),2),0)</f>
        <v>0</v>
      </c>
      <c r="W38" s="543" cm="1">
        <f t="array" aca="1" ref="W38" ca="1">IF(AUTOEVENTO="Manual",ROUND(SUMPRODUCT((CÁLCULO!$M$15:$M$131=EVENTOS!$C38)*(OFFSET(CÁLCULO!$AI$15:$AI$131,0,W$13))),2),0)</f>
        <v>0</v>
      </c>
      <c r="X38" s="543" cm="1">
        <f t="array" aca="1" ref="X38" ca="1">IF(AUTOEVENTO="Manual",ROUND(SUMPRODUCT((CÁLCULO!$M$15:$M$131=EVENTOS!$C38)*(OFFSET(CÁLCULO!$AI$15:$AI$131,0,X$13))),2),0)</f>
        <v>0</v>
      </c>
      <c r="Y38" s="543" cm="1">
        <f t="array" aca="1" ref="Y38" ca="1">IF(AUTOEVENTO="Manual",ROUND(SUMPRODUCT((CÁLCULO!$M$15:$M$131=EVENTOS!$C38)*(OFFSET(CÁLCULO!$AI$15:$AI$131,0,Y$13))),2),0)</f>
        <v>0</v>
      </c>
    </row>
    <row r="39" spans="1:25" x14ac:dyDescent="0.2">
      <c r="A39" s="546" t="str">
        <f t="shared" si="3"/>
        <v/>
      </c>
      <c r="B39" t="str">
        <f t="shared" ca="1" si="4"/>
        <v/>
      </c>
      <c r="C39" s="191" t="str" cm="1">
        <f t="array" aca="1" ref="C39" ca="1">IF(OR(ROW(C39)=ROW(EVENTOS.firstrow)+1,AND(OFFSET(C39,-1,0)&lt;&gt;" ",OFFSET(C39,-1,1)&lt;&gt;"")),OFFSET(C39,-1,0)+1," ")</f>
        <v xml:space="preserve"> </v>
      </c>
      <c r="D39" s="532"/>
      <c r="E39" s="543" cm="1">
        <f t="array" aca="1" ref="E39" ca="1">IF(AUTOEVENTO="Manual",ROUND(SUMPRODUCT((CÁLCULO!$M$15:$M$131=EVENTOS!$C39)*(OFFSET(CÁLCULO!$AI$15:$AI$131,0,E$13))),2),0)</f>
        <v>0</v>
      </c>
      <c r="F39" s="192">
        <f ca="1">IF(AUTOEVENTO="Manual",ROUND(SUMPRODUCT((CÁLCULO!$M$15:$M$131=EVENTOS!$C39)*(OFFSET(CÁLCULO!$AI$15,0,1):OFFSET(CÁLCULO!$BB$131,0,-1))),2),0)</f>
        <v>0</v>
      </c>
      <c r="G39" s="627" t="str">
        <f ca="1">IF(AND(D39=0,F39&gt;0),"NOME",
 IF(AND(D39&lt;&gt;0,$F$14&gt;0,F39=0),"VALOR",
 IF(AND(Import.TipoArredondamento="TransfereGOV",$A39="F",LEN(D39)&gt;100),"Nome &gt;100","")))</f>
        <v/>
      </c>
      <c r="H39" s="543" cm="1">
        <f t="array" aca="1" ref="H39" ca="1">IF(AUTOEVENTO="Manual",ROUND(SUMPRODUCT((CÁLCULO!$M$15:$M$131=EVENTOS!$C39)*(OFFSET(CÁLCULO!$AI$15:$AI$131,0,H$13))),2),0)</f>
        <v>0</v>
      </c>
      <c r="I39" s="543" cm="1">
        <f t="array" aca="1" ref="I39" ca="1">IF(AUTOEVENTO="Manual",ROUND(SUMPRODUCT((CÁLCULO!$M$15:$M$131=EVENTOS!$C39)*(OFFSET(CÁLCULO!$AI$15:$AI$131,0,I$13))),2),0)</f>
        <v>0</v>
      </c>
      <c r="J39" s="543" cm="1">
        <f t="array" aca="1" ref="J39" ca="1">IF(AUTOEVENTO="Manual",ROUND(SUMPRODUCT((CÁLCULO!$M$15:$M$131=EVENTOS!$C39)*(OFFSET(CÁLCULO!$AI$15:$AI$131,0,J$13))),2),0)</f>
        <v>0</v>
      </c>
      <c r="K39" s="543" cm="1">
        <f t="array" aca="1" ref="K39" ca="1">IF(AUTOEVENTO="Manual",ROUND(SUMPRODUCT((CÁLCULO!$M$15:$M$131=EVENTOS!$C39)*(OFFSET(CÁLCULO!$AI$15:$AI$131,0,K$13))),2),0)</f>
        <v>0</v>
      </c>
      <c r="L39" s="543" cm="1">
        <f t="array" aca="1" ref="L39" ca="1">IF(AUTOEVENTO="Manual",ROUND(SUMPRODUCT((CÁLCULO!$M$15:$M$131=EVENTOS!$C39)*(OFFSET(CÁLCULO!$AI$15:$AI$131,0,L$13))),2),0)</f>
        <v>0</v>
      </c>
      <c r="M39" s="543" cm="1">
        <f t="array" aca="1" ref="M39" ca="1">IF(AUTOEVENTO="Manual",ROUND(SUMPRODUCT((CÁLCULO!$M$15:$M$131=EVENTOS!$C39)*(OFFSET(CÁLCULO!$AI$15:$AI$131,0,M$13))),2),0)</f>
        <v>0</v>
      </c>
      <c r="N39" s="543" cm="1">
        <f t="array" aca="1" ref="N39" ca="1">IF(AUTOEVENTO="Manual",ROUND(SUMPRODUCT((CÁLCULO!$M$15:$M$131=EVENTOS!$C39)*(OFFSET(CÁLCULO!$AI$15:$AI$131,0,N$13))),2),0)</f>
        <v>0</v>
      </c>
      <c r="O39" s="543" cm="1">
        <f t="array" aca="1" ref="O39" ca="1">IF(AUTOEVENTO="Manual",ROUND(SUMPRODUCT((CÁLCULO!$M$15:$M$131=EVENTOS!$C39)*(OFFSET(CÁLCULO!$AI$15:$AI$131,0,O$13))),2),0)</f>
        <v>0</v>
      </c>
      <c r="P39" s="543" cm="1">
        <f t="array" aca="1" ref="P39" ca="1">IF(AUTOEVENTO="Manual",ROUND(SUMPRODUCT((CÁLCULO!$M$15:$M$131=EVENTOS!$C39)*(OFFSET(CÁLCULO!$AI$15:$AI$131,0,P$13))),2),0)</f>
        <v>0</v>
      </c>
      <c r="Q39" s="543" cm="1">
        <f t="array" aca="1" ref="Q39" ca="1">IF(AUTOEVENTO="Manual",ROUND(SUMPRODUCT((CÁLCULO!$M$15:$M$131=EVENTOS!$C39)*(OFFSET(CÁLCULO!$AI$15:$AI$131,0,Q$13))),2),0)</f>
        <v>0</v>
      </c>
      <c r="R39" s="543" cm="1">
        <f t="array" aca="1" ref="R39" ca="1">IF(AUTOEVENTO="Manual",ROUND(SUMPRODUCT((CÁLCULO!$M$15:$M$131=EVENTOS!$C39)*(OFFSET(CÁLCULO!$AI$15:$AI$131,0,R$13))),2),0)</f>
        <v>0</v>
      </c>
      <c r="S39" s="543" cm="1">
        <f t="array" aca="1" ref="S39" ca="1">IF(AUTOEVENTO="Manual",ROUND(SUMPRODUCT((CÁLCULO!$M$15:$M$131=EVENTOS!$C39)*(OFFSET(CÁLCULO!$AI$15:$AI$131,0,S$13))),2),0)</f>
        <v>0</v>
      </c>
      <c r="T39" s="543" cm="1">
        <f t="array" aca="1" ref="T39" ca="1">IF(AUTOEVENTO="Manual",ROUND(SUMPRODUCT((CÁLCULO!$M$15:$M$131=EVENTOS!$C39)*(OFFSET(CÁLCULO!$AI$15:$AI$131,0,T$13))),2),0)</f>
        <v>0</v>
      </c>
      <c r="U39" s="543" cm="1">
        <f t="array" aca="1" ref="U39" ca="1">IF(AUTOEVENTO="Manual",ROUND(SUMPRODUCT((CÁLCULO!$M$15:$M$131=EVENTOS!$C39)*(OFFSET(CÁLCULO!$AI$15:$AI$131,0,U$13))),2),0)</f>
        <v>0</v>
      </c>
      <c r="V39" s="543" cm="1">
        <f t="array" aca="1" ref="V39" ca="1">IF(AUTOEVENTO="Manual",ROUND(SUMPRODUCT((CÁLCULO!$M$15:$M$131=EVENTOS!$C39)*(OFFSET(CÁLCULO!$AI$15:$AI$131,0,V$13))),2),0)</f>
        <v>0</v>
      </c>
      <c r="W39" s="543" cm="1">
        <f t="array" aca="1" ref="W39" ca="1">IF(AUTOEVENTO="Manual",ROUND(SUMPRODUCT((CÁLCULO!$M$15:$M$131=EVENTOS!$C39)*(OFFSET(CÁLCULO!$AI$15:$AI$131,0,W$13))),2),0)</f>
        <v>0</v>
      </c>
      <c r="X39" s="543" cm="1">
        <f t="array" aca="1" ref="X39" ca="1">IF(AUTOEVENTO="Manual",ROUND(SUMPRODUCT((CÁLCULO!$M$15:$M$131=EVENTOS!$C39)*(OFFSET(CÁLCULO!$AI$15:$AI$131,0,X$13))),2),0)</f>
        <v>0</v>
      </c>
      <c r="Y39" s="543" cm="1">
        <f t="array" aca="1" ref="Y39" ca="1">IF(AUTOEVENTO="Manual",ROUND(SUMPRODUCT((CÁLCULO!$M$15:$M$131=EVENTOS!$C39)*(OFFSET(CÁLCULO!$AI$15:$AI$131,0,Y$13))),2),0)</f>
        <v>0</v>
      </c>
    </row>
    <row r="40" spans="1:25" x14ac:dyDescent="0.2">
      <c r="A40" s="546" t="str">
        <f t="shared" si="3"/>
        <v/>
      </c>
      <c r="B40" t="str">
        <f t="shared" ca="1" si="4"/>
        <v/>
      </c>
      <c r="C40" s="191" t="str" cm="1">
        <f t="array" aca="1" ref="C40" ca="1">IF(OR(ROW(C40)=ROW(EVENTOS.firstrow)+1,AND(OFFSET(C40,-1,0)&lt;&gt;" ",OFFSET(C40,-1,1)&lt;&gt;"")),OFFSET(C40,-1,0)+1," ")</f>
        <v xml:space="preserve"> </v>
      </c>
      <c r="D40" s="532"/>
      <c r="E40" s="543" cm="1">
        <f t="array" aca="1" ref="E40" ca="1">IF(AUTOEVENTO="Manual",ROUND(SUMPRODUCT((CÁLCULO!$M$15:$M$131=EVENTOS!$C40)*(OFFSET(CÁLCULO!$AI$15:$AI$131,0,E$13))),2),0)</f>
        <v>0</v>
      </c>
      <c r="F40" s="192">
        <f ca="1">IF(AUTOEVENTO="Manual",ROUND(SUMPRODUCT((CÁLCULO!$M$15:$M$131=EVENTOS!$C40)*(OFFSET(CÁLCULO!$AI$15,0,1):OFFSET(CÁLCULO!$BB$131,0,-1))),2),0)</f>
        <v>0</v>
      </c>
      <c r="G40" s="627" t="str">
        <f ca="1">IF(AND(D40=0,F40&gt;0),"NOME",
 IF(AND(D40&lt;&gt;0,$F$14&gt;0,F40=0),"VALOR",
 IF(AND(Import.TipoArredondamento="TransfereGOV",$A40="F",LEN(D40)&gt;100),"Nome &gt;100","")))</f>
        <v/>
      </c>
      <c r="H40" s="543" cm="1">
        <f t="array" aca="1" ref="H40" ca="1">IF(AUTOEVENTO="Manual",ROUND(SUMPRODUCT((CÁLCULO!$M$15:$M$131=EVENTOS!$C40)*(OFFSET(CÁLCULO!$AI$15:$AI$131,0,H$13))),2),0)</f>
        <v>0</v>
      </c>
      <c r="I40" s="543" cm="1">
        <f t="array" aca="1" ref="I40" ca="1">IF(AUTOEVENTO="Manual",ROUND(SUMPRODUCT((CÁLCULO!$M$15:$M$131=EVENTOS!$C40)*(OFFSET(CÁLCULO!$AI$15:$AI$131,0,I$13))),2),0)</f>
        <v>0</v>
      </c>
      <c r="J40" s="543" cm="1">
        <f t="array" aca="1" ref="J40" ca="1">IF(AUTOEVENTO="Manual",ROUND(SUMPRODUCT((CÁLCULO!$M$15:$M$131=EVENTOS!$C40)*(OFFSET(CÁLCULO!$AI$15:$AI$131,0,J$13))),2),0)</f>
        <v>0</v>
      </c>
      <c r="K40" s="543" cm="1">
        <f t="array" aca="1" ref="K40" ca="1">IF(AUTOEVENTO="Manual",ROUND(SUMPRODUCT((CÁLCULO!$M$15:$M$131=EVENTOS!$C40)*(OFFSET(CÁLCULO!$AI$15:$AI$131,0,K$13))),2),0)</f>
        <v>0</v>
      </c>
      <c r="L40" s="543" cm="1">
        <f t="array" aca="1" ref="L40" ca="1">IF(AUTOEVENTO="Manual",ROUND(SUMPRODUCT((CÁLCULO!$M$15:$M$131=EVENTOS!$C40)*(OFFSET(CÁLCULO!$AI$15:$AI$131,0,L$13))),2),0)</f>
        <v>0</v>
      </c>
      <c r="M40" s="543" cm="1">
        <f t="array" aca="1" ref="M40" ca="1">IF(AUTOEVENTO="Manual",ROUND(SUMPRODUCT((CÁLCULO!$M$15:$M$131=EVENTOS!$C40)*(OFFSET(CÁLCULO!$AI$15:$AI$131,0,M$13))),2),0)</f>
        <v>0</v>
      </c>
      <c r="N40" s="543" cm="1">
        <f t="array" aca="1" ref="N40" ca="1">IF(AUTOEVENTO="Manual",ROUND(SUMPRODUCT((CÁLCULO!$M$15:$M$131=EVENTOS!$C40)*(OFFSET(CÁLCULO!$AI$15:$AI$131,0,N$13))),2),0)</f>
        <v>0</v>
      </c>
      <c r="O40" s="543" cm="1">
        <f t="array" aca="1" ref="O40" ca="1">IF(AUTOEVENTO="Manual",ROUND(SUMPRODUCT((CÁLCULO!$M$15:$M$131=EVENTOS!$C40)*(OFFSET(CÁLCULO!$AI$15:$AI$131,0,O$13))),2),0)</f>
        <v>0</v>
      </c>
      <c r="P40" s="543" cm="1">
        <f t="array" aca="1" ref="P40" ca="1">IF(AUTOEVENTO="Manual",ROUND(SUMPRODUCT((CÁLCULO!$M$15:$M$131=EVENTOS!$C40)*(OFFSET(CÁLCULO!$AI$15:$AI$131,0,P$13))),2),0)</f>
        <v>0</v>
      </c>
      <c r="Q40" s="543" cm="1">
        <f t="array" aca="1" ref="Q40" ca="1">IF(AUTOEVENTO="Manual",ROUND(SUMPRODUCT((CÁLCULO!$M$15:$M$131=EVENTOS!$C40)*(OFFSET(CÁLCULO!$AI$15:$AI$131,0,Q$13))),2),0)</f>
        <v>0</v>
      </c>
      <c r="R40" s="543" cm="1">
        <f t="array" aca="1" ref="R40" ca="1">IF(AUTOEVENTO="Manual",ROUND(SUMPRODUCT((CÁLCULO!$M$15:$M$131=EVENTOS!$C40)*(OFFSET(CÁLCULO!$AI$15:$AI$131,0,R$13))),2),0)</f>
        <v>0</v>
      </c>
      <c r="S40" s="543" cm="1">
        <f t="array" aca="1" ref="S40" ca="1">IF(AUTOEVENTO="Manual",ROUND(SUMPRODUCT((CÁLCULO!$M$15:$M$131=EVENTOS!$C40)*(OFFSET(CÁLCULO!$AI$15:$AI$131,0,S$13))),2),0)</f>
        <v>0</v>
      </c>
      <c r="T40" s="543" cm="1">
        <f t="array" aca="1" ref="T40" ca="1">IF(AUTOEVENTO="Manual",ROUND(SUMPRODUCT((CÁLCULO!$M$15:$M$131=EVENTOS!$C40)*(OFFSET(CÁLCULO!$AI$15:$AI$131,0,T$13))),2),0)</f>
        <v>0</v>
      </c>
      <c r="U40" s="543" cm="1">
        <f t="array" aca="1" ref="U40" ca="1">IF(AUTOEVENTO="Manual",ROUND(SUMPRODUCT((CÁLCULO!$M$15:$M$131=EVENTOS!$C40)*(OFFSET(CÁLCULO!$AI$15:$AI$131,0,U$13))),2),0)</f>
        <v>0</v>
      </c>
      <c r="V40" s="543" cm="1">
        <f t="array" aca="1" ref="V40" ca="1">IF(AUTOEVENTO="Manual",ROUND(SUMPRODUCT((CÁLCULO!$M$15:$M$131=EVENTOS!$C40)*(OFFSET(CÁLCULO!$AI$15:$AI$131,0,V$13))),2),0)</f>
        <v>0</v>
      </c>
      <c r="W40" s="543" cm="1">
        <f t="array" aca="1" ref="W40" ca="1">IF(AUTOEVENTO="Manual",ROUND(SUMPRODUCT((CÁLCULO!$M$15:$M$131=EVENTOS!$C40)*(OFFSET(CÁLCULO!$AI$15:$AI$131,0,W$13))),2),0)</f>
        <v>0</v>
      </c>
      <c r="X40" s="543" cm="1">
        <f t="array" aca="1" ref="X40" ca="1">IF(AUTOEVENTO="Manual",ROUND(SUMPRODUCT((CÁLCULO!$M$15:$M$131=EVENTOS!$C40)*(OFFSET(CÁLCULO!$AI$15:$AI$131,0,X$13))),2),0)</f>
        <v>0</v>
      </c>
      <c r="Y40" s="543" cm="1">
        <f t="array" aca="1" ref="Y40" ca="1">IF(AUTOEVENTO="Manual",ROUND(SUMPRODUCT((CÁLCULO!$M$15:$M$131=EVENTOS!$C40)*(OFFSET(CÁLCULO!$AI$15:$AI$131,0,Y$13))),2),0)</f>
        <v>0</v>
      </c>
    </row>
    <row r="41" spans="1:25" x14ac:dyDescent="0.2">
      <c r="A41" s="546" t="str">
        <f t="shared" si="3"/>
        <v/>
      </c>
      <c r="B41" t="str">
        <f t="shared" ca="1" si="4"/>
        <v/>
      </c>
      <c r="C41" s="191" t="str" cm="1">
        <f t="array" aca="1" ref="C41" ca="1">IF(OR(ROW(C41)=ROW(EVENTOS.firstrow)+1,AND(OFFSET(C41,-1,0)&lt;&gt;" ",OFFSET(C41,-1,1)&lt;&gt;"")),OFFSET(C41,-1,0)+1," ")</f>
        <v xml:space="preserve"> </v>
      </c>
      <c r="D41" s="532"/>
      <c r="E41" s="543" cm="1">
        <f t="array" aca="1" ref="E41" ca="1">IF(AUTOEVENTO="Manual",ROUND(SUMPRODUCT((CÁLCULO!$M$15:$M$131=EVENTOS!$C41)*(OFFSET(CÁLCULO!$AI$15:$AI$131,0,E$13))),2),0)</f>
        <v>0</v>
      </c>
      <c r="F41" s="192">
        <f ca="1">IF(AUTOEVENTO="Manual",ROUND(SUMPRODUCT((CÁLCULO!$M$15:$M$131=EVENTOS!$C41)*(OFFSET(CÁLCULO!$AI$15,0,1):OFFSET(CÁLCULO!$BB$131,0,-1))),2),0)</f>
        <v>0</v>
      </c>
      <c r="G41" s="627" t="str">
        <f ca="1">IF(AND(D41=0,F41&gt;0),"NOME",
 IF(AND(D41&lt;&gt;0,$F$14&gt;0,F41=0),"VALOR",
 IF(AND(Import.TipoArredondamento="TransfereGOV",$A41="F",LEN(D41)&gt;100),"Nome &gt;100","")))</f>
        <v/>
      </c>
      <c r="H41" s="543" cm="1">
        <f t="array" aca="1" ref="H41" ca="1">IF(AUTOEVENTO="Manual",ROUND(SUMPRODUCT((CÁLCULO!$M$15:$M$131=EVENTOS!$C41)*(OFFSET(CÁLCULO!$AI$15:$AI$131,0,H$13))),2),0)</f>
        <v>0</v>
      </c>
      <c r="I41" s="543" cm="1">
        <f t="array" aca="1" ref="I41" ca="1">IF(AUTOEVENTO="Manual",ROUND(SUMPRODUCT((CÁLCULO!$M$15:$M$131=EVENTOS!$C41)*(OFFSET(CÁLCULO!$AI$15:$AI$131,0,I$13))),2),0)</f>
        <v>0</v>
      </c>
      <c r="J41" s="543" cm="1">
        <f t="array" aca="1" ref="J41" ca="1">IF(AUTOEVENTO="Manual",ROUND(SUMPRODUCT((CÁLCULO!$M$15:$M$131=EVENTOS!$C41)*(OFFSET(CÁLCULO!$AI$15:$AI$131,0,J$13))),2),0)</f>
        <v>0</v>
      </c>
      <c r="K41" s="543" cm="1">
        <f t="array" aca="1" ref="K41" ca="1">IF(AUTOEVENTO="Manual",ROUND(SUMPRODUCT((CÁLCULO!$M$15:$M$131=EVENTOS!$C41)*(OFFSET(CÁLCULO!$AI$15:$AI$131,0,K$13))),2),0)</f>
        <v>0</v>
      </c>
      <c r="L41" s="543" cm="1">
        <f t="array" aca="1" ref="L41" ca="1">IF(AUTOEVENTO="Manual",ROUND(SUMPRODUCT((CÁLCULO!$M$15:$M$131=EVENTOS!$C41)*(OFFSET(CÁLCULO!$AI$15:$AI$131,0,L$13))),2),0)</f>
        <v>0</v>
      </c>
      <c r="M41" s="543" cm="1">
        <f t="array" aca="1" ref="M41" ca="1">IF(AUTOEVENTO="Manual",ROUND(SUMPRODUCT((CÁLCULO!$M$15:$M$131=EVENTOS!$C41)*(OFFSET(CÁLCULO!$AI$15:$AI$131,0,M$13))),2),0)</f>
        <v>0</v>
      </c>
      <c r="N41" s="543" cm="1">
        <f t="array" aca="1" ref="N41" ca="1">IF(AUTOEVENTO="Manual",ROUND(SUMPRODUCT((CÁLCULO!$M$15:$M$131=EVENTOS!$C41)*(OFFSET(CÁLCULO!$AI$15:$AI$131,0,N$13))),2),0)</f>
        <v>0</v>
      </c>
      <c r="O41" s="543" cm="1">
        <f t="array" aca="1" ref="O41" ca="1">IF(AUTOEVENTO="Manual",ROUND(SUMPRODUCT((CÁLCULO!$M$15:$M$131=EVENTOS!$C41)*(OFFSET(CÁLCULO!$AI$15:$AI$131,0,O$13))),2),0)</f>
        <v>0</v>
      </c>
      <c r="P41" s="543" cm="1">
        <f t="array" aca="1" ref="P41" ca="1">IF(AUTOEVENTO="Manual",ROUND(SUMPRODUCT((CÁLCULO!$M$15:$M$131=EVENTOS!$C41)*(OFFSET(CÁLCULO!$AI$15:$AI$131,0,P$13))),2),0)</f>
        <v>0</v>
      </c>
      <c r="Q41" s="543" cm="1">
        <f t="array" aca="1" ref="Q41" ca="1">IF(AUTOEVENTO="Manual",ROUND(SUMPRODUCT((CÁLCULO!$M$15:$M$131=EVENTOS!$C41)*(OFFSET(CÁLCULO!$AI$15:$AI$131,0,Q$13))),2),0)</f>
        <v>0</v>
      </c>
      <c r="R41" s="543" cm="1">
        <f t="array" aca="1" ref="R41" ca="1">IF(AUTOEVENTO="Manual",ROUND(SUMPRODUCT((CÁLCULO!$M$15:$M$131=EVENTOS!$C41)*(OFFSET(CÁLCULO!$AI$15:$AI$131,0,R$13))),2),0)</f>
        <v>0</v>
      </c>
      <c r="S41" s="543" cm="1">
        <f t="array" aca="1" ref="S41" ca="1">IF(AUTOEVENTO="Manual",ROUND(SUMPRODUCT((CÁLCULO!$M$15:$M$131=EVENTOS!$C41)*(OFFSET(CÁLCULO!$AI$15:$AI$131,0,S$13))),2),0)</f>
        <v>0</v>
      </c>
      <c r="T41" s="543" cm="1">
        <f t="array" aca="1" ref="T41" ca="1">IF(AUTOEVENTO="Manual",ROUND(SUMPRODUCT((CÁLCULO!$M$15:$M$131=EVENTOS!$C41)*(OFFSET(CÁLCULO!$AI$15:$AI$131,0,T$13))),2),0)</f>
        <v>0</v>
      </c>
      <c r="U41" s="543" cm="1">
        <f t="array" aca="1" ref="U41" ca="1">IF(AUTOEVENTO="Manual",ROUND(SUMPRODUCT((CÁLCULO!$M$15:$M$131=EVENTOS!$C41)*(OFFSET(CÁLCULO!$AI$15:$AI$131,0,U$13))),2),0)</f>
        <v>0</v>
      </c>
      <c r="V41" s="543" cm="1">
        <f t="array" aca="1" ref="V41" ca="1">IF(AUTOEVENTO="Manual",ROUND(SUMPRODUCT((CÁLCULO!$M$15:$M$131=EVENTOS!$C41)*(OFFSET(CÁLCULO!$AI$15:$AI$131,0,V$13))),2),0)</f>
        <v>0</v>
      </c>
      <c r="W41" s="543" cm="1">
        <f t="array" aca="1" ref="W41" ca="1">IF(AUTOEVENTO="Manual",ROUND(SUMPRODUCT((CÁLCULO!$M$15:$M$131=EVENTOS!$C41)*(OFFSET(CÁLCULO!$AI$15:$AI$131,0,W$13))),2),0)</f>
        <v>0</v>
      </c>
      <c r="X41" s="543" cm="1">
        <f t="array" aca="1" ref="X41" ca="1">IF(AUTOEVENTO="Manual",ROUND(SUMPRODUCT((CÁLCULO!$M$15:$M$131=EVENTOS!$C41)*(OFFSET(CÁLCULO!$AI$15:$AI$131,0,X$13))),2),0)</f>
        <v>0</v>
      </c>
      <c r="Y41" s="543" cm="1">
        <f t="array" aca="1" ref="Y41" ca="1">IF(AUTOEVENTO="Manual",ROUND(SUMPRODUCT((CÁLCULO!$M$15:$M$131=EVENTOS!$C41)*(OFFSET(CÁLCULO!$AI$15:$AI$131,0,Y$13))),2),0)</f>
        <v>0</v>
      </c>
    </row>
    <row r="42" spans="1:25" x14ac:dyDescent="0.2">
      <c r="A42" s="546" t="str">
        <f t="shared" si="3"/>
        <v/>
      </c>
      <c r="B42" t="str">
        <f t="shared" ca="1" si="4"/>
        <v/>
      </c>
      <c r="C42" s="191" t="str" cm="1">
        <f t="array" aca="1" ref="C42" ca="1">IF(OR(ROW(C42)=ROW(EVENTOS.firstrow)+1,AND(OFFSET(C42,-1,0)&lt;&gt;" ",OFFSET(C42,-1,1)&lt;&gt;"")),OFFSET(C42,-1,0)+1," ")</f>
        <v xml:space="preserve"> </v>
      </c>
      <c r="D42" s="532"/>
      <c r="E42" s="543" cm="1">
        <f t="array" aca="1" ref="E42" ca="1">IF(AUTOEVENTO="Manual",ROUND(SUMPRODUCT((CÁLCULO!$M$15:$M$131=EVENTOS!$C42)*(OFFSET(CÁLCULO!$AI$15:$AI$131,0,E$13))),2),0)</f>
        <v>0</v>
      </c>
      <c r="F42" s="192">
        <f ca="1">IF(AUTOEVENTO="Manual",ROUND(SUMPRODUCT((CÁLCULO!$M$15:$M$131=EVENTOS!$C42)*(OFFSET(CÁLCULO!$AI$15,0,1):OFFSET(CÁLCULO!$BB$131,0,-1))),2),0)</f>
        <v>0</v>
      </c>
      <c r="G42" s="627" t="str">
        <f ca="1">IF(AND(D42=0,F42&gt;0),"NOME",
 IF(AND(D42&lt;&gt;0,$F$14&gt;0,F42=0),"VALOR",
 IF(AND(Import.TipoArredondamento="TransfereGOV",$A42="F",LEN(D42)&gt;100),"Nome &gt;100","")))</f>
        <v/>
      </c>
      <c r="H42" s="543" cm="1">
        <f t="array" aca="1" ref="H42" ca="1">IF(AUTOEVENTO="Manual",ROUND(SUMPRODUCT((CÁLCULO!$M$15:$M$131=EVENTOS!$C42)*(OFFSET(CÁLCULO!$AI$15:$AI$131,0,H$13))),2),0)</f>
        <v>0</v>
      </c>
      <c r="I42" s="543" cm="1">
        <f t="array" aca="1" ref="I42" ca="1">IF(AUTOEVENTO="Manual",ROUND(SUMPRODUCT((CÁLCULO!$M$15:$M$131=EVENTOS!$C42)*(OFFSET(CÁLCULO!$AI$15:$AI$131,0,I$13))),2),0)</f>
        <v>0</v>
      </c>
      <c r="J42" s="543" cm="1">
        <f t="array" aca="1" ref="J42" ca="1">IF(AUTOEVENTO="Manual",ROUND(SUMPRODUCT((CÁLCULO!$M$15:$M$131=EVENTOS!$C42)*(OFFSET(CÁLCULO!$AI$15:$AI$131,0,J$13))),2),0)</f>
        <v>0</v>
      </c>
      <c r="K42" s="543" cm="1">
        <f t="array" aca="1" ref="K42" ca="1">IF(AUTOEVENTO="Manual",ROUND(SUMPRODUCT((CÁLCULO!$M$15:$M$131=EVENTOS!$C42)*(OFFSET(CÁLCULO!$AI$15:$AI$131,0,K$13))),2),0)</f>
        <v>0</v>
      </c>
      <c r="L42" s="543" cm="1">
        <f t="array" aca="1" ref="L42" ca="1">IF(AUTOEVENTO="Manual",ROUND(SUMPRODUCT((CÁLCULO!$M$15:$M$131=EVENTOS!$C42)*(OFFSET(CÁLCULO!$AI$15:$AI$131,0,L$13))),2),0)</f>
        <v>0</v>
      </c>
      <c r="M42" s="543" cm="1">
        <f t="array" aca="1" ref="M42" ca="1">IF(AUTOEVENTO="Manual",ROUND(SUMPRODUCT((CÁLCULO!$M$15:$M$131=EVENTOS!$C42)*(OFFSET(CÁLCULO!$AI$15:$AI$131,0,M$13))),2),0)</f>
        <v>0</v>
      </c>
      <c r="N42" s="543" cm="1">
        <f t="array" aca="1" ref="N42" ca="1">IF(AUTOEVENTO="Manual",ROUND(SUMPRODUCT((CÁLCULO!$M$15:$M$131=EVENTOS!$C42)*(OFFSET(CÁLCULO!$AI$15:$AI$131,0,N$13))),2),0)</f>
        <v>0</v>
      </c>
      <c r="O42" s="543" cm="1">
        <f t="array" aca="1" ref="O42" ca="1">IF(AUTOEVENTO="Manual",ROUND(SUMPRODUCT((CÁLCULO!$M$15:$M$131=EVENTOS!$C42)*(OFFSET(CÁLCULO!$AI$15:$AI$131,0,O$13))),2),0)</f>
        <v>0</v>
      </c>
      <c r="P42" s="543" cm="1">
        <f t="array" aca="1" ref="P42" ca="1">IF(AUTOEVENTO="Manual",ROUND(SUMPRODUCT((CÁLCULO!$M$15:$M$131=EVENTOS!$C42)*(OFFSET(CÁLCULO!$AI$15:$AI$131,0,P$13))),2),0)</f>
        <v>0</v>
      </c>
      <c r="Q42" s="543" cm="1">
        <f t="array" aca="1" ref="Q42" ca="1">IF(AUTOEVENTO="Manual",ROUND(SUMPRODUCT((CÁLCULO!$M$15:$M$131=EVENTOS!$C42)*(OFFSET(CÁLCULO!$AI$15:$AI$131,0,Q$13))),2),0)</f>
        <v>0</v>
      </c>
      <c r="R42" s="543" cm="1">
        <f t="array" aca="1" ref="R42" ca="1">IF(AUTOEVENTO="Manual",ROUND(SUMPRODUCT((CÁLCULO!$M$15:$M$131=EVENTOS!$C42)*(OFFSET(CÁLCULO!$AI$15:$AI$131,0,R$13))),2),0)</f>
        <v>0</v>
      </c>
      <c r="S42" s="543" cm="1">
        <f t="array" aca="1" ref="S42" ca="1">IF(AUTOEVENTO="Manual",ROUND(SUMPRODUCT((CÁLCULO!$M$15:$M$131=EVENTOS!$C42)*(OFFSET(CÁLCULO!$AI$15:$AI$131,0,S$13))),2),0)</f>
        <v>0</v>
      </c>
      <c r="T42" s="543" cm="1">
        <f t="array" aca="1" ref="T42" ca="1">IF(AUTOEVENTO="Manual",ROUND(SUMPRODUCT((CÁLCULO!$M$15:$M$131=EVENTOS!$C42)*(OFFSET(CÁLCULO!$AI$15:$AI$131,0,T$13))),2),0)</f>
        <v>0</v>
      </c>
      <c r="U42" s="543" cm="1">
        <f t="array" aca="1" ref="U42" ca="1">IF(AUTOEVENTO="Manual",ROUND(SUMPRODUCT((CÁLCULO!$M$15:$M$131=EVENTOS!$C42)*(OFFSET(CÁLCULO!$AI$15:$AI$131,0,U$13))),2),0)</f>
        <v>0</v>
      </c>
      <c r="V42" s="543" cm="1">
        <f t="array" aca="1" ref="V42" ca="1">IF(AUTOEVENTO="Manual",ROUND(SUMPRODUCT((CÁLCULO!$M$15:$M$131=EVENTOS!$C42)*(OFFSET(CÁLCULO!$AI$15:$AI$131,0,V$13))),2),0)</f>
        <v>0</v>
      </c>
      <c r="W42" s="543" cm="1">
        <f t="array" aca="1" ref="W42" ca="1">IF(AUTOEVENTO="Manual",ROUND(SUMPRODUCT((CÁLCULO!$M$15:$M$131=EVENTOS!$C42)*(OFFSET(CÁLCULO!$AI$15:$AI$131,0,W$13))),2),0)</f>
        <v>0</v>
      </c>
      <c r="X42" s="543" cm="1">
        <f t="array" aca="1" ref="X42" ca="1">IF(AUTOEVENTO="Manual",ROUND(SUMPRODUCT((CÁLCULO!$M$15:$M$131=EVENTOS!$C42)*(OFFSET(CÁLCULO!$AI$15:$AI$131,0,X$13))),2),0)</f>
        <v>0</v>
      </c>
      <c r="Y42" s="543" cm="1">
        <f t="array" aca="1" ref="Y42" ca="1">IF(AUTOEVENTO="Manual",ROUND(SUMPRODUCT((CÁLCULO!$M$15:$M$131=EVENTOS!$C42)*(OFFSET(CÁLCULO!$AI$15:$AI$131,0,Y$13))),2),0)</f>
        <v>0</v>
      </c>
    </row>
    <row r="43" spans="1:25" x14ac:dyDescent="0.2">
      <c r="A43" s="546" t="str">
        <f t="shared" si="3"/>
        <v/>
      </c>
      <c r="B43" t="str">
        <f t="shared" ca="1" si="4"/>
        <v/>
      </c>
      <c r="C43" s="191" t="str" cm="1">
        <f t="array" aca="1" ref="C43" ca="1">IF(OR(ROW(C43)=ROW(EVENTOS.firstrow)+1,AND(OFFSET(C43,-1,0)&lt;&gt;" ",OFFSET(C43,-1,1)&lt;&gt;"")),OFFSET(C43,-1,0)+1," ")</f>
        <v xml:space="preserve"> </v>
      </c>
      <c r="D43" s="532"/>
      <c r="E43" s="543" cm="1">
        <f t="array" aca="1" ref="E43" ca="1">IF(AUTOEVENTO="Manual",ROUND(SUMPRODUCT((CÁLCULO!$M$15:$M$131=EVENTOS!$C43)*(OFFSET(CÁLCULO!$AI$15:$AI$131,0,E$13))),2),0)</f>
        <v>0</v>
      </c>
      <c r="F43" s="192">
        <f ca="1">IF(AUTOEVENTO="Manual",ROUND(SUMPRODUCT((CÁLCULO!$M$15:$M$131=EVENTOS!$C43)*(OFFSET(CÁLCULO!$AI$15,0,1):OFFSET(CÁLCULO!$BB$131,0,-1))),2),0)</f>
        <v>0</v>
      </c>
      <c r="G43" s="627" t="str">
        <f ca="1">IF(AND(D43=0,F43&gt;0),"NOME",
 IF(AND(D43&lt;&gt;0,$F$14&gt;0,F43=0),"VALOR",
 IF(AND(Import.TipoArredondamento="TransfereGOV",$A43="F",LEN(D43)&gt;100),"Nome &gt;100","")))</f>
        <v/>
      </c>
      <c r="H43" s="543" cm="1">
        <f t="array" aca="1" ref="H43" ca="1">IF(AUTOEVENTO="Manual",ROUND(SUMPRODUCT((CÁLCULO!$M$15:$M$131=EVENTOS!$C43)*(OFFSET(CÁLCULO!$AI$15:$AI$131,0,H$13))),2),0)</f>
        <v>0</v>
      </c>
      <c r="I43" s="543" cm="1">
        <f t="array" aca="1" ref="I43" ca="1">IF(AUTOEVENTO="Manual",ROUND(SUMPRODUCT((CÁLCULO!$M$15:$M$131=EVENTOS!$C43)*(OFFSET(CÁLCULO!$AI$15:$AI$131,0,I$13))),2),0)</f>
        <v>0</v>
      </c>
      <c r="J43" s="543" cm="1">
        <f t="array" aca="1" ref="J43" ca="1">IF(AUTOEVENTO="Manual",ROUND(SUMPRODUCT((CÁLCULO!$M$15:$M$131=EVENTOS!$C43)*(OFFSET(CÁLCULO!$AI$15:$AI$131,0,J$13))),2),0)</f>
        <v>0</v>
      </c>
      <c r="K43" s="543" cm="1">
        <f t="array" aca="1" ref="K43" ca="1">IF(AUTOEVENTO="Manual",ROUND(SUMPRODUCT((CÁLCULO!$M$15:$M$131=EVENTOS!$C43)*(OFFSET(CÁLCULO!$AI$15:$AI$131,0,K$13))),2),0)</f>
        <v>0</v>
      </c>
      <c r="L43" s="543" cm="1">
        <f t="array" aca="1" ref="L43" ca="1">IF(AUTOEVENTO="Manual",ROUND(SUMPRODUCT((CÁLCULO!$M$15:$M$131=EVENTOS!$C43)*(OFFSET(CÁLCULO!$AI$15:$AI$131,0,L$13))),2),0)</f>
        <v>0</v>
      </c>
      <c r="M43" s="543" cm="1">
        <f t="array" aca="1" ref="M43" ca="1">IF(AUTOEVENTO="Manual",ROUND(SUMPRODUCT((CÁLCULO!$M$15:$M$131=EVENTOS!$C43)*(OFFSET(CÁLCULO!$AI$15:$AI$131,0,M$13))),2),0)</f>
        <v>0</v>
      </c>
      <c r="N43" s="543" cm="1">
        <f t="array" aca="1" ref="N43" ca="1">IF(AUTOEVENTO="Manual",ROUND(SUMPRODUCT((CÁLCULO!$M$15:$M$131=EVENTOS!$C43)*(OFFSET(CÁLCULO!$AI$15:$AI$131,0,N$13))),2),0)</f>
        <v>0</v>
      </c>
      <c r="O43" s="543" cm="1">
        <f t="array" aca="1" ref="O43" ca="1">IF(AUTOEVENTO="Manual",ROUND(SUMPRODUCT((CÁLCULO!$M$15:$M$131=EVENTOS!$C43)*(OFFSET(CÁLCULO!$AI$15:$AI$131,0,O$13))),2),0)</f>
        <v>0</v>
      </c>
      <c r="P43" s="543" cm="1">
        <f t="array" aca="1" ref="P43" ca="1">IF(AUTOEVENTO="Manual",ROUND(SUMPRODUCT((CÁLCULO!$M$15:$M$131=EVENTOS!$C43)*(OFFSET(CÁLCULO!$AI$15:$AI$131,0,P$13))),2),0)</f>
        <v>0</v>
      </c>
      <c r="Q43" s="543" cm="1">
        <f t="array" aca="1" ref="Q43" ca="1">IF(AUTOEVENTO="Manual",ROUND(SUMPRODUCT((CÁLCULO!$M$15:$M$131=EVENTOS!$C43)*(OFFSET(CÁLCULO!$AI$15:$AI$131,0,Q$13))),2),0)</f>
        <v>0</v>
      </c>
      <c r="R43" s="543" cm="1">
        <f t="array" aca="1" ref="R43" ca="1">IF(AUTOEVENTO="Manual",ROUND(SUMPRODUCT((CÁLCULO!$M$15:$M$131=EVENTOS!$C43)*(OFFSET(CÁLCULO!$AI$15:$AI$131,0,R$13))),2),0)</f>
        <v>0</v>
      </c>
      <c r="S43" s="543" cm="1">
        <f t="array" aca="1" ref="S43" ca="1">IF(AUTOEVENTO="Manual",ROUND(SUMPRODUCT((CÁLCULO!$M$15:$M$131=EVENTOS!$C43)*(OFFSET(CÁLCULO!$AI$15:$AI$131,0,S$13))),2),0)</f>
        <v>0</v>
      </c>
      <c r="T43" s="543" cm="1">
        <f t="array" aca="1" ref="T43" ca="1">IF(AUTOEVENTO="Manual",ROUND(SUMPRODUCT((CÁLCULO!$M$15:$M$131=EVENTOS!$C43)*(OFFSET(CÁLCULO!$AI$15:$AI$131,0,T$13))),2),0)</f>
        <v>0</v>
      </c>
      <c r="U43" s="543" cm="1">
        <f t="array" aca="1" ref="U43" ca="1">IF(AUTOEVENTO="Manual",ROUND(SUMPRODUCT((CÁLCULO!$M$15:$M$131=EVENTOS!$C43)*(OFFSET(CÁLCULO!$AI$15:$AI$131,0,U$13))),2),0)</f>
        <v>0</v>
      </c>
      <c r="V43" s="543" cm="1">
        <f t="array" aca="1" ref="V43" ca="1">IF(AUTOEVENTO="Manual",ROUND(SUMPRODUCT((CÁLCULO!$M$15:$M$131=EVENTOS!$C43)*(OFFSET(CÁLCULO!$AI$15:$AI$131,0,V$13))),2),0)</f>
        <v>0</v>
      </c>
      <c r="W43" s="543" cm="1">
        <f t="array" aca="1" ref="W43" ca="1">IF(AUTOEVENTO="Manual",ROUND(SUMPRODUCT((CÁLCULO!$M$15:$M$131=EVENTOS!$C43)*(OFFSET(CÁLCULO!$AI$15:$AI$131,0,W$13))),2),0)</f>
        <v>0</v>
      </c>
      <c r="X43" s="543" cm="1">
        <f t="array" aca="1" ref="X43" ca="1">IF(AUTOEVENTO="Manual",ROUND(SUMPRODUCT((CÁLCULO!$M$15:$M$131=EVENTOS!$C43)*(OFFSET(CÁLCULO!$AI$15:$AI$131,0,X$13))),2),0)</f>
        <v>0</v>
      </c>
      <c r="Y43" s="543" cm="1">
        <f t="array" aca="1" ref="Y43" ca="1">IF(AUTOEVENTO="Manual",ROUND(SUMPRODUCT((CÁLCULO!$M$15:$M$131=EVENTOS!$C43)*(OFFSET(CÁLCULO!$AI$15:$AI$131,0,Y$13))),2),0)</f>
        <v>0</v>
      </c>
    </row>
    <row r="44" spans="1:25" x14ac:dyDescent="0.2">
      <c r="A44" s="546" t="str">
        <f t="shared" si="3"/>
        <v/>
      </c>
      <c r="B44" t="str">
        <f t="shared" ca="1" si="4"/>
        <v/>
      </c>
      <c r="C44" s="191" t="str" cm="1">
        <f t="array" aca="1" ref="C44" ca="1">IF(OR(ROW(C44)=ROW(EVENTOS.firstrow)+1,AND(OFFSET(C44,-1,0)&lt;&gt;" ",OFFSET(C44,-1,1)&lt;&gt;"")),OFFSET(C44,-1,0)+1," ")</f>
        <v xml:space="preserve"> </v>
      </c>
      <c r="D44" s="532"/>
      <c r="E44" s="543" cm="1">
        <f t="array" aca="1" ref="E44" ca="1">IF(AUTOEVENTO="Manual",ROUND(SUMPRODUCT((CÁLCULO!$M$15:$M$131=EVENTOS!$C44)*(OFFSET(CÁLCULO!$AI$15:$AI$131,0,E$13))),2),0)</f>
        <v>0</v>
      </c>
      <c r="F44" s="192">
        <f ca="1">IF(AUTOEVENTO="Manual",ROUND(SUMPRODUCT((CÁLCULO!$M$15:$M$131=EVENTOS!$C44)*(OFFSET(CÁLCULO!$AI$15,0,1):OFFSET(CÁLCULO!$BB$131,0,-1))),2),0)</f>
        <v>0</v>
      </c>
      <c r="G44" s="627" t="str">
        <f ca="1">IF(AND(D44=0,F44&gt;0),"NOME",
 IF(AND(D44&lt;&gt;0,$F$14&gt;0,F44=0),"VALOR",
 IF(AND(Import.TipoArredondamento="TransfereGOV",$A44="F",LEN(D44)&gt;100),"Nome &gt;100","")))</f>
        <v/>
      </c>
      <c r="H44" s="543" cm="1">
        <f t="array" aca="1" ref="H44" ca="1">IF(AUTOEVENTO="Manual",ROUND(SUMPRODUCT((CÁLCULO!$M$15:$M$131=EVENTOS!$C44)*(OFFSET(CÁLCULO!$AI$15:$AI$131,0,H$13))),2),0)</f>
        <v>0</v>
      </c>
      <c r="I44" s="543" cm="1">
        <f t="array" aca="1" ref="I44" ca="1">IF(AUTOEVENTO="Manual",ROUND(SUMPRODUCT((CÁLCULO!$M$15:$M$131=EVENTOS!$C44)*(OFFSET(CÁLCULO!$AI$15:$AI$131,0,I$13))),2),0)</f>
        <v>0</v>
      </c>
      <c r="J44" s="543" cm="1">
        <f t="array" aca="1" ref="J44" ca="1">IF(AUTOEVENTO="Manual",ROUND(SUMPRODUCT((CÁLCULO!$M$15:$M$131=EVENTOS!$C44)*(OFFSET(CÁLCULO!$AI$15:$AI$131,0,J$13))),2),0)</f>
        <v>0</v>
      </c>
      <c r="K44" s="543" cm="1">
        <f t="array" aca="1" ref="K44" ca="1">IF(AUTOEVENTO="Manual",ROUND(SUMPRODUCT((CÁLCULO!$M$15:$M$131=EVENTOS!$C44)*(OFFSET(CÁLCULO!$AI$15:$AI$131,0,K$13))),2),0)</f>
        <v>0</v>
      </c>
      <c r="L44" s="543" cm="1">
        <f t="array" aca="1" ref="L44" ca="1">IF(AUTOEVENTO="Manual",ROUND(SUMPRODUCT((CÁLCULO!$M$15:$M$131=EVENTOS!$C44)*(OFFSET(CÁLCULO!$AI$15:$AI$131,0,L$13))),2),0)</f>
        <v>0</v>
      </c>
      <c r="M44" s="543" cm="1">
        <f t="array" aca="1" ref="M44" ca="1">IF(AUTOEVENTO="Manual",ROUND(SUMPRODUCT((CÁLCULO!$M$15:$M$131=EVENTOS!$C44)*(OFFSET(CÁLCULO!$AI$15:$AI$131,0,M$13))),2),0)</f>
        <v>0</v>
      </c>
      <c r="N44" s="543" cm="1">
        <f t="array" aca="1" ref="N44" ca="1">IF(AUTOEVENTO="Manual",ROUND(SUMPRODUCT((CÁLCULO!$M$15:$M$131=EVENTOS!$C44)*(OFFSET(CÁLCULO!$AI$15:$AI$131,0,N$13))),2),0)</f>
        <v>0</v>
      </c>
      <c r="O44" s="543" cm="1">
        <f t="array" aca="1" ref="O44" ca="1">IF(AUTOEVENTO="Manual",ROUND(SUMPRODUCT((CÁLCULO!$M$15:$M$131=EVENTOS!$C44)*(OFFSET(CÁLCULO!$AI$15:$AI$131,0,O$13))),2),0)</f>
        <v>0</v>
      </c>
      <c r="P44" s="543" cm="1">
        <f t="array" aca="1" ref="P44" ca="1">IF(AUTOEVENTO="Manual",ROUND(SUMPRODUCT((CÁLCULO!$M$15:$M$131=EVENTOS!$C44)*(OFFSET(CÁLCULO!$AI$15:$AI$131,0,P$13))),2),0)</f>
        <v>0</v>
      </c>
      <c r="Q44" s="543" cm="1">
        <f t="array" aca="1" ref="Q44" ca="1">IF(AUTOEVENTO="Manual",ROUND(SUMPRODUCT((CÁLCULO!$M$15:$M$131=EVENTOS!$C44)*(OFFSET(CÁLCULO!$AI$15:$AI$131,0,Q$13))),2),0)</f>
        <v>0</v>
      </c>
      <c r="R44" s="543" cm="1">
        <f t="array" aca="1" ref="R44" ca="1">IF(AUTOEVENTO="Manual",ROUND(SUMPRODUCT((CÁLCULO!$M$15:$M$131=EVENTOS!$C44)*(OFFSET(CÁLCULO!$AI$15:$AI$131,0,R$13))),2),0)</f>
        <v>0</v>
      </c>
      <c r="S44" s="543" cm="1">
        <f t="array" aca="1" ref="S44" ca="1">IF(AUTOEVENTO="Manual",ROUND(SUMPRODUCT((CÁLCULO!$M$15:$M$131=EVENTOS!$C44)*(OFFSET(CÁLCULO!$AI$15:$AI$131,0,S$13))),2),0)</f>
        <v>0</v>
      </c>
      <c r="T44" s="543" cm="1">
        <f t="array" aca="1" ref="T44" ca="1">IF(AUTOEVENTO="Manual",ROUND(SUMPRODUCT((CÁLCULO!$M$15:$M$131=EVENTOS!$C44)*(OFFSET(CÁLCULO!$AI$15:$AI$131,0,T$13))),2),0)</f>
        <v>0</v>
      </c>
      <c r="U44" s="543" cm="1">
        <f t="array" aca="1" ref="U44" ca="1">IF(AUTOEVENTO="Manual",ROUND(SUMPRODUCT((CÁLCULO!$M$15:$M$131=EVENTOS!$C44)*(OFFSET(CÁLCULO!$AI$15:$AI$131,0,U$13))),2),0)</f>
        <v>0</v>
      </c>
      <c r="V44" s="543" cm="1">
        <f t="array" aca="1" ref="V44" ca="1">IF(AUTOEVENTO="Manual",ROUND(SUMPRODUCT((CÁLCULO!$M$15:$M$131=EVENTOS!$C44)*(OFFSET(CÁLCULO!$AI$15:$AI$131,0,V$13))),2),0)</f>
        <v>0</v>
      </c>
      <c r="W44" s="543" cm="1">
        <f t="array" aca="1" ref="W44" ca="1">IF(AUTOEVENTO="Manual",ROUND(SUMPRODUCT((CÁLCULO!$M$15:$M$131=EVENTOS!$C44)*(OFFSET(CÁLCULO!$AI$15:$AI$131,0,W$13))),2),0)</f>
        <v>0</v>
      </c>
      <c r="X44" s="543" cm="1">
        <f t="array" aca="1" ref="X44" ca="1">IF(AUTOEVENTO="Manual",ROUND(SUMPRODUCT((CÁLCULO!$M$15:$M$131=EVENTOS!$C44)*(OFFSET(CÁLCULO!$AI$15:$AI$131,0,X$13))),2),0)</f>
        <v>0</v>
      </c>
      <c r="Y44" s="543" cm="1">
        <f t="array" aca="1" ref="Y44" ca="1">IF(AUTOEVENTO="Manual",ROUND(SUMPRODUCT((CÁLCULO!$M$15:$M$131=EVENTOS!$C44)*(OFFSET(CÁLCULO!$AI$15:$AI$131,0,Y$13))),2),0)</f>
        <v>0</v>
      </c>
    </row>
    <row r="45" spans="1:25" x14ac:dyDescent="0.2">
      <c r="A45" s="546" t="str">
        <f t="shared" si="3"/>
        <v/>
      </c>
      <c r="B45" t="str">
        <f t="shared" ca="1" si="4"/>
        <v/>
      </c>
      <c r="C45" s="191" t="str" cm="1">
        <f t="array" aca="1" ref="C45" ca="1">IF(OR(ROW(C45)=ROW(EVENTOS.firstrow)+1,AND(OFFSET(C45,-1,0)&lt;&gt;" ",OFFSET(C45,-1,1)&lt;&gt;"")),OFFSET(C45,-1,0)+1," ")</f>
        <v xml:space="preserve"> </v>
      </c>
      <c r="D45" s="532"/>
      <c r="E45" s="543" cm="1">
        <f t="array" aca="1" ref="E45" ca="1">IF(AUTOEVENTO="Manual",ROUND(SUMPRODUCT((CÁLCULO!$M$15:$M$131=EVENTOS!$C45)*(OFFSET(CÁLCULO!$AI$15:$AI$131,0,E$13))),2),0)</f>
        <v>0</v>
      </c>
      <c r="F45" s="192">
        <f ca="1">IF(AUTOEVENTO="Manual",ROUND(SUMPRODUCT((CÁLCULO!$M$15:$M$131=EVENTOS!$C45)*(OFFSET(CÁLCULO!$AI$15,0,1):OFFSET(CÁLCULO!$BB$131,0,-1))),2),0)</f>
        <v>0</v>
      </c>
      <c r="G45" s="627" t="str">
        <f ca="1">IF(AND(D45=0,F45&gt;0),"NOME",
 IF(AND(D45&lt;&gt;0,$F$14&gt;0,F45=0),"VALOR",
 IF(AND(Import.TipoArredondamento="TransfereGOV",$A45="F",LEN(D45)&gt;100),"Nome &gt;100","")))</f>
        <v/>
      </c>
      <c r="H45" s="543" cm="1">
        <f t="array" aca="1" ref="H45" ca="1">IF(AUTOEVENTO="Manual",ROUND(SUMPRODUCT((CÁLCULO!$M$15:$M$131=EVENTOS!$C45)*(OFFSET(CÁLCULO!$AI$15:$AI$131,0,H$13))),2),0)</f>
        <v>0</v>
      </c>
      <c r="I45" s="543" cm="1">
        <f t="array" aca="1" ref="I45" ca="1">IF(AUTOEVENTO="Manual",ROUND(SUMPRODUCT((CÁLCULO!$M$15:$M$131=EVENTOS!$C45)*(OFFSET(CÁLCULO!$AI$15:$AI$131,0,I$13))),2),0)</f>
        <v>0</v>
      </c>
      <c r="J45" s="543" cm="1">
        <f t="array" aca="1" ref="J45" ca="1">IF(AUTOEVENTO="Manual",ROUND(SUMPRODUCT((CÁLCULO!$M$15:$M$131=EVENTOS!$C45)*(OFFSET(CÁLCULO!$AI$15:$AI$131,0,J$13))),2),0)</f>
        <v>0</v>
      </c>
      <c r="K45" s="543" cm="1">
        <f t="array" aca="1" ref="K45" ca="1">IF(AUTOEVENTO="Manual",ROUND(SUMPRODUCT((CÁLCULO!$M$15:$M$131=EVENTOS!$C45)*(OFFSET(CÁLCULO!$AI$15:$AI$131,0,K$13))),2),0)</f>
        <v>0</v>
      </c>
      <c r="L45" s="543" cm="1">
        <f t="array" aca="1" ref="L45" ca="1">IF(AUTOEVENTO="Manual",ROUND(SUMPRODUCT((CÁLCULO!$M$15:$M$131=EVENTOS!$C45)*(OFFSET(CÁLCULO!$AI$15:$AI$131,0,L$13))),2),0)</f>
        <v>0</v>
      </c>
      <c r="M45" s="543" cm="1">
        <f t="array" aca="1" ref="M45" ca="1">IF(AUTOEVENTO="Manual",ROUND(SUMPRODUCT((CÁLCULO!$M$15:$M$131=EVENTOS!$C45)*(OFFSET(CÁLCULO!$AI$15:$AI$131,0,M$13))),2),0)</f>
        <v>0</v>
      </c>
      <c r="N45" s="543" cm="1">
        <f t="array" aca="1" ref="N45" ca="1">IF(AUTOEVENTO="Manual",ROUND(SUMPRODUCT((CÁLCULO!$M$15:$M$131=EVENTOS!$C45)*(OFFSET(CÁLCULO!$AI$15:$AI$131,0,N$13))),2),0)</f>
        <v>0</v>
      </c>
      <c r="O45" s="543" cm="1">
        <f t="array" aca="1" ref="O45" ca="1">IF(AUTOEVENTO="Manual",ROUND(SUMPRODUCT((CÁLCULO!$M$15:$M$131=EVENTOS!$C45)*(OFFSET(CÁLCULO!$AI$15:$AI$131,0,O$13))),2),0)</f>
        <v>0</v>
      </c>
      <c r="P45" s="543" cm="1">
        <f t="array" aca="1" ref="P45" ca="1">IF(AUTOEVENTO="Manual",ROUND(SUMPRODUCT((CÁLCULO!$M$15:$M$131=EVENTOS!$C45)*(OFFSET(CÁLCULO!$AI$15:$AI$131,0,P$13))),2),0)</f>
        <v>0</v>
      </c>
      <c r="Q45" s="543" cm="1">
        <f t="array" aca="1" ref="Q45" ca="1">IF(AUTOEVENTO="Manual",ROUND(SUMPRODUCT((CÁLCULO!$M$15:$M$131=EVENTOS!$C45)*(OFFSET(CÁLCULO!$AI$15:$AI$131,0,Q$13))),2),0)</f>
        <v>0</v>
      </c>
      <c r="R45" s="543" cm="1">
        <f t="array" aca="1" ref="R45" ca="1">IF(AUTOEVENTO="Manual",ROUND(SUMPRODUCT((CÁLCULO!$M$15:$M$131=EVENTOS!$C45)*(OFFSET(CÁLCULO!$AI$15:$AI$131,0,R$13))),2),0)</f>
        <v>0</v>
      </c>
      <c r="S45" s="543" cm="1">
        <f t="array" aca="1" ref="S45" ca="1">IF(AUTOEVENTO="Manual",ROUND(SUMPRODUCT((CÁLCULO!$M$15:$M$131=EVENTOS!$C45)*(OFFSET(CÁLCULO!$AI$15:$AI$131,0,S$13))),2),0)</f>
        <v>0</v>
      </c>
      <c r="T45" s="543" cm="1">
        <f t="array" aca="1" ref="T45" ca="1">IF(AUTOEVENTO="Manual",ROUND(SUMPRODUCT((CÁLCULO!$M$15:$M$131=EVENTOS!$C45)*(OFFSET(CÁLCULO!$AI$15:$AI$131,0,T$13))),2),0)</f>
        <v>0</v>
      </c>
      <c r="U45" s="543" cm="1">
        <f t="array" aca="1" ref="U45" ca="1">IF(AUTOEVENTO="Manual",ROUND(SUMPRODUCT((CÁLCULO!$M$15:$M$131=EVENTOS!$C45)*(OFFSET(CÁLCULO!$AI$15:$AI$131,0,U$13))),2),0)</f>
        <v>0</v>
      </c>
      <c r="V45" s="543" cm="1">
        <f t="array" aca="1" ref="V45" ca="1">IF(AUTOEVENTO="Manual",ROUND(SUMPRODUCT((CÁLCULO!$M$15:$M$131=EVENTOS!$C45)*(OFFSET(CÁLCULO!$AI$15:$AI$131,0,V$13))),2),0)</f>
        <v>0</v>
      </c>
      <c r="W45" s="543" cm="1">
        <f t="array" aca="1" ref="W45" ca="1">IF(AUTOEVENTO="Manual",ROUND(SUMPRODUCT((CÁLCULO!$M$15:$M$131=EVENTOS!$C45)*(OFFSET(CÁLCULO!$AI$15:$AI$131,0,W$13))),2),0)</f>
        <v>0</v>
      </c>
      <c r="X45" s="543" cm="1">
        <f t="array" aca="1" ref="X45" ca="1">IF(AUTOEVENTO="Manual",ROUND(SUMPRODUCT((CÁLCULO!$M$15:$M$131=EVENTOS!$C45)*(OFFSET(CÁLCULO!$AI$15:$AI$131,0,X$13))),2),0)</f>
        <v>0</v>
      </c>
      <c r="Y45" s="543" cm="1">
        <f t="array" aca="1" ref="Y45" ca="1">IF(AUTOEVENTO="Manual",ROUND(SUMPRODUCT((CÁLCULO!$M$15:$M$131=EVENTOS!$C45)*(OFFSET(CÁLCULO!$AI$15:$AI$131,0,Y$13))),2),0)</f>
        <v>0</v>
      </c>
    </row>
    <row r="46" spans="1:25" x14ac:dyDescent="0.2">
      <c r="A46" s="546" t="str">
        <f t="shared" si="3"/>
        <v/>
      </c>
      <c r="B46" t="str">
        <f t="shared" ca="1" si="4"/>
        <v/>
      </c>
      <c r="C46" s="191" t="str" cm="1">
        <f t="array" aca="1" ref="C46" ca="1">IF(OR(ROW(C46)=ROW(EVENTOS.firstrow)+1,AND(OFFSET(C46,-1,0)&lt;&gt;" ",OFFSET(C46,-1,1)&lt;&gt;"")),OFFSET(C46,-1,0)+1," ")</f>
        <v xml:space="preserve"> </v>
      </c>
      <c r="D46" s="532"/>
      <c r="E46" s="543" cm="1">
        <f t="array" aca="1" ref="E46" ca="1">IF(AUTOEVENTO="Manual",ROUND(SUMPRODUCT((CÁLCULO!$M$15:$M$131=EVENTOS!$C46)*(OFFSET(CÁLCULO!$AI$15:$AI$131,0,E$13))),2),0)</f>
        <v>0</v>
      </c>
      <c r="F46" s="192">
        <f ca="1">IF(AUTOEVENTO="Manual",ROUND(SUMPRODUCT((CÁLCULO!$M$15:$M$131=EVENTOS!$C46)*(OFFSET(CÁLCULO!$AI$15,0,1):OFFSET(CÁLCULO!$BB$131,0,-1))),2),0)</f>
        <v>0</v>
      </c>
      <c r="G46" s="627" t="str">
        <f ca="1">IF(AND(D46=0,F46&gt;0),"NOME",
 IF(AND(D46&lt;&gt;0,$F$14&gt;0,F46=0),"VALOR",
 IF(AND(Import.TipoArredondamento="TransfereGOV",$A46="F",LEN(D46)&gt;100),"Nome &gt;100","")))</f>
        <v/>
      </c>
      <c r="H46" s="543" cm="1">
        <f t="array" aca="1" ref="H46" ca="1">IF(AUTOEVENTO="Manual",ROUND(SUMPRODUCT((CÁLCULO!$M$15:$M$131=EVENTOS!$C46)*(OFFSET(CÁLCULO!$AI$15:$AI$131,0,H$13))),2),0)</f>
        <v>0</v>
      </c>
      <c r="I46" s="543" cm="1">
        <f t="array" aca="1" ref="I46" ca="1">IF(AUTOEVENTO="Manual",ROUND(SUMPRODUCT((CÁLCULO!$M$15:$M$131=EVENTOS!$C46)*(OFFSET(CÁLCULO!$AI$15:$AI$131,0,I$13))),2),0)</f>
        <v>0</v>
      </c>
      <c r="J46" s="543" cm="1">
        <f t="array" aca="1" ref="J46" ca="1">IF(AUTOEVENTO="Manual",ROUND(SUMPRODUCT((CÁLCULO!$M$15:$M$131=EVENTOS!$C46)*(OFFSET(CÁLCULO!$AI$15:$AI$131,0,J$13))),2),0)</f>
        <v>0</v>
      </c>
      <c r="K46" s="543" cm="1">
        <f t="array" aca="1" ref="K46" ca="1">IF(AUTOEVENTO="Manual",ROUND(SUMPRODUCT((CÁLCULO!$M$15:$M$131=EVENTOS!$C46)*(OFFSET(CÁLCULO!$AI$15:$AI$131,0,K$13))),2),0)</f>
        <v>0</v>
      </c>
      <c r="L46" s="543" cm="1">
        <f t="array" aca="1" ref="L46" ca="1">IF(AUTOEVENTO="Manual",ROUND(SUMPRODUCT((CÁLCULO!$M$15:$M$131=EVENTOS!$C46)*(OFFSET(CÁLCULO!$AI$15:$AI$131,0,L$13))),2),0)</f>
        <v>0</v>
      </c>
      <c r="M46" s="543" cm="1">
        <f t="array" aca="1" ref="M46" ca="1">IF(AUTOEVENTO="Manual",ROUND(SUMPRODUCT((CÁLCULO!$M$15:$M$131=EVENTOS!$C46)*(OFFSET(CÁLCULO!$AI$15:$AI$131,0,M$13))),2),0)</f>
        <v>0</v>
      </c>
      <c r="N46" s="543" cm="1">
        <f t="array" aca="1" ref="N46" ca="1">IF(AUTOEVENTO="Manual",ROUND(SUMPRODUCT((CÁLCULO!$M$15:$M$131=EVENTOS!$C46)*(OFFSET(CÁLCULO!$AI$15:$AI$131,0,N$13))),2),0)</f>
        <v>0</v>
      </c>
      <c r="O46" s="543" cm="1">
        <f t="array" aca="1" ref="O46" ca="1">IF(AUTOEVENTO="Manual",ROUND(SUMPRODUCT((CÁLCULO!$M$15:$M$131=EVENTOS!$C46)*(OFFSET(CÁLCULO!$AI$15:$AI$131,0,O$13))),2),0)</f>
        <v>0</v>
      </c>
      <c r="P46" s="543" cm="1">
        <f t="array" aca="1" ref="P46" ca="1">IF(AUTOEVENTO="Manual",ROUND(SUMPRODUCT((CÁLCULO!$M$15:$M$131=EVENTOS!$C46)*(OFFSET(CÁLCULO!$AI$15:$AI$131,0,P$13))),2),0)</f>
        <v>0</v>
      </c>
      <c r="Q46" s="543" cm="1">
        <f t="array" aca="1" ref="Q46" ca="1">IF(AUTOEVENTO="Manual",ROUND(SUMPRODUCT((CÁLCULO!$M$15:$M$131=EVENTOS!$C46)*(OFFSET(CÁLCULO!$AI$15:$AI$131,0,Q$13))),2),0)</f>
        <v>0</v>
      </c>
      <c r="R46" s="543" cm="1">
        <f t="array" aca="1" ref="R46" ca="1">IF(AUTOEVENTO="Manual",ROUND(SUMPRODUCT((CÁLCULO!$M$15:$M$131=EVENTOS!$C46)*(OFFSET(CÁLCULO!$AI$15:$AI$131,0,R$13))),2),0)</f>
        <v>0</v>
      </c>
      <c r="S46" s="543" cm="1">
        <f t="array" aca="1" ref="S46" ca="1">IF(AUTOEVENTO="Manual",ROUND(SUMPRODUCT((CÁLCULO!$M$15:$M$131=EVENTOS!$C46)*(OFFSET(CÁLCULO!$AI$15:$AI$131,0,S$13))),2),0)</f>
        <v>0</v>
      </c>
      <c r="T46" s="543" cm="1">
        <f t="array" aca="1" ref="T46" ca="1">IF(AUTOEVENTO="Manual",ROUND(SUMPRODUCT((CÁLCULO!$M$15:$M$131=EVENTOS!$C46)*(OFFSET(CÁLCULO!$AI$15:$AI$131,0,T$13))),2),0)</f>
        <v>0</v>
      </c>
      <c r="U46" s="543" cm="1">
        <f t="array" aca="1" ref="U46" ca="1">IF(AUTOEVENTO="Manual",ROUND(SUMPRODUCT((CÁLCULO!$M$15:$M$131=EVENTOS!$C46)*(OFFSET(CÁLCULO!$AI$15:$AI$131,0,U$13))),2),0)</f>
        <v>0</v>
      </c>
      <c r="V46" s="543" cm="1">
        <f t="array" aca="1" ref="V46" ca="1">IF(AUTOEVENTO="Manual",ROUND(SUMPRODUCT((CÁLCULO!$M$15:$M$131=EVENTOS!$C46)*(OFFSET(CÁLCULO!$AI$15:$AI$131,0,V$13))),2),0)</f>
        <v>0</v>
      </c>
      <c r="W46" s="543" cm="1">
        <f t="array" aca="1" ref="W46" ca="1">IF(AUTOEVENTO="Manual",ROUND(SUMPRODUCT((CÁLCULO!$M$15:$M$131=EVENTOS!$C46)*(OFFSET(CÁLCULO!$AI$15:$AI$131,0,W$13))),2),0)</f>
        <v>0</v>
      </c>
      <c r="X46" s="543" cm="1">
        <f t="array" aca="1" ref="X46" ca="1">IF(AUTOEVENTO="Manual",ROUND(SUMPRODUCT((CÁLCULO!$M$15:$M$131=EVENTOS!$C46)*(OFFSET(CÁLCULO!$AI$15:$AI$131,0,X$13))),2),0)</f>
        <v>0</v>
      </c>
      <c r="Y46" s="543" cm="1">
        <f t="array" aca="1" ref="Y46" ca="1">IF(AUTOEVENTO="Manual",ROUND(SUMPRODUCT((CÁLCULO!$M$15:$M$131=EVENTOS!$C46)*(OFFSET(CÁLCULO!$AI$15:$AI$131,0,Y$13))),2),0)</f>
        <v>0</v>
      </c>
    </row>
    <row r="47" spans="1:25" x14ac:dyDescent="0.2">
      <c r="A47" s="546" t="str">
        <f t="shared" si="3"/>
        <v/>
      </c>
      <c r="B47" t="str">
        <f t="shared" ca="1" si="4"/>
        <v/>
      </c>
      <c r="C47" s="191" t="str" cm="1">
        <f t="array" aca="1" ref="C47" ca="1">IF(OR(ROW(C47)=ROW(EVENTOS.firstrow)+1,AND(OFFSET(C47,-1,0)&lt;&gt;" ",OFFSET(C47,-1,1)&lt;&gt;"")),OFFSET(C47,-1,0)+1," ")</f>
        <v xml:space="preserve"> </v>
      </c>
      <c r="D47" s="532"/>
      <c r="E47" s="543" cm="1">
        <f t="array" aca="1" ref="E47" ca="1">IF(AUTOEVENTO="Manual",ROUND(SUMPRODUCT((CÁLCULO!$M$15:$M$131=EVENTOS!$C47)*(OFFSET(CÁLCULO!$AI$15:$AI$131,0,E$13))),2),0)</f>
        <v>0</v>
      </c>
      <c r="F47" s="192">
        <f ca="1">IF(AUTOEVENTO="Manual",ROUND(SUMPRODUCT((CÁLCULO!$M$15:$M$131=EVENTOS!$C47)*(OFFSET(CÁLCULO!$AI$15,0,1):OFFSET(CÁLCULO!$BB$131,0,-1))),2),0)</f>
        <v>0</v>
      </c>
      <c r="G47" s="627" t="str">
        <f ca="1">IF(AND(D47=0,F47&gt;0),"NOME",
 IF(AND(D47&lt;&gt;0,$F$14&gt;0,F47=0),"VALOR",
 IF(AND(Import.TipoArredondamento="TransfereGOV",$A47="F",LEN(D47)&gt;100),"Nome &gt;100","")))</f>
        <v/>
      </c>
      <c r="H47" s="543" cm="1">
        <f t="array" aca="1" ref="H47" ca="1">IF(AUTOEVENTO="Manual",ROUND(SUMPRODUCT((CÁLCULO!$M$15:$M$131=EVENTOS!$C47)*(OFFSET(CÁLCULO!$AI$15:$AI$131,0,H$13))),2),0)</f>
        <v>0</v>
      </c>
      <c r="I47" s="543" cm="1">
        <f t="array" aca="1" ref="I47" ca="1">IF(AUTOEVENTO="Manual",ROUND(SUMPRODUCT((CÁLCULO!$M$15:$M$131=EVENTOS!$C47)*(OFFSET(CÁLCULO!$AI$15:$AI$131,0,I$13))),2),0)</f>
        <v>0</v>
      </c>
      <c r="J47" s="543" cm="1">
        <f t="array" aca="1" ref="J47" ca="1">IF(AUTOEVENTO="Manual",ROUND(SUMPRODUCT((CÁLCULO!$M$15:$M$131=EVENTOS!$C47)*(OFFSET(CÁLCULO!$AI$15:$AI$131,0,J$13))),2),0)</f>
        <v>0</v>
      </c>
      <c r="K47" s="543" cm="1">
        <f t="array" aca="1" ref="K47" ca="1">IF(AUTOEVENTO="Manual",ROUND(SUMPRODUCT((CÁLCULO!$M$15:$M$131=EVENTOS!$C47)*(OFFSET(CÁLCULO!$AI$15:$AI$131,0,K$13))),2),0)</f>
        <v>0</v>
      </c>
      <c r="L47" s="543" cm="1">
        <f t="array" aca="1" ref="L47" ca="1">IF(AUTOEVENTO="Manual",ROUND(SUMPRODUCT((CÁLCULO!$M$15:$M$131=EVENTOS!$C47)*(OFFSET(CÁLCULO!$AI$15:$AI$131,0,L$13))),2),0)</f>
        <v>0</v>
      </c>
      <c r="M47" s="543" cm="1">
        <f t="array" aca="1" ref="M47" ca="1">IF(AUTOEVENTO="Manual",ROUND(SUMPRODUCT((CÁLCULO!$M$15:$M$131=EVENTOS!$C47)*(OFFSET(CÁLCULO!$AI$15:$AI$131,0,M$13))),2),0)</f>
        <v>0</v>
      </c>
      <c r="N47" s="543" cm="1">
        <f t="array" aca="1" ref="N47" ca="1">IF(AUTOEVENTO="Manual",ROUND(SUMPRODUCT((CÁLCULO!$M$15:$M$131=EVENTOS!$C47)*(OFFSET(CÁLCULO!$AI$15:$AI$131,0,N$13))),2),0)</f>
        <v>0</v>
      </c>
      <c r="O47" s="543" cm="1">
        <f t="array" aca="1" ref="O47" ca="1">IF(AUTOEVENTO="Manual",ROUND(SUMPRODUCT((CÁLCULO!$M$15:$M$131=EVENTOS!$C47)*(OFFSET(CÁLCULO!$AI$15:$AI$131,0,O$13))),2),0)</f>
        <v>0</v>
      </c>
      <c r="P47" s="543" cm="1">
        <f t="array" aca="1" ref="P47" ca="1">IF(AUTOEVENTO="Manual",ROUND(SUMPRODUCT((CÁLCULO!$M$15:$M$131=EVENTOS!$C47)*(OFFSET(CÁLCULO!$AI$15:$AI$131,0,P$13))),2),0)</f>
        <v>0</v>
      </c>
      <c r="Q47" s="543" cm="1">
        <f t="array" aca="1" ref="Q47" ca="1">IF(AUTOEVENTO="Manual",ROUND(SUMPRODUCT((CÁLCULO!$M$15:$M$131=EVENTOS!$C47)*(OFFSET(CÁLCULO!$AI$15:$AI$131,0,Q$13))),2),0)</f>
        <v>0</v>
      </c>
      <c r="R47" s="543" cm="1">
        <f t="array" aca="1" ref="R47" ca="1">IF(AUTOEVENTO="Manual",ROUND(SUMPRODUCT((CÁLCULO!$M$15:$M$131=EVENTOS!$C47)*(OFFSET(CÁLCULO!$AI$15:$AI$131,0,R$13))),2),0)</f>
        <v>0</v>
      </c>
      <c r="S47" s="543" cm="1">
        <f t="array" aca="1" ref="S47" ca="1">IF(AUTOEVENTO="Manual",ROUND(SUMPRODUCT((CÁLCULO!$M$15:$M$131=EVENTOS!$C47)*(OFFSET(CÁLCULO!$AI$15:$AI$131,0,S$13))),2),0)</f>
        <v>0</v>
      </c>
      <c r="T47" s="543" cm="1">
        <f t="array" aca="1" ref="T47" ca="1">IF(AUTOEVENTO="Manual",ROUND(SUMPRODUCT((CÁLCULO!$M$15:$M$131=EVENTOS!$C47)*(OFFSET(CÁLCULO!$AI$15:$AI$131,0,T$13))),2),0)</f>
        <v>0</v>
      </c>
      <c r="U47" s="543" cm="1">
        <f t="array" aca="1" ref="U47" ca="1">IF(AUTOEVENTO="Manual",ROUND(SUMPRODUCT((CÁLCULO!$M$15:$M$131=EVENTOS!$C47)*(OFFSET(CÁLCULO!$AI$15:$AI$131,0,U$13))),2),0)</f>
        <v>0</v>
      </c>
      <c r="V47" s="543" cm="1">
        <f t="array" aca="1" ref="V47" ca="1">IF(AUTOEVENTO="Manual",ROUND(SUMPRODUCT((CÁLCULO!$M$15:$M$131=EVENTOS!$C47)*(OFFSET(CÁLCULO!$AI$15:$AI$131,0,V$13))),2),0)</f>
        <v>0</v>
      </c>
      <c r="W47" s="543" cm="1">
        <f t="array" aca="1" ref="W47" ca="1">IF(AUTOEVENTO="Manual",ROUND(SUMPRODUCT((CÁLCULO!$M$15:$M$131=EVENTOS!$C47)*(OFFSET(CÁLCULO!$AI$15:$AI$131,0,W$13))),2),0)</f>
        <v>0</v>
      </c>
      <c r="X47" s="543" cm="1">
        <f t="array" aca="1" ref="X47" ca="1">IF(AUTOEVENTO="Manual",ROUND(SUMPRODUCT((CÁLCULO!$M$15:$M$131=EVENTOS!$C47)*(OFFSET(CÁLCULO!$AI$15:$AI$131,0,X$13))),2),0)</f>
        <v>0</v>
      </c>
      <c r="Y47" s="543" cm="1">
        <f t="array" aca="1" ref="Y47" ca="1">IF(AUTOEVENTO="Manual",ROUND(SUMPRODUCT((CÁLCULO!$M$15:$M$131=EVENTOS!$C47)*(OFFSET(CÁLCULO!$AI$15:$AI$131,0,Y$13))),2),0)</f>
        <v>0</v>
      </c>
    </row>
    <row r="48" spans="1:25" x14ac:dyDescent="0.2">
      <c r="A48" s="546" t="str">
        <f t="shared" si="3"/>
        <v/>
      </c>
      <c r="B48" t="str">
        <f t="shared" ca="1" si="4"/>
        <v/>
      </c>
      <c r="C48" s="191" t="str" cm="1">
        <f t="array" aca="1" ref="C48" ca="1">IF(OR(ROW(C48)=ROW(EVENTOS.firstrow)+1,AND(OFFSET(C48,-1,0)&lt;&gt;" ",OFFSET(C48,-1,1)&lt;&gt;"")),OFFSET(C48,-1,0)+1," ")</f>
        <v xml:space="preserve"> </v>
      </c>
      <c r="D48" s="532"/>
      <c r="E48" s="543" cm="1">
        <f t="array" aca="1" ref="E48" ca="1">IF(AUTOEVENTO="Manual",ROUND(SUMPRODUCT((CÁLCULO!$M$15:$M$131=EVENTOS!$C48)*(OFFSET(CÁLCULO!$AI$15:$AI$131,0,E$13))),2),0)</f>
        <v>0</v>
      </c>
      <c r="F48" s="192">
        <f ca="1">IF(AUTOEVENTO="Manual",ROUND(SUMPRODUCT((CÁLCULO!$M$15:$M$131=EVENTOS!$C48)*(OFFSET(CÁLCULO!$AI$15,0,1):OFFSET(CÁLCULO!$BB$131,0,-1))),2),0)</f>
        <v>0</v>
      </c>
      <c r="G48" s="627" t="str">
        <f ca="1">IF(AND(D48=0,F48&gt;0),"NOME",
 IF(AND(D48&lt;&gt;0,$F$14&gt;0,F48=0),"VALOR",
 IF(AND(Import.TipoArredondamento="TransfereGOV",$A48="F",LEN(D48)&gt;100),"Nome &gt;100","")))</f>
        <v/>
      </c>
      <c r="H48" s="543" cm="1">
        <f t="array" aca="1" ref="H48" ca="1">IF(AUTOEVENTO="Manual",ROUND(SUMPRODUCT((CÁLCULO!$M$15:$M$131=EVENTOS!$C48)*(OFFSET(CÁLCULO!$AI$15:$AI$131,0,H$13))),2),0)</f>
        <v>0</v>
      </c>
      <c r="I48" s="543" cm="1">
        <f t="array" aca="1" ref="I48" ca="1">IF(AUTOEVENTO="Manual",ROUND(SUMPRODUCT((CÁLCULO!$M$15:$M$131=EVENTOS!$C48)*(OFFSET(CÁLCULO!$AI$15:$AI$131,0,I$13))),2),0)</f>
        <v>0</v>
      </c>
      <c r="J48" s="543" cm="1">
        <f t="array" aca="1" ref="J48" ca="1">IF(AUTOEVENTO="Manual",ROUND(SUMPRODUCT((CÁLCULO!$M$15:$M$131=EVENTOS!$C48)*(OFFSET(CÁLCULO!$AI$15:$AI$131,0,J$13))),2),0)</f>
        <v>0</v>
      </c>
      <c r="K48" s="543" cm="1">
        <f t="array" aca="1" ref="K48" ca="1">IF(AUTOEVENTO="Manual",ROUND(SUMPRODUCT((CÁLCULO!$M$15:$M$131=EVENTOS!$C48)*(OFFSET(CÁLCULO!$AI$15:$AI$131,0,K$13))),2),0)</f>
        <v>0</v>
      </c>
      <c r="L48" s="543" cm="1">
        <f t="array" aca="1" ref="L48" ca="1">IF(AUTOEVENTO="Manual",ROUND(SUMPRODUCT((CÁLCULO!$M$15:$M$131=EVENTOS!$C48)*(OFFSET(CÁLCULO!$AI$15:$AI$131,0,L$13))),2),0)</f>
        <v>0</v>
      </c>
      <c r="M48" s="543" cm="1">
        <f t="array" aca="1" ref="M48" ca="1">IF(AUTOEVENTO="Manual",ROUND(SUMPRODUCT((CÁLCULO!$M$15:$M$131=EVENTOS!$C48)*(OFFSET(CÁLCULO!$AI$15:$AI$131,0,M$13))),2),0)</f>
        <v>0</v>
      </c>
      <c r="N48" s="543" cm="1">
        <f t="array" aca="1" ref="N48" ca="1">IF(AUTOEVENTO="Manual",ROUND(SUMPRODUCT((CÁLCULO!$M$15:$M$131=EVENTOS!$C48)*(OFFSET(CÁLCULO!$AI$15:$AI$131,0,N$13))),2),0)</f>
        <v>0</v>
      </c>
      <c r="O48" s="543" cm="1">
        <f t="array" aca="1" ref="O48" ca="1">IF(AUTOEVENTO="Manual",ROUND(SUMPRODUCT((CÁLCULO!$M$15:$M$131=EVENTOS!$C48)*(OFFSET(CÁLCULO!$AI$15:$AI$131,0,O$13))),2),0)</f>
        <v>0</v>
      </c>
      <c r="P48" s="543" cm="1">
        <f t="array" aca="1" ref="P48" ca="1">IF(AUTOEVENTO="Manual",ROUND(SUMPRODUCT((CÁLCULO!$M$15:$M$131=EVENTOS!$C48)*(OFFSET(CÁLCULO!$AI$15:$AI$131,0,P$13))),2),0)</f>
        <v>0</v>
      </c>
      <c r="Q48" s="543" cm="1">
        <f t="array" aca="1" ref="Q48" ca="1">IF(AUTOEVENTO="Manual",ROUND(SUMPRODUCT((CÁLCULO!$M$15:$M$131=EVENTOS!$C48)*(OFFSET(CÁLCULO!$AI$15:$AI$131,0,Q$13))),2),0)</f>
        <v>0</v>
      </c>
      <c r="R48" s="543" cm="1">
        <f t="array" aca="1" ref="R48" ca="1">IF(AUTOEVENTO="Manual",ROUND(SUMPRODUCT((CÁLCULO!$M$15:$M$131=EVENTOS!$C48)*(OFFSET(CÁLCULO!$AI$15:$AI$131,0,R$13))),2),0)</f>
        <v>0</v>
      </c>
      <c r="S48" s="543" cm="1">
        <f t="array" aca="1" ref="S48" ca="1">IF(AUTOEVENTO="Manual",ROUND(SUMPRODUCT((CÁLCULO!$M$15:$M$131=EVENTOS!$C48)*(OFFSET(CÁLCULO!$AI$15:$AI$131,0,S$13))),2),0)</f>
        <v>0</v>
      </c>
      <c r="T48" s="543" cm="1">
        <f t="array" aca="1" ref="T48" ca="1">IF(AUTOEVENTO="Manual",ROUND(SUMPRODUCT((CÁLCULO!$M$15:$M$131=EVENTOS!$C48)*(OFFSET(CÁLCULO!$AI$15:$AI$131,0,T$13))),2),0)</f>
        <v>0</v>
      </c>
      <c r="U48" s="543" cm="1">
        <f t="array" aca="1" ref="U48" ca="1">IF(AUTOEVENTO="Manual",ROUND(SUMPRODUCT((CÁLCULO!$M$15:$M$131=EVENTOS!$C48)*(OFFSET(CÁLCULO!$AI$15:$AI$131,0,U$13))),2),0)</f>
        <v>0</v>
      </c>
      <c r="V48" s="543" cm="1">
        <f t="array" aca="1" ref="V48" ca="1">IF(AUTOEVENTO="Manual",ROUND(SUMPRODUCT((CÁLCULO!$M$15:$M$131=EVENTOS!$C48)*(OFFSET(CÁLCULO!$AI$15:$AI$131,0,V$13))),2),0)</f>
        <v>0</v>
      </c>
      <c r="W48" s="543" cm="1">
        <f t="array" aca="1" ref="W48" ca="1">IF(AUTOEVENTO="Manual",ROUND(SUMPRODUCT((CÁLCULO!$M$15:$M$131=EVENTOS!$C48)*(OFFSET(CÁLCULO!$AI$15:$AI$131,0,W$13))),2),0)</f>
        <v>0</v>
      </c>
      <c r="X48" s="543" cm="1">
        <f t="array" aca="1" ref="X48" ca="1">IF(AUTOEVENTO="Manual",ROUND(SUMPRODUCT((CÁLCULO!$M$15:$M$131=EVENTOS!$C48)*(OFFSET(CÁLCULO!$AI$15:$AI$131,0,X$13))),2),0)</f>
        <v>0</v>
      </c>
      <c r="Y48" s="543" cm="1">
        <f t="array" aca="1" ref="Y48" ca="1">IF(AUTOEVENTO="Manual",ROUND(SUMPRODUCT((CÁLCULO!$M$15:$M$131=EVENTOS!$C48)*(OFFSET(CÁLCULO!$AI$15:$AI$131,0,Y$13))),2),0)</f>
        <v>0</v>
      </c>
    </row>
    <row r="49" spans="1:25" x14ac:dyDescent="0.2">
      <c r="A49" s="546" t="str">
        <f t="shared" si="3"/>
        <v/>
      </c>
      <c r="B49" t="str">
        <f t="shared" ca="1" si="4"/>
        <v/>
      </c>
      <c r="C49" s="191" t="str" cm="1">
        <f t="array" aca="1" ref="C49" ca="1">IF(OR(ROW(C49)=ROW(EVENTOS.firstrow)+1,AND(OFFSET(C49,-1,0)&lt;&gt;" ",OFFSET(C49,-1,1)&lt;&gt;"")),OFFSET(C49,-1,0)+1," ")</f>
        <v xml:space="preserve"> </v>
      </c>
      <c r="D49" s="532"/>
      <c r="E49" s="543" cm="1">
        <f t="array" aca="1" ref="E49" ca="1">IF(AUTOEVENTO="Manual",ROUND(SUMPRODUCT((CÁLCULO!$M$15:$M$131=EVENTOS!$C49)*(OFFSET(CÁLCULO!$AI$15:$AI$131,0,E$13))),2),0)</f>
        <v>0</v>
      </c>
      <c r="F49" s="192">
        <f ca="1">IF(AUTOEVENTO="Manual",ROUND(SUMPRODUCT((CÁLCULO!$M$15:$M$131=EVENTOS!$C49)*(OFFSET(CÁLCULO!$AI$15,0,1):OFFSET(CÁLCULO!$BB$131,0,-1))),2),0)</f>
        <v>0</v>
      </c>
      <c r="G49" s="627" t="str">
        <f ca="1">IF(AND(D49=0,F49&gt;0),"NOME",
 IF(AND(D49&lt;&gt;0,$F$14&gt;0,F49=0),"VALOR",
 IF(AND(Import.TipoArredondamento="TransfereGOV",$A49="F",LEN(D49)&gt;100),"Nome &gt;100","")))</f>
        <v/>
      </c>
      <c r="H49" s="543" cm="1">
        <f t="array" aca="1" ref="H49" ca="1">IF(AUTOEVENTO="Manual",ROUND(SUMPRODUCT((CÁLCULO!$M$15:$M$131=EVENTOS!$C49)*(OFFSET(CÁLCULO!$AI$15:$AI$131,0,H$13))),2),0)</f>
        <v>0</v>
      </c>
      <c r="I49" s="543" cm="1">
        <f t="array" aca="1" ref="I49" ca="1">IF(AUTOEVENTO="Manual",ROUND(SUMPRODUCT((CÁLCULO!$M$15:$M$131=EVENTOS!$C49)*(OFFSET(CÁLCULO!$AI$15:$AI$131,0,I$13))),2),0)</f>
        <v>0</v>
      </c>
      <c r="J49" s="543" cm="1">
        <f t="array" aca="1" ref="J49" ca="1">IF(AUTOEVENTO="Manual",ROUND(SUMPRODUCT((CÁLCULO!$M$15:$M$131=EVENTOS!$C49)*(OFFSET(CÁLCULO!$AI$15:$AI$131,0,J$13))),2),0)</f>
        <v>0</v>
      </c>
      <c r="K49" s="543" cm="1">
        <f t="array" aca="1" ref="K49" ca="1">IF(AUTOEVENTO="Manual",ROUND(SUMPRODUCT((CÁLCULO!$M$15:$M$131=EVENTOS!$C49)*(OFFSET(CÁLCULO!$AI$15:$AI$131,0,K$13))),2),0)</f>
        <v>0</v>
      </c>
      <c r="L49" s="543" cm="1">
        <f t="array" aca="1" ref="L49" ca="1">IF(AUTOEVENTO="Manual",ROUND(SUMPRODUCT((CÁLCULO!$M$15:$M$131=EVENTOS!$C49)*(OFFSET(CÁLCULO!$AI$15:$AI$131,0,L$13))),2),0)</f>
        <v>0</v>
      </c>
      <c r="M49" s="543" cm="1">
        <f t="array" aca="1" ref="M49" ca="1">IF(AUTOEVENTO="Manual",ROUND(SUMPRODUCT((CÁLCULO!$M$15:$M$131=EVENTOS!$C49)*(OFFSET(CÁLCULO!$AI$15:$AI$131,0,M$13))),2),0)</f>
        <v>0</v>
      </c>
      <c r="N49" s="543" cm="1">
        <f t="array" aca="1" ref="N49" ca="1">IF(AUTOEVENTO="Manual",ROUND(SUMPRODUCT((CÁLCULO!$M$15:$M$131=EVENTOS!$C49)*(OFFSET(CÁLCULO!$AI$15:$AI$131,0,N$13))),2),0)</f>
        <v>0</v>
      </c>
      <c r="O49" s="543" cm="1">
        <f t="array" aca="1" ref="O49" ca="1">IF(AUTOEVENTO="Manual",ROUND(SUMPRODUCT((CÁLCULO!$M$15:$M$131=EVENTOS!$C49)*(OFFSET(CÁLCULO!$AI$15:$AI$131,0,O$13))),2),0)</f>
        <v>0</v>
      </c>
      <c r="P49" s="543" cm="1">
        <f t="array" aca="1" ref="P49" ca="1">IF(AUTOEVENTO="Manual",ROUND(SUMPRODUCT((CÁLCULO!$M$15:$M$131=EVENTOS!$C49)*(OFFSET(CÁLCULO!$AI$15:$AI$131,0,P$13))),2),0)</f>
        <v>0</v>
      </c>
      <c r="Q49" s="543" cm="1">
        <f t="array" aca="1" ref="Q49" ca="1">IF(AUTOEVENTO="Manual",ROUND(SUMPRODUCT((CÁLCULO!$M$15:$M$131=EVENTOS!$C49)*(OFFSET(CÁLCULO!$AI$15:$AI$131,0,Q$13))),2),0)</f>
        <v>0</v>
      </c>
      <c r="R49" s="543" cm="1">
        <f t="array" aca="1" ref="R49" ca="1">IF(AUTOEVENTO="Manual",ROUND(SUMPRODUCT((CÁLCULO!$M$15:$M$131=EVENTOS!$C49)*(OFFSET(CÁLCULO!$AI$15:$AI$131,0,R$13))),2),0)</f>
        <v>0</v>
      </c>
      <c r="S49" s="543" cm="1">
        <f t="array" aca="1" ref="S49" ca="1">IF(AUTOEVENTO="Manual",ROUND(SUMPRODUCT((CÁLCULO!$M$15:$M$131=EVENTOS!$C49)*(OFFSET(CÁLCULO!$AI$15:$AI$131,0,S$13))),2),0)</f>
        <v>0</v>
      </c>
      <c r="T49" s="543" cm="1">
        <f t="array" aca="1" ref="T49" ca="1">IF(AUTOEVENTO="Manual",ROUND(SUMPRODUCT((CÁLCULO!$M$15:$M$131=EVENTOS!$C49)*(OFFSET(CÁLCULO!$AI$15:$AI$131,0,T$13))),2),0)</f>
        <v>0</v>
      </c>
      <c r="U49" s="543" cm="1">
        <f t="array" aca="1" ref="U49" ca="1">IF(AUTOEVENTO="Manual",ROUND(SUMPRODUCT((CÁLCULO!$M$15:$M$131=EVENTOS!$C49)*(OFFSET(CÁLCULO!$AI$15:$AI$131,0,U$13))),2),0)</f>
        <v>0</v>
      </c>
      <c r="V49" s="543" cm="1">
        <f t="array" aca="1" ref="V49" ca="1">IF(AUTOEVENTO="Manual",ROUND(SUMPRODUCT((CÁLCULO!$M$15:$M$131=EVENTOS!$C49)*(OFFSET(CÁLCULO!$AI$15:$AI$131,0,V$13))),2),0)</f>
        <v>0</v>
      </c>
      <c r="W49" s="543" cm="1">
        <f t="array" aca="1" ref="W49" ca="1">IF(AUTOEVENTO="Manual",ROUND(SUMPRODUCT((CÁLCULO!$M$15:$M$131=EVENTOS!$C49)*(OFFSET(CÁLCULO!$AI$15:$AI$131,0,W$13))),2),0)</f>
        <v>0</v>
      </c>
      <c r="X49" s="543" cm="1">
        <f t="array" aca="1" ref="X49" ca="1">IF(AUTOEVENTO="Manual",ROUND(SUMPRODUCT((CÁLCULO!$M$15:$M$131=EVENTOS!$C49)*(OFFSET(CÁLCULO!$AI$15:$AI$131,0,X$13))),2),0)</f>
        <v>0</v>
      </c>
      <c r="Y49" s="543" cm="1">
        <f t="array" aca="1" ref="Y49" ca="1">IF(AUTOEVENTO="Manual",ROUND(SUMPRODUCT((CÁLCULO!$M$15:$M$131=EVENTOS!$C49)*(OFFSET(CÁLCULO!$AI$15:$AI$131,0,Y$13))),2),0)</f>
        <v>0</v>
      </c>
    </row>
    <row r="50" spans="1:25" x14ac:dyDescent="0.2">
      <c r="A50" s="546" t="str">
        <f t="shared" si="3"/>
        <v/>
      </c>
      <c r="B50" t="str">
        <f t="shared" ca="1" si="4"/>
        <v/>
      </c>
      <c r="C50" s="191" t="str" cm="1">
        <f t="array" aca="1" ref="C50" ca="1">IF(OR(ROW(C50)=ROW(EVENTOS.firstrow)+1,AND(OFFSET(C50,-1,0)&lt;&gt;" ",OFFSET(C50,-1,1)&lt;&gt;"")),OFFSET(C50,-1,0)+1," ")</f>
        <v xml:space="preserve"> </v>
      </c>
      <c r="D50" s="532"/>
      <c r="E50" s="543" cm="1">
        <f t="array" aca="1" ref="E50" ca="1">IF(AUTOEVENTO="Manual",ROUND(SUMPRODUCT((CÁLCULO!$M$15:$M$131=EVENTOS!$C50)*(OFFSET(CÁLCULO!$AI$15:$AI$131,0,E$13))),2),0)</f>
        <v>0</v>
      </c>
      <c r="F50" s="192">
        <f ca="1">IF(AUTOEVENTO="Manual",ROUND(SUMPRODUCT((CÁLCULO!$M$15:$M$131=EVENTOS!$C50)*(OFFSET(CÁLCULO!$AI$15,0,1):OFFSET(CÁLCULO!$BB$131,0,-1))),2),0)</f>
        <v>0</v>
      </c>
      <c r="G50" s="627" t="str">
        <f ca="1">IF(AND(D50=0,F50&gt;0),"NOME",
 IF(AND(D50&lt;&gt;0,$F$14&gt;0,F50=0),"VALOR",
 IF(AND(Import.TipoArredondamento="TransfereGOV",$A50="F",LEN(D50)&gt;100),"Nome &gt;100","")))</f>
        <v/>
      </c>
      <c r="H50" s="543" cm="1">
        <f t="array" aca="1" ref="H50" ca="1">IF(AUTOEVENTO="Manual",ROUND(SUMPRODUCT((CÁLCULO!$M$15:$M$131=EVENTOS!$C50)*(OFFSET(CÁLCULO!$AI$15:$AI$131,0,H$13))),2),0)</f>
        <v>0</v>
      </c>
      <c r="I50" s="543" cm="1">
        <f t="array" aca="1" ref="I50" ca="1">IF(AUTOEVENTO="Manual",ROUND(SUMPRODUCT((CÁLCULO!$M$15:$M$131=EVENTOS!$C50)*(OFFSET(CÁLCULO!$AI$15:$AI$131,0,I$13))),2),0)</f>
        <v>0</v>
      </c>
      <c r="J50" s="543" cm="1">
        <f t="array" aca="1" ref="J50" ca="1">IF(AUTOEVENTO="Manual",ROUND(SUMPRODUCT((CÁLCULO!$M$15:$M$131=EVENTOS!$C50)*(OFFSET(CÁLCULO!$AI$15:$AI$131,0,J$13))),2),0)</f>
        <v>0</v>
      </c>
      <c r="K50" s="543" cm="1">
        <f t="array" aca="1" ref="K50" ca="1">IF(AUTOEVENTO="Manual",ROUND(SUMPRODUCT((CÁLCULO!$M$15:$M$131=EVENTOS!$C50)*(OFFSET(CÁLCULO!$AI$15:$AI$131,0,K$13))),2),0)</f>
        <v>0</v>
      </c>
      <c r="L50" s="543" cm="1">
        <f t="array" aca="1" ref="L50" ca="1">IF(AUTOEVENTO="Manual",ROUND(SUMPRODUCT((CÁLCULO!$M$15:$M$131=EVENTOS!$C50)*(OFFSET(CÁLCULO!$AI$15:$AI$131,0,L$13))),2),0)</f>
        <v>0</v>
      </c>
      <c r="M50" s="543" cm="1">
        <f t="array" aca="1" ref="M50" ca="1">IF(AUTOEVENTO="Manual",ROUND(SUMPRODUCT((CÁLCULO!$M$15:$M$131=EVENTOS!$C50)*(OFFSET(CÁLCULO!$AI$15:$AI$131,0,M$13))),2),0)</f>
        <v>0</v>
      </c>
      <c r="N50" s="543" cm="1">
        <f t="array" aca="1" ref="N50" ca="1">IF(AUTOEVENTO="Manual",ROUND(SUMPRODUCT((CÁLCULO!$M$15:$M$131=EVENTOS!$C50)*(OFFSET(CÁLCULO!$AI$15:$AI$131,0,N$13))),2),0)</f>
        <v>0</v>
      </c>
      <c r="O50" s="543" cm="1">
        <f t="array" aca="1" ref="O50" ca="1">IF(AUTOEVENTO="Manual",ROUND(SUMPRODUCT((CÁLCULO!$M$15:$M$131=EVENTOS!$C50)*(OFFSET(CÁLCULO!$AI$15:$AI$131,0,O$13))),2),0)</f>
        <v>0</v>
      </c>
      <c r="P50" s="543" cm="1">
        <f t="array" aca="1" ref="P50" ca="1">IF(AUTOEVENTO="Manual",ROUND(SUMPRODUCT((CÁLCULO!$M$15:$M$131=EVENTOS!$C50)*(OFFSET(CÁLCULO!$AI$15:$AI$131,0,P$13))),2),0)</f>
        <v>0</v>
      </c>
      <c r="Q50" s="543" cm="1">
        <f t="array" aca="1" ref="Q50" ca="1">IF(AUTOEVENTO="Manual",ROUND(SUMPRODUCT((CÁLCULO!$M$15:$M$131=EVENTOS!$C50)*(OFFSET(CÁLCULO!$AI$15:$AI$131,0,Q$13))),2),0)</f>
        <v>0</v>
      </c>
      <c r="R50" s="543" cm="1">
        <f t="array" aca="1" ref="R50" ca="1">IF(AUTOEVENTO="Manual",ROUND(SUMPRODUCT((CÁLCULO!$M$15:$M$131=EVENTOS!$C50)*(OFFSET(CÁLCULO!$AI$15:$AI$131,0,R$13))),2),0)</f>
        <v>0</v>
      </c>
      <c r="S50" s="543" cm="1">
        <f t="array" aca="1" ref="S50" ca="1">IF(AUTOEVENTO="Manual",ROUND(SUMPRODUCT((CÁLCULO!$M$15:$M$131=EVENTOS!$C50)*(OFFSET(CÁLCULO!$AI$15:$AI$131,0,S$13))),2),0)</f>
        <v>0</v>
      </c>
      <c r="T50" s="543" cm="1">
        <f t="array" aca="1" ref="T50" ca="1">IF(AUTOEVENTO="Manual",ROUND(SUMPRODUCT((CÁLCULO!$M$15:$M$131=EVENTOS!$C50)*(OFFSET(CÁLCULO!$AI$15:$AI$131,0,T$13))),2),0)</f>
        <v>0</v>
      </c>
      <c r="U50" s="543" cm="1">
        <f t="array" aca="1" ref="U50" ca="1">IF(AUTOEVENTO="Manual",ROUND(SUMPRODUCT((CÁLCULO!$M$15:$M$131=EVENTOS!$C50)*(OFFSET(CÁLCULO!$AI$15:$AI$131,0,U$13))),2),0)</f>
        <v>0</v>
      </c>
      <c r="V50" s="543" cm="1">
        <f t="array" aca="1" ref="V50" ca="1">IF(AUTOEVENTO="Manual",ROUND(SUMPRODUCT((CÁLCULO!$M$15:$M$131=EVENTOS!$C50)*(OFFSET(CÁLCULO!$AI$15:$AI$131,0,V$13))),2),0)</f>
        <v>0</v>
      </c>
      <c r="W50" s="543" cm="1">
        <f t="array" aca="1" ref="W50" ca="1">IF(AUTOEVENTO="Manual",ROUND(SUMPRODUCT((CÁLCULO!$M$15:$M$131=EVENTOS!$C50)*(OFFSET(CÁLCULO!$AI$15:$AI$131,0,W$13))),2),0)</f>
        <v>0</v>
      </c>
      <c r="X50" s="543" cm="1">
        <f t="array" aca="1" ref="X50" ca="1">IF(AUTOEVENTO="Manual",ROUND(SUMPRODUCT((CÁLCULO!$M$15:$M$131=EVENTOS!$C50)*(OFFSET(CÁLCULO!$AI$15:$AI$131,0,X$13))),2),0)</f>
        <v>0</v>
      </c>
      <c r="Y50" s="543" cm="1">
        <f t="array" aca="1" ref="Y50" ca="1">IF(AUTOEVENTO="Manual",ROUND(SUMPRODUCT((CÁLCULO!$M$15:$M$131=EVENTOS!$C50)*(OFFSET(CÁLCULO!$AI$15:$AI$131,0,Y$13))),2),0)</f>
        <v>0</v>
      </c>
    </row>
    <row r="51" spans="1:25" x14ac:dyDescent="0.2">
      <c r="A51" s="546" t="str">
        <f t="shared" si="3"/>
        <v/>
      </c>
      <c r="B51" t="str">
        <f t="shared" ca="1" si="4"/>
        <v/>
      </c>
      <c r="C51" s="191" t="str" cm="1">
        <f t="array" aca="1" ref="C51" ca="1">IF(OR(ROW(C51)=ROW(EVENTOS.firstrow)+1,AND(OFFSET(C51,-1,0)&lt;&gt;" ",OFFSET(C51,-1,1)&lt;&gt;"")),OFFSET(C51,-1,0)+1," ")</f>
        <v xml:space="preserve"> </v>
      </c>
      <c r="D51" s="532"/>
      <c r="E51" s="543" cm="1">
        <f t="array" aca="1" ref="E51" ca="1">IF(AUTOEVENTO="Manual",ROUND(SUMPRODUCT((CÁLCULO!$M$15:$M$131=EVENTOS!$C51)*(OFFSET(CÁLCULO!$AI$15:$AI$131,0,E$13))),2),0)</f>
        <v>0</v>
      </c>
      <c r="F51" s="192">
        <f ca="1">IF(AUTOEVENTO="Manual",ROUND(SUMPRODUCT((CÁLCULO!$M$15:$M$131=EVENTOS!$C51)*(OFFSET(CÁLCULO!$AI$15,0,1):OFFSET(CÁLCULO!$BB$131,0,-1))),2),0)</f>
        <v>0</v>
      </c>
      <c r="G51" s="627" t="str">
        <f ca="1">IF(AND(D51=0,F51&gt;0),"NOME",
 IF(AND(D51&lt;&gt;0,$F$14&gt;0,F51=0),"VALOR",
 IF(AND(Import.TipoArredondamento="TransfereGOV",$A51="F",LEN(D51)&gt;100),"Nome &gt;100","")))</f>
        <v/>
      </c>
      <c r="H51" s="543" cm="1">
        <f t="array" aca="1" ref="H51" ca="1">IF(AUTOEVENTO="Manual",ROUND(SUMPRODUCT((CÁLCULO!$M$15:$M$131=EVENTOS!$C51)*(OFFSET(CÁLCULO!$AI$15:$AI$131,0,H$13))),2),0)</f>
        <v>0</v>
      </c>
      <c r="I51" s="543" cm="1">
        <f t="array" aca="1" ref="I51" ca="1">IF(AUTOEVENTO="Manual",ROUND(SUMPRODUCT((CÁLCULO!$M$15:$M$131=EVENTOS!$C51)*(OFFSET(CÁLCULO!$AI$15:$AI$131,0,I$13))),2),0)</f>
        <v>0</v>
      </c>
      <c r="J51" s="543" cm="1">
        <f t="array" aca="1" ref="J51" ca="1">IF(AUTOEVENTO="Manual",ROUND(SUMPRODUCT((CÁLCULO!$M$15:$M$131=EVENTOS!$C51)*(OFFSET(CÁLCULO!$AI$15:$AI$131,0,J$13))),2),0)</f>
        <v>0</v>
      </c>
      <c r="K51" s="543" cm="1">
        <f t="array" aca="1" ref="K51" ca="1">IF(AUTOEVENTO="Manual",ROUND(SUMPRODUCT((CÁLCULO!$M$15:$M$131=EVENTOS!$C51)*(OFFSET(CÁLCULO!$AI$15:$AI$131,0,K$13))),2),0)</f>
        <v>0</v>
      </c>
      <c r="L51" s="543" cm="1">
        <f t="array" aca="1" ref="L51" ca="1">IF(AUTOEVENTO="Manual",ROUND(SUMPRODUCT((CÁLCULO!$M$15:$M$131=EVENTOS!$C51)*(OFFSET(CÁLCULO!$AI$15:$AI$131,0,L$13))),2),0)</f>
        <v>0</v>
      </c>
      <c r="M51" s="543" cm="1">
        <f t="array" aca="1" ref="M51" ca="1">IF(AUTOEVENTO="Manual",ROUND(SUMPRODUCT((CÁLCULO!$M$15:$M$131=EVENTOS!$C51)*(OFFSET(CÁLCULO!$AI$15:$AI$131,0,M$13))),2),0)</f>
        <v>0</v>
      </c>
      <c r="N51" s="543" cm="1">
        <f t="array" aca="1" ref="N51" ca="1">IF(AUTOEVENTO="Manual",ROUND(SUMPRODUCT((CÁLCULO!$M$15:$M$131=EVENTOS!$C51)*(OFFSET(CÁLCULO!$AI$15:$AI$131,0,N$13))),2),0)</f>
        <v>0</v>
      </c>
      <c r="O51" s="543" cm="1">
        <f t="array" aca="1" ref="O51" ca="1">IF(AUTOEVENTO="Manual",ROUND(SUMPRODUCT((CÁLCULO!$M$15:$M$131=EVENTOS!$C51)*(OFFSET(CÁLCULO!$AI$15:$AI$131,0,O$13))),2),0)</f>
        <v>0</v>
      </c>
      <c r="P51" s="543" cm="1">
        <f t="array" aca="1" ref="P51" ca="1">IF(AUTOEVENTO="Manual",ROUND(SUMPRODUCT((CÁLCULO!$M$15:$M$131=EVENTOS!$C51)*(OFFSET(CÁLCULO!$AI$15:$AI$131,0,P$13))),2),0)</f>
        <v>0</v>
      </c>
      <c r="Q51" s="543" cm="1">
        <f t="array" aca="1" ref="Q51" ca="1">IF(AUTOEVENTO="Manual",ROUND(SUMPRODUCT((CÁLCULO!$M$15:$M$131=EVENTOS!$C51)*(OFFSET(CÁLCULO!$AI$15:$AI$131,0,Q$13))),2),0)</f>
        <v>0</v>
      </c>
      <c r="R51" s="543" cm="1">
        <f t="array" aca="1" ref="R51" ca="1">IF(AUTOEVENTO="Manual",ROUND(SUMPRODUCT((CÁLCULO!$M$15:$M$131=EVENTOS!$C51)*(OFFSET(CÁLCULO!$AI$15:$AI$131,0,R$13))),2),0)</f>
        <v>0</v>
      </c>
      <c r="S51" s="543" cm="1">
        <f t="array" aca="1" ref="S51" ca="1">IF(AUTOEVENTO="Manual",ROUND(SUMPRODUCT((CÁLCULO!$M$15:$M$131=EVENTOS!$C51)*(OFFSET(CÁLCULO!$AI$15:$AI$131,0,S$13))),2),0)</f>
        <v>0</v>
      </c>
      <c r="T51" s="543" cm="1">
        <f t="array" aca="1" ref="T51" ca="1">IF(AUTOEVENTO="Manual",ROUND(SUMPRODUCT((CÁLCULO!$M$15:$M$131=EVENTOS!$C51)*(OFFSET(CÁLCULO!$AI$15:$AI$131,0,T$13))),2),0)</f>
        <v>0</v>
      </c>
      <c r="U51" s="543" cm="1">
        <f t="array" aca="1" ref="U51" ca="1">IF(AUTOEVENTO="Manual",ROUND(SUMPRODUCT((CÁLCULO!$M$15:$M$131=EVENTOS!$C51)*(OFFSET(CÁLCULO!$AI$15:$AI$131,0,U$13))),2),0)</f>
        <v>0</v>
      </c>
      <c r="V51" s="543" cm="1">
        <f t="array" aca="1" ref="V51" ca="1">IF(AUTOEVENTO="Manual",ROUND(SUMPRODUCT((CÁLCULO!$M$15:$M$131=EVENTOS!$C51)*(OFFSET(CÁLCULO!$AI$15:$AI$131,0,V$13))),2),0)</f>
        <v>0</v>
      </c>
      <c r="W51" s="543" cm="1">
        <f t="array" aca="1" ref="W51" ca="1">IF(AUTOEVENTO="Manual",ROUND(SUMPRODUCT((CÁLCULO!$M$15:$M$131=EVENTOS!$C51)*(OFFSET(CÁLCULO!$AI$15:$AI$131,0,W$13))),2),0)</f>
        <v>0</v>
      </c>
      <c r="X51" s="543" cm="1">
        <f t="array" aca="1" ref="X51" ca="1">IF(AUTOEVENTO="Manual",ROUND(SUMPRODUCT((CÁLCULO!$M$15:$M$131=EVENTOS!$C51)*(OFFSET(CÁLCULO!$AI$15:$AI$131,0,X$13))),2),0)</f>
        <v>0</v>
      </c>
      <c r="Y51" s="543" cm="1">
        <f t="array" aca="1" ref="Y51" ca="1">IF(AUTOEVENTO="Manual",ROUND(SUMPRODUCT((CÁLCULO!$M$15:$M$131=EVENTOS!$C51)*(OFFSET(CÁLCULO!$AI$15:$AI$131,0,Y$13))),2),0)</f>
        <v>0</v>
      </c>
    </row>
    <row r="52" spans="1:25" x14ac:dyDescent="0.2">
      <c r="A52" s="546" t="str">
        <f t="shared" si="3"/>
        <v/>
      </c>
      <c r="B52" t="str">
        <f t="shared" ca="1" si="4"/>
        <v/>
      </c>
      <c r="C52" s="191" t="str" cm="1">
        <f t="array" aca="1" ref="C52" ca="1">IF(OR(ROW(C52)=ROW(EVENTOS.firstrow)+1,AND(OFFSET(C52,-1,0)&lt;&gt;" ",OFFSET(C52,-1,1)&lt;&gt;"")),OFFSET(C52,-1,0)+1," ")</f>
        <v xml:space="preserve"> </v>
      </c>
      <c r="D52" s="532"/>
      <c r="E52" s="543" cm="1">
        <f t="array" aca="1" ref="E52" ca="1">IF(AUTOEVENTO="Manual",ROUND(SUMPRODUCT((CÁLCULO!$M$15:$M$131=EVENTOS!$C52)*(OFFSET(CÁLCULO!$AI$15:$AI$131,0,E$13))),2),0)</f>
        <v>0</v>
      </c>
      <c r="F52" s="192">
        <f ca="1">IF(AUTOEVENTO="Manual",ROUND(SUMPRODUCT((CÁLCULO!$M$15:$M$131=EVENTOS!$C52)*(OFFSET(CÁLCULO!$AI$15,0,1):OFFSET(CÁLCULO!$BB$131,0,-1))),2),0)</f>
        <v>0</v>
      </c>
      <c r="G52" s="627" t="str">
        <f ca="1">IF(AND(D52=0,F52&gt;0),"NOME",
 IF(AND(D52&lt;&gt;0,$F$14&gt;0,F52=0),"VALOR",
 IF(AND(Import.TipoArredondamento="TransfereGOV",$A52="F",LEN(D52)&gt;100),"Nome &gt;100","")))</f>
        <v/>
      </c>
      <c r="H52" s="543" cm="1">
        <f t="array" aca="1" ref="H52" ca="1">IF(AUTOEVENTO="Manual",ROUND(SUMPRODUCT((CÁLCULO!$M$15:$M$131=EVENTOS!$C52)*(OFFSET(CÁLCULO!$AI$15:$AI$131,0,H$13))),2),0)</f>
        <v>0</v>
      </c>
      <c r="I52" s="543" cm="1">
        <f t="array" aca="1" ref="I52" ca="1">IF(AUTOEVENTO="Manual",ROUND(SUMPRODUCT((CÁLCULO!$M$15:$M$131=EVENTOS!$C52)*(OFFSET(CÁLCULO!$AI$15:$AI$131,0,I$13))),2),0)</f>
        <v>0</v>
      </c>
      <c r="J52" s="543" cm="1">
        <f t="array" aca="1" ref="J52" ca="1">IF(AUTOEVENTO="Manual",ROUND(SUMPRODUCT((CÁLCULO!$M$15:$M$131=EVENTOS!$C52)*(OFFSET(CÁLCULO!$AI$15:$AI$131,0,J$13))),2),0)</f>
        <v>0</v>
      </c>
      <c r="K52" s="543" cm="1">
        <f t="array" aca="1" ref="K52" ca="1">IF(AUTOEVENTO="Manual",ROUND(SUMPRODUCT((CÁLCULO!$M$15:$M$131=EVENTOS!$C52)*(OFFSET(CÁLCULO!$AI$15:$AI$131,0,K$13))),2),0)</f>
        <v>0</v>
      </c>
      <c r="L52" s="543" cm="1">
        <f t="array" aca="1" ref="L52" ca="1">IF(AUTOEVENTO="Manual",ROUND(SUMPRODUCT((CÁLCULO!$M$15:$M$131=EVENTOS!$C52)*(OFFSET(CÁLCULO!$AI$15:$AI$131,0,L$13))),2),0)</f>
        <v>0</v>
      </c>
      <c r="M52" s="543" cm="1">
        <f t="array" aca="1" ref="M52" ca="1">IF(AUTOEVENTO="Manual",ROUND(SUMPRODUCT((CÁLCULO!$M$15:$M$131=EVENTOS!$C52)*(OFFSET(CÁLCULO!$AI$15:$AI$131,0,M$13))),2),0)</f>
        <v>0</v>
      </c>
      <c r="N52" s="543" cm="1">
        <f t="array" aca="1" ref="N52" ca="1">IF(AUTOEVENTO="Manual",ROUND(SUMPRODUCT((CÁLCULO!$M$15:$M$131=EVENTOS!$C52)*(OFFSET(CÁLCULO!$AI$15:$AI$131,0,N$13))),2),0)</f>
        <v>0</v>
      </c>
      <c r="O52" s="543" cm="1">
        <f t="array" aca="1" ref="O52" ca="1">IF(AUTOEVENTO="Manual",ROUND(SUMPRODUCT((CÁLCULO!$M$15:$M$131=EVENTOS!$C52)*(OFFSET(CÁLCULO!$AI$15:$AI$131,0,O$13))),2),0)</f>
        <v>0</v>
      </c>
      <c r="P52" s="543" cm="1">
        <f t="array" aca="1" ref="P52" ca="1">IF(AUTOEVENTO="Manual",ROUND(SUMPRODUCT((CÁLCULO!$M$15:$M$131=EVENTOS!$C52)*(OFFSET(CÁLCULO!$AI$15:$AI$131,0,P$13))),2),0)</f>
        <v>0</v>
      </c>
      <c r="Q52" s="543" cm="1">
        <f t="array" aca="1" ref="Q52" ca="1">IF(AUTOEVENTO="Manual",ROUND(SUMPRODUCT((CÁLCULO!$M$15:$M$131=EVENTOS!$C52)*(OFFSET(CÁLCULO!$AI$15:$AI$131,0,Q$13))),2),0)</f>
        <v>0</v>
      </c>
      <c r="R52" s="543" cm="1">
        <f t="array" aca="1" ref="R52" ca="1">IF(AUTOEVENTO="Manual",ROUND(SUMPRODUCT((CÁLCULO!$M$15:$M$131=EVENTOS!$C52)*(OFFSET(CÁLCULO!$AI$15:$AI$131,0,R$13))),2),0)</f>
        <v>0</v>
      </c>
      <c r="S52" s="543" cm="1">
        <f t="array" aca="1" ref="S52" ca="1">IF(AUTOEVENTO="Manual",ROUND(SUMPRODUCT((CÁLCULO!$M$15:$M$131=EVENTOS!$C52)*(OFFSET(CÁLCULO!$AI$15:$AI$131,0,S$13))),2),0)</f>
        <v>0</v>
      </c>
      <c r="T52" s="543" cm="1">
        <f t="array" aca="1" ref="T52" ca="1">IF(AUTOEVENTO="Manual",ROUND(SUMPRODUCT((CÁLCULO!$M$15:$M$131=EVENTOS!$C52)*(OFFSET(CÁLCULO!$AI$15:$AI$131,0,T$13))),2),0)</f>
        <v>0</v>
      </c>
      <c r="U52" s="543" cm="1">
        <f t="array" aca="1" ref="U52" ca="1">IF(AUTOEVENTO="Manual",ROUND(SUMPRODUCT((CÁLCULO!$M$15:$M$131=EVENTOS!$C52)*(OFFSET(CÁLCULO!$AI$15:$AI$131,0,U$13))),2),0)</f>
        <v>0</v>
      </c>
      <c r="V52" s="543" cm="1">
        <f t="array" aca="1" ref="V52" ca="1">IF(AUTOEVENTO="Manual",ROUND(SUMPRODUCT((CÁLCULO!$M$15:$M$131=EVENTOS!$C52)*(OFFSET(CÁLCULO!$AI$15:$AI$131,0,V$13))),2),0)</f>
        <v>0</v>
      </c>
      <c r="W52" s="543" cm="1">
        <f t="array" aca="1" ref="W52" ca="1">IF(AUTOEVENTO="Manual",ROUND(SUMPRODUCT((CÁLCULO!$M$15:$M$131=EVENTOS!$C52)*(OFFSET(CÁLCULO!$AI$15:$AI$131,0,W$13))),2),0)</f>
        <v>0</v>
      </c>
      <c r="X52" s="543" cm="1">
        <f t="array" aca="1" ref="X52" ca="1">IF(AUTOEVENTO="Manual",ROUND(SUMPRODUCT((CÁLCULO!$M$15:$M$131=EVENTOS!$C52)*(OFFSET(CÁLCULO!$AI$15:$AI$131,0,X$13))),2),0)</f>
        <v>0</v>
      </c>
      <c r="Y52" s="543" cm="1">
        <f t="array" aca="1" ref="Y52" ca="1">IF(AUTOEVENTO="Manual",ROUND(SUMPRODUCT((CÁLCULO!$M$15:$M$131=EVENTOS!$C52)*(OFFSET(CÁLCULO!$AI$15:$AI$131,0,Y$13))),2),0)</f>
        <v>0</v>
      </c>
    </row>
    <row r="53" spans="1:25" x14ac:dyDescent="0.2">
      <c r="A53" s="546" t="str">
        <f t="shared" si="3"/>
        <v/>
      </c>
      <c r="B53" t="str">
        <f t="shared" ca="1" si="4"/>
        <v/>
      </c>
      <c r="C53" s="191" t="str" cm="1">
        <f t="array" aca="1" ref="C53" ca="1">IF(OR(ROW(C53)=ROW(EVENTOS.firstrow)+1,AND(OFFSET(C53,-1,0)&lt;&gt;" ",OFFSET(C53,-1,1)&lt;&gt;"")),OFFSET(C53,-1,0)+1," ")</f>
        <v xml:space="preserve"> </v>
      </c>
      <c r="D53" s="532"/>
      <c r="E53" s="543" cm="1">
        <f t="array" aca="1" ref="E53" ca="1">IF(AUTOEVENTO="Manual",ROUND(SUMPRODUCT((CÁLCULO!$M$15:$M$131=EVENTOS!$C53)*(OFFSET(CÁLCULO!$AI$15:$AI$131,0,E$13))),2),0)</f>
        <v>0</v>
      </c>
      <c r="F53" s="192">
        <f ca="1">IF(AUTOEVENTO="Manual",ROUND(SUMPRODUCT((CÁLCULO!$M$15:$M$131=EVENTOS!$C53)*(OFFSET(CÁLCULO!$AI$15,0,1):OFFSET(CÁLCULO!$BB$131,0,-1))),2),0)</f>
        <v>0</v>
      </c>
      <c r="G53" s="627" t="str">
        <f ca="1">IF(AND(D53=0,F53&gt;0),"NOME",
 IF(AND(D53&lt;&gt;0,$F$14&gt;0,F53=0),"VALOR",
 IF(AND(Import.TipoArredondamento="TransfereGOV",$A53="F",LEN(D53)&gt;100),"Nome &gt;100","")))</f>
        <v/>
      </c>
      <c r="H53" s="543" cm="1">
        <f t="array" aca="1" ref="H53" ca="1">IF(AUTOEVENTO="Manual",ROUND(SUMPRODUCT((CÁLCULO!$M$15:$M$131=EVENTOS!$C53)*(OFFSET(CÁLCULO!$AI$15:$AI$131,0,H$13))),2),0)</f>
        <v>0</v>
      </c>
      <c r="I53" s="543" cm="1">
        <f t="array" aca="1" ref="I53" ca="1">IF(AUTOEVENTO="Manual",ROUND(SUMPRODUCT((CÁLCULO!$M$15:$M$131=EVENTOS!$C53)*(OFFSET(CÁLCULO!$AI$15:$AI$131,0,I$13))),2),0)</f>
        <v>0</v>
      </c>
      <c r="J53" s="543" cm="1">
        <f t="array" aca="1" ref="J53" ca="1">IF(AUTOEVENTO="Manual",ROUND(SUMPRODUCT((CÁLCULO!$M$15:$M$131=EVENTOS!$C53)*(OFFSET(CÁLCULO!$AI$15:$AI$131,0,J$13))),2),0)</f>
        <v>0</v>
      </c>
      <c r="K53" s="543" cm="1">
        <f t="array" aca="1" ref="K53" ca="1">IF(AUTOEVENTO="Manual",ROUND(SUMPRODUCT((CÁLCULO!$M$15:$M$131=EVENTOS!$C53)*(OFFSET(CÁLCULO!$AI$15:$AI$131,0,K$13))),2),0)</f>
        <v>0</v>
      </c>
      <c r="L53" s="543" cm="1">
        <f t="array" aca="1" ref="L53" ca="1">IF(AUTOEVENTO="Manual",ROUND(SUMPRODUCT((CÁLCULO!$M$15:$M$131=EVENTOS!$C53)*(OFFSET(CÁLCULO!$AI$15:$AI$131,0,L$13))),2),0)</f>
        <v>0</v>
      </c>
      <c r="M53" s="543" cm="1">
        <f t="array" aca="1" ref="M53" ca="1">IF(AUTOEVENTO="Manual",ROUND(SUMPRODUCT((CÁLCULO!$M$15:$M$131=EVENTOS!$C53)*(OFFSET(CÁLCULO!$AI$15:$AI$131,0,M$13))),2),0)</f>
        <v>0</v>
      </c>
      <c r="N53" s="543" cm="1">
        <f t="array" aca="1" ref="N53" ca="1">IF(AUTOEVENTO="Manual",ROUND(SUMPRODUCT((CÁLCULO!$M$15:$M$131=EVENTOS!$C53)*(OFFSET(CÁLCULO!$AI$15:$AI$131,0,N$13))),2),0)</f>
        <v>0</v>
      </c>
      <c r="O53" s="543" cm="1">
        <f t="array" aca="1" ref="O53" ca="1">IF(AUTOEVENTO="Manual",ROUND(SUMPRODUCT((CÁLCULO!$M$15:$M$131=EVENTOS!$C53)*(OFFSET(CÁLCULO!$AI$15:$AI$131,0,O$13))),2),0)</f>
        <v>0</v>
      </c>
      <c r="P53" s="543" cm="1">
        <f t="array" aca="1" ref="P53" ca="1">IF(AUTOEVENTO="Manual",ROUND(SUMPRODUCT((CÁLCULO!$M$15:$M$131=EVENTOS!$C53)*(OFFSET(CÁLCULO!$AI$15:$AI$131,0,P$13))),2),0)</f>
        <v>0</v>
      </c>
      <c r="Q53" s="543" cm="1">
        <f t="array" aca="1" ref="Q53" ca="1">IF(AUTOEVENTO="Manual",ROUND(SUMPRODUCT((CÁLCULO!$M$15:$M$131=EVENTOS!$C53)*(OFFSET(CÁLCULO!$AI$15:$AI$131,0,Q$13))),2),0)</f>
        <v>0</v>
      </c>
      <c r="R53" s="543" cm="1">
        <f t="array" aca="1" ref="R53" ca="1">IF(AUTOEVENTO="Manual",ROUND(SUMPRODUCT((CÁLCULO!$M$15:$M$131=EVENTOS!$C53)*(OFFSET(CÁLCULO!$AI$15:$AI$131,0,R$13))),2),0)</f>
        <v>0</v>
      </c>
      <c r="S53" s="543" cm="1">
        <f t="array" aca="1" ref="S53" ca="1">IF(AUTOEVENTO="Manual",ROUND(SUMPRODUCT((CÁLCULO!$M$15:$M$131=EVENTOS!$C53)*(OFFSET(CÁLCULO!$AI$15:$AI$131,0,S$13))),2),0)</f>
        <v>0</v>
      </c>
      <c r="T53" s="543" cm="1">
        <f t="array" aca="1" ref="T53" ca="1">IF(AUTOEVENTO="Manual",ROUND(SUMPRODUCT((CÁLCULO!$M$15:$M$131=EVENTOS!$C53)*(OFFSET(CÁLCULO!$AI$15:$AI$131,0,T$13))),2),0)</f>
        <v>0</v>
      </c>
      <c r="U53" s="543" cm="1">
        <f t="array" aca="1" ref="U53" ca="1">IF(AUTOEVENTO="Manual",ROUND(SUMPRODUCT((CÁLCULO!$M$15:$M$131=EVENTOS!$C53)*(OFFSET(CÁLCULO!$AI$15:$AI$131,0,U$13))),2),0)</f>
        <v>0</v>
      </c>
      <c r="V53" s="543" cm="1">
        <f t="array" aca="1" ref="V53" ca="1">IF(AUTOEVENTO="Manual",ROUND(SUMPRODUCT((CÁLCULO!$M$15:$M$131=EVENTOS!$C53)*(OFFSET(CÁLCULO!$AI$15:$AI$131,0,V$13))),2),0)</f>
        <v>0</v>
      </c>
      <c r="W53" s="543" cm="1">
        <f t="array" aca="1" ref="W53" ca="1">IF(AUTOEVENTO="Manual",ROUND(SUMPRODUCT((CÁLCULO!$M$15:$M$131=EVENTOS!$C53)*(OFFSET(CÁLCULO!$AI$15:$AI$131,0,W$13))),2),0)</f>
        <v>0</v>
      </c>
      <c r="X53" s="543" cm="1">
        <f t="array" aca="1" ref="X53" ca="1">IF(AUTOEVENTO="Manual",ROUND(SUMPRODUCT((CÁLCULO!$M$15:$M$131=EVENTOS!$C53)*(OFFSET(CÁLCULO!$AI$15:$AI$131,0,X$13))),2),0)</f>
        <v>0</v>
      </c>
      <c r="Y53" s="543" cm="1">
        <f t="array" aca="1" ref="Y53" ca="1">IF(AUTOEVENTO="Manual",ROUND(SUMPRODUCT((CÁLCULO!$M$15:$M$131=EVENTOS!$C53)*(OFFSET(CÁLCULO!$AI$15:$AI$131,0,Y$13))),2),0)</f>
        <v>0</v>
      </c>
    </row>
    <row r="54" spans="1:25" x14ac:dyDescent="0.2">
      <c r="A54" s="546" t="str">
        <f t="shared" si="3"/>
        <v/>
      </c>
      <c r="B54" t="str">
        <f t="shared" ca="1" si="4"/>
        <v/>
      </c>
      <c r="C54" s="191" t="str" cm="1">
        <f t="array" aca="1" ref="C54" ca="1">IF(OR(ROW(C54)=ROW(EVENTOS.firstrow)+1,AND(OFFSET(C54,-1,0)&lt;&gt;" ",OFFSET(C54,-1,1)&lt;&gt;"")),OFFSET(C54,-1,0)+1," ")</f>
        <v xml:space="preserve"> </v>
      </c>
      <c r="D54" s="532"/>
      <c r="E54" s="543" cm="1">
        <f t="array" aca="1" ref="E54" ca="1">IF(AUTOEVENTO="Manual",ROUND(SUMPRODUCT((CÁLCULO!$M$15:$M$131=EVENTOS!$C54)*(OFFSET(CÁLCULO!$AI$15:$AI$131,0,E$13))),2),0)</f>
        <v>0</v>
      </c>
      <c r="F54" s="192">
        <f ca="1">IF(AUTOEVENTO="Manual",ROUND(SUMPRODUCT((CÁLCULO!$M$15:$M$131=EVENTOS!$C54)*(OFFSET(CÁLCULO!$AI$15,0,1):OFFSET(CÁLCULO!$BB$131,0,-1))),2),0)</f>
        <v>0</v>
      </c>
      <c r="G54" s="627" t="str">
        <f ca="1">IF(AND(D54=0,F54&gt;0),"NOME",
 IF(AND(D54&lt;&gt;0,$F$14&gt;0,F54=0),"VALOR",
 IF(AND(Import.TipoArredondamento="TransfereGOV",$A54="F",LEN(D54)&gt;100),"Nome &gt;100","")))</f>
        <v/>
      </c>
      <c r="H54" s="543" cm="1">
        <f t="array" aca="1" ref="H54" ca="1">IF(AUTOEVENTO="Manual",ROUND(SUMPRODUCT((CÁLCULO!$M$15:$M$131=EVENTOS!$C54)*(OFFSET(CÁLCULO!$AI$15:$AI$131,0,H$13))),2),0)</f>
        <v>0</v>
      </c>
      <c r="I54" s="543" cm="1">
        <f t="array" aca="1" ref="I54" ca="1">IF(AUTOEVENTO="Manual",ROUND(SUMPRODUCT((CÁLCULO!$M$15:$M$131=EVENTOS!$C54)*(OFFSET(CÁLCULO!$AI$15:$AI$131,0,I$13))),2),0)</f>
        <v>0</v>
      </c>
      <c r="J54" s="543" cm="1">
        <f t="array" aca="1" ref="J54" ca="1">IF(AUTOEVENTO="Manual",ROUND(SUMPRODUCT((CÁLCULO!$M$15:$M$131=EVENTOS!$C54)*(OFFSET(CÁLCULO!$AI$15:$AI$131,0,J$13))),2),0)</f>
        <v>0</v>
      </c>
      <c r="K54" s="543" cm="1">
        <f t="array" aca="1" ref="K54" ca="1">IF(AUTOEVENTO="Manual",ROUND(SUMPRODUCT((CÁLCULO!$M$15:$M$131=EVENTOS!$C54)*(OFFSET(CÁLCULO!$AI$15:$AI$131,0,K$13))),2),0)</f>
        <v>0</v>
      </c>
      <c r="L54" s="543" cm="1">
        <f t="array" aca="1" ref="L54" ca="1">IF(AUTOEVENTO="Manual",ROUND(SUMPRODUCT((CÁLCULO!$M$15:$M$131=EVENTOS!$C54)*(OFFSET(CÁLCULO!$AI$15:$AI$131,0,L$13))),2),0)</f>
        <v>0</v>
      </c>
      <c r="M54" s="543" cm="1">
        <f t="array" aca="1" ref="M54" ca="1">IF(AUTOEVENTO="Manual",ROUND(SUMPRODUCT((CÁLCULO!$M$15:$M$131=EVENTOS!$C54)*(OFFSET(CÁLCULO!$AI$15:$AI$131,0,M$13))),2),0)</f>
        <v>0</v>
      </c>
      <c r="N54" s="543" cm="1">
        <f t="array" aca="1" ref="N54" ca="1">IF(AUTOEVENTO="Manual",ROUND(SUMPRODUCT((CÁLCULO!$M$15:$M$131=EVENTOS!$C54)*(OFFSET(CÁLCULO!$AI$15:$AI$131,0,N$13))),2),0)</f>
        <v>0</v>
      </c>
      <c r="O54" s="543" cm="1">
        <f t="array" aca="1" ref="O54" ca="1">IF(AUTOEVENTO="Manual",ROUND(SUMPRODUCT((CÁLCULO!$M$15:$M$131=EVENTOS!$C54)*(OFFSET(CÁLCULO!$AI$15:$AI$131,0,O$13))),2),0)</f>
        <v>0</v>
      </c>
      <c r="P54" s="543" cm="1">
        <f t="array" aca="1" ref="P54" ca="1">IF(AUTOEVENTO="Manual",ROUND(SUMPRODUCT((CÁLCULO!$M$15:$M$131=EVENTOS!$C54)*(OFFSET(CÁLCULO!$AI$15:$AI$131,0,P$13))),2),0)</f>
        <v>0</v>
      </c>
      <c r="Q54" s="543" cm="1">
        <f t="array" aca="1" ref="Q54" ca="1">IF(AUTOEVENTO="Manual",ROUND(SUMPRODUCT((CÁLCULO!$M$15:$M$131=EVENTOS!$C54)*(OFFSET(CÁLCULO!$AI$15:$AI$131,0,Q$13))),2),0)</f>
        <v>0</v>
      </c>
      <c r="R54" s="543" cm="1">
        <f t="array" aca="1" ref="R54" ca="1">IF(AUTOEVENTO="Manual",ROUND(SUMPRODUCT((CÁLCULO!$M$15:$M$131=EVENTOS!$C54)*(OFFSET(CÁLCULO!$AI$15:$AI$131,0,R$13))),2),0)</f>
        <v>0</v>
      </c>
      <c r="S54" s="543" cm="1">
        <f t="array" aca="1" ref="S54" ca="1">IF(AUTOEVENTO="Manual",ROUND(SUMPRODUCT((CÁLCULO!$M$15:$M$131=EVENTOS!$C54)*(OFFSET(CÁLCULO!$AI$15:$AI$131,0,S$13))),2),0)</f>
        <v>0</v>
      </c>
      <c r="T54" s="543" cm="1">
        <f t="array" aca="1" ref="T54" ca="1">IF(AUTOEVENTO="Manual",ROUND(SUMPRODUCT((CÁLCULO!$M$15:$M$131=EVENTOS!$C54)*(OFFSET(CÁLCULO!$AI$15:$AI$131,0,T$13))),2),0)</f>
        <v>0</v>
      </c>
      <c r="U54" s="543" cm="1">
        <f t="array" aca="1" ref="U54" ca="1">IF(AUTOEVENTO="Manual",ROUND(SUMPRODUCT((CÁLCULO!$M$15:$M$131=EVENTOS!$C54)*(OFFSET(CÁLCULO!$AI$15:$AI$131,0,U$13))),2),0)</f>
        <v>0</v>
      </c>
      <c r="V54" s="543" cm="1">
        <f t="array" aca="1" ref="V54" ca="1">IF(AUTOEVENTO="Manual",ROUND(SUMPRODUCT((CÁLCULO!$M$15:$M$131=EVENTOS!$C54)*(OFFSET(CÁLCULO!$AI$15:$AI$131,0,V$13))),2),0)</f>
        <v>0</v>
      </c>
      <c r="W54" s="543" cm="1">
        <f t="array" aca="1" ref="W54" ca="1">IF(AUTOEVENTO="Manual",ROUND(SUMPRODUCT((CÁLCULO!$M$15:$M$131=EVENTOS!$C54)*(OFFSET(CÁLCULO!$AI$15:$AI$131,0,W$13))),2),0)</f>
        <v>0</v>
      </c>
      <c r="X54" s="543" cm="1">
        <f t="array" aca="1" ref="X54" ca="1">IF(AUTOEVENTO="Manual",ROUND(SUMPRODUCT((CÁLCULO!$M$15:$M$131=EVENTOS!$C54)*(OFFSET(CÁLCULO!$AI$15:$AI$131,0,X$13))),2),0)</f>
        <v>0</v>
      </c>
      <c r="Y54" s="543" cm="1">
        <f t="array" aca="1" ref="Y54" ca="1">IF(AUTOEVENTO="Manual",ROUND(SUMPRODUCT((CÁLCULO!$M$15:$M$131=EVENTOS!$C54)*(OFFSET(CÁLCULO!$AI$15:$AI$131,0,Y$13))),2),0)</f>
        <v>0</v>
      </c>
    </row>
    <row r="55" spans="1:25" x14ac:dyDescent="0.2">
      <c r="A55" s="546" t="str">
        <f t="shared" si="3"/>
        <v/>
      </c>
      <c r="B55" t="str">
        <f t="shared" ca="1" si="4"/>
        <v/>
      </c>
      <c r="C55" s="191" t="str" cm="1">
        <f t="array" aca="1" ref="C55" ca="1">IF(OR(ROW(C55)=ROW(EVENTOS.firstrow)+1,AND(OFFSET(C55,-1,0)&lt;&gt;" ",OFFSET(C55,-1,1)&lt;&gt;"")),OFFSET(C55,-1,0)+1," ")</f>
        <v xml:space="preserve"> </v>
      </c>
      <c r="D55" s="532"/>
      <c r="E55" s="543" cm="1">
        <f t="array" aca="1" ref="E55" ca="1">IF(AUTOEVENTO="Manual",ROUND(SUMPRODUCT((CÁLCULO!$M$15:$M$131=EVENTOS!$C55)*(OFFSET(CÁLCULO!$AI$15:$AI$131,0,E$13))),2),0)</f>
        <v>0</v>
      </c>
      <c r="F55" s="192">
        <f ca="1">IF(AUTOEVENTO="Manual",ROUND(SUMPRODUCT((CÁLCULO!$M$15:$M$131=EVENTOS!$C55)*(OFFSET(CÁLCULO!$AI$15,0,1):OFFSET(CÁLCULO!$BB$131,0,-1))),2),0)</f>
        <v>0</v>
      </c>
      <c r="G55" s="627" t="str">
        <f ca="1">IF(AND(D55=0,F55&gt;0),"NOME",
 IF(AND(D55&lt;&gt;0,$F$14&gt;0,F55=0),"VALOR",
 IF(AND(Import.TipoArredondamento="TransfereGOV",$A55="F",LEN(D55)&gt;100),"Nome &gt;100","")))</f>
        <v/>
      </c>
      <c r="H55" s="543" cm="1">
        <f t="array" aca="1" ref="H55" ca="1">IF(AUTOEVENTO="Manual",ROUND(SUMPRODUCT((CÁLCULO!$M$15:$M$131=EVENTOS!$C55)*(OFFSET(CÁLCULO!$AI$15:$AI$131,0,H$13))),2),0)</f>
        <v>0</v>
      </c>
      <c r="I55" s="543" cm="1">
        <f t="array" aca="1" ref="I55" ca="1">IF(AUTOEVENTO="Manual",ROUND(SUMPRODUCT((CÁLCULO!$M$15:$M$131=EVENTOS!$C55)*(OFFSET(CÁLCULO!$AI$15:$AI$131,0,I$13))),2),0)</f>
        <v>0</v>
      </c>
      <c r="J55" s="543" cm="1">
        <f t="array" aca="1" ref="J55" ca="1">IF(AUTOEVENTO="Manual",ROUND(SUMPRODUCT((CÁLCULO!$M$15:$M$131=EVENTOS!$C55)*(OFFSET(CÁLCULO!$AI$15:$AI$131,0,J$13))),2),0)</f>
        <v>0</v>
      </c>
      <c r="K55" s="543" cm="1">
        <f t="array" aca="1" ref="K55" ca="1">IF(AUTOEVENTO="Manual",ROUND(SUMPRODUCT((CÁLCULO!$M$15:$M$131=EVENTOS!$C55)*(OFFSET(CÁLCULO!$AI$15:$AI$131,0,K$13))),2),0)</f>
        <v>0</v>
      </c>
      <c r="L55" s="543" cm="1">
        <f t="array" aca="1" ref="L55" ca="1">IF(AUTOEVENTO="Manual",ROUND(SUMPRODUCT((CÁLCULO!$M$15:$M$131=EVENTOS!$C55)*(OFFSET(CÁLCULO!$AI$15:$AI$131,0,L$13))),2),0)</f>
        <v>0</v>
      </c>
      <c r="M55" s="543" cm="1">
        <f t="array" aca="1" ref="M55" ca="1">IF(AUTOEVENTO="Manual",ROUND(SUMPRODUCT((CÁLCULO!$M$15:$M$131=EVENTOS!$C55)*(OFFSET(CÁLCULO!$AI$15:$AI$131,0,M$13))),2),0)</f>
        <v>0</v>
      </c>
      <c r="N55" s="543" cm="1">
        <f t="array" aca="1" ref="N55" ca="1">IF(AUTOEVENTO="Manual",ROUND(SUMPRODUCT((CÁLCULO!$M$15:$M$131=EVENTOS!$C55)*(OFFSET(CÁLCULO!$AI$15:$AI$131,0,N$13))),2),0)</f>
        <v>0</v>
      </c>
      <c r="O55" s="543" cm="1">
        <f t="array" aca="1" ref="O55" ca="1">IF(AUTOEVENTO="Manual",ROUND(SUMPRODUCT((CÁLCULO!$M$15:$M$131=EVENTOS!$C55)*(OFFSET(CÁLCULO!$AI$15:$AI$131,0,O$13))),2),0)</f>
        <v>0</v>
      </c>
      <c r="P55" s="543" cm="1">
        <f t="array" aca="1" ref="P55" ca="1">IF(AUTOEVENTO="Manual",ROUND(SUMPRODUCT((CÁLCULO!$M$15:$M$131=EVENTOS!$C55)*(OFFSET(CÁLCULO!$AI$15:$AI$131,0,P$13))),2),0)</f>
        <v>0</v>
      </c>
      <c r="Q55" s="543" cm="1">
        <f t="array" aca="1" ref="Q55" ca="1">IF(AUTOEVENTO="Manual",ROUND(SUMPRODUCT((CÁLCULO!$M$15:$M$131=EVENTOS!$C55)*(OFFSET(CÁLCULO!$AI$15:$AI$131,0,Q$13))),2),0)</f>
        <v>0</v>
      </c>
      <c r="R55" s="543" cm="1">
        <f t="array" aca="1" ref="R55" ca="1">IF(AUTOEVENTO="Manual",ROUND(SUMPRODUCT((CÁLCULO!$M$15:$M$131=EVENTOS!$C55)*(OFFSET(CÁLCULO!$AI$15:$AI$131,0,R$13))),2),0)</f>
        <v>0</v>
      </c>
      <c r="S55" s="543" cm="1">
        <f t="array" aca="1" ref="S55" ca="1">IF(AUTOEVENTO="Manual",ROUND(SUMPRODUCT((CÁLCULO!$M$15:$M$131=EVENTOS!$C55)*(OFFSET(CÁLCULO!$AI$15:$AI$131,0,S$13))),2),0)</f>
        <v>0</v>
      </c>
      <c r="T55" s="543" cm="1">
        <f t="array" aca="1" ref="T55" ca="1">IF(AUTOEVENTO="Manual",ROUND(SUMPRODUCT((CÁLCULO!$M$15:$M$131=EVENTOS!$C55)*(OFFSET(CÁLCULO!$AI$15:$AI$131,0,T$13))),2),0)</f>
        <v>0</v>
      </c>
      <c r="U55" s="543" cm="1">
        <f t="array" aca="1" ref="U55" ca="1">IF(AUTOEVENTO="Manual",ROUND(SUMPRODUCT((CÁLCULO!$M$15:$M$131=EVENTOS!$C55)*(OFFSET(CÁLCULO!$AI$15:$AI$131,0,U$13))),2),0)</f>
        <v>0</v>
      </c>
      <c r="V55" s="543" cm="1">
        <f t="array" aca="1" ref="V55" ca="1">IF(AUTOEVENTO="Manual",ROUND(SUMPRODUCT((CÁLCULO!$M$15:$M$131=EVENTOS!$C55)*(OFFSET(CÁLCULO!$AI$15:$AI$131,0,V$13))),2),0)</f>
        <v>0</v>
      </c>
      <c r="W55" s="543" cm="1">
        <f t="array" aca="1" ref="W55" ca="1">IF(AUTOEVENTO="Manual",ROUND(SUMPRODUCT((CÁLCULO!$M$15:$M$131=EVENTOS!$C55)*(OFFSET(CÁLCULO!$AI$15:$AI$131,0,W$13))),2),0)</f>
        <v>0</v>
      </c>
      <c r="X55" s="543" cm="1">
        <f t="array" aca="1" ref="X55" ca="1">IF(AUTOEVENTO="Manual",ROUND(SUMPRODUCT((CÁLCULO!$M$15:$M$131=EVENTOS!$C55)*(OFFSET(CÁLCULO!$AI$15:$AI$131,0,X$13))),2),0)</f>
        <v>0</v>
      </c>
      <c r="Y55" s="543" cm="1">
        <f t="array" aca="1" ref="Y55" ca="1">IF(AUTOEVENTO="Manual",ROUND(SUMPRODUCT((CÁLCULO!$M$15:$M$131=EVENTOS!$C55)*(OFFSET(CÁLCULO!$AI$15:$AI$131,0,Y$13))),2),0)</f>
        <v>0</v>
      </c>
    </row>
    <row r="56" spans="1:25" x14ac:dyDescent="0.2">
      <c r="A56" s="546" t="str">
        <f t="shared" si="3"/>
        <v/>
      </c>
      <c r="B56" t="str">
        <f t="shared" ca="1" si="4"/>
        <v/>
      </c>
      <c r="C56" s="191" t="str" cm="1">
        <f t="array" aca="1" ref="C56" ca="1">IF(OR(ROW(C56)=ROW(EVENTOS.firstrow)+1,AND(OFFSET(C56,-1,0)&lt;&gt;" ",OFFSET(C56,-1,1)&lt;&gt;"")),OFFSET(C56,-1,0)+1," ")</f>
        <v xml:space="preserve"> </v>
      </c>
      <c r="D56" s="532"/>
      <c r="E56" s="543" cm="1">
        <f t="array" aca="1" ref="E56" ca="1">IF(AUTOEVENTO="Manual",ROUND(SUMPRODUCT((CÁLCULO!$M$15:$M$131=EVENTOS!$C56)*(OFFSET(CÁLCULO!$AI$15:$AI$131,0,E$13))),2),0)</f>
        <v>0</v>
      </c>
      <c r="F56" s="192">
        <f ca="1">IF(AUTOEVENTO="Manual",ROUND(SUMPRODUCT((CÁLCULO!$M$15:$M$131=EVENTOS!$C56)*(OFFSET(CÁLCULO!$AI$15,0,1):OFFSET(CÁLCULO!$BB$131,0,-1))),2),0)</f>
        <v>0</v>
      </c>
      <c r="G56" s="627" t="str">
        <f ca="1">IF(AND(D56=0,F56&gt;0),"NOME",
 IF(AND(D56&lt;&gt;0,$F$14&gt;0,F56=0),"VALOR",
 IF(AND(Import.TipoArredondamento="TransfereGOV",$A56="F",LEN(D56)&gt;100),"Nome &gt;100","")))</f>
        <v/>
      </c>
      <c r="H56" s="543" cm="1">
        <f t="array" aca="1" ref="H56" ca="1">IF(AUTOEVENTO="Manual",ROUND(SUMPRODUCT((CÁLCULO!$M$15:$M$131=EVENTOS!$C56)*(OFFSET(CÁLCULO!$AI$15:$AI$131,0,H$13))),2),0)</f>
        <v>0</v>
      </c>
      <c r="I56" s="543" cm="1">
        <f t="array" aca="1" ref="I56" ca="1">IF(AUTOEVENTO="Manual",ROUND(SUMPRODUCT((CÁLCULO!$M$15:$M$131=EVENTOS!$C56)*(OFFSET(CÁLCULO!$AI$15:$AI$131,0,I$13))),2),0)</f>
        <v>0</v>
      </c>
      <c r="J56" s="543" cm="1">
        <f t="array" aca="1" ref="J56" ca="1">IF(AUTOEVENTO="Manual",ROUND(SUMPRODUCT((CÁLCULO!$M$15:$M$131=EVENTOS!$C56)*(OFFSET(CÁLCULO!$AI$15:$AI$131,0,J$13))),2),0)</f>
        <v>0</v>
      </c>
      <c r="K56" s="543" cm="1">
        <f t="array" aca="1" ref="K56" ca="1">IF(AUTOEVENTO="Manual",ROUND(SUMPRODUCT((CÁLCULO!$M$15:$M$131=EVENTOS!$C56)*(OFFSET(CÁLCULO!$AI$15:$AI$131,0,K$13))),2),0)</f>
        <v>0</v>
      </c>
      <c r="L56" s="543" cm="1">
        <f t="array" aca="1" ref="L56" ca="1">IF(AUTOEVENTO="Manual",ROUND(SUMPRODUCT((CÁLCULO!$M$15:$M$131=EVENTOS!$C56)*(OFFSET(CÁLCULO!$AI$15:$AI$131,0,L$13))),2),0)</f>
        <v>0</v>
      </c>
      <c r="M56" s="543" cm="1">
        <f t="array" aca="1" ref="M56" ca="1">IF(AUTOEVENTO="Manual",ROUND(SUMPRODUCT((CÁLCULO!$M$15:$M$131=EVENTOS!$C56)*(OFFSET(CÁLCULO!$AI$15:$AI$131,0,M$13))),2),0)</f>
        <v>0</v>
      </c>
      <c r="N56" s="543" cm="1">
        <f t="array" aca="1" ref="N56" ca="1">IF(AUTOEVENTO="Manual",ROUND(SUMPRODUCT((CÁLCULO!$M$15:$M$131=EVENTOS!$C56)*(OFFSET(CÁLCULO!$AI$15:$AI$131,0,N$13))),2),0)</f>
        <v>0</v>
      </c>
      <c r="O56" s="543" cm="1">
        <f t="array" aca="1" ref="O56" ca="1">IF(AUTOEVENTO="Manual",ROUND(SUMPRODUCT((CÁLCULO!$M$15:$M$131=EVENTOS!$C56)*(OFFSET(CÁLCULO!$AI$15:$AI$131,0,O$13))),2),0)</f>
        <v>0</v>
      </c>
      <c r="P56" s="543" cm="1">
        <f t="array" aca="1" ref="P56" ca="1">IF(AUTOEVENTO="Manual",ROUND(SUMPRODUCT((CÁLCULO!$M$15:$M$131=EVENTOS!$C56)*(OFFSET(CÁLCULO!$AI$15:$AI$131,0,P$13))),2),0)</f>
        <v>0</v>
      </c>
      <c r="Q56" s="543" cm="1">
        <f t="array" aca="1" ref="Q56" ca="1">IF(AUTOEVENTO="Manual",ROUND(SUMPRODUCT((CÁLCULO!$M$15:$M$131=EVENTOS!$C56)*(OFFSET(CÁLCULO!$AI$15:$AI$131,0,Q$13))),2),0)</f>
        <v>0</v>
      </c>
      <c r="R56" s="543" cm="1">
        <f t="array" aca="1" ref="R56" ca="1">IF(AUTOEVENTO="Manual",ROUND(SUMPRODUCT((CÁLCULO!$M$15:$M$131=EVENTOS!$C56)*(OFFSET(CÁLCULO!$AI$15:$AI$131,0,R$13))),2),0)</f>
        <v>0</v>
      </c>
      <c r="S56" s="543" cm="1">
        <f t="array" aca="1" ref="S56" ca="1">IF(AUTOEVENTO="Manual",ROUND(SUMPRODUCT((CÁLCULO!$M$15:$M$131=EVENTOS!$C56)*(OFFSET(CÁLCULO!$AI$15:$AI$131,0,S$13))),2),0)</f>
        <v>0</v>
      </c>
      <c r="T56" s="543" cm="1">
        <f t="array" aca="1" ref="T56" ca="1">IF(AUTOEVENTO="Manual",ROUND(SUMPRODUCT((CÁLCULO!$M$15:$M$131=EVENTOS!$C56)*(OFFSET(CÁLCULO!$AI$15:$AI$131,0,T$13))),2),0)</f>
        <v>0</v>
      </c>
      <c r="U56" s="543" cm="1">
        <f t="array" aca="1" ref="U56" ca="1">IF(AUTOEVENTO="Manual",ROUND(SUMPRODUCT((CÁLCULO!$M$15:$M$131=EVENTOS!$C56)*(OFFSET(CÁLCULO!$AI$15:$AI$131,0,U$13))),2),0)</f>
        <v>0</v>
      </c>
      <c r="V56" s="543" cm="1">
        <f t="array" aca="1" ref="V56" ca="1">IF(AUTOEVENTO="Manual",ROUND(SUMPRODUCT((CÁLCULO!$M$15:$M$131=EVENTOS!$C56)*(OFFSET(CÁLCULO!$AI$15:$AI$131,0,V$13))),2),0)</f>
        <v>0</v>
      </c>
      <c r="W56" s="543" cm="1">
        <f t="array" aca="1" ref="W56" ca="1">IF(AUTOEVENTO="Manual",ROUND(SUMPRODUCT((CÁLCULO!$M$15:$M$131=EVENTOS!$C56)*(OFFSET(CÁLCULO!$AI$15:$AI$131,0,W$13))),2),0)</f>
        <v>0</v>
      </c>
      <c r="X56" s="543" cm="1">
        <f t="array" aca="1" ref="X56" ca="1">IF(AUTOEVENTO="Manual",ROUND(SUMPRODUCT((CÁLCULO!$M$15:$M$131=EVENTOS!$C56)*(OFFSET(CÁLCULO!$AI$15:$AI$131,0,X$13))),2),0)</f>
        <v>0</v>
      </c>
      <c r="Y56" s="543" cm="1">
        <f t="array" aca="1" ref="Y56" ca="1">IF(AUTOEVENTO="Manual",ROUND(SUMPRODUCT((CÁLCULO!$M$15:$M$131=EVENTOS!$C56)*(OFFSET(CÁLCULO!$AI$15:$AI$131,0,Y$13))),2),0)</f>
        <v>0</v>
      </c>
    </row>
    <row r="57" spans="1:25" x14ac:dyDescent="0.2">
      <c r="A57" s="546" t="str">
        <f t="shared" si="3"/>
        <v/>
      </c>
      <c r="B57" t="str">
        <f t="shared" ca="1" si="4"/>
        <v/>
      </c>
      <c r="C57" s="191" t="str" cm="1">
        <f t="array" aca="1" ref="C57" ca="1">IF(OR(ROW(C57)=ROW(EVENTOS.firstrow)+1,AND(OFFSET(C57,-1,0)&lt;&gt;" ",OFFSET(C57,-1,1)&lt;&gt;"")),OFFSET(C57,-1,0)+1," ")</f>
        <v xml:space="preserve"> </v>
      </c>
      <c r="D57" s="532"/>
      <c r="E57" s="543" cm="1">
        <f t="array" aca="1" ref="E57" ca="1">IF(AUTOEVENTO="Manual",ROUND(SUMPRODUCT((CÁLCULO!$M$15:$M$131=EVENTOS!$C57)*(OFFSET(CÁLCULO!$AI$15:$AI$131,0,E$13))),2),0)</f>
        <v>0</v>
      </c>
      <c r="F57" s="192">
        <f ca="1">IF(AUTOEVENTO="Manual",ROUND(SUMPRODUCT((CÁLCULO!$M$15:$M$131=EVENTOS!$C57)*(OFFSET(CÁLCULO!$AI$15,0,1):OFFSET(CÁLCULO!$BB$131,0,-1))),2),0)</f>
        <v>0</v>
      </c>
      <c r="G57" s="627" t="str">
        <f ca="1">IF(AND(D57=0,F57&gt;0),"NOME",
 IF(AND(D57&lt;&gt;0,$F$14&gt;0,F57=0),"VALOR",
 IF(AND(Import.TipoArredondamento="TransfereGOV",$A57="F",LEN(D57)&gt;100),"Nome &gt;100","")))</f>
        <v/>
      </c>
      <c r="H57" s="543" cm="1">
        <f t="array" aca="1" ref="H57" ca="1">IF(AUTOEVENTO="Manual",ROUND(SUMPRODUCT((CÁLCULO!$M$15:$M$131=EVENTOS!$C57)*(OFFSET(CÁLCULO!$AI$15:$AI$131,0,H$13))),2),0)</f>
        <v>0</v>
      </c>
      <c r="I57" s="543" cm="1">
        <f t="array" aca="1" ref="I57" ca="1">IF(AUTOEVENTO="Manual",ROUND(SUMPRODUCT((CÁLCULO!$M$15:$M$131=EVENTOS!$C57)*(OFFSET(CÁLCULO!$AI$15:$AI$131,0,I$13))),2),0)</f>
        <v>0</v>
      </c>
      <c r="J57" s="543" cm="1">
        <f t="array" aca="1" ref="J57" ca="1">IF(AUTOEVENTO="Manual",ROUND(SUMPRODUCT((CÁLCULO!$M$15:$M$131=EVENTOS!$C57)*(OFFSET(CÁLCULO!$AI$15:$AI$131,0,J$13))),2),0)</f>
        <v>0</v>
      </c>
      <c r="K57" s="543" cm="1">
        <f t="array" aca="1" ref="K57" ca="1">IF(AUTOEVENTO="Manual",ROUND(SUMPRODUCT((CÁLCULO!$M$15:$M$131=EVENTOS!$C57)*(OFFSET(CÁLCULO!$AI$15:$AI$131,0,K$13))),2),0)</f>
        <v>0</v>
      </c>
      <c r="L57" s="543" cm="1">
        <f t="array" aca="1" ref="L57" ca="1">IF(AUTOEVENTO="Manual",ROUND(SUMPRODUCT((CÁLCULO!$M$15:$M$131=EVENTOS!$C57)*(OFFSET(CÁLCULO!$AI$15:$AI$131,0,L$13))),2),0)</f>
        <v>0</v>
      </c>
      <c r="M57" s="543" cm="1">
        <f t="array" aca="1" ref="M57" ca="1">IF(AUTOEVENTO="Manual",ROUND(SUMPRODUCT((CÁLCULO!$M$15:$M$131=EVENTOS!$C57)*(OFFSET(CÁLCULO!$AI$15:$AI$131,0,M$13))),2),0)</f>
        <v>0</v>
      </c>
      <c r="N57" s="543" cm="1">
        <f t="array" aca="1" ref="N57" ca="1">IF(AUTOEVENTO="Manual",ROUND(SUMPRODUCT((CÁLCULO!$M$15:$M$131=EVENTOS!$C57)*(OFFSET(CÁLCULO!$AI$15:$AI$131,0,N$13))),2),0)</f>
        <v>0</v>
      </c>
      <c r="O57" s="543" cm="1">
        <f t="array" aca="1" ref="O57" ca="1">IF(AUTOEVENTO="Manual",ROUND(SUMPRODUCT((CÁLCULO!$M$15:$M$131=EVENTOS!$C57)*(OFFSET(CÁLCULO!$AI$15:$AI$131,0,O$13))),2),0)</f>
        <v>0</v>
      </c>
      <c r="P57" s="543" cm="1">
        <f t="array" aca="1" ref="P57" ca="1">IF(AUTOEVENTO="Manual",ROUND(SUMPRODUCT((CÁLCULO!$M$15:$M$131=EVENTOS!$C57)*(OFFSET(CÁLCULO!$AI$15:$AI$131,0,P$13))),2),0)</f>
        <v>0</v>
      </c>
      <c r="Q57" s="543" cm="1">
        <f t="array" aca="1" ref="Q57" ca="1">IF(AUTOEVENTO="Manual",ROUND(SUMPRODUCT((CÁLCULO!$M$15:$M$131=EVENTOS!$C57)*(OFFSET(CÁLCULO!$AI$15:$AI$131,0,Q$13))),2),0)</f>
        <v>0</v>
      </c>
      <c r="R57" s="543" cm="1">
        <f t="array" aca="1" ref="R57" ca="1">IF(AUTOEVENTO="Manual",ROUND(SUMPRODUCT((CÁLCULO!$M$15:$M$131=EVENTOS!$C57)*(OFFSET(CÁLCULO!$AI$15:$AI$131,0,R$13))),2),0)</f>
        <v>0</v>
      </c>
      <c r="S57" s="543" cm="1">
        <f t="array" aca="1" ref="S57" ca="1">IF(AUTOEVENTO="Manual",ROUND(SUMPRODUCT((CÁLCULO!$M$15:$M$131=EVENTOS!$C57)*(OFFSET(CÁLCULO!$AI$15:$AI$131,0,S$13))),2),0)</f>
        <v>0</v>
      </c>
      <c r="T57" s="543" cm="1">
        <f t="array" aca="1" ref="T57" ca="1">IF(AUTOEVENTO="Manual",ROUND(SUMPRODUCT((CÁLCULO!$M$15:$M$131=EVENTOS!$C57)*(OFFSET(CÁLCULO!$AI$15:$AI$131,0,T$13))),2),0)</f>
        <v>0</v>
      </c>
      <c r="U57" s="543" cm="1">
        <f t="array" aca="1" ref="U57" ca="1">IF(AUTOEVENTO="Manual",ROUND(SUMPRODUCT((CÁLCULO!$M$15:$M$131=EVENTOS!$C57)*(OFFSET(CÁLCULO!$AI$15:$AI$131,0,U$13))),2),0)</f>
        <v>0</v>
      </c>
      <c r="V57" s="543" cm="1">
        <f t="array" aca="1" ref="V57" ca="1">IF(AUTOEVENTO="Manual",ROUND(SUMPRODUCT((CÁLCULO!$M$15:$M$131=EVENTOS!$C57)*(OFFSET(CÁLCULO!$AI$15:$AI$131,0,V$13))),2),0)</f>
        <v>0</v>
      </c>
      <c r="W57" s="543" cm="1">
        <f t="array" aca="1" ref="W57" ca="1">IF(AUTOEVENTO="Manual",ROUND(SUMPRODUCT((CÁLCULO!$M$15:$M$131=EVENTOS!$C57)*(OFFSET(CÁLCULO!$AI$15:$AI$131,0,W$13))),2),0)</f>
        <v>0</v>
      </c>
      <c r="X57" s="543" cm="1">
        <f t="array" aca="1" ref="X57" ca="1">IF(AUTOEVENTO="Manual",ROUND(SUMPRODUCT((CÁLCULO!$M$15:$M$131=EVENTOS!$C57)*(OFFSET(CÁLCULO!$AI$15:$AI$131,0,X$13))),2),0)</f>
        <v>0</v>
      </c>
      <c r="Y57" s="543" cm="1">
        <f t="array" aca="1" ref="Y57" ca="1">IF(AUTOEVENTO="Manual",ROUND(SUMPRODUCT((CÁLCULO!$M$15:$M$131=EVENTOS!$C57)*(OFFSET(CÁLCULO!$AI$15:$AI$131,0,Y$13))),2),0)</f>
        <v>0</v>
      </c>
    </row>
    <row r="58" spans="1:25" x14ac:dyDescent="0.2">
      <c r="A58" s="546" t="str">
        <f t="shared" si="3"/>
        <v/>
      </c>
      <c r="B58" t="str">
        <f t="shared" ca="1" si="4"/>
        <v/>
      </c>
      <c r="C58" s="191" t="str" cm="1">
        <f t="array" aca="1" ref="C58" ca="1">IF(OR(ROW(C58)=ROW(EVENTOS.firstrow)+1,AND(OFFSET(C58,-1,0)&lt;&gt;" ",OFFSET(C58,-1,1)&lt;&gt;"")),OFFSET(C58,-1,0)+1," ")</f>
        <v xml:space="preserve"> </v>
      </c>
      <c r="D58" s="532"/>
      <c r="E58" s="543" cm="1">
        <f t="array" aca="1" ref="E58" ca="1">IF(AUTOEVENTO="Manual",ROUND(SUMPRODUCT((CÁLCULO!$M$15:$M$131=EVENTOS!$C58)*(OFFSET(CÁLCULO!$AI$15:$AI$131,0,E$13))),2),0)</f>
        <v>0</v>
      </c>
      <c r="F58" s="192">
        <f ca="1">IF(AUTOEVENTO="Manual",ROUND(SUMPRODUCT((CÁLCULO!$M$15:$M$131=EVENTOS!$C58)*(OFFSET(CÁLCULO!$AI$15,0,1):OFFSET(CÁLCULO!$BB$131,0,-1))),2),0)</f>
        <v>0</v>
      </c>
      <c r="G58" s="627" t="str">
        <f ca="1">IF(AND(D58=0,F58&gt;0),"NOME",
 IF(AND(D58&lt;&gt;0,$F$14&gt;0,F58=0),"VALOR",
 IF(AND(Import.TipoArredondamento="TransfereGOV",$A58="F",LEN(D58)&gt;100),"Nome &gt;100","")))</f>
        <v/>
      </c>
      <c r="H58" s="543" cm="1">
        <f t="array" aca="1" ref="H58" ca="1">IF(AUTOEVENTO="Manual",ROUND(SUMPRODUCT((CÁLCULO!$M$15:$M$131=EVENTOS!$C58)*(OFFSET(CÁLCULO!$AI$15:$AI$131,0,H$13))),2),0)</f>
        <v>0</v>
      </c>
      <c r="I58" s="543" cm="1">
        <f t="array" aca="1" ref="I58" ca="1">IF(AUTOEVENTO="Manual",ROUND(SUMPRODUCT((CÁLCULO!$M$15:$M$131=EVENTOS!$C58)*(OFFSET(CÁLCULO!$AI$15:$AI$131,0,I$13))),2),0)</f>
        <v>0</v>
      </c>
      <c r="J58" s="543" cm="1">
        <f t="array" aca="1" ref="J58" ca="1">IF(AUTOEVENTO="Manual",ROUND(SUMPRODUCT((CÁLCULO!$M$15:$M$131=EVENTOS!$C58)*(OFFSET(CÁLCULO!$AI$15:$AI$131,0,J$13))),2),0)</f>
        <v>0</v>
      </c>
      <c r="K58" s="543" cm="1">
        <f t="array" aca="1" ref="K58" ca="1">IF(AUTOEVENTO="Manual",ROUND(SUMPRODUCT((CÁLCULO!$M$15:$M$131=EVENTOS!$C58)*(OFFSET(CÁLCULO!$AI$15:$AI$131,0,K$13))),2),0)</f>
        <v>0</v>
      </c>
      <c r="L58" s="543" cm="1">
        <f t="array" aca="1" ref="L58" ca="1">IF(AUTOEVENTO="Manual",ROUND(SUMPRODUCT((CÁLCULO!$M$15:$M$131=EVENTOS!$C58)*(OFFSET(CÁLCULO!$AI$15:$AI$131,0,L$13))),2),0)</f>
        <v>0</v>
      </c>
      <c r="M58" s="543" cm="1">
        <f t="array" aca="1" ref="M58" ca="1">IF(AUTOEVENTO="Manual",ROUND(SUMPRODUCT((CÁLCULO!$M$15:$M$131=EVENTOS!$C58)*(OFFSET(CÁLCULO!$AI$15:$AI$131,0,M$13))),2),0)</f>
        <v>0</v>
      </c>
      <c r="N58" s="543" cm="1">
        <f t="array" aca="1" ref="N58" ca="1">IF(AUTOEVENTO="Manual",ROUND(SUMPRODUCT((CÁLCULO!$M$15:$M$131=EVENTOS!$C58)*(OFFSET(CÁLCULO!$AI$15:$AI$131,0,N$13))),2),0)</f>
        <v>0</v>
      </c>
      <c r="O58" s="543" cm="1">
        <f t="array" aca="1" ref="O58" ca="1">IF(AUTOEVENTO="Manual",ROUND(SUMPRODUCT((CÁLCULO!$M$15:$M$131=EVENTOS!$C58)*(OFFSET(CÁLCULO!$AI$15:$AI$131,0,O$13))),2),0)</f>
        <v>0</v>
      </c>
      <c r="P58" s="543" cm="1">
        <f t="array" aca="1" ref="P58" ca="1">IF(AUTOEVENTO="Manual",ROUND(SUMPRODUCT((CÁLCULO!$M$15:$M$131=EVENTOS!$C58)*(OFFSET(CÁLCULO!$AI$15:$AI$131,0,P$13))),2),0)</f>
        <v>0</v>
      </c>
      <c r="Q58" s="543" cm="1">
        <f t="array" aca="1" ref="Q58" ca="1">IF(AUTOEVENTO="Manual",ROUND(SUMPRODUCT((CÁLCULO!$M$15:$M$131=EVENTOS!$C58)*(OFFSET(CÁLCULO!$AI$15:$AI$131,0,Q$13))),2),0)</f>
        <v>0</v>
      </c>
      <c r="R58" s="543" cm="1">
        <f t="array" aca="1" ref="R58" ca="1">IF(AUTOEVENTO="Manual",ROUND(SUMPRODUCT((CÁLCULO!$M$15:$M$131=EVENTOS!$C58)*(OFFSET(CÁLCULO!$AI$15:$AI$131,0,R$13))),2),0)</f>
        <v>0</v>
      </c>
      <c r="S58" s="543" cm="1">
        <f t="array" aca="1" ref="S58" ca="1">IF(AUTOEVENTO="Manual",ROUND(SUMPRODUCT((CÁLCULO!$M$15:$M$131=EVENTOS!$C58)*(OFFSET(CÁLCULO!$AI$15:$AI$131,0,S$13))),2),0)</f>
        <v>0</v>
      </c>
      <c r="T58" s="543" cm="1">
        <f t="array" aca="1" ref="T58" ca="1">IF(AUTOEVENTO="Manual",ROUND(SUMPRODUCT((CÁLCULO!$M$15:$M$131=EVENTOS!$C58)*(OFFSET(CÁLCULO!$AI$15:$AI$131,0,T$13))),2),0)</f>
        <v>0</v>
      </c>
      <c r="U58" s="543" cm="1">
        <f t="array" aca="1" ref="U58" ca="1">IF(AUTOEVENTO="Manual",ROUND(SUMPRODUCT((CÁLCULO!$M$15:$M$131=EVENTOS!$C58)*(OFFSET(CÁLCULO!$AI$15:$AI$131,0,U$13))),2),0)</f>
        <v>0</v>
      </c>
      <c r="V58" s="543" cm="1">
        <f t="array" aca="1" ref="V58" ca="1">IF(AUTOEVENTO="Manual",ROUND(SUMPRODUCT((CÁLCULO!$M$15:$M$131=EVENTOS!$C58)*(OFFSET(CÁLCULO!$AI$15:$AI$131,0,V$13))),2),0)</f>
        <v>0</v>
      </c>
      <c r="W58" s="543" cm="1">
        <f t="array" aca="1" ref="W58" ca="1">IF(AUTOEVENTO="Manual",ROUND(SUMPRODUCT((CÁLCULO!$M$15:$M$131=EVENTOS!$C58)*(OFFSET(CÁLCULO!$AI$15:$AI$131,0,W$13))),2),0)</f>
        <v>0</v>
      </c>
      <c r="X58" s="543" cm="1">
        <f t="array" aca="1" ref="X58" ca="1">IF(AUTOEVENTO="Manual",ROUND(SUMPRODUCT((CÁLCULO!$M$15:$M$131=EVENTOS!$C58)*(OFFSET(CÁLCULO!$AI$15:$AI$131,0,X$13))),2),0)</f>
        <v>0</v>
      </c>
      <c r="Y58" s="543" cm="1">
        <f t="array" aca="1" ref="Y58" ca="1">IF(AUTOEVENTO="Manual",ROUND(SUMPRODUCT((CÁLCULO!$M$15:$M$131=EVENTOS!$C58)*(OFFSET(CÁLCULO!$AI$15:$AI$131,0,Y$13))),2),0)</f>
        <v>0</v>
      </c>
    </row>
    <row r="59" spans="1:25" x14ac:dyDescent="0.2">
      <c r="A59" s="546" t="str">
        <f t="shared" si="3"/>
        <v/>
      </c>
      <c r="B59" t="str">
        <f t="shared" ca="1" si="4"/>
        <v/>
      </c>
      <c r="C59" s="191" t="str" cm="1">
        <f t="array" aca="1" ref="C59" ca="1">IF(OR(ROW(C59)=ROW(EVENTOS.firstrow)+1,AND(OFFSET(C59,-1,0)&lt;&gt;" ",OFFSET(C59,-1,1)&lt;&gt;"")),OFFSET(C59,-1,0)+1," ")</f>
        <v xml:space="preserve"> </v>
      </c>
      <c r="D59" s="532"/>
      <c r="E59" s="543" cm="1">
        <f t="array" aca="1" ref="E59" ca="1">IF(AUTOEVENTO="Manual",ROUND(SUMPRODUCT((CÁLCULO!$M$15:$M$131=EVENTOS!$C59)*(OFFSET(CÁLCULO!$AI$15:$AI$131,0,E$13))),2),0)</f>
        <v>0</v>
      </c>
      <c r="F59" s="192">
        <f ca="1">IF(AUTOEVENTO="Manual",ROUND(SUMPRODUCT((CÁLCULO!$M$15:$M$131=EVENTOS!$C59)*(OFFSET(CÁLCULO!$AI$15,0,1):OFFSET(CÁLCULO!$BB$131,0,-1))),2),0)</f>
        <v>0</v>
      </c>
      <c r="G59" s="627" t="str">
        <f ca="1">IF(AND(D59=0,F59&gt;0),"NOME",
 IF(AND(D59&lt;&gt;0,$F$14&gt;0,F59=0),"VALOR",
 IF(AND(Import.TipoArredondamento="TransfereGOV",$A59="F",LEN(D59)&gt;100),"Nome &gt;100","")))</f>
        <v/>
      </c>
      <c r="H59" s="543" cm="1">
        <f t="array" aca="1" ref="H59" ca="1">IF(AUTOEVENTO="Manual",ROUND(SUMPRODUCT((CÁLCULO!$M$15:$M$131=EVENTOS!$C59)*(OFFSET(CÁLCULO!$AI$15:$AI$131,0,H$13))),2),0)</f>
        <v>0</v>
      </c>
      <c r="I59" s="543" cm="1">
        <f t="array" aca="1" ref="I59" ca="1">IF(AUTOEVENTO="Manual",ROUND(SUMPRODUCT((CÁLCULO!$M$15:$M$131=EVENTOS!$C59)*(OFFSET(CÁLCULO!$AI$15:$AI$131,0,I$13))),2),0)</f>
        <v>0</v>
      </c>
      <c r="J59" s="543" cm="1">
        <f t="array" aca="1" ref="J59" ca="1">IF(AUTOEVENTO="Manual",ROUND(SUMPRODUCT((CÁLCULO!$M$15:$M$131=EVENTOS!$C59)*(OFFSET(CÁLCULO!$AI$15:$AI$131,0,J$13))),2),0)</f>
        <v>0</v>
      </c>
      <c r="K59" s="543" cm="1">
        <f t="array" aca="1" ref="K59" ca="1">IF(AUTOEVENTO="Manual",ROUND(SUMPRODUCT((CÁLCULO!$M$15:$M$131=EVENTOS!$C59)*(OFFSET(CÁLCULO!$AI$15:$AI$131,0,K$13))),2),0)</f>
        <v>0</v>
      </c>
      <c r="L59" s="543" cm="1">
        <f t="array" aca="1" ref="L59" ca="1">IF(AUTOEVENTO="Manual",ROUND(SUMPRODUCT((CÁLCULO!$M$15:$M$131=EVENTOS!$C59)*(OFFSET(CÁLCULO!$AI$15:$AI$131,0,L$13))),2),0)</f>
        <v>0</v>
      </c>
      <c r="M59" s="543" cm="1">
        <f t="array" aca="1" ref="M59" ca="1">IF(AUTOEVENTO="Manual",ROUND(SUMPRODUCT((CÁLCULO!$M$15:$M$131=EVENTOS!$C59)*(OFFSET(CÁLCULO!$AI$15:$AI$131,0,M$13))),2),0)</f>
        <v>0</v>
      </c>
      <c r="N59" s="543" cm="1">
        <f t="array" aca="1" ref="N59" ca="1">IF(AUTOEVENTO="Manual",ROUND(SUMPRODUCT((CÁLCULO!$M$15:$M$131=EVENTOS!$C59)*(OFFSET(CÁLCULO!$AI$15:$AI$131,0,N$13))),2),0)</f>
        <v>0</v>
      </c>
      <c r="O59" s="543" cm="1">
        <f t="array" aca="1" ref="O59" ca="1">IF(AUTOEVENTO="Manual",ROUND(SUMPRODUCT((CÁLCULO!$M$15:$M$131=EVENTOS!$C59)*(OFFSET(CÁLCULO!$AI$15:$AI$131,0,O$13))),2),0)</f>
        <v>0</v>
      </c>
      <c r="P59" s="543" cm="1">
        <f t="array" aca="1" ref="P59" ca="1">IF(AUTOEVENTO="Manual",ROUND(SUMPRODUCT((CÁLCULO!$M$15:$M$131=EVENTOS!$C59)*(OFFSET(CÁLCULO!$AI$15:$AI$131,0,P$13))),2),0)</f>
        <v>0</v>
      </c>
      <c r="Q59" s="543" cm="1">
        <f t="array" aca="1" ref="Q59" ca="1">IF(AUTOEVENTO="Manual",ROUND(SUMPRODUCT((CÁLCULO!$M$15:$M$131=EVENTOS!$C59)*(OFFSET(CÁLCULO!$AI$15:$AI$131,0,Q$13))),2),0)</f>
        <v>0</v>
      </c>
      <c r="R59" s="543" cm="1">
        <f t="array" aca="1" ref="R59" ca="1">IF(AUTOEVENTO="Manual",ROUND(SUMPRODUCT((CÁLCULO!$M$15:$M$131=EVENTOS!$C59)*(OFFSET(CÁLCULO!$AI$15:$AI$131,0,R$13))),2),0)</f>
        <v>0</v>
      </c>
      <c r="S59" s="543" cm="1">
        <f t="array" aca="1" ref="S59" ca="1">IF(AUTOEVENTO="Manual",ROUND(SUMPRODUCT((CÁLCULO!$M$15:$M$131=EVENTOS!$C59)*(OFFSET(CÁLCULO!$AI$15:$AI$131,0,S$13))),2),0)</f>
        <v>0</v>
      </c>
      <c r="T59" s="543" cm="1">
        <f t="array" aca="1" ref="T59" ca="1">IF(AUTOEVENTO="Manual",ROUND(SUMPRODUCT((CÁLCULO!$M$15:$M$131=EVENTOS!$C59)*(OFFSET(CÁLCULO!$AI$15:$AI$131,0,T$13))),2),0)</f>
        <v>0</v>
      </c>
      <c r="U59" s="543" cm="1">
        <f t="array" aca="1" ref="U59" ca="1">IF(AUTOEVENTO="Manual",ROUND(SUMPRODUCT((CÁLCULO!$M$15:$M$131=EVENTOS!$C59)*(OFFSET(CÁLCULO!$AI$15:$AI$131,0,U$13))),2),0)</f>
        <v>0</v>
      </c>
      <c r="V59" s="543" cm="1">
        <f t="array" aca="1" ref="V59" ca="1">IF(AUTOEVENTO="Manual",ROUND(SUMPRODUCT((CÁLCULO!$M$15:$M$131=EVENTOS!$C59)*(OFFSET(CÁLCULO!$AI$15:$AI$131,0,V$13))),2),0)</f>
        <v>0</v>
      </c>
      <c r="W59" s="543" cm="1">
        <f t="array" aca="1" ref="W59" ca="1">IF(AUTOEVENTO="Manual",ROUND(SUMPRODUCT((CÁLCULO!$M$15:$M$131=EVENTOS!$C59)*(OFFSET(CÁLCULO!$AI$15:$AI$131,0,W$13))),2),0)</f>
        <v>0</v>
      </c>
      <c r="X59" s="543" cm="1">
        <f t="array" aca="1" ref="X59" ca="1">IF(AUTOEVENTO="Manual",ROUND(SUMPRODUCT((CÁLCULO!$M$15:$M$131=EVENTOS!$C59)*(OFFSET(CÁLCULO!$AI$15:$AI$131,0,X$13))),2),0)</f>
        <v>0</v>
      </c>
      <c r="Y59" s="543" cm="1">
        <f t="array" aca="1" ref="Y59" ca="1">IF(AUTOEVENTO="Manual",ROUND(SUMPRODUCT((CÁLCULO!$M$15:$M$131=EVENTOS!$C59)*(OFFSET(CÁLCULO!$AI$15:$AI$131,0,Y$13))),2),0)</f>
        <v>0</v>
      </c>
    </row>
    <row r="60" spans="1:25" x14ac:dyDescent="0.2">
      <c r="A60" s="546" t="str">
        <f t="shared" si="3"/>
        <v/>
      </c>
      <c r="B60" t="str">
        <f t="shared" ca="1" si="4"/>
        <v/>
      </c>
      <c r="C60" s="191" t="str" cm="1">
        <f t="array" aca="1" ref="C60" ca="1">IF(OR(ROW(C60)=ROW(EVENTOS.firstrow)+1,AND(OFFSET(C60,-1,0)&lt;&gt;" ",OFFSET(C60,-1,1)&lt;&gt;"")),OFFSET(C60,-1,0)+1," ")</f>
        <v xml:space="preserve"> </v>
      </c>
      <c r="D60" s="532"/>
      <c r="E60" s="543" cm="1">
        <f t="array" aca="1" ref="E60" ca="1">IF(AUTOEVENTO="Manual",ROUND(SUMPRODUCT((CÁLCULO!$M$15:$M$131=EVENTOS!$C60)*(OFFSET(CÁLCULO!$AI$15:$AI$131,0,E$13))),2),0)</f>
        <v>0</v>
      </c>
      <c r="F60" s="192">
        <f ca="1">IF(AUTOEVENTO="Manual",ROUND(SUMPRODUCT((CÁLCULO!$M$15:$M$131=EVENTOS!$C60)*(OFFSET(CÁLCULO!$AI$15,0,1):OFFSET(CÁLCULO!$BB$131,0,-1))),2),0)</f>
        <v>0</v>
      </c>
      <c r="G60" s="627" t="str">
        <f ca="1">IF(AND(D60=0,F60&gt;0),"NOME",
 IF(AND(D60&lt;&gt;0,$F$14&gt;0,F60=0),"VALOR",
 IF(AND(Import.TipoArredondamento="TransfereGOV",$A60="F",LEN(D60)&gt;100),"Nome &gt;100","")))</f>
        <v/>
      </c>
      <c r="H60" s="543" cm="1">
        <f t="array" aca="1" ref="H60" ca="1">IF(AUTOEVENTO="Manual",ROUND(SUMPRODUCT((CÁLCULO!$M$15:$M$131=EVENTOS!$C60)*(OFFSET(CÁLCULO!$AI$15:$AI$131,0,H$13))),2),0)</f>
        <v>0</v>
      </c>
      <c r="I60" s="543" cm="1">
        <f t="array" aca="1" ref="I60" ca="1">IF(AUTOEVENTO="Manual",ROUND(SUMPRODUCT((CÁLCULO!$M$15:$M$131=EVENTOS!$C60)*(OFFSET(CÁLCULO!$AI$15:$AI$131,0,I$13))),2),0)</f>
        <v>0</v>
      </c>
      <c r="J60" s="543" cm="1">
        <f t="array" aca="1" ref="J60" ca="1">IF(AUTOEVENTO="Manual",ROUND(SUMPRODUCT((CÁLCULO!$M$15:$M$131=EVENTOS!$C60)*(OFFSET(CÁLCULO!$AI$15:$AI$131,0,J$13))),2),0)</f>
        <v>0</v>
      </c>
      <c r="K60" s="543" cm="1">
        <f t="array" aca="1" ref="K60" ca="1">IF(AUTOEVENTO="Manual",ROUND(SUMPRODUCT((CÁLCULO!$M$15:$M$131=EVENTOS!$C60)*(OFFSET(CÁLCULO!$AI$15:$AI$131,0,K$13))),2),0)</f>
        <v>0</v>
      </c>
      <c r="L60" s="543" cm="1">
        <f t="array" aca="1" ref="L60" ca="1">IF(AUTOEVENTO="Manual",ROUND(SUMPRODUCT((CÁLCULO!$M$15:$M$131=EVENTOS!$C60)*(OFFSET(CÁLCULO!$AI$15:$AI$131,0,L$13))),2),0)</f>
        <v>0</v>
      </c>
      <c r="M60" s="543" cm="1">
        <f t="array" aca="1" ref="M60" ca="1">IF(AUTOEVENTO="Manual",ROUND(SUMPRODUCT((CÁLCULO!$M$15:$M$131=EVENTOS!$C60)*(OFFSET(CÁLCULO!$AI$15:$AI$131,0,M$13))),2),0)</f>
        <v>0</v>
      </c>
      <c r="N60" s="543" cm="1">
        <f t="array" aca="1" ref="N60" ca="1">IF(AUTOEVENTO="Manual",ROUND(SUMPRODUCT((CÁLCULO!$M$15:$M$131=EVENTOS!$C60)*(OFFSET(CÁLCULO!$AI$15:$AI$131,0,N$13))),2),0)</f>
        <v>0</v>
      </c>
      <c r="O60" s="543" cm="1">
        <f t="array" aca="1" ref="O60" ca="1">IF(AUTOEVENTO="Manual",ROUND(SUMPRODUCT((CÁLCULO!$M$15:$M$131=EVENTOS!$C60)*(OFFSET(CÁLCULO!$AI$15:$AI$131,0,O$13))),2),0)</f>
        <v>0</v>
      </c>
      <c r="P60" s="543" cm="1">
        <f t="array" aca="1" ref="P60" ca="1">IF(AUTOEVENTO="Manual",ROUND(SUMPRODUCT((CÁLCULO!$M$15:$M$131=EVENTOS!$C60)*(OFFSET(CÁLCULO!$AI$15:$AI$131,0,P$13))),2),0)</f>
        <v>0</v>
      </c>
      <c r="Q60" s="543" cm="1">
        <f t="array" aca="1" ref="Q60" ca="1">IF(AUTOEVENTO="Manual",ROUND(SUMPRODUCT((CÁLCULO!$M$15:$M$131=EVENTOS!$C60)*(OFFSET(CÁLCULO!$AI$15:$AI$131,0,Q$13))),2),0)</f>
        <v>0</v>
      </c>
      <c r="R60" s="543" cm="1">
        <f t="array" aca="1" ref="R60" ca="1">IF(AUTOEVENTO="Manual",ROUND(SUMPRODUCT((CÁLCULO!$M$15:$M$131=EVENTOS!$C60)*(OFFSET(CÁLCULO!$AI$15:$AI$131,0,R$13))),2),0)</f>
        <v>0</v>
      </c>
      <c r="S60" s="543" cm="1">
        <f t="array" aca="1" ref="S60" ca="1">IF(AUTOEVENTO="Manual",ROUND(SUMPRODUCT((CÁLCULO!$M$15:$M$131=EVENTOS!$C60)*(OFFSET(CÁLCULO!$AI$15:$AI$131,0,S$13))),2),0)</f>
        <v>0</v>
      </c>
      <c r="T60" s="543" cm="1">
        <f t="array" aca="1" ref="T60" ca="1">IF(AUTOEVENTO="Manual",ROUND(SUMPRODUCT((CÁLCULO!$M$15:$M$131=EVENTOS!$C60)*(OFFSET(CÁLCULO!$AI$15:$AI$131,0,T$13))),2),0)</f>
        <v>0</v>
      </c>
      <c r="U60" s="543" cm="1">
        <f t="array" aca="1" ref="U60" ca="1">IF(AUTOEVENTO="Manual",ROUND(SUMPRODUCT((CÁLCULO!$M$15:$M$131=EVENTOS!$C60)*(OFFSET(CÁLCULO!$AI$15:$AI$131,0,U$13))),2),0)</f>
        <v>0</v>
      </c>
      <c r="V60" s="543" cm="1">
        <f t="array" aca="1" ref="V60" ca="1">IF(AUTOEVENTO="Manual",ROUND(SUMPRODUCT((CÁLCULO!$M$15:$M$131=EVENTOS!$C60)*(OFFSET(CÁLCULO!$AI$15:$AI$131,0,V$13))),2),0)</f>
        <v>0</v>
      </c>
      <c r="W60" s="543" cm="1">
        <f t="array" aca="1" ref="W60" ca="1">IF(AUTOEVENTO="Manual",ROUND(SUMPRODUCT((CÁLCULO!$M$15:$M$131=EVENTOS!$C60)*(OFFSET(CÁLCULO!$AI$15:$AI$131,0,W$13))),2),0)</f>
        <v>0</v>
      </c>
      <c r="X60" s="543" cm="1">
        <f t="array" aca="1" ref="X60" ca="1">IF(AUTOEVENTO="Manual",ROUND(SUMPRODUCT((CÁLCULO!$M$15:$M$131=EVENTOS!$C60)*(OFFSET(CÁLCULO!$AI$15:$AI$131,0,X$13))),2),0)</f>
        <v>0</v>
      </c>
      <c r="Y60" s="543" cm="1">
        <f t="array" aca="1" ref="Y60" ca="1">IF(AUTOEVENTO="Manual",ROUND(SUMPRODUCT((CÁLCULO!$M$15:$M$131=EVENTOS!$C60)*(OFFSET(CÁLCULO!$AI$15:$AI$131,0,Y$13))),2),0)</f>
        <v>0</v>
      </c>
    </row>
    <row r="61" spans="1:25" x14ac:dyDescent="0.2">
      <c r="A61" s="546" t="str">
        <f t="shared" si="3"/>
        <v/>
      </c>
      <c r="B61" t="str">
        <f t="shared" ca="1" si="4"/>
        <v/>
      </c>
      <c r="C61" s="191" t="str" cm="1">
        <f t="array" aca="1" ref="C61" ca="1">IF(OR(ROW(C61)=ROW(EVENTOS.firstrow)+1,AND(OFFSET(C61,-1,0)&lt;&gt;" ",OFFSET(C61,-1,1)&lt;&gt;"")),OFFSET(C61,-1,0)+1," ")</f>
        <v xml:space="preserve"> </v>
      </c>
      <c r="D61" s="532"/>
      <c r="E61" s="543" cm="1">
        <f t="array" aca="1" ref="E61" ca="1">IF(AUTOEVENTO="Manual",ROUND(SUMPRODUCT((CÁLCULO!$M$15:$M$131=EVENTOS!$C61)*(OFFSET(CÁLCULO!$AI$15:$AI$131,0,E$13))),2),0)</f>
        <v>0</v>
      </c>
      <c r="F61" s="192">
        <f ca="1">IF(AUTOEVENTO="Manual",ROUND(SUMPRODUCT((CÁLCULO!$M$15:$M$131=EVENTOS!$C61)*(OFFSET(CÁLCULO!$AI$15,0,1):OFFSET(CÁLCULO!$BB$131,0,-1))),2),0)</f>
        <v>0</v>
      </c>
      <c r="G61" s="627" t="str">
        <f ca="1">IF(AND(D61=0,F61&gt;0),"NOME",
 IF(AND(D61&lt;&gt;0,$F$14&gt;0,F61=0),"VALOR",
 IF(AND(Import.TipoArredondamento="TransfereGOV",$A61="F",LEN(D61)&gt;100),"Nome &gt;100","")))</f>
        <v/>
      </c>
      <c r="H61" s="543" cm="1">
        <f t="array" aca="1" ref="H61" ca="1">IF(AUTOEVENTO="Manual",ROUND(SUMPRODUCT((CÁLCULO!$M$15:$M$131=EVENTOS!$C61)*(OFFSET(CÁLCULO!$AI$15:$AI$131,0,H$13))),2),0)</f>
        <v>0</v>
      </c>
      <c r="I61" s="543" cm="1">
        <f t="array" aca="1" ref="I61" ca="1">IF(AUTOEVENTO="Manual",ROUND(SUMPRODUCT((CÁLCULO!$M$15:$M$131=EVENTOS!$C61)*(OFFSET(CÁLCULO!$AI$15:$AI$131,0,I$13))),2),0)</f>
        <v>0</v>
      </c>
      <c r="J61" s="543" cm="1">
        <f t="array" aca="1" ref="J61" ca="1">IF(AUTOEVENTO="Manual",ROUND(SUMPRODUCT((CÁLCULO!$M$15:$M$131=EVENTOS!$C61)*(OFFSET(CÁLCULO!$AI$15:$AI$131,0,J$13))),2),0)</f>
        <v>0</v>
      </c>
      <c r="K61" s="543" cm="1">
        <f t="array" aca="1" ref="K61" ca="1">IF(AUTOEVENTO="Manual",ROUND(SUMPRODUCT((CÁLCULO!$M$15:$M$131=EVENTOS!$C61)*(OFFSET(CÁLCULO!$AI$15:$AI$131,0,K$13))),2),0)</f>
        <v>0</v>
      </c>
      <c r="L61" s="543" cm="1">
        <f t="array" aca="1" ref="L61" ca="1">IF(AUTOEVENTO="Manual",ROUND(SUMPRODUCT((CÁLCULO!$M$15:$M$131=EVENTOS!$C61)*(OFFSET(CÁLCULO!$AI$15:$AI$131,0,L$13))),2),0)</f>
        <v>0</v>
      </c>
      <c r="M61" s="543" cm="1">
        <f t="array" aca="1" ref="M61" ca="1">IF(AUTOEVENTO="Manual",ROUND(SUMPRODUCT((CÁLCULO!$M$15:$M$131=EVENTOS!$C61)*(OFFSET(CÁLCULO!$AI$15:$AI$131,0,M$13))),2),0)</f>
        <v>0</v>
      </c>
      <c r="N61" s="543" cm="1">
        <f t="array" aca="1" ref="N61" ca="1">IF(AUTOEVENTO="Manual",ROUND(SUMPRODUCT((CÁLCULO!$M$15:$M$131=EVENTOS!$C61)*(OFFSET(CÁLCULO!$AI$15:$AI$131,0,N$13))),2),0)</f>
        <v>0</v>
      </c>
      <c r="O61" s="543" cm="1">
        <f t="array" aca="1" ref="O61" ca="1">IF(AUTOEVENTO="Manual",ROUND(SUMPRODUCT((CÁLCULO!$M$15:$M$131=EVENTOS!$C61)*(OFFSET(CÁLCULO!$AI$15:$AI$131,0,O$13))),2),0)</f>
        <v>0</v>
      </c>
      <c r="P61" s="543" cm="1">
        <f t="array" aca="1" ref="P61" ca="1">IF(AUTOEVENTO="Manual",ROUND(SUMPRODUCT((CÁLCULO!$M$15:$M$131=EVENTOS!$C61)*(OFFSET(CÁLCULO!$AI$15:$AI$131,0,P$13))),2),0)</f>
        <v>0</v>
      </c>
      <c r="Q61" s="543" cm="1">
        <f t="array" aca="1" ref="Q61" ca="1">IF(AUTOEVENTO="Manual",ROUND(SUMPRODUCT((CÁLCULO!$M$15:$M$131=EVENTOS!$C61)*(OFFSET(CÁLCULO!$AI$15:$AI$131,0,Q$13))),2),0)</f>
        <v>0</v>
      </c>
      <c r="R61" s="543" cm="1">
        <f t="array" aca="1" ref="R61" ca="1">IF(AUTOEVENTO="Manual",ROUND(SUMPRODUCT((CÁLCULO!$M$15:$M$131=EVENTOS!$C61)*(OFFSET(CÁLCULO!$AI$15:$AI$131,0,R$13))),2),0)</f>
        <v>0</v>
      </c>
      <c r="S61" s="543" cm="1">
        <f t="array" aca="1" ref="S61" ca="1">IF(AUTOEVENTO="Manual",ROUND(SUMPRODUCT((CÁLCULO!$M$15:$M$131=EVENTOS!$C61)*(OFFSET(CÁLCULO!$AI$15:$AI$131,0,S$13))),2),0)</f>
        <v>0</v>
      </c>
      <c r="T61" s="543" cm="1">
        <f t="array" aca="1" ref="T61" ca="1">IF(AUTOEVENTO="Manual",ROUND(SUMPRODUCT((CÁLCULO!$M$15:$M$131=EVENTOS!$C61)*(OFFSET(CÁLCULO!$AI$15:$AI$131,0,T$13))),2),0)</f>
        <v>0</v>
      </c>
      <c r="U61" s="543" cm="1">
        <f t="array" aca="1" ref="U61" ca="1">IF(AUTOEVENTO="Manual",ROUND(SUMPRODUCT((CÁLCULO!$M$15:$M$131=EVENTOS!$C61)*(OFFSET(CÁLCULO!$AI$15:$AI$131,0,U$13))),2),0)</f>
        <v>0</v>
      </c>
      <c r="V61" s="543" cm="1">
        <f t="array" aca="1" ref="V61" ca="1">IF(AUTOEVENTO="Manual",ROUND(SUMPRODUCT((CÁLCULO!$M$15:$M$131=EVENTOS!$C61)*(OFFSET(CÁLCULO!$AI$15:$AI$131,0,V$13))),2),0)</f>
        <v>0</v>
      </c>
      <c r="W61" s="543" cm="1">
        <f t="array" aca="1" ref="W61" ca="1">IF(AUTOEVENTO="Manual",ROUND(SUMPRODUCT((CÁLCULO!$M$15:$M$131=EVENTOS!$C61)*(OFFSET(CÁLCULO!$AI$15:$AI$131,0,W$13))),2),0)</f>
        <v>0</v>
      </c>
      <c r="X61" s="543" cm="1">
        <f t="array" aca="1" ref="X61" ca="1">IF(AUTOEVENTO="Manual",ROUND(SUMPRODUCT((CÁLCULO!$M$15:$M$131=EVENTOS!$C61)*(OFFSET(CÁLCULO!$AI$15:$AI$131,0,X$13))),2),0)</f>
        <v>0</v>
      </c>
      <c r="Y61" s="543" cm="1">
        <f t="array" aca="1" ref="Y61" ca="1">IF(AUTOEVENTO="Manual",ROUND(SUMPRODUCT((CÁLCULO!$M$15:$M$131=EVENTOS!$C61)*(OFFSET(CÁLCULO!$AI$15:$AI$131,0,Y$13))),2),0)</f>
        <v>0</v>
      </c>
    </row>
    <row r="62" spans="1:25" x14ac:dyDescent="0.2">
      <c r="A62" s="546" t="str">
        <f t="shared" si="3"/>
        <v/>
      </c>
      <c r="B62" t="str">
        <f t="shared" ca="1" si="4"/>
        <v/>
      </c>
      <c r="C62" s="191" t="str" cm="1">
        <f t="array" aca="1" ref="C62" ca="1">IF(OR(ROW(C62)=ROW(EVENTOS.firstrow)+1,AND(OFFSET(C62,-1,0)&lt;&gt;" ",OFFSET(C62,-1,1)&lt;&gt;"")),OFFSET(C62,-1,0)+1," ")</f>
        <v xml:space="preserve"> </v>
      </c>
      <c r="D62" s="532"/>
      <c r="E62" s="543" cm="1">
        <f t="array" aca="1" ref="E62" ca="1">IF(AUTOEVENTO="Manual",ROUND(SUMPRODUCT((CÁLCULO!$M$15:$M$131=EVENTOS!$C62)*(OFFSET(CÁLCULO!$AI$15:$AI$131,0,E$13))),2),0)</f>
        <v>0</v>
      </c>
      <c r="F62" s="192">
        <f ca="1">IF(AUTOEVENTO="Manual",ROUND(SUMPRODUCT((CÁLCULO!$M$15:$M$131=EVENTOS!$C62)*(OFFSET(CÁLCULO!$AI$15,0,1):OFFSET(CÁLCULO!$BB$131,0,-1))),2),0)</f>
        <v>0</v>
      </c>
      <c r="G62" s="627" t="str">
        <f ca="1">IF(AND(D62=0,F62&gt;0),"NOME",
 IF(AND(D62&lt;&gt;0,$F$14&gt;0,F62=0),"VALOR",
 IF(AND(Import.TipoArredondamento="TransfereGOV",$A62="F",LEN(D62)&gt;100),"Nome &gt;100","")))</f>
        <v/>
      </c>
      <c r="H62" s="543" cm="1">
        <f t="array" aca="1" ref="H62" ca="1">IF(AUTOEVENTO="Manual",ROUND(SUMPRODUCT((CÁLCULO!$M$15:$M$131=EVENTOS!$C62)*(OFFSET(CÁLCULO!$AI$15:$AI$131,0,H$13))),2),0)</f>
        <v>0</v>
      </c>
      <c r="I62" s="543" cm="1">
        <f t="array" aca="1" ref="I62" ca="1">IF(AUTOEVENTO="Manual",ROUND(SUMPRODUCT((CÁLCULO!$M$15:$M$131=EVENTOS!$C62)*(OFFSET(CÁLCULO!$AI$15:$AI$131,0,I$13))),2),0)</f>
        <v>0</v>
      </c>
      <c r="J62" s="543" cm="1">
        <f t="array" aca="1" ref="J62" ca="1">IF(AUTOEVENTO="Manual",ROUND(SUMPRODUCT((CÁLCULO!$M$15:$M$131=EVENTOS!$C62)*(OFFSET(CÁLCULO!$AI$15:$AI$131,0,J$13))),2),0)</f>
        <v>0</v>
      </c>
      <c r="K62" s="543" cm="1">
        <f t="array" aca="1" ref="K62" ca="1">IF(AUTOEVENTO="Manual",ROUND(SUMPRODUCT((CÁLCULO!$M$15:$M$131=EVENTOS!$C62)*(OFFSET(CÁLCULO!$AI$15:$AI$131,0,K$13))),2),0)</f>
        <v>0</v>
      </c>
      <c r="L62" s="543" cm="1">
        <f t="array" aca="1" ref="L62" ca="1">IF(AUTOEVENTO="Manual",ROUND(SUMPRODUCT((CÁLCULO!$M$15:$M$131=EVENTOS!$C62)*(OFFSET(CÁLCULO!$AI$15:$AI$131,0,L$13))),2),0)</f>
        <v>0</v>
      </c>
      <c r="M62" s="543" cm="1">
        <f t="array" aca="1" ref="M62" ca="1">IF(AUTOEVENTO="Manual",ROUND(SUMPRODUCT((CÁLCULO!$M$15:$M$131=EVENTOS!$C62)*(OFFSET(CÁLCULO!$AI$15:$AI$131,0,M$13))),2),0)</f>
        <v>0</v>
      </c>
      <c r="N62" s="543" cm="1">
        <f t="array" aca="1" ref="N62" ca="1">IF(AUTOEVENTO="Manual",ROUND(SUMPRODUCT((CÁLCULO!$M$15:$M$131=EVENTOS!$C62)*(OFFSET(CÁLCULO!$AI$15:$AI$131,0,N$13))),2),0)</f>
        <v>0</v>
      </c>
      <c r="O62" s="543" cm="1">
        <f t="array" aca="1" ref="O62" ca="1">IF(AUTOEVENTO="Manual",ROUND(SUMPRODUCT((CÁLCULO!$M$15:$M$131=EVENTOS!$C62)*(OFFSET(CÁLCULO!$AI$15:$AI$131,0,O$13))),2),0)</f>
        <v>0</v>
      </c>
      <c r="P62" s="543" cm="1">
        <f t="array" aca="1" ref="P62" ca="1">IF(AUTOEVENTO="Manual",ROUND(SUMPRODUCT((CÁLCULO!$M$15:$M$131=EVENTOS!$C62)*(OFFSET(CÁLCULO!$AI$15:$AI$131,0,P$13))),2),0)</f>
        <v>0</v>
      </c>
      <c r="Q62" s="543" cm="1">
        <f t="array" aca="1" ref="Q62" ca="1">IF(AUTOEVENTO="Manual",ROUND(SUMPRODUCT((CÁLCULO!$M$15:$M$131=EVENTOS!$C62)*(OFFSET(CÁLCULO!$AI$15:$AI$131,0,Q$13))),2),0)</f>
        <v>0</v>
      </c>
      <c r="R62" s="543" cm="1">
        <f t="array" aca="1" ref="R62" ca="1">IF(AUTOEVENTO="Manual",ROUND(SUMPRODUCT((CÁLCULO!$M$15:$M$131=EVENTOS!$C62)*(OFFSET(CÁLCULO!$AI$15:$AI$131,0,R$13))),2),0)</f>
        <v>0</v>
      </c>
      <c r="S62" s="543" cm="1">
        <f t="array" aca="1" ref="S62" ca="1">IF(AUTOEVENTO="Manual",ROUND(SUMPRODUCT((CÁLCULO!$M$15:$M$131=EVENTOS!$C62)*(OFFSET(CÁLCULO!$AI$15:$AI$131,0,S$13))),2),0)</f>
        <v>0</v>
      </c>
      <c r="T62" s="543" cm="1">
        <f t="array" aca="1" ref="T62" ca="1">IF(AUTOEVENTO="Manual",ROUND(SUMPRODUCT((CÁLCULO!$M$15:$M$131=EVENTOS!$C62)*(OFFSET(CÁLCULO!$AI$15:$AI$131,0,T$13))),2),0)</f>
        <v>0</v>
      </c>
      <c r="U62" s="543" cm="1">
        <f t="array" aca="1" ref="U62" ca="1">IF(AUTOEVENTO="Manual",ROUND(SUMPRODUCT((CÁLCULO!$M$15:$M$131=EVENTOS!$C62)*(OFFSET(CÁLCULO!$AI$15:$AI$131,0,U$13))),2),0)</f>
        <v>0</v>
      </c>
      <c r="V62" s="543" cm="1">
        <f t="array" aca="1" ref="V62" ca="1">IF(AUTOEVENTO="Manual",ROUND(SUMPRODUCT((CÁLCULO!$M$15:$M$131=EVENTOS!$C62)*(OFFSET(CÁLCULO!$AI$15:$AI$131,0,V$13))),2),0)</f>
        <v>0</v>
      </c>
      <c r="W62" s="543" cm="1">
        <f t="array" aca="1" ref="W62" ca="1">IF(AUTOEVENTO="Manual",ROUND(SUMPRODUCT((CÁLCULO!$M$15:$M$131=EVENTOS!$C62)*(OFFSET(CÁLCULO!$AI$15:$AI$131,0,W$13))),2),0)</f>
        <v>0</v>
      </c>
      <c r="X62" s="543" cm="1">
        <f t="array" aca="1" ref="X62" ca="1">IF(AUTOEVENTO="Manual",ROUND(SUMPRODUCT((CÁLCULO!$M$15:$M$131=EVENTOS!$C62)*(OFFSET(CÁLCULO!$AI$15:$AI$131,0,X$13))),2),0)</f>
        <v>0</v>
      </c>
      <c r="Y62" s="543" cm="1">
        <f t="array" aca="1" ref="Y62" ca="1">IF(AUTOEVENTO="Manual",ROUND(SUMPRODUCT((CÁLCULO!$M$15:$M$131=EVENTOS!$C62)*(OFFSET(CÁLCULO!$AI$15:$AI$131,0,Y$13))),2),0)</f>
        <v>0</v>
      </c>
    </row>
    <row r="63" spans="1:25" x14ac:dyDescent="0.2">
      <c r="A63" s="546" t="str">
        <f t="shared" si="3"/>
        <v/>
      </c>
      <c r="B63" t="str">
        <f t="shared" ca="1" si="4"/>
        <v/>
      </c>
      <c r="C63" s="191" t="str" cm="1">
        <f t="array" aca="1" ref="C63" ca="1">IF(OR(ROW(C63)=ROW(EVENTOS.firstrow)+1,AND(OFFSET(C63,-1,0)&lt;&gt;" ",OFFSET(C63,-1,1)&lt;&gt;"")),OFFSET(C63,-1,0)+1," ")</f>
        <v xml:space="preserve"> </v>
      </c>
      <c r="D63" s="532"/>
      <c r="E63" s="543" cm="1">
        <f t="array" aca="1" ref="E63" ca="1">IF(AUTOEVENTO="Manual",ROUND(SUMPRODUCT((CÁLCULO!$M$15:$M$131=EVENTOS!$C63)*(OFFSET(CÁLCULO!$AI$15:$AI$131,0,E$13))),2),0)</f>
        <v>0</v>
      </c>
      <c r="F63" s="192">
        <f ca="1">IF(AUTOEVENTO="Manual",ROUND(SUMPRODUCT((CÁLCULO!$M$15:$M$131=EVENTOS!$C63)*(OFFSET(CÁLCULO!$AI$15,0,1):OFFSET(CÁLCULO!$BB$131,0,-1))),2),0)</f>
        <v>0</v>
      </c>
      <c r="G63" s="627" t="str">
        <f ca="1">IF(AND(D63=0,F63&gt;0),"NOME",
 IF(AND(D63&lt;&gt;0,$F$14&gt;0,F63=0),"VALOR",
 IF(AND(Import.TipoArredondamento="TransfereGOV",$A63="F",LEN(D63)&gt;100),"Nome &gt;100","")))</f>
        <v/>
      </c>
      <c r="H63" s="543" cm="1">
        <f t="array" aca="1" ref="H63" ca="1">IF(AUTOEVENTO="Manual",ROUND(SUMPRODUCT((CÁLCULO!$M$15:$M$131=EVENTOS!$C63)*(OFFSET(CÁLCULO!$AI$15:$AI$131,0,H$13))),2),0)</f>
        <v>0</v>
      </c>
      <c r="I63" s="543" cm="1">
        <f t="array" aca="1" ref="I63" ca="1">IF(AUTOEVENTO="Manual",ROUND(SUMPRODUCT((CÁLCULO!$M$15:$M$131=EVENTOS!$C63)*(OFFSET(CÁLCULO!$AI$15:$AI$131,0,I$13))),2),0)</f>
        <v>0</v>
      </c>
      <c r="J63" s="543" cm="1">
        <f t="array" aca="1" ref="J63" ca="1">IF(AUTOEVENTO="Manual",ROUND(SUMPRODUCT((CÁLCULO!$M$15:$M$131=EVENTOS!$C63)*(OFFSET(CÁLCULO!$AI$15:$AI$131,0,J$13))),2),0)</f>
        <v>0</v>
      </c>
      <c r="K63" s="543" cm="1">
        <f t="array" aca="1" ref="K63" ca="1">IF(AUTOEVENTO="Manual",ROUND(SUMPRODUCT((CÁLCULO!$M$15:$M$131=EVENTOS!$C63)*(OFFSET(CÁLCULO!$AI$15:$AI$131,0,K$13))),2),0)</f>
        <v>0</v>
      </c>
      <c r="L63" s="543" cm="1">
        <f t="array" aca="1" ref="L63" ca="1">IF(AUTOEVENTO="Manual",ROUND(SUMPRODUCT((CÁLCULO!$M$15:$M$131=EVENTOS!$C63)*(OFFSET(CÁLCULO!$AI$15:$AI$131,0,L$13))),2),0)</f>
        <v>0</v>
      </c>
      <c r="M63" s="543" cm="1">
        <f t="array" aca="1" ref="M63" ca="1">IF(AUTOEVENTO="Manual",ROUND(SUMPRODUCT((CÁLCULO!$M$15:$M$131=EVENTOS!$C63)*(OFFSET(CÁLCULO!$AI$15:$AI$131,0,M$13))),2),0)</f>
        <v>0</v>
      </c>
      <c r="N63" s="543" cm="1">
        <f t="array" aca="1" ref="N63" ca="1">IF(AUTOEVENTO="Manual",ROUND(SUMPRODUCT((CÁLCULO!$M$15:$M$131=EVENTOS!$C63)*(OFFSET(CÁLCULO!$AI$15:$AI$131,0,N$13))),2),0)</f>
        <v>0</v>
      </c>
      <c r="O63" s="543" cm="1">
        <f t="array" aca="1" ref="O63" ca="1">IF(AUTOEVENTO="Manual",ROUND(SUMPRODUCT((CÁLCULO!$M$15:$M$131=EVENTOS!$C63)*(OFFSET(CÁLCULO!$AI$15:$AI$131,0,O$13))),2),0)</f>
        <v>0</v>
      </c>
      <c r="P63" s="543" cm="1">
        <f t="array" aca="1" ref="P63" ca="1">IF(AUTOEVENTO="Manual",ROUND(SUMPRODUCT((CÁLCULO!$M$15:$M$131=EVENTOS!$C63)*(OFFSET(CÁLCULO!$AI$15:$AI$131,0,P$13))),2),0)</f>
        <v>0</v>
      </c>
      <c r="Q63" s="543" cm="1">
        <f t="array" aca="1" ref="Q63" ca="1">IF(AUTOEVENTO="Manual",ROUND(SUMPRODUCT((CÁLCULO!$M$15:$M$131=EVENTOS!$C63)*(OFFSET(CÁLCULO!$AI$15:$AI$131,0,Q$13))),2),0)</f>
        <v>0</v>
      </c>
      <c r="R63" s="543" cm="1">
        <f t="array" aca="1" ref="R63" ca="1">IF(AUTOEVENTO="Manual",ROUND(SUMPRODUCT((CÁLCULO!$M$15:$M$131=EVENTOS!$C63)*(OFFSET(CÁLCULO!$AI$15:$AI$131,0,R$13))),2),0)</f>
        <v>0</v>
      </c>
      <c r="S63" s="543" cm="1">
        <f t="array" aca="1" ref="S63" ca="1">IF(AUTOEVENTO="Manual",ROUND(SUMPRODUCT((CÁLCULO!$M$15:$M$131=EVENTOS!$C63)*(OFFSET(CÁLCULO!$AI$15:$AI$131,0,S$13))),2),0)</f>
        <v>0</v>
      </c>
      <c r="T63" s="543" cm="1">
        <f t="array" aca="1" ref="T63" ca="1">IF(AUTOEVENTO="Manual",ROUND(SUMPRODUCT((CÁLCULO!$M$15:$M$131=EVENTOS!$C63)*(OFFSET(CÁLCULO!$AI$15:$AI$131,0,T$13))),2),0)</f>
        <v>0</v>
      </c>
      <c r="U63" s="543" cm="1">
        <f t="array" aca="1" ref="U63" ca="1">IF(AUTOEVENTO="Manual",ROUND(SUMPRODUCT((CÁLCULO!$M$15:$M$131=EVENTOS!$C63)*(OFFSET(CÁLCULO!$AI$15:$AI$131,0,U$13))),2),0)</f>
        <v>0</v>
      </c>
      <c r="V63" s="543" cm="1">
        <f t="array" aca="1" ref="V63" ca="1">IF(AUTOEVENTO="Manual",ROUND(SUMPRODUCT((CÁLCULO!$M$15:$M$131=EVENTOS!$C63)*(OFFSET(CÁLCULO!$AI$15:$AI$131,0,V$13))),2),0)</f>
        <v>0</v>
      </c>
      <c r="W63" s="543" cm="1">
        <f t="array" aca="1" ref="W63" ca="1">IF(AUTOEVENTO="Manual",ROUND(SUMPRODUCT((CÁLCULO!$M$15:$M$131=EVENTOS!$C63)*(OFFSET(CÁLCULO!$AI$15:$AI$131,0,W$13))),2),0)</f>
        <v>0</v>
      </c>
      <c r="X63" s="543" cm="1">
        <f t="array" aca="1" ref="X63" ca="1">IF(AUTOEVENTO="Manual",ROUND(SUMPRODUCT((CÁLCULO!$M$15:$M$131=EVENTOS!$C63)*(OFFSET(CÁLCULO!$AI$15:$AI$131,0,X$13))),2),0)</f>
        <v>0</v>
      </c>
      <c r="Y63" s="543" cm="1">
        <f t="array" aca="1" ref="Y63" ca="1">IF(AUTOEVENTO="Manual",ROUND(SUMPRODUCT((CÁLCULO!$M$15:$M$131=EVENTOS!$C63)*(OFFSET(CÁLCULO!$AI$15:$AI$131,0,Y$13))),2),0)</f>
        <v>0</v>
      </c>
    </row>
    <row r="64" spans="1:25" x14ac:dyDescent="0.2">
      <c r="A64" s="546" t="str">
        <f t="shared" si="3"/>
        <v/>
      </c>
      <c r="B64" t="str">
        <f t="shared" ca="1" si="4"/>
        <v/>
      </c>
      <c r="C64" s="191" t="str" cm="1">
        <f t="array" aca="1" ref="C64" ca="1">IF(OR(ROW(C64)=ROW(EVENTOS.firstrow)+1,AND(OFFSET(C64,-1,0)&lt;&gt;" ",OFFSET(C64,-1,1)&lt;&gt;"")),OFFSET(C64,-1,0)+1," ")</f>
        <v xml:space="preserve"> </v>
      </c>
      <c r="D64" s="532"/>
      <c r="E64" s="543" cm="1">
        <f t="array" aca="1" ref="E64" ca="1">IF(AUTOEVENTO="Manual",ROUND(SUMPRODUCT((CÁLCULO!$M$15:$M$131=EVENTOS!$C64)*(OFFSET(CÁLCULO!$AI$15:$AI$131,0,E$13))),2),0)</f>
        <v>0</v>
      </c>
      <c r="F64" s="192">
        <f ca="1">IF(AUTOEVENTO="Manual",ROUND(SUMPRODUCT((CÁLCULO!$M$15:$M$131=EVENTOS!$C64)*(OFFSET(CÁLCULO!$AI$15,0,1):OFFSET(CÁLCULO!$BB$131,0,-1))),2),0)</f>
        <v>0</v>
      </c>
      <c r="G64" s="627" t="str">
        <f ca="1">IF(AND(D64=0,F64&gt;0),"NOME",
 IF(AND(D64&lt;&gt;0,$F$14&gt;0,F64=0),"VALOR",
 IF(AND(Import.TipoArredondamento="TransfereGOV",$A64="F",LEN(D64)&gt;100),"Nome &gt;100","")))</f>
        <v/>
      </c>
      <c r="H64" s="543" cm="1">
        <f t="array" aca="1" ref="H64" ca="1">IF(AUTOEVENTO="Manual",ROUND(SUMPRODUCT((CÁLCULO!$M$15:$M$131=EVENTOS!$C64)*(OFFSET(CÁLCULO!$AI$15:$AI$131,0,H$13))),2),0)</f>
        <v>0</v>
      </c>
      <c r="I64" s="543" cm="1">
        <f t="array" aca="1" ref="I64" ca="1">IF(AUTOEVENTO="Manual",ROUND(SUMPRODUCT((CÁLCULO!$M$15:$M$131=EVENTOS!$C64)*(OFFSET(CÁLCULO!$AI$15:$AI$131,0,I$13))),2),0)</f>
        <v>0</v>
      </c>
      <c r="J64" s="543" cm="1">
        <f t="array" aca="1" ref="J64" ca="1">IF(AUTOEVENTO="Manual",ROUND(SUMPRODUCT((CÁLCULO!$M$15:$M$131=EVENTOS!$C64)*(OFFSET(CÁLCULO!$AI$15:$AI$131,0,J$13))),2),0)</f>
        <v>0</v>
      </c>
      <c r="K64" s="543" cm="1">
        <f t="array" aca="1" ref="K64" ca="1">IF(AUTOEVENTO="Manual",ROUND(SUMPRODUCT((CÁLCULO!$M$15:$M$131=EVENTOS!$C64)*(OFFSET(CÁLCULO!$AI$15:$AI$131,0,K$13))),2),0)</f>
        <v>0</v>
      </c>
      <c r="L64" s="543" cm="1">
        <f t="array" aca="1" ref="L64" ca="1">IF(AUTOEVENTO="Manual",ROUND(SUMPRODUCT((CÁLCULO!$M$15:$M$131=EVENTOS!$C64)*(OFFSET(CÁLCULO!$AI$15:$AI$131,0,L$13))),2),0)</f>
        <v>0</v>
      </c>
      <c r="M64" s="543" cm="1">
        <f t="array" aca="1" ref="M64" ca="1">IF(AUTOEVENTO="Manual",ROUND(SUMPRODUCT((CÁLCULO!$M$15:$M$131=EVENTOS!$C64)*(OFFSET(CÁLCULO!$AI$15:$AI$131,0,M$13))),2),0)</f>
        <v>0</v>
      </c>
      <c r="N64" s="543" cm="1">
        <f t="array" aca="1" ref="N64" ca="1">IF(AUTOEVENTO="Manual",ROUND(SUMPRODUCT((CÁLCULO!$M$15:$M$131=EVENTOS!$C64)*(OFFSET(CÁLCULO!$AI$15:$AI$131,0,N$13))),2),0)</f>
        <v>0</v>
      </c>
      <c r="O64" s="543" cm="1">
        <f t="array" aca="1" ref="O64" ca="1">IF(AUTOEVENTO="Manual",ROUND(SUMPRODUCT((CÁLCULO!$M$15:$M$131=EVENTOS!$C64)*(OFFSET(CÁLCULO!$AI$15:$AI$131,0,O$13))),2),0)</f>
        <v>0</v>
      </c>
      <c r="P64" s="543" cm="1">
        <f t="array" aca="1" ref="P64" ca="1">IF(AUTOEVENTO="Manual",ROUND(SUMPRODUCT((CÁLCULO!$M$15:$M$131=EVENTOS!$C64)*(OFFSET(CÁLCULO!$AI$15:$AI$131,0,P$13))),2),0)</f>
        <v>0</v>
      </c>
      <c r="Q64" s="543" cm="1">
        <f t="array" aca="1" ref="Q64" ca="1">IF(AUTOEVENTO="Manual",ROUND(SUMPRODUCT((CÁLCULO!$M$15:$M$131=EVENTOS!$C64)*(OFFSET(CÁLCULO!$AI$15:$AI$131,0,Q$13))),2),0)</f>
        <v>0</v>
      </c>
      <c r="R64" s="543" cm="1">
        <f t="array" aca="1" ref="R64" ca="1">IF(AUTOEVENTO="Manual",ROUND(SUMPRODUCT((CÁLCULO!$M$15:$M$131=EVENTOS!$C64)*(OFFSET(CÁLCULO!$AI$15:$AI$131,0,R$13))),2),0)</f>
        <v>0</v>
      </c>
      <c r="S64" s="543" cm="1">
        <f t="array" aca="1" ref="S64" ca="1">IF(AUTOEVENTO="Manual",ROUND(SUMPRODUCT((CÁLCULO!$M$15:$M$131=EVENTOS!$C64)*(OFFSET(CÁLCULO!$AI$15:$AI$131,0,S$13))),2),0)</f>
        <v>0</v>
      </c>
      <c r="T64" s="543" cm="1">
        <f t="array" aca="1" ref="T64" ca="1">IF(AUTOEVENTO="Manual",ROUND(SUMPRODUCT((CÁLCULO!$M$15:$M$131=EVENTOS!$C64)*(OFFSET(CÁLCULO!$AI$15:$AI$131,0,T$13))),2),0)</f>
        <v>0</v>
      </c>
      <c r="U64" s="543" cm="1">
        <f t="array" aca="1" ref="U64" ca="1">IF(AUTOEVENTO="Manual",ROUND(SUMPRODUCT((CÁLCULO!$M$15:$M$131=EVENTOS!$C64)*(OFFSET(CÁLCULO!$AI$15:$AI$131,0,U$13))),2),0)</f>
        <v>0</v>
      </c>
      <c r="V64" s="543" cm="1">
        <f t="array" aca="1" ref="V64" ca="1">IF(AUTOEVENTO="Manual",ROUND(SUMPRODUCT((CÁLCULO!$M$15:$M$131=EVENTOS!$C64)*(OFFSET(CÁLCULO!$AI$15:$AI$131,0,V$13))),2),0)</f>
        <v>0</v>
      </c>
      <c r="W64" s="543" cm="1">
        <f t="array" aca="1" ref="W64" ca="1">IF(AUTOEVENTO="Manual",ROUND(SUMPRODUCT((CÁLCULO!$M$15:$M$131=EVENTOS!$C64)*(OFFSET(CÁLCULO!$AI$15:$AI$131,0,W$13))),2),0)</f>
        <v>0</v>
      </c>
      <c r="X64" s="543" cm="1">
        <f t="array" aca="1" ref="X64" ca="1">IF(AUTOEVENTO="Manual",ROUND(SUMPRODUCT((CÁLCULO!$M$15:$M$131=EVENTOS!$C64)*(OFFSET(CÁLCULO!$AI$15:$AI$131,0,X$13))),2),0)</f>
        <v>0</v>
      </c>
      <c r="Y64" s="543" cm="1">
        <f t="array" aca="1" ref="Y64" ca="1">IF(AUTOEVENTO="Manual",ROUND(SUMPRODUCT((CÁLCULO!$M$15:$M$131=EVENTOS!$C64)*(OFFSET(CÁLCULO!$AI$15:$AI$131,0,Y$13))),2),0)</f>
        <v>0</v>
      </c>
    </row>
    <row r="65" spans="1:25" ht="5.45" customHeight="1" x14ac:dyDescent="0.2">
      <c r="A65" s="546" t="s">
        <v>244</v>
      </c>
      <c r="C65" s="186"/>
      <c r="D65" s="193"/>
      <c r="E65" s="593"/>
      <c r="F65" s="194"/>
      <c r="G65" s="530"/>
      <c r="H65" s="593"/>
      <c r="I65" s="593"/>
      <c r="J65" s="593"/>
      <c r="K65" s="593"/>
      <c r="L65" s="593"/>
      <c r="M65" s="593"/>
      <c r="N65" s="593"/>
      <c r="O65" s="593"/>
      <c r="P65" s="593"/>
      <c r="Q65" s="593"/>
      <c r="R65" s="593"/>
      <c r="S65" s="593"/>
      <c r="T65" s="593"/>
      <c r="U65" s="593"/>
      <c r="V65" s="593"/>
      <c r="W65" s="593"/>
      <c r="X65" s="593"/>
      <c r="Y65" s="593"/>
    </row>
    <row r="66" spans="1:25" x14ac:dyDescent="0.2">
      <c r="A66" s="546" t="s">
        <v>244</v>
      </c>
    </row>
    <row r="67" spans="1:25" x14ac:dyDescent="0.2">
      <c r="A67" s="546" t="s">
        <v>244</v>
      </c>
    </row>
    <row r="68" spans="1:25" ht="15" x14ac:dyDescent="0.2">
      <c r="A68" s="546" t="s">
        <v>244</v>
      </c>
      <c r="D68" s="528" t="str">
        <f>Import.Município</f>
        <v>LINDÓIA DO SUL - SC</v>
      </c>
      <c r="L68" s="492"/>
      <c r="M68" s="435"/>
      <c r="N68" s="435"/>
      <c r="O68" s="435"/>
      <c r="V68" s="492"/>
      <c r="W68" s="435"/>
      <c r="X68" s="435"/>
      <c r="Y68" s="435"/>
    </row>
    <row r="69" spans="1:25" x14ac:dyDescent="0.2">
      <c r="A69" s="546" t="s">
        <v>244</v>
      </c>
      <c r="D69" s="10" t="s">
        <v>186</v>
      </c>
      <c r="H69" s="594"/>
      <c r="I69" s="594"/>
      <c r="J69" s="594"/>
      <c r="L69" s="190" t="s">
        <v>188</v>
      </c>
      <c r="V69" s="190" t="s">
        <v>188</v>
      </c>
    </row>
    <row r="70" spans="1:25" x14ac:dyDescent="0.2">
      <c r="A70" s="546" t="s">
        <v>244</v>
      </c>
      <c r="H70" s="594"/>
      <c r="I70" s="594"/>
      <c r="J70" s="594"/>
      <c r="L70" s="413" t="str">
        <f t="array" aca="1" ref="L70:L72" ca="1">OFFSET(Import.RespOrçamento,0,-1) &amp; " " &amp; Import.RespOrçamento</f>
        <v>Nome: RAFAELA B. BOSCHETTI</v>
      </c>
      <c r="V70" s="413" t="str">
        <f t="array" aca="1" ref="V70:V72" ca="1">OFFSET(Import.RespOrçamento,0,-1) &amp; " " &amp; Import.RespOrçamento</f>
        <v>Nome: RAFAELA B. BOSCHETTI</v>
      </c>
    </row>
    <row r="71" spans="1:25" x14ac:dyDescent="0.2">
      <c r="A71" s="546" t="s">
        <v>244</v>
      </c>
      <c r="D71" s="529">
        <f ca="1">DADOS!$C$25</f>
        <v>46189</v>
      </c>
      <c r="L71" s="413" t="str">
        <f ca="1"/>
        <v>CREA/CAU: A295176-2</v>
      </c>
      <c r="V71" s="413" t="str">
        <f ca="1"/>
        <v>CREA/CAU: A295176-2</v>
      </c>
    </row>
    <row r="72" spans="1:25" x14ac:dyDescent="0.2">
      <c r="A72" s="546" t="s">
        <v>244</v>
      </c>
      <c r="D72" s="10" t="s">
        <v>187</v>
      </c>
      <c r="L72" s="413" t="str">
        <f ca="1"/>
        <v>ART/RRT: 16357172</v>
      </c>
      <c r="V72" s="413" t="str">
        <f ca="1"/>
        <v>ART/RRT: 16357172</v>
      </c>
    </row>
  </sheetData>
  <sheetProtection algorithmName="SHA-512" hashValue="/2iaDxRmxJ84fZG0r7bc4i1KPbpzeSxeq91sfySutZfWiI5XoXf//f3ypxfmZ7WHKC+lNZj4CeuTO745773V3Q==" saltValue="5jier8JsK+QF01L8g3l3B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3 K10:Y13 C14:Y15 C1:Z1 Z10:Z15 C16:Z65">
    <cfRule type="expression" dxfId="310" priority="1" stopIfTrue="1">
      <formula>OR(AUTOEVENTO&lt;&gt;"Manual",ACOMPANHAMENTO="BM",C$10=0,C$13=0,$C1=" ")</formula>
    </cfRule>
  </conditionalFormatting>
  <conditionalFormatting sqref="A15 C15:XFD15">
    <cfRule type="expression" dxfId="309" priority="151">
      <formula>$C$15=0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2" firstPageNumber="0" orientation="portrait" horizontalDpi="300" verticalDpi="300" r:id="rId1"/>
  <headerFooter alignWithMargins="0">
    <oddHeader>&amp;L_</oddHeader>
    <oddFooter>&amp;LPMv3.09&amp;R&amp;P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399"/>
  <sheetViews>
    <sheetView showGridLines="0" zoomScale="85" zoomScaleNormal="85" zoomScaleSheetLayoutView="90" workbookViewId="0">
      <pane xSplit="8" ySplit="15" topLeftCell="I27" activePane="bottomRight" state="frozen"/>
      <selection activeCell="C1" sqref="C1"/>
      <selection pane="topRight" activeCell="I1" sqref="I1"/>
      <selection pane="bottomLeft" activeCell="C16" sqref="C16"/>
      <selection pane="bottomRight" activeCell="F44" sqref="F44"/>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34" width="11.7109375" customWidth="1"/>
    <col min="35" max="91" width="9.140625" hidden="1" customWidth="1"/>
    <col min="92" max="92" width="1.7109375" hidden="1" customWidth="1"/>
  </cols>
  <sheetData>
    <row r="1" spans="1:91" ht="12.75" hidden="1" customHeight="1" x14ac:dyDescent="0.2">
      <c r="M1" s="7" cm="1">
        <f t="array" aca="1" ref="M1" ca="1">CÁLCULO.FrentesPreenchidas</f>
        <v>5</v>
      </c>
      <c r="O1" s="563">
        <f>IF(OR(ACOMPANHAMENTO="BM",N1=0,O12=""),0,1)</f>
        <v>0</v>
      </c>
      <c r="P1" t="s">
        <v>253</v>
      </c>
      <c r="Q1" s="563">
        <f>IF(OR(ACOMPANHAMENTO="BM",P1=0,Q12=""),0,1)</f>
        <v>1</v>
      </c>
      <c r="R1" s="563">
        <f>IF(OR(ACOMPANHAMENTO="BM",Q1=0,R12=""),0,1)</f>
        <v>1</v>
      </c>
      <c r="S1" s="563">
        <f>IF(OR(ACOMPANHAMENTO="BM",R1=0,S12=""),0,1)</f>
        <v>1</v>
      </c>
      <c r="T1" s="563">
        <f>IF(OR(ACOMPANHAMENTO="BM",S1=0,T12=""),0,1)</f>
        <v>1</v>
      </c>
      <c r="U1" s="563">
        <f>IF(OR(ACOMPANHAMENTO="BM",T1=0,U12=""),0,1)</f>
        <v>1</v>
      </c>
      <c r="V1" s="563">
        <f>IF(OR(ACOMPANHAMENTO="BM",U1=0,V12=""),0,1)</f>
        <v>0</v>
      </c>
      <c r="W1" s="563">
        <f>IF(OR(ACOMPANHAMENTO="BM",V1=0,W12=""),0,1)</f>
        <v>0</v>
      </c>
      <c r="X1" s="563">
        <f>IF(OR(ACOMPANHAMENTO="BM",W1=0,X12=""),0,1)</f>
        <v>0</v>
      </c>
      <c r="Y1" s="563">
        <f>IF(OR(ACOMPANHAMENTO="BM",X1=0,Y12=""),0,1)</f>
        <v>0</v>
      </c>
      <c r="Z1" s="563">
        <f>IF(OR(ACOMPANHAMENTO="BM",Y1=0,Z12=""),0,1)</f>
        <v>0</v>
      </c>
      <c r="AA1" s="563">
        <f>IF(OR(ACOMPANHAMENTO="BM",Z1=0,AA12=""),0,1)</f>
        <v>0</v>
      </c>
      <c r="AB1" s="563">
        <f>IF(OR(ACOMPANHAMENTO="BM",AA1=0,AB12=""),0,1)</f>
        <v>0</v>
      </c>
      <c r="AC1" s="563">
        <f>IF(OR(ACOMPANHAMENTO="BM",AB1=0,AC12=""),0,1)</f>
        <v>0</v>
      </c>
      <c r="AD1" s="563">
        <f>IF(OR(ACOMPANHAMENTO="BM",AC1=0,AD12=""),0,1)</f>
        <v>0</v>
      </c>
      <c r="AE1" s="563">
        <f>IF(OR(ACOMPANHAMENTO="BM",AD1=0,AE12=""),0,1)</f>
        <v>0</v>
      </c>
      <c r="AF1" s="563">
        <f>IF(OR(ACOMPANHAMENTO="BM",AE1=0,AF12=""),0,1)</f>
        <v>0</v>
      </c>
      <c r="AG1" s="563">
        <f>IF(OR(ACOMPANHAMENTO="BM",AF1=0,AG12=""),0,1)</f>
        <v>0</v>
      </c>
      <c r="AH1" s="563">
        <f>IF(OR(ACOMPANHAMENTO="BM",AG1=0,AH12=""),0,1)</f>
        <v>0</v>
      </c>
      <c r="AJ1" t="s">
        <v>249</v>
      </c>
      <c r="BC1" t="s">
        <v>250</v>
      </c>
      <c r="BV1" t="s">
        <v>251</v>
      </c>
    </row>
    <row r="2" spans="1:91" ht="12.75" hidden="1" customHeight="1" x14ac:dyDescent="0.2"/>
    <row r="3" spans="1:91" ht="12.75" hidden="1" customHeight="1" x14ac:dyDescent="0.2"/>
    <row r="4" spans="1:91" ht="12.75" hidden="1" customHeight="1" x14ac:dyDescent="0.2"/>
    <row r="5" spans="1:91" ht="12.75" hidden="1" customHeight="1" x14ac:dyDescent="0.2"/>
    <row r="6" spans="1:91" ht="15.95" customHeight="1" x14ac:dyDescent="0.2">
      <c r="F6" s="739" t="str">
        <f>IF(ACOMPANHAMENTO="BM","MEMÓRIA DE CÁLCULO","PLQ - PLANILHA DE LEVANTAMENTO DE QUANTIDADES")</f>
        <v>PLQ - PLANILHA DE LEVANTAMENTO DE QUANTIDADES</v>
      </c>
      <c r="G6" s="739"/>
      <c r="H6" s="739"/>
      <c r="I6" s="147"/>
      <c r="K6" s="147"/>
      <c r="L6" s="147"/>
      <c r="M6" s="148"/>
      <c r="N6" s="147"/>
      <c r="P6" s="147"/>
      <c r="Q6" s="663" t="s">
        <v>139</v>
      </c>
      <c r="R6" s="663"/>
      <c r="Y6" s="663" t="s">
        <v>139</v>
      </c>
      <c r="Z6" s="663"/>
      <c r="AG6" s="663" t="s">
        <v>139</v>
      </c>
      <c r="AH6" s="663"/>
    </row>
    <row r="7" spans="1:91" ht="15" customHeight="1" x14ac:dyDescent="0.2">
      <c r="F7" s="740" t="str">
        <f>IF(ACOMPANHAMENTO="BM","","Memória de Cálculo")&amp;" - "&amp;import.recurso</f>
        <v>Memória de Cálculo - OGU</v>
      </c>
      <c r="G7" s="740"/>
      <c r="H7" s="740"/>
      <c r="I7" s="149"/>
      <c r="K7" s="149"/>
      <c r="L7" s="149"/>
      <c r="M7" s="150"/>
      <c r="N7" s="149"/>
      <c r="P7" s="149"/>
      <c r="Q7" s="664" t="s">
        <v>142</v>
      </c>
      <c r="R7" s="664"/>
      <c r="Y7" s="664" t="s">
        <v>142</v>
      </c>
      <c r="Z7" s="664"/>
      <c r="AG7" s="664" t="s">
        <v>142</v>
      </c>
      <c r="AH7" s="664"/>
    </row>
    <row r="8" spans="1:91" ht="12.75" customHeight="1" x14ac:dyDescent="0.2">
      <c r="AM8" s="510"/>
      <c r="AU8" s="510"/>
    </row>
    <row r="9" spans="1:91" ht="12.75" customHeight="1" x14ac:dyDescent="0.2">
      <c r="E9" s="707" t="s">
        <v>200</v>
      </c>
      <c r="F9" s="707"/>
      <c r="G9" s="707" t="s">
        <v>422</v>
      </c>
      <c r="H9" s="707"/>
      <c r="I9" s="89" t="s">
        <v>145</v>
      </c>
      <c r="K9" s="151" t="s">
        <v>146</v>
      </c>
      <c r="L9" s="152"/>
      <c r="M9" s="152"/>
      <c r="N9" s="152"/>
      <c r="O9" s="152"/>
      <c r="P9" s="152"/>
      <c r="Q9" s="152"/>
      <c r="R9" s="153"/>
      <c r="S9" s="707" t="s">
        <v>145</v>
      </c>
      <c r="T9" s="707"/>
      <c r="U9" s="707" t="s">
        <v>146</v>
      </c>
      <c r="V9" s="707"/>
      <c r="W9" s="707"/>
      <c r="X9" s="707"/>
      <c r="Y9" s="707"/>
      <c r="Z9" s="707"/>
      <c r="AA9" s="707" t="s">
        <v>145</v>
      </c>
      <c r="AB9" s="707"/>
      <c r="AC9" s="707" t="s">
        <v>146</v>
      </c>
      <c r="AD9" s="707"/>
      <c r="AE9" s="707"/>
      <c r="AF9" s="707"/>
      <c r="AG9" s="707"/>
      <c r="AH9" s="707"/>
    </row>
    <row r="10" spans="1:91" ht="12.75" customHeight="1" x14ac:dyDescent="0.2">
      <c r="E10" s="711" t="str">
        <f>Import.Apelido</f>
        <v>RUA COBERTA MUNICIPAL</v>
      </c>
      <c r="F10" s="711"/>
      <c r="G10" s="711" t="str" cm="1">
        <f t="array" ref="G10">Import.TransfereGOV</f>
        <v>0</v>
      </c>
      <c r="H10" s="711"/>
      <c r="I10" s="92" t="str">
        <f>Import.CR</f>
        <v>0</v>
      </c>
      <c r="K10" s="154" t="str">
        <f>Import.Proponente</f>
        <v>0</v>
      </c>
      <c r="L10" s="155"/>
      <c r="M10" s="102"/>
      <c r="N10" s="155"/>
      <c r="O10" s="155"/>
      <c r="P10" s="155"/>
      <c r="Q10" s="155"/>
      <c r="R10" s="93"/>
      <c r="S10" s="711" t="str">
        <f>Import.CR</f>
        <v>0</v>
      </c>
      <c r="T10" s="711"/>
      <c r="U10" s="711" t="str">
        <f>Import.Proponente</f>
        <v>0</v>
      </c>
      <c r="V10" s="711"/>
      <c r="W10" s="711"/>
      <c r="X10" s="711"/>
      <c r="Y10" s="711"/>
      <c r="Z10" s="711"/>
      <c r="AA10" s="711" t="str">
        <f>Import.CR</f>
        <v>0</v>
      </c>
      <c r="AB10" s="711"/>
      <c r="AC10" s="711" t="str">
        <f>Import.Proponente</f>
        <v>0</v>
      </c>
      <c r="AD10" s="711"/>
      <c r="AE10" s="711"/>
      <c r="AF10" s="711"/>
      <c r="AG10" s="711"/>
      <c r="AH10" s="711"/>
    </row>
    <row r="11" spans="1:91" ht="12.75" customHeight="1" x14ac:dyDescent="0.2">
      <c r="F11" s="621" t="str">
        <f ca="1">IF(AND(ACOMPANHAMENTO="PLE",CÁLCULO.FrentesPreenchidas=0),"Preencher os nomes das Frentes de Obra",
  IF(COUNTIF($J$15:$J$131,"►")&gt;0,"Não pode haver serviços sem agrupador de eventos",
  IF(COUNTIF($P$11:$AI$11,"▼")&gt;0,"Não pode haver frentes de obra sem quantidades",
  IF(COUNTIF($P$11:$AI$11,"Nome &gt;100")&gt;0,"Nome da frente de obra com mais de 100 caracteres",""))))</f>
        <v/>
      </c>
      <c r="N11" s="630" t="str">
        <f ca="1">IF(OR(COUNTIF($J$15:$J$131,"►")&gt;0,COUNTIF($J$15:$J$131,"►►")&gt;0),"",
IF(COUNTIF($P$11:$AI$11,"▼")&gt;0,"Falta preencher a frente de obra nº " &amp; HLOOKUP("▼",$P$11:$AI$13,3,FALSE),
IF(COUNTIF($P$11:$AI$11,"Nome &gt;100")&gt;0,"Resuma o nome da frente de obra nº " &amp; HLOOKUP("Nome &gt;100",$P$11:$AI$13,3,FALSE),"")))</f>
        <v/>
      </c>
      <c r="O11" s="620" t="e">
        <f ca="1">IF(AND(O1=1,O15=0),"▼",IF(AND(O1=1,LEN(O12)&gt;100),"Nome &gt;100",""))</f>
        <v>#VALUE!</v>
      </c>
      <c r="P11" s="7"/>
      <c r="Q11" s="620" t="str">
        <f ca="1">IF(AND(Q1=1,Q15=0),"▼",IF(AND(Q1=1,LEN(Q12)&gt;100),"Nome &gt;100",""))</f>
        <v/>
      </c>
      <c r="R11" s="620" t="str">
        <f t="shared" ref="R11:Z11" ca="1" si="0">IF(AND(R1=1,R15=0),"▼",IF(AND(R1=1,LEN(R12)&gt;100),"Nome &gt;100",""))</f>
        <v/>
      </c>
      <c r="S11" s="620" t="str">
        <f t="shared" ca="1" si="0"/>
        <v/>
      </c>
      <c r="T11" s="620" t="str">
        <f t="shared" ca="1" si="0"/>
        <v/>
      </c>
      <c r="U11" s="620" t="str">
        <f t="shared" ca="1" si="0"/>
        <v/>
      </c>
      <c r="V11" s="620" t="str">
        <f t="shared" ca="1" si="0"/>
        <v/>
      </c>
      <c r="W11" s="620" t="str">
        <f t="shared" ca="1" si="0"/>
        <v/>
      </c>
      <c r="X11" s="620" t="str">
        <f t="shared" ca="1" si="0"/>
        <v/>
      </c>
      <c r="Y11" s="620" t="str">
        <f t="shared" ca="1" si="0"/>
        <v/>
      </c>
      <c r="Z11" s="620" t="str">
        <f t="shared" ca="1" si="0"/>
        <v/>
      </c>
      <c r="AA11" s="620" t="str">
        <f t="shared" ref="AA11:AH11" ca="1" si="1">IF(AND(AA1=1,AA15=0),"▼",IF(AND(AA1=1,LEN(AA12)&gt;100),"Nome &gt;100",""))</f>
        <v/>
      </c>
      <c r="AB11" s="620" t="str">
        <f t="shared" ca="1" si="1"/>
        <v/>
      </c>
      <c r="AC11" s="620" t="str">
        <f t="shared" ca="1" si="1"/>
        <v/>
      </c>
      <c r="AD11" s="620" t="str">
        <f t="shared" ca="1" si="1"/>
        <v/>
      </c>
      <c r="AE11" s="620" t="str">
        <f t="shared" ca="1" si="1"/>
        <v/>
      </c>
      <c r="AF11" s="620" t="str">
        <f t="shared" ca="1" si="1"/>
        <v/>
      </c>
      <c r="AG11" s="620" t="str">
        <f t="shared" ca="1" si="1"/>
        <v/>
      </c>
      <c r="AH11" s="620" t="str">
        <f t="shared" ca="1" si="1"/>
        <v/>
      </c>
    </row>
    <row r="12" spans="1:91"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252</v>
      </c>
      <c r="C12" s="524" t="s">
        <v>207</v>
      </c>
      <c r="H12" s="157"/>
      <c r="I12" s="633" t="str">
        <f ca="1">IF(COUNTIF($J$15:$J$131,"►")&gt;0,"Falta Definir o Agrupador de Evento na linha "&amp;MATCH("►",$J$15:$J$131,0)+ROW($J$14),
  IF(COUNTIF($J$15:$J$131,"►►")&gt;0,"Falta preencher a quantidade do serviço na linha "&amp;MATCH("►►",$J$15:$J$131,0)+ROW($J$14),
  IF(AND(COUNTIF($P$11:$AI$11,"▼")=0,COUNTIF($J$15:$J$131,"◄")&gt;0),"Falta Preencher o Memorial de Cálculo na linha "&amp;MATCH("◄",$J$15:$J$131,0)+ROW($J$14),"")))</f>
        <v/>
      </c>
      <c r="J12" s="158" t="s">
        <v>253</v>
      </c>
      <c r="K12" s="159" t="s">
        <v>254</v>
      </c>
      <c r="L12" s="158" t="s">
        <v>253</v>
      </c>
      <c r="M12" s="626">
        <f ca="1">IF(ACOMPANHAMENTO="BM",0,MAX($M$15:$M$131))</f>
        <v>13</v>
      </c>
      <c r="N12" s="631" t="s">
        <v>255</v>
      </c>
      <c r="O12" s="160"/>
      <c r="P12" s="158" t="s">
        <v>253</v>
      </c>
      <c r="Q12" s="484" t="s">
        <v>1073</v>
      </c>
      <c r="R12" s="160" t="s">
        <v>1075</v>
      </c>
      <c r="S12" s="160" t="s">
        <v>1076</v>
      </c>
      <c r="T12" s="562" t="s">
        <v>1074</v>
      </c>
      <c r="U12" s="160" t="s">
        <v>943</v>
      </c>
      <c r="V12" s="160"/>
      <c r="W12" s="160"/>
      <c r="X12" s="160"/>
      <c r="Y12" s="160"/>
      <c r="Z12" s="161"/>
      <c r="AA12" s="160"/>
      <c r="AB12" s="562"/>
      <c r="AC12" s="160"/>
      <c r="AD12" s="160"/>
      <c r="AE12" s="160"/>
      <c r="AF12" s="160"/>
      <c r="AG12" s="160"/>
      <c r="AH12" s="161"/>
      <c r="AI12" s="158" t="s">
        <v>253</v>
      </c>
      <c r="AJ12" s="162" t="str">
        <f ca="1">IF(OFFSET($P$1,0,AJ$13)=0,0,OFFSET($P$12,0,AJ$13))</f>
        <v>SERVIÇOS INICIAIS E ESCAVAÇÕES</v>
      </c>
      <c r="AK12" s="162" t="str">
        <f t="shared" ref="AK12:BA12" ca="1" si="2">IF(OFFSET($P$1,0,AK$13)=0,0,OFFSET($P$12,0,AK$13))</f>
        <v xml:space="preserve">FUNDAÇÕES E ESTRUTURA </v>
      </c>
      <c r="AL12" s="162" t="str">
        <f t="shared" ca="1" si="2"/>
        <v>PAVIMENTAÇÃO E FECHAMENTO METÁLICO</v>
      </c>
      <c r="AM12" s="162" t="str">
        <f t="shared" ca="1" si="2"/>
        <v>ALVENARIA, ESQUADRIAS E INSTALAÇÕES ELÉTRICAS</v>
      </c>
      <c r="AN12" s="162" t="str">
        <f t="shared" ca="1" si="2"/>
        <v>SERVIÇOS FINAIS</v>
      </c>
      <c r="AO12" s="162">
        <f t="shared" ca="1" si="2"/>
        <v>0</v>
      </c>
      <c r="AP12" s="162">
        <f t="shared" ca="1" si="2"/>
        <v>0</v>
      </c>
      <c r="AQ12" s="162">
        <f t="shared" ca="1" si="2"/>
        <v>0</v>
      </c>
      <c r="AR12" s="162">
        <f t="shared" ca="1" si="2"/>
        <v>0</v>
      </c>
      <c r="AS12" s="162">
        <f t="shared" ca="1" si="2"/>
        <v>0</v>
      </c>
      <c r="AT12" s="162">
        <f t="shared" ca="1" si="2"/>
        <v>0</v>
      </c>
      <c r="AU12" s="162">
        <f t="shared" ca="1" si="2"/>
        <v>0</v>
      </c>
      <c r="AV12" s="162">
        <f t="shared" ca="1" si="2"/>
        <v>0</v>
      </c>
      <c r="AW12" s="162">
        <f t="shared" ca="1" si="2"/>
        <v>0</v>
      </c>
      <c r="AX12" s="162">
        <f t="shared" ca="1" si="2"/>
        <v>0</v>
      </c>
      <c r="AY12" s="162">
        <f t="shared" ca="1" si="2"/>
        <v>0</v>
      </c>
      <c r="AZ12" s="162">
        <f t="shared" ca="1" si="2"/>
        <v>0</v>
      </c>
      <c r="BA12" s="162">
        <f t="shared" ca="1" si="2"/>
        <v>0</v>
      </c>
      <c r="BC12" s="162" t="str">
        <f t="shared" ref="BC12:CM12" ca="1" si="3">IF(OFFSET($P$1,0,BC$13)=0,0,OFFSET($P$12,0,BC$13))</f>
        <v>SERVIÇOS INICIAIS E ESCAVAÇÕES</v>
      </c>
      <c r="BD12" s="163" t="str">
        <f t="shared" ca="1" si="3"/>
        <v xml:space="preserve">FUNDAÇÕES E ESTRUTURA </v>
      </c>
      <c r="BE12" s="163" t="str">
        <f t="shared" ca="1" si="3"/>
        <v>PAVIMENTAÇÃO E FECHAMENTO METÁLICO</v>
      </c>
      <c r="BF12" s="163" t="str">
        <f t="shared" ca="1" si="3"/>
        <v>ALVENARIA, ESQUADRIAS E INSTALAÇÕES ELÉTRICAS</v>
      </c>
      <c r="BG12" s="163" t="str">
        <f t="shared" ca="1" si="3"/>
        <v>SERVIÇOS FINAIS</v>
      </c>
      <c r="BH12" s="163">
        <f t="shared" ca="1" si="3"/>
        <v>0</v>
      </c>
      <c r="BI12" s="163">
        <f t="shared" ca="1" si="3"/>
        <v>0</v>
      </c>
      <c r="BJ12" s="163">
        <f t="shared" ca="1" si="3"/>
        <v>0</v>
      </c>
      <c r="BK12" s="163">
        <f t="shared" ca="1" si="3"/>
        <v>0</v>
      </c>
      <c r="BL12" s="164">
        <f t="shared" ca="1" si="3"/>
        <v>0</v>
      </c>
      <c r="BM12" s="163">
        <f t="shared" ca="1" si="3"/>
        <v>0</v>
      </c>
      <c r="BN12" s="163">
        <f t="shared" ca="1" si="3"/>
        <v>0</v>
      </c>
      <c r="BO12" s="163">
        <f t="shared" ca="1" si="3"/>
        <v>0</v>
      </c>
      <c r="BP12" s="163">
        <f t="shared" ca="1" si="3"/>
        <v>0</v>
      </c>
      <c r="BQ12" s="163">
        <f t="shared" ca="1" si="3"/>
        <v>0</v>
      </c>
      <c r="BR12" s="163">
        <f t="shared" ca="1" si="3"/>
        <v>0</v>
      </c>
      <c r="BS12" s="163">
        <f t="shared" ca="1" si="3"/>
        <v>0</v>
      </c>
      <c r="BT12" s="164">
        <f t="shared" ca="1" si="3"/>
        <v>0</v>
      </c>
      <c r="BV12" s="162" t="str">
        <f t="shared" ca="1" si="3"/>
        <v>SERVIÇOS INICIAIS E ESCAVAÇÕES</v>
      </c>
      <c r="BW12" s="163" t="str">
        <f t="shared" ca="1" si="3"/>
        <v xml:space="preserve">FUNDAÇÕES E ESTRUTURA </v>
      </c>
      <c r="BX12" s="163" t="str">
        <f t="shared" ca="1" si="3"/>
        <v>PAVIMENTAÇÃO E FECHAMENTO METÁLICO</v>
      </c>
      <c r="BY12" s="163" t="str">
        <f t="shared" ca="1" si="3"/>
        <v>ALVENARIA, ESQUADRIAS E INSTALAÇÕES ELÉTRICAS</v>
      </c>
      <c r="BZ12" s="163" t="str">
        <f t="shared" ca="1" si="3"/>
        <v>SERVIÇOS FINAIS</v>
      </c>
      <c r="CA12" s="163">
        <f t="shared" ca="1" si="3"/>
        <v>0</v>
      </c>
      <c r="CB12" s="163">
        <f t="shared" ca="1" si="3"/>
        <v>0</v>
      </c>
      <c r="CC12" s="163">
        <f t="shared" ca="1" si="3"/>
        <v>0</v>
      </c>
      <c r="CD12" s="163">
        <f t="shared" ca="1" si="3"/>
        <v>0</v>
      </c>
      <c r="CE12" s="164">
        <f t="shared" ca="1" si="3"/>
        <v>0</v>
      </c>
      <c r="CF12" s="163">
        <f t="shared" ca="1" si="3"/>
        <v>0</v>
      </c>
      <c r="CG12" s="163">
        <f t="shared" ca="1" si="3"/>
        <v>0</v>
      </c>
      <c r="CH12" s="163">
        <f t="shared" ca="1" si="3"/>
        <v>0</v>
      </c>
      <c r="CI12" s="163">
        <f t="shared" ca="1" si="3"/>
        <v>0</v>
      </c>
      <c r="CJ12" s="163">
        <f t="shared" ca="1" si="3"/>
        <v>0</v>
      </c>
      <c r="CK12" s="163">
        <f t="shared" ca="1" si="3"/>
        <v>0</v>
      </c>
      <c r="CL12" s="163">
        <f t="shared" ca="1" si="3"/>
        <v>0</v>
      </c>
      <c r="CM12" s="164">
        <f t="shared" ca="1" si="3"/>
        <v>0</v>
      </c>
    </row>
    <row r="13" spans="1:91" ht="12.75" customHeight="1" x14ac:dyDescent="0.2">
      <c r="A13" s="85" t="s">
        <v>256</v>
      </c>
      <c r="B13" s="7" t="s">
        <v>252</v>
      </c>
      <c r="C13" s="525" t="s">
        <v>215</v>
      </c>
      <c r="D13" s="109" t="s">
        <v>227</v>
      </c>
      <c r="E13" s="109" t="s">
        <v>229</v>
      </c>
      <c r="F13" s="109" t="s">
        <v>232</v>
      </c>
      <c r="G13" s="111" t="s">
        <v>233</v>
      </c>
      <c r="H13" s="109" t="s">
        <v>201</v>
      </c>
      <c r="I13" s="109" t="s">
        <v>257</v>
      </c>
      <c r="J13" s="565"/>
      <c r="K13" s="304" t="s">
        <v>258</v>
      </c>
      <c r="L13" s="158"/>
      <c r="M13" s="109" t="s">
        <v>259</v>
      </c>
      <c r="N13" s="109" t="s">
        <v>260</v>
      </c>
      <c r="O13" s="165" t="e">
        <f ca="1">OFFSET(O13,0,-1)+1</f>
        <v>#VALUE!</v>
      </c>
      <c r="Q13" s="166">
        <f t="shared" ref="Q13:AH13" ca="1" si="4">OFFSET(Q13,0,-1)+1</f>
        <v>1</v>
      </c>
      <c r="R13" s="165">
        <f t="shared" ca="1" si="4"/>
        <v>2</v>
      </c>
      <c r="S13" s="165">
        <f t="shared" ca="1" si="4"/>
        <v>3</v>
      </c>
      <c r="T13" s="165">
        <f t="shared" ca="1" si="4"/>
        <v>4</v>
      </c>
      <c r="U13" s="165">
        <f t="shared" ca="1" si="4"/>
        <v>5</v>
      </c>
      <c r="V13" s="165">
        <f t="shared" ca="1" si="4"/>
        <v>6</v>
      </c>
      <c r="W13" s="165">
        <f t="shared" ca="1" si="4"/>
        <v>7</v>
      </c>
      <c r="X13" s="165">
        <f t="shared" ca="1" si="4"/>
        <v>8</v>
      </c>
      <c r="Y13" s="165">
        <f t="shared" ca="1" si="4"/>
        <v>9</v>
      </c>
      <c r="Z13" s="167">
        <f t="shared" ca="1" si="4"/>
        <v>10</v>
      </c>
      <c r="AA13" s="165">
        <f t="shared" ca="1" si="4"/>
        <v>11</v>
      </c>
      <c r="AB13" s="165">
        <f t="shared" ca="1" si="4"/>
        <v>12</v>
      </c>
      <c r="AC13" s="165">
        <f t="shared" ca="1" si="4"/>
        <v>13</v>
      </c>
      <c r="AD13" s="165">
        <f t="shared" ca="1" si="4"/>
        <v>14</v>
      </c>
      <c r="AE13" s="165">
        <f t="shared" ca="1" si="4"/>
        <v>15</v>
      </c>
      <c r="AF13" s="165">
        <f t="shared" ca="1" si="4"/>
        <v>16</v>
      </c>
      <c r="AG13" s="165">
        <f t="shared" ca="1" si="4"/>
        <v>17</v>
      </c>
      <c r="AH13" s="167">
        <f t="shared" ca="1" si="4"/>
        <v>18</v>
      </c>
      <c r="AJ13" s="115">
        <f t="shared" ref="AJ13:CM13" ca="1" si="5">OFFSET(AJ13,0,-1)+1</f>
        <v>1</v>
      </c>
      <c r="AK13" s="168">
        <f t="shared" ca="1" si="5"/>
        <v>2</v>
      </c>
      <c r="AL13" s="168">
        <f t="shared" ca="1" si="5"/>
        <v>3</v>
      </c>
      <c r="AM13" s="168">
        <f t="shared" ca="1" si="5"/>
        <v>4</v>
      </c>
      <c r="AN13" s="168">
        <f t="shared" ca="1" si="5"/>
        <v>5</v>
      </c>
      <c r="AO13" s="168">
        <f t="shared" ca="1" si="5"/>
        <v>6</v>
      </c>
      <c r="AP13" s="168">
        <f t="shared" ca="1" si="5"/>
        <v>7</v>
      </c>
      <c r="AQ13" s="168">
        <f t="shared" ca="1" si="5"/>
        <v>8</v>
      </c>
      <c r="AR13" s="168">
        <f t="shared" ca="1" si="5"/>
        <v>9</v>
      </c>
      <c r="AS13" s="169">
        <f t="shared" ca="1" si="5"/>
        <v>10</v>
      </c>
      <c r="AT13" s="168">
        <f t="shared" ca="1" si="5"/>
        <v>11</v>
      </c>
      <c r="AU13" s="168">
        <f t="shared" ca="1" si="5"/>
        <v>12</v>
      </c>
      <c r="AV13" s="168">
        <f t="shared" ca="1" si="5"/>
        <v>13</v>
      </c>
      <c r="AW13" s="168">
        <f t="shared" ca="1" si="5"/>
        <v>14</v>
      </c>
      <c r="AX13" s="168">
        <f t="shared" ca="1" si="5"/>
        <v>15</v>
      </c>
      <c r="AY13" s="168">
        <f t="shared" ca="1" si="5"/>
        <v>16</v>
      </c>
      <c r="AZ13" s="168">
        <f t="shared" ca="1" si="5"/>
        <v>17</v>
      </c>
      <c r="BA13" s="169">
        <f t="shared" ca="1" si="5"/>
        <v>18</v>
      </c>
      <c r="BC13" s="115">
        <f t="shared" ca="1" si="5"/>
        <v>1</v>
      </c>
      <c r="BD13" s="168">
        <f t="shared" ca="1" si="5"/>
        <v>2</v>
      </c>
      <c r="BE13" s="168">
        <f t="shared" ca="1" si="5"/>
        <v>3</v>
      </c>
      <c r="BF13" s="168">
        <f t="shared" ca="1" si="5"/>
        <v>4</v>
      </c>
      <c r="BG13" s="168">
        <f t="shared" ca="1" si="5"/>
        <v>5</v>
      </c>
      <c r="BH13" s="168">
        <f t="shared" ca="1" si="5"/>
        <v>6</v>
      </c>
      <c r="BI13" s="168">
        <f t="shared" ca="1" si="5"/>
        <v>7</v>
      </c>
      <c r="BJ13" s="168">
        <f t="shared" ca="1" si="5"/>
        <v>8</v>
      </c>
      <c r="BK13" s="168">
        <f t="shared" ca="1" si="5"/>
        <v>9</v>
      </c>
      <c r="BL13" s="169">
        <f t="shared" ca="1" si="5"/>
        <v>10</v>
      </c>
      <c r="BM13" s="168">
        <f t="shared" ca="1" si="5"/>
        <v>11</v>
      </c>
      <c r="BN13" s="168">
        <f t="shared" ca="1" si="5"/>
        <v>12</v>
      </c>
      <c r="BO13" s="168">
        <f t="shared" ca="1" si="5"/>
        <v>13</v>
      </c>
      <c r="BP13" s="168">
        <f t="shared" ca="1" si="5"/>
        <v>14</v>
      </c>
      <c r="BQ13" s="168">
        <f t="shared" ca="1" si="5"/>
        <v>15</v>
      </c>
      <c r="BR13" s="168">
        <f t="shared" ca="1" si="5"/>
        <v>16</v>
      </c>
      <c r="BS13" s="168">
        <f t="shared" ca="1" si="5"/>
        <v>17</v>
      </c>
      <c r="BT13" s="169">
        <f t="shared" ca="1" si="5"/>
        <v>18</v>
      </c>
      <c r="BV13" s="115">
        <f t="shared" ca="1" si="5"/>
        <v>1</v>
      </c>
      <c r="BW13" s="168">
        <f t="shared" ca="1" si="5"/>
        <v>2</v>
      </c>
      <c r="BX13" s="168">
        <f t="shared" ca="1" si="5"/>
        <v>3</v>
      </c>
      <c r="BY13" s="168">
        <f t="shared" ca="1" si="5"/>
        <v>4</v>
      </c>
      <c r="BZ13" s="168">
        <f t="shared" ca="1" si="5"/>
        <v>5</v>
      </c>
      <c r="CA13" s="168">
        <f t="shared" ca="1" si="5"/>
        <v>6</v>
      </c>
      <c r="CB13" s="168">
        <f t="shared" ca="1" si="5"/>
        <v>7</v>
      </c>
      <c r="CC13" s="168">
        <f t="shared" ca="1" si="5"/>
        <v>8</v>
      </c>
      <c r="CD13" s="168">
        <f t="shared" ca="1" si="5"/>
        <v>9</v>
      </c>
      <c r="CE13" s="169">
        <f t="shared" ca="1" si="5"/>
        <v>10</v>
      </c>
      <c r="CF13" s="168">
        <f t="shared" ca="1" si="5"/>
        <v>11</v>
      </c>
      <c r="CG13" s="168">
        <f t="shared" ca="1" si="5"/>
        <v>12</v>
      </c>
      <c r="CH13" s="168">
        <f t="shared" ca="1" si="5"/>
        <v>13</v>
      </c>
      <c r="CI13" s="168">
        <f t="shared" ca="1" si="5"/>
        <v>14</v>
      </c>
      <c r="CJ13" s="168">
        <f t="shared" ca="1" si="5"/>
        <v>15</v>
      </c>
      <c r="CK13" s="168">
        <f t="shared" ca="1" si="5"/>
        <v>16</v>
      </c>
      <c r="CL13" s="168">
        <f t="shared" ca="1" si="5"/>
        <v>17</v>
      </c>
      <c r="CM13" s="169">
        <f t="shared" ca="1" si="5"/>
        <v>18</v>
      </c>
    </row>
    <row r="14" spans="1:91"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0" t="str">
        <f ca="1">OFFSET(ORÇAMENTO!R$15,ROW(F14)-ROW(F$15),0)</f>
        <v>(Sem Código)</v>
      </c>
      <c r="G14" s="171" t="str">
        <f ca="1">IF($D14&lt;&gt;"Serviço","",OFFSET(ORÇAMENTO!S$15,ROW(G14)-ROW(G$15),0))</f>
        <v>-</v>
      </c>
      <c r="H14" s="124" cm="1">
        <f t="array" aca="1" ref="H14" ca="1">IF($D14&lt;&gt;"Serviço",0,IF(_xlfn.SINGLE(ACOMPANHAMENTO)="BM",ROUND(OFFSET(ORÇAMENTO!AJ$15,ROW(H14)-ROW(H$15),0),15-13*ORÇAMENTO!$AF$7),SUMPRODUCT(($Q$1:$AI$1)*ROUND($Q14:$AI14,15-13*ORÇAMENTO!$AF$7))))</f>
        <v>0</v>
      </c>
      <c r="I14" s="500"/>
      <c r="J14" s="632" t="e" cm="1">
        <f t="array" aca="1" ref="J14" ca="1">IF(B14&lt;&gt;"S","",IF(AND(ACOMPANHAMENTO="PLE",AUTOEVENTO="Manual",OR(H14&gt;0,ORÇAMENTO!AC14="QUANT."),OR(K14="",M14=0,N14="")),"►",IF(AND(ACOMPANHAMENTO="PLE",ORÇAMENTO!AC14="QUANT."),"►►",IF(AND(COUNTIF($P$11:$AI$11,"▼")=0,H14&gt;0,I14=""),"◄",""))))</f>
        <v>#VALUE!</v>
      </c>
      <c r="K14" s="624"/>
      <c r="L14" s="172" t="s">
        <v>253</v>
      </c>
      <c r="M14" s="173" t="str">
        <f ca="1">IF($D14&lt;&gt;"Serviço","",
          IF(AUTOEVENTO="manual",$A14,
                IF(ISERROR(MATCH($A14,$A$15:OFFSET($A14,-1,0),0)),MAX($M$15:OFFSET(M14,-1,0))+1,
                      INDEX($M$15:OFFSET(M14,-1,0),MATCH($A14,$A$15:OFFSET($A14,-1,0),0)))))</f>
        <v># Evento</v>
      </c>
      <c r="N14" s="174" t="e">
        <f ca="1">IF($D14&lt;&gt;"Serviço","",
         IF(AUTOEVENTO="Manual",
                IF($A14=0,"&lt;-- defina o número do agrupador",
                       OFFSET(EVENTOS!$D$15,$A14-$A$15,0)),
                OFFSET($F$15,$A14,0)))</f>
        <v>#VALUE!</v>
      </c>
      <c r="O14" s="175"/>
      <c r="Q14" s="175"/>
      <c r="R14" s="176"/>
      <c r="S14" s="176"/>
      <c r="T14" s="176"/>
      <c r="U14" s="176"/>
      <c r="V14" s="176"/>
      <c r="W14" s="176"/>
      <c r="X14" s="176"/>
      <c r="Y14" s="176"/>
      <c r="Z14" s="177"/>
      <c r="AA14" s="176"/>
      <c r="AB14" s="176"/>
      <c r="AC14" s="176"/>
      <c r="AD14" s="176"/>
      <c r="AE14" s="176"/>
      <c r="AF14" s="176"/>
      <c r="AG14" s="176"/>
      <c r="AH14" s="177"/>
      <c r="AJ14" s="485">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85">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85">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85">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85">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85">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85">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85">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85">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85">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85">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85">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85">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85">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85">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85">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85">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85">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8" t="e">
        <f ca="1">IF(OR($D14&lt;&gt;"Serviço",AND(AUTOEVENTO="Manual",$M14=$A$15)),0,
         IF(OFFSET(CRONOPLE!$F$15,$M14-$A$15,BC$13)="",10^12,OFFSET(CRONOPLE!$F$15,$M14-$A$15,BC$13)))</f>
        <v>#VALUE!</v>
      </c>
      <c r="BD14" s="178" t="e">
        <f ca="1">IF(OR($D14&lt;&gt;"Serviço",AND(AUTOEVENTO="Manual",$M14=$A$15)),0,
         IF(OFFSET(CRONOPLE!$F$15,$M14-$A$15,BD$13)="",10^12,OFFSET(CRONOPLE!$F$15,$M14-$A$15,BD$13)))</f>
        <v>#VALUE!</v>
      </c>
      <c r="BE14" s="178" t="e">
        <f ca="1">IF(OR($D14&lt;&gt;"Serviço",AND(AUTOEVENTO="Manual",$M14=$A$15)),0,
         IF(OFFSET(CRONOPLE!$F$15,$M14-$A$15,BE$13)="",10^12,OFFSET(CRONOPLE!$F$15,$M14-$A$15,BE$13)))</f>
        <v>#VALUE!</v>
      </c>
      <c r="BF14" s="178" t="e">
        <f ca="1">IF(OR($D14&lt;&gt;"Serviço",AND(AUTOEVENTO="Manual",$M14=$A$15)),0,
         IF(OFFSET(CRONOPLE!$F$15,$M14-$A$15,BF$13)="",10^12,OFFSET(CRONOPLE!$F$15,$M14-$A$15,BF$13)))</f>
        <v>#VALUE!</v>
      </c>
      <c r="BG14" s="178" t="e">
        <f ca="1">IF(OR($D14&lt;&gt;"Serviço",AND(AUTOEVENTO="Manual",$M14=$A$15)),0,
         IF(OFFSET(CRONOPLE!$F$15,$M14-$A$15,BG$13)="",10^12,OFFSET(CRONOPLE!$F$15,$M14-$A$15,BG$13)))</f>
        <v>#VALUE!</v>
      </c>
      <c r="BH14" s="178" t="e">
        <f ca="1">IF(OR($D14&lt;&gt;"Serviço",AND(AUTOEVENTO="Manual",$M14=$A$15)),0,
         IF(OFFSET(CRONOPLE!$F$15,$M14-$A$15,BH$13)="",10^12,OFFSET(CRONOPLE!$F$15,$M14-$A$15,BH$13)))</f>
        <v>#VALUE!</v>
      </c>
      <c r="BI14" s="178" t="e">
        <f ca="1">IF(OR($D14&lt;&gt;"Serviço",AND(AUTOEVENTO="Manual",$M14=$A$15)),0,
         IF(OFFSET(CRONOPLE!$F$15,$M14-$A$15,BI$13)="",10^12,OFFSET(CRONOPLE!$F$15,$M14-$A$15,BI$13)))</f>
        <v>#VALUE!</v>
      </c>
      <c r="BJ14" s="178" t="e">
        <f ca="1">IF(OR($D14&lt;&gt;"Serviço",AND(AUTOEVENTO="Manual",$M14=$A$15)),0,
         IF(OFFSET(CRONOPLE!$F$15,$M14-$A$15,BJ$13)="",10^12,OFFSET(CRONOPLE!$F$15,$M14-$A$15,BJ$13)))</f>
        <v>#VALUE!</v>
      </c>
      <c r="BK14" s="178" t="e">
        <f ca="1">IF(OR($D14&lt;&gt;"Serviço",AND(AUTOEVENTO="Manual",$M14=$A$15)),0,
         IF(OFFSET(CRONOPLE!$F$15,$M14-$A$15,BK$13)="",10^12,OFFSET(CRONOPLE!$F$15,$M14-$A$15,BK$13)))</f>
        <v>#VALUE!</v>
      </c>
      <c r="BL14" s="178" t="e">
        <f ca="1">IF(OR($D14&lt;&gt;"Serviço",AND(AUTOEVENTO="Manual",$M14=$A$15)),0,
         IF(OFFSET(CRONOPLE!$F$15,$M14-$A$15,BL$13)="",10^12,OFFSET(CRONOPLE!$F$15,$M14-$A$15,BL$13)))</f>
        <v>#VALUE!</v>
      </c>
      <c r="BM14" s="178" t="e">
        <f ca="1">IF(OR($D14&lt;&gt;"Serviço",AND(AUTOEVENTO="Manual",$M14=$A$15)),0,
         IF(OFFSET(CRONOPLE!$F$15,$M14-$A$15,BM$13)="",10^12,OFFSET(CRONOPLE!$F$15,$M14-$A$15,BM$13)))</f>
        <v>#VALUE!</v>
      </c>
      <c r="BN14" s="178" t="e">
        <f ca="1">IF(OR($D14&lt;&gt;"Serviço",AND(AUTOEVENTO="Manual",$M14=$A$15)),0,
         IF(OFFSET(CRONOPLE!$F$15,$M14-$A$15,BN$13)="",10^12,OFFSET(CRONOPLE!$F$15,$M14-$A$15,BN$13)))</f>
        <v>#VALUE!</v>
      </c>
      <c r="BO14" s="178" t="e">
        <f ca="1">IF(OR($D14&lt;&gt;"Serviço",AND(AUTOEVENTO="Manual",$M14=$A$15)),0,
         IF(OFFSET(CRONOPLE!$F$15,$M14-$A$15,BO$13)="",10^12,OFFSET(CRONOPLE!$F$15,$M14-$A$15,BO$13)))</f>
        <v>#VALUE!</v>
      </c>
      <c r="BP14" s="178" t="e">
        <f ca="1">IF(OR($D14&lt;&gt;"Serviço",AND(AUTOEVENTO="Manual",$M14=$A$15)),0,
         IF(OFFSET(CRONOPLE!$F$15,$M14-$A$15,BP$13)="",10^12,OFFSET(CRONOPLE!$F$15,$M14-$A$15,BP$13)))</f>
        <v>#VALUE!</v>
      </c>
      <c r="BQ14" s="178" t="e">
        <f ca="1">IF(OR($D14&lt;&gt;"Serviço",AND(AUTOEVENTO="Manual",$M14=$A$15)),0,
         IF(OFFSET(CRONOPLE!$F$15,$M14-$A$15,BQ$13)="",10^12,OFFSET(CRONOPLE!$F$15,$M14-$A$15,BQ$13)))</f>
        <v>#VALUE!</v>
      </c>
      <c r="BR14" s="178" t="e">
        <f ca="1">IF(OR($D14&lt;&gt;"Serviço",AND(AUTOEVENTO="Manual",$M14=$A$15)),0,
         IF(OFFSET(CRONOPLE!$F$15,$M14-$A$15,BR$13)="",10^12,OFFSET(CRONOPLE!$F$15,$M14-$A$15,BR$13)))</f>
        <v>#VALUE!</v>
      </c>
      <c r="BS14" s="178" t="e">
        <f ca="1">IF(OR($D14&lt;&gt;"Serviço",AND(AUTOEVENTO="Manual",$M14=$A$15)),0,
         IF(OFFSET(CRONOPLE!$F$15,$M14-$A$15,BS$13)="",10^12,OFFSET(CRONOPLE!$F$15,$M14-$A$15,BS$13)))</f>
        <v>#VALUE!</v>
      </c>
      <c r="BT14" s="178" t="e">
        <f ca="1">IF(OR($D14&lt;&gt;"Serviço",AND(AUTOEVENTO="Manual",$M14=$A$15)),0,
         IF(OFFSET(CRONOPLE!$F$15,$M14-$A$15,BT$13)="",10^12,OFFSET(CRONOPLE!$F$15,$M14-$A$15,BT$13)))</f>
        <v>#VALUE!</v>
      </c>
      <c r="BV14" s="179">
        <f ca="1">IF(OR($D14&lt;&gt;"Serviço",AND(AUTOEVENTO="Manual",$M14=$A$15),$M14&gt;(ROW(PLE.lastrow)-ROW(PLE.firstrow))),0,
           IF(OFFSET(PLE!$G$15,$M14-$A$15,BV$13)="",10^12,OFFSET(PLE!$G$15,$M14-$A$15,BV$13)))</f>
        <v>0</v>
      </c>
      <c r="BW14" s="179">
        <f ca="1">IF(OR($D14&lt;&gt;"Serviço",AND(AUTOEVENTO="Manual",$M14=$A$15),$M14&gt;(ROW(PLE.lastrow)-ROW(PLE.firstrow))),0,
           IF(OFFSET(PLE!$G$15,$M14-$A$15,BW$13)="",10^12,OFFSET(PLE!$G$15,$M14-$A$15,BW$13)))</f>
        <v>0</v>
      </c>
      <c r="BX14" s="179">
        <f ca="1">IF(OR($D14&lt;&gt;"Serviço",AND(AUTOEVENTO="Manual",$M14=$A$15),$M14&gt;(ROW(PLE.lastrow)-ROW(PLE.firstrow))),0,
           IF(OFFSET(PLE!$G$15,$M14-$A$15,BX$13)="",10^12,OFFSET(PLE!$G$15,$M14-$A$15,BX$13)))</f>
        <v>0</v>
      </c>
      <c r="BY14" s="179">
        <f ca="1">IF(OR($D14&lt;&gt;"Serviço",AND(AUTOEVENTO="Manual",$M14=$A$15),$M14&gt;(ROW(PLE.lastrow)-ROW(PLE.firstrow))),0,
           IF(OFFSET(PLE!$G$15,$M14-$A$15,BY$13)="",10^12,OFFSET(PLE!$G$15,$M14-$A$15,BY$13)))</f>
        <v>0</v>
      </c>
      <c r="BZ14" s="179">
        <f ca="1">IF(OR($D14&lt;&gt;"Serviço",AND(AUTOEVENTO="Manual",$M14=$A$15),$M14&gt;(ROW(PLE.lastrow)-ROW(PLE.firstrow))),0,
           IF(OFFSET(PLE!$G$15,$M14-$A$15,BZ$13)="",10^12,OFFSET(PLE!$G$15,$M14-$A$15,BZ$13)))</f>
        <v>0</v>
      </c>
      <c r="CA14" s="179">
        <f ca="1">IF(OR($D14&lt;&gt;"Serviço",AND(AUTOEVENTO="Manual",$M14=$A$15),$M14&gt;(ROW(PLE.lastrow)-ROW(PLE.firstrow))),0,
           IF(OFFSET(PLE!$G$15,$M14-$A$15,CA$13)="",10^12,OFFSET(PLE!$G$15,$M14-$A$15,CA$13)))</f>
        <v>0</v>
      </c>
      <c r="CB14" s="179">
        <f ca="1">IF(OR($D14&lt;&gt;"Serviço",AND(AUTOEVENTO="Manual",$M14=$A$15),$M14&gt;(ROW(PLE.lastrow)-ROW(PLE.firstrow))),0,
           IF(OFFSET(PLE!$G$15,$M14-$A$15,CB$13)="",10^12,OFFSET(PLE!$G$15,$M14-$A$15,CB$13)))</f>
        <v>0</v>
      </c>
      <c r="CC14" s="179">
        <f ca="1">IF(OR($D14&lt;&gt;"Serviço",AND(AUTOEVENTO="Manual",$M14=$A$15),$M14&gt;(ROW(PLE.lastrow)-ROW(PLE.firstrow))),0,
           IF(OFFSET(PLE!$G$15,$M14-$A$15,CC$13)="",10^12,OFFSET(PLE!$G$15,$M14-$A$15,CC$13)))</f>
        <v>0</v>
      </c>
      <c r="CD14" s="179">
        <f ca="1">IF(OR($D14&lt;&gt;"Serviço",AND(AUTOEVENTO="Manual",$M14=$A$15),$M14&gt;(ROW(PLE.lastrow)-ROW(PLE.firstrow))),0,
           IF(OFFSET(PLE!$G$15,$M14-$A$15,CD$13)="",10^12,OFFSET(PLE!$G$15,$M14-$A$15,CD$13)))</f>
        <v>0</v>
      </c>
      <c r="CE14" s="179">
        <f ca="1">IF(OR($D14&lt;&gt;"Serviço",AND(AUTOEVENTO="Manual",$M14=$A$15),$M14&gt;(ROW(PLE.lastrow)-ROW(PLE.firstrow))),0,
           IF(OFFSET(PLE!$G$15,$M14-$A$15,CE$13)="",10^12,OFFSET(PLE!$G$15,$M14-$A$15,CE$13)))</f>
        <v>0</v>
      </c>
      <c r="CF14" s="179">
        <f ca="1">IF(OR($D14&lt;&gt;"Serviço",AND(AUTOEVENTO="Manual",$M14=$A$15),$M14&gt;(ROW(PLE.lastrow)-ROW(PLE.firstrow))),0,
           IF(OFFSET(PLE!$G$15,$M14-$A$15,CF$13)="",10^12,OFFSET(PLE!$G$15,$M14-$A$15,CF$13)))</f>
        <v>0</v>
      </c>
      <c r="CG14" s="179">
        <f ca="1">IF(OR($D14&lt;&gt;"Serviço",AND(AUTOEVENTO="Manual",$M14=$A$15),$M14&gt;(ROW(PLE.lastrow)-ROW(PLE.firstrow))),0,
           IF(OFFSET(PLE!$G$15,$M14-$A$15,CG$13)="",10^12,OFFSET(PLE!$G$15,$M14-$A$15,CG$13)))</f>
        <v>0</v>
      </c>
      <c r="CH14" s="179">
        <f ca="1">IF(OR($D14&lt;&gt;"Serviço",AND(AUTOEVENTO="Manual",$M14=$A$15),$M14&gt;(ROW(PLE.lastrow)-ROW(PLE.firstrow))),0,
           IF(OFFSET(PLE!$G$15,$M14-$A$15,CH$13)="",10^12,OFFSET(PLE!$G$15,$M14-$A$15,CH$13)))</f>
        <v>0</v>
      </c>
      <c r="CI14" s="179">
        <f ca="1">IF(OR($D14&lt;&gt;"Serviço",AND(AUTOEVENTO="Manual",$M14=$A$15),$M14&gt;(ROW(PLE.lastrow)-ROW(PLE.firstrow))),0,
           IF(OFFSET(PLE!$G$15,$M14-$A$15,CI$13)="",10^12,OFFSET(PLE!$G$15,$M14-$A$15,CI$13)))</f>
        <v>0</v>
      </c>
      <c r="CJ14" s="179">
        <f ca="1">IF(OR($D14&lt;&gt;"Serviço",AND(AUTOEVENTO="Manual",$M14=$A$15),$M14&gt;(ROW(PLE.lastrow)-ROW(PLE.firstrow))),0,
           IF(OFFSET(PLE!$G$15,$M14-$A$15,CJ$13)="",10^12,OFFSET(PLE!$G$15,$M14-$A$15,CJ$13)))</f>
        <v>0</v>
      </c>
      <c r="CK14" s="179">
        <f ca="1">IF(OR($D14&lt;&gt;"Serviço",AND(AUTOEVENTO="Manual",$M14=$A$15),$M14&gt;(ROW(PLE.lastrow)-ROW(PLE.firstrow))),0,
           IF(OFFSET(PLE!$G$15,$M14-$A$15,CK$13)="",10^12,OFFSET(PLE!$G$15,$M14-$A$15,CK$13)))</f>
        <v>0</v>
      </c>
      <c r="CL14" s="179">
        <f ca="1">IF(OR($D14&lt;&gt;"Serviço",AND(AUTOEVENTO="Manual",$M14=$A$15),$M14&gt;(ROW(PLE.lastrow)-ROW(PLE.firstrow))),0,
           IF(OFFSET(PLE!$G$15,$M14-$A$15,CL$13)="",10^12,OFFSET(PLE!$G$15,$M14-$A$15,CL$13)))</f>
        <v>0</v>
      </c>
      <c r="CM14" s="179">
        <f ca="1">IF(OR($D14&lt;&gt;"Serviço",AND(AUTOEVENTO="Manual",$M14=$A$15),$M14&gt;(ROW(PLE.lastrow)-ROW(PLE.firstrow))),0,
           IF(OFFSET(PLE!$G$15,$M14-$A$15,CM$13)="",10^12,OFFSET(PLE!$G$15,$M14-$A$15,CM$13)))</f>
        <v>0</v>
      </c>
    </row>
    <row r="15" spans="1:91" ht="12.75" customHeight="1" x14ac:dyDescent="0.2">
      <c r="A15" s="7" cm="1">
        <f t="array" aca="1" ref="A15" ca="1">IF(AdmLocal="Automática",1,0)</f>
        <v>0</v>
      </c>
      <c r="B15" s="7" t="str">
        <f ca="1">OFFSET(ORÇAMENTO!C$15,ROW(B15)-ROW(B$15),0)</f>
        <v>L</v>
      </c>
      <c r="C15" s="7" t="str">
        <f ca="1">OFFSET(ORÇAMENTO!L$15,ROW(C15)-ROW(C$15),0)</f>
        <v>F</v>
      </c>
      <c r="D15" s="132" t="str">
        <f>IF(TIPOORCAMENTO="LICITADO","CTEF","LOTE")</f>
        <v>LOTE</v>
      </c>
      <c r="E15" s="738" t="str">
        <f>Import.DescLote</f>
        <v>RUA COBERTA MUNICIPAL</v>
      </c>
      <c r="F15" s="738"/>
      <c r="G15" s="738"/>
      <c r="H15" s="738"/>
      <c r="I15" s="501"/>
      <c r="J15" s="565"/>
      <c r="K15" s="625"/>
      <c r="L15" s="172" t="s">
        <v>253</v>
      </c>
      <c r="M15" s="622">
        <v>0</v>
      </c>
      <c r="N15" s="180" t="s">
        <v>261</v>
      </c>
      <c r="O15" s="181" t="e">
        <f ca="1">OFFSET($AI$15,0,O$13)</f>
        <v>#VALUE!</v>
      </c>
      <c r="Q15" s="182">
        <f t="shared" ref="Q15:AH15" ca="1" si="6">OFFSET($AI$15,0,Q$13)</f>
        <v>109434.67</v>
      </c>
      <c r="R15" s="181">
        <f t="shared" ca="1" si="6"/>
        <v>704065.17</v>
      </c>
      <c r="S15" s="181">
        <f t="shared" ca="1" si="6"/>
        <v>290572.09999999998</v>
      </c>
      <c r="T15" s="181">
        <f t="shared" ca="1" si="6"/>
        <v>125662.13000000006</v>
      </c>
      <c r="U15" s="181">
        <f t="shared" ca="1" si="6"/>
        <v>113615.64</v>
      </c>
      <c r="V15" s="181">
        <f t="shared" ca="1" si="6"/>
        <v>0</v>
      </c>
      <c r="W15" s="181">
        <f t="shared" ca="1" si="6"/>
        <v>0</v>
      </c>
      <c r="X15" s="181">
        <f t="shared" ca="1" si="6"/>
        <v>0</v>
      </c>
      <c r="Y15" s="181">
        <f t="shared" ca="1" si="6"/>
        <v>0</v>
      </c>
      <c r="Z15" s="183">
        <f t="shared" ca="1" si="6"/>
        <v>0</v>
      </c>
      <c r="AA15" s="181">
        <f t="shared" ca="1" si="6"/>
        <v>0</v>
      </c>
      <c r="AB15" s="181">
        <f t="shared" ca="1" si="6"/>
        <v>0</v>
      </c>
      <c r="AC15" s="181">
        <f t="shared" ca="1" si="6"/>
        <v>0</v>
      </c>
      <c r="AD15" s="181">
        <f t="shared" ca="1" si="6"/>
        <v>0</v>
      </c>
      <c r="AE15" s="181">
        <f t="shared" ca="1" si="6"/>
        <v>0</v>
      </c>
      <c r="AF15" s="181">
        <f t="shared" ca="1" si="6"/>
        <v>0</v>
      </c>
      <c r="AG15" s="181">
        <f t="shared" ca="1" si="6"/>
        <v>0</v>
      </c>
      <c r="AH15" s="183">
        <f t="shared" ca="1" si="6"/>
        <v>0</v>
      </c>
      <c r="AJ15" s="184">
        <f ca="1">ROUND(SUM(OFFSET(AJ$15,1,0):AJ$131),2)</f>
        <v>109434.67</v>
      </c>
      <c r="AK15" s="184">
        <f ca="1">SUM(OFFSET(AK$15,1,0):AK$131)</f>
        <v>704065.17</v>
      </c>
      <c r="AL15" s="184">
        <f ca="1">SUM(OFFSET(AL$15,1,0):AL$131)</f>
        <v>290572.09999999998</v>
      </c>
      <c r="AM15" s="184">
        <f ca="1">SUM(OFFSET(AM$15,1,0):AM$131)</f>
        <v>125662.13000000006</v>
      </c>
      <c r="AN15" s="184">
        <f ca="1">SUM(OFFSET(AN$15,1,0):AN$131)</f>
        <v>113615.64</v>
      </c>
      <c r="AO15" s="184">
        <f ca="1">SUM(OFFSET(AO$15,1,0):AO$131)</f>
        <v>0</v>
      </c>
      <c r="AP15" s="184">
        <f ca="1">SUM(OFFSET(AP$15,1,0):AP$131)</f>
        <v>0</v>
      </c>
      <c r="AQ15" s="184">
        <f ca="1">SUM(OFFSET(AQ$15,1,0):AQ$131)</f>
        <v>0</v>
      </c>
      <c r="AR15" s="184">
        <f ca="1">SUM(OFFSET(AR$15,1,0):AR$131)</f>
        <v>0</v>
      </c>
      <c r="AS15" s="184">
        <f ca="1">SUM(OFFSET(AS$15,1,0):AS$131)</f>
        <v>0</v>
      </c>
      <c r="AT15" s="184">
        <f ca="1">SUM(OFFSET(AT$15,1,0):AT$131)</f>
        <v>0</v>
      </c>
      <c r="AU15" s="184">
        <f ca="1">SUM(OFFSET(AU$15,1,0):AU$131)</f>
        <v>0</v>
      </c>
      <c r="AV15" s="184">
        <f ca="1">SUM(OFFSET(AV$15,1,0):AV$131)</f>
        <v>0</v>
      </c>
      <c r="AW15" s="184">
        <f ca="1">SUM(OFFSET(AW$15,1,0):AW$131)</f>
        <v>0</v>
      </c>
      <c r="AX15" s="184">
        <f ca="1">SUM(OFFSET(AX$15,1,0):AX$131)</f>
        <v>0</v>
      </c>
      <c r="AY15" s="184">
        <f ca="1">SUM(OFFSET(AY$15,1,0):AY$131)</f>
        <v>0</v>
      </c>
      <c r="AZ15" s="184">
        <f ca="1">SUM(OFFSET(AZ$15,1,0):AZ$131)</f>
        <v>0</v>
      </c>
      <c r="BA15" s="184">
        <f ca="1">SUM(OFFSET(BA$15,1,0):BA$131)</f>
        <v>0</v>
      </c>
      <c r="BC15" s="185">
        <f>10^12</f>
        <v>1000000000000</v>
      </c>
      <c r="BD15" s="185">
        <f t="shared" ref="BD15:BT15" si="7">10^12</f>
        <v>1000000000000</v>
      </c>
      <c r="BE15" s="185">
        <f t="shared" si="7"/>
        <v>1000000000000</v>
      </c>
      <c r="BF15" s="185">
        <f t="shared" si="7"/>
        <v>1000000000000</v>
      </c>
      <c r="BG15" s="185">
        <f t="shared" si="7"/>
        <v>1000000000000</v>
      </c>
      <c r="BH15" s="185">
        <f t="shared" si="7"/>
        <v>1000000000000</v>
      </c>
      <c r="BI15" s="185">
        <f t="shared" si="7"/>
        <v>1000000000000</v>
      </c>
      <c r="BJ15" s="185">
        <f t="shared" si="7"/>
        <v>1000000000000</v>
      </c>
      <c r="BK15" s="185">
        <f t="shared" si="7"/>
        <v>1000000000000</v>
      </c>
      <c r="BL15" s="185">
        <f t="shared" si="7"/>
        <v>1000000000000</v>
      </c>
      <c r="BM15" s="185">
        <f t="shared" si="7"/>
        <v>1000000000000</v>
      </c>
      <c r="BN15" s="185">
        <f t="shared" si="7"/>
        <v>1000000000000</v>
      </c>
      <c r="BO15" s="185">
        <f t="shared" si="7"/>
        <v>1000000000000</v>
      </c>
      <c r="BP15" s="185">
        <f t="shared" si="7"/>
        <v>1000000000000</v>
      </c>
      <c r="BQ15" s="185">
        <f t="shared" si="7"/>
        <v>1000000000000</v>
      </c>
      <c r="BR15" s="185">
        <f t="shared" si="7"/>
        <v>1000000000000</v>
      </c>
      <c r="BS15" s="185">
        <f t="shared" si="7"/>
        <v>1000000000000</v>
      </c>
      <c r="BT15" s="185">
        <f t="shared" si="7"/>
        <v>1000000000000</v>
      </c>
      <c r="BV15" s="185">
        <f t="shared" ref="BV15:CM15" si="8">10^12</f>
        <v>1000000000000</v>
      </c>
      <c r="BW15" s="185">
        <f t="shared" si="8"/>
        <v>1000000000000</v>
      </c>
      <c r="BX15" s="185">
        <f t="shared" si="8"/>
        <v>1000000000000</v>
      </c>
      <c r="BY15" s="185">
        <f t="shared" si="8"/>
        <v>1000000000000</v>
      </c>
      <c r="BZ15" s="185">
        <f t="shared" si="8"/>
        <v>1000000000000</v>
      </c>
      <c r="CA15" s="185">
        <f t="shared" si="8"/>
        <v>1000000000000</v>
      </c>
      <c r="CB15" s="185">
        <f t="shared" si="8"/>
        <v>1000000000000</v>
      </c>
      <c r="CC15" s="185">
        <f t="shared" si="8"/>
        <v>1000000000000</v>
      </c>
      <c r="CD15" s="185">
        <f t="shared" si="8"/>
        <v>1000000000000</v>
      </c>
      <c r="CE15" s="185">
        <f t="shared" si="8"/>
        <v>1000000000000</v>
      </c>
      <c r="CF15" s="185">
        <f t="shared" si="8"/>
        <v>1000000000000</v>
      </c>
      <c r="CG15" s="185">
        <f t="shared" si="8"/>
        <v>1000000000000</v>
      </c>
      <c r="CH15" s="185">
        <f t="shared" si="8"/>
        <v>1000000000000</v>
      </c>
      <c r="CI15" s="185">
        <f t="shared" si="8"/>
        <v>1000000000000</v>
      </c>
      <c r="CJ15" s="185">
        <f t="shared" si="8"/>
        <v>1000000000000</v>
      </c>
      <c r="CK15" s="185">
        <f t="shared" si="8"/>
        <v>1000000000000</v>
      </c>
      <c r="CL15" s="185">
        <f t="shared" si="8"/>
        <v>1000000000000</v>
      </c>
      <c r="CM15" s="185">
        <f t="shared" si="8"/>
        <v>1000000000000</v>
      </c>
    </row>
    <row r="16" spans="1:91" ht="12.75" x14ac:dyDescent="0.2">
      <c r="A16" s="7" t="str">
        <f ca="1">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0" t="str">
        <f ca="1">OFFSET(ORÇAMENTO!R$15,ROW(F16)-ROW(F$15),0)</f>
        <v xml:space="preserve">CONSTRUÇÃO DA RUA COBERTA MUNICIPAL </v>
      </c>
      <c r="G16" s="171" t="str">
        <f ca="1">IF($D16&lt;&gt;"Serviço","",OFFSET(ORÇAMENTO!S$15,ROW(G16)-ROW(G$15),0))</f>
        <v/>
      </c>
      <c r="H16" s="124" cm="1">
        <f t="array" aca="1" ref="H16" ca="1">IF($D16&lt;&gt;"Serviço",0,IF(_xlfn.SINGLE(ACOMPANHAMENTO)="BM",ROUND(OFFSET(ORÇAMENTO!AJ$15,ROW(H16)-ROW(H$15),0),15-13*ORÇAMENTO!$AF$7),SUMPRODUCT(($Q$1:$AI$1)*ROUND($Q16:$AI16,15-13*ORÇAMENTO!$AF$7))))</f>
        <v>0</v>
      </c>
      <c r="I16" s="500"/>
      <c r="J16" s="632" t="str" cm="1">
        <f t="array" aca="1" ref="J16" ca="1">IF(B16&lt;&gt;"S","",IF(AND(ACOMPANHAMENTO="PLE",AUTOEVENTO="Manual",OR(H16&gt;0,ORÇAMENTO!AC16="QUANT."),OR(K16="",M16=0,N16="")),"►",IF(AND(ACOMPANHAMENTO="PLE",ORÇAMENTO!AC16="QUANT."),"►►",IF(AND(COUNTIF($P$11:$AI$11,"▼")=0,H16&gt;0,I16=""),"◄",""))))</f>
        <v/>
      </c>
      <c r="K16" s="624"/>
      <c r="L16" s="172" t="s">
        <v>253</v>
      </c>
      <c r="M16" s="173" t="str">
        <f ca="1">IF($D16&lt;&gt;"Serviço","",
          IF(AUTOEVENTO="manual",$A16,
                IF(ISERROR(MATCH($A16,$A$15:OFFSET($A16,-1,0),0)),MAX($M$15:OFFSET(M16,-1,0))+1,
                      INDEX($M$15:OFFSET(M16,-1,0),MATCH($A16,$A$15:OFFSET($A16,-1,0),0)))))</f>
        <v/>
      </c>
      <c r="N16" s="174" t="str">
        <f ca="1">IF($D16&lt;&gt;"Serviço","",
         IF(AUTOEVENTO="Manual",
                IF($A16=0,"&lt;-- defina o número do agrupador",
                       OFFSET(EVENTOS!$D$15,$A16-$A$15,0)),
                OFFSET($F$15,$A16,0)))</f>
        <v/>
      </c>
      <c r="O16" s="175"/>
      <c r="Q16" s="175"/>
      <c r="R16" s="176"/>
      <c r="S16" s="176"/>
      <c r="T16" s="176"/>
      <c r="U16" s="176"/>
      <c r="V16" s="176"/>
      <c r="W16" s="176"/>
      <c r="X16" s="176"/>
      <c r="Y16" s="176"/>
      <c r="Z16" s="177"/>
      <c r="AA16" s="176"/>
      <c r="AB16" s="176"/>
      <c r="AC16" s="176"/>
      <c r="AD16" s="176"/>
      <c r="AE16" s="176"/>
      <c r="AF16" s="176"/>
      <c r="AG16" s="176"/>
      <c r="AH16" s="177"/>
      <c r="AJ16" s="485">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85">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85">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85">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85">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85">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85">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85">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85">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85">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85">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85">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85">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85">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85">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85">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85">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85">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8">
        <f ca="1">IF(OR($D16&lt;&gt;"Serviço",AND(AUTOEVENTO="Manual",$M16=$A$15)),0,
         IF(OFFSET(CRONOPLE!$F$15,$M16-$A$15,BC$13)="",10^12,OFFSET(CRONOPLE!$F$15,$M16-$A$15,BC$13)))</f>
        <v>0</v>
      </c>
      <c r="BD16" s="178">
        <f ca="1">IF(OR($D16&lt;&gt;"Serviço",AND(AUTOEVENTO="Manual",$M16=$A$15)),0,
         IF(OFFSET(CRONOPLE!$F$15,$M16-$A$15,BD$13)="",10^12,OFFSET(CRONOPLE!$F$15,$M16-$A$15,BD$13)))</f>
        <v>0</v>
      </c>
      <c r="BE16" s="178">
        <f ca="1">IF(OR($D16&lt;&gt;"Serviço",AND(AUTOEVENTO="Manual",$M16=$A$15)),0,
         IF(OFFSET(CRONOPLE!$F$15,$M16-$A$15,BE$13)="",10^12,OFFSET(CRONOPLE!$F$15,$M16-$A$15,BE$13)))</f>
        <v>0</v>
      </c>
      <c r="BF16" s="178">
        <f ca="1">IF(OR($D16&lt;&gt;"Serviço",AND(AUTOEVENTO="Manual",$M16=$A$15)),0,
         IF(OFFSET(CRONOPLE!$F$15,$M16-$A$15,BF$13)="",10^12,OFFSET(CRONOPLE!$F$15,$M16-$A$15,BF$13)))</f>
        <v>0</v>
      </c>
      <c r="BG16" s="178">
        <f ca="1">IF(OR($D16&lt;&gt;"Serviço",AND(AUTOEVENTO="Manual",$M16=$A$15)),0,
         IF(OFFSET(CRONOPLE!$F$15,$M16-$A$15,BG$13)="",10^12,OFFSET(CRONOPLE!$F$15,$M16-$A$15,BG$13)))</f>
        <v>0</v>
      </c>
      <c r="BH16" s="178">
        <f ca="1">IF(OR($D16&lt;&gt;"Serviço",AND(AUTOEVENTO="Manual",$M16=$A$15)),0,
         IF(OFFSET(CRONOPLE!$F$15,$M16-$A$15,BH$13)="",10^12,OFFSET(CRONOPLE!$F$15,$M16-$A$15,BH$13)))</f>
        <v>0</v>
      </c>
      <c r="BI16" s="178">
        <f ca="1">IF(OR($D16&lt;&gt;"Serviço",AND(AUTOEVENTO="Manual",$M16=$A$15)),0,
         IF(OFFSET(CRONOPLE!$F$15,$M16-$A$15,BI$13)="",10^12,OFFSET(CRONOPLE!$F$15,$M16-$A$15,BI$13)))</f>
        <v>0</v>
      </c>
      <c r="BJ16" s="178">
        <f ca="1">IF(OR($D16&lt;&gt;"Serviço",AND(AUTOEVENTO="Manual",$M16=$A$15)),0,
         IF(OFFSET(CRONOPLE!$F$15,$M16-$A$15,BJ$13)="",10^12,OFFSET(CRONOPLE!$F$15,$M16-$A$15,BJ$13)))</f>
        <v>0</v>
      </c>
      <c r="BK16" s="178">
        <f ca="1">IF(OR($D16&lt;&gt;"Serviço",AND(AUTOEVENTO="Manual",$M16=$A$15)),0,
         IF(OFFSET(CRONOPLE!$F$15,$M16-$A$15,BK$13)="",10^12,OFFSET(CRONOPLE!$F$15,$M16-$A$15,BK$13)))</f>
        <v>0</v>
      </c>
      <c r="BL16" s="178">
        <f ca="1">IF(OR($D16&lt;&gt;"Serviço",AND(AUTOEVENTO="Manual",$M16=$A$15)),0,
         IF(OFFSET(CRONOPLE!$F$15,$M16-$A$15,BL$13)="",10^12,OFFSET(CRONOPLE!$F$15,$M16-$A$15,BL$13)))</f>
        <v>0</v>
      </c>
      <c r="BM16" s="178">
        <f ca="1">IF(OR($D16&lt;&gt;"Serviço",AND(AUTOEVENTO="Manual",$M16=$A$15)),0,
         IF(OFFSET(CRONOPLE!$F$15,$M16-$A$15,BM$13)="",10^12,OFFSET(CRONOPLE!$F$15,$M16-$A$15,BM$13)))</f>
        <v>0</v>
      </c>
      <c r="BN16" s="178">
        <f ca="1">IF(OR($D16&lt;&gt;"Serviço",AND(AUTOEVENTO="Manual",$M16=$A$15)),0,
         IF(OFFSET(CRONOPLE!$F$15,$M16-$A$15,BN$13)="",10^12,OFFSET(CRONOPLE!$F$15,$M16-$A$15,BN$13)))</f>
        <v>0</v>
      </c>
      <c r="BO16" s="178">
        <f ca="1">IF(OR($D16&lt;&gt;"Serviço",AND(AUTOEVENTO="Manual",$M16=$A$15)),0,
         IF(OFFSET(CRONOPLE!$F$15,$M16-$A$15,BO$13)="",10^12,OFFSET(CRONOPLE!$F$15,$M16-$A$15,BO$13)))</f>
        <v>0</v>
      </c>
      <c r="BP16" s="178">
        <f ca="1">IF(OR($D16&lt;&gt;"Serviço",AND(AUTOEVENTO="Manual",$M16=$A$15)),0,
         IF(OFFSET(CRONOPLE!$F$15,$M16-$A$15,BP$13)="",10^12,OFFSET(CRONOPLE!$F$15,$M16-$A$15,BP$13)))</f>
        <v>0</v>
      </c>
      <c r="BQ16" s="178">
        <f ca="1">IF(OR($D16&lt;&gt;"Serviço",AND(AUTOEVENTO="Manual",$M16=$A$15)),0,
         IF(OFFSET(CRONOPLE!$F$15,$M16-$A$15,BQ$13)="",10^12,OFFSET(CRONOPLE!$F$15,$M16-$A$15,BQ$13)))</f>
        <v>0</v>
      </c>
      <c r="BR16" s="178">
        <f ca="1">IF(OR($D16&lt;&gt;"Serviço",AND(AUTOEVENTO="Manual",$M16=$A$15)),0,
         IF(OFFSET(CRONOPLE!$F$15,$M16-$A$15,BR$13)="",10^12,OFFSET(CRONOPLE!$F$15,$M16-$A$15,BR$13)))</f>
        <v>0</v>
      </c>
      <c r="BS16" s="178">
        <f ca="1">IF(OR($D16&lt;&gt;"Serviço",AND(AUTOEVENTO="Manual",$M16=$A$15)),0,
         IF(OFFSET(CRONOPLE!$F$15,$M16-$A$15,BS$13)="",10^12,OFFSET(CRONOPLE!$F$15,$M16-$A$15,BS$13)))</f>
        <v>0</v>
      </c>
      <c r="BT16" s="178">
        <f ca="1">IF(OR($D16&lt;&gt;"Serviço",AND(AUTOEVENTO="Manual",$M16=$A$15)),0,
         IF(OFFSET(CRONOPLE!$F$15,$M16-$A$15,BT$13)="",10^12,OFFSET(CRONOPLE!$F$15,$M16-$A$15,BT$13)))</f>
        <v>0</v>
      </c>
      <c r="BV16" s="179">
        <f ca="1">IF(OR($D16&lt;&gt;"Serviço",AND(AUTOEVENTO="Manual",$M16=$A$15),$M16&gt;(ROW(PLE.lastrow)-ROW(PLE.firstrow))),0,
           IF(OFFSET(PLE!$G$15,$M16-$A$15,BV$13)="",10^12,OFFSET(PLE!$G$15,$M16-$A$15,BV$13)))</f>
        <v>0</v>
      </c>
      <c r="BW16" s="179">
        <f ca="1">IF(OR($D16&lt;&gt;"Serviço",AND(AUTOEVENTO="Manual",$M16=$A$15),$M16&gt;(ROW(PLE.lastrow)-ROW(PLE.firstrow))),0,
           IF(OFFSET(PLE!$G$15,$M16-$A$15,BW$13)="",10^12,OFFSET(PLE!$G$15,$M16-$A$15,BW$13)))</f>
        <v>0</v>
      </c>
      <c r="BX16" s="179">
        <f ca="1">IF(OR($D16&lt;&gt;"Serviço",AND(AUTOEVENTO="Manual",$M16=$A$15),$M16&gt;(ROW(PLE.lastrow)-ROW(PLE.firstrow))),0,
           IF(OFFSET(PLE!$G$15,$M16-$A$15,BX$13)="",10^12,OFFSET(PLE!$G$15,$M16-$A$15,BX$13)))</f>
        <v>0</v>
      </c>
      <c r="BY16" s="179">
        <f ca="1">IF(OR($D16&lt;&gt;"Serviço",AND(AUTOEVENTO="Manual",$M16=$A$15),$M16&gt;(ROW(PLE.lastrow)-ROW(PLE.firstrow))),0,
           IF(OFFSET(PLE!$G$15,$M16-$A$15,BY$13)="",10^12,OFFSET(PLE!$G$15,$M16-$A$15,BY$13)))</f>
        <v>0</v>
      </c>
      <c r="BZ16" s="179">
        <f ca="1">IF(OR($D16&lt;&gt;"Serviço",AND(AUTOEVENTO="Manual",$M16=$A$15),$M16&gt;(ROW(PLE.lastrow)-ROW(PLE.firstrow))),0,
           IF(OFFSET(PLE!$G$15,$M16-$A$15,BZ$13)="",10^12,OFFSET(PLE!$G$15,$M16-$A$15,BZ$13)))</f>
        <v>0</v>
      </c>
      <c r="CA16" s="179">
        <f ca="1">IF(OR($D16&lt;&gt;"Serviço",AND(AUTOEVENTO="Manual",$M16=$A$15),$M16&gt;(ROW(PLE.lastrow)-ROW(PLE.firstrow))),0,
           IF(OFFSET(PLE!$G$15,$M16-$A$15,CA$13)="",10^12,OFFSET(PLE!$G$15,$M16-$A$15,CA$13)))</f>
        <v>0</v>
      </c>
      <c r="CB16" s="179">
        <f ca="1">IF(OR($D16&lt;&gt;"Serviço",AND(AUTOEVENTO="Manual",$M16=$A$15),$M16&gt;(ROW(PLE.lastrow)-ROW(PLE.firstrow))),0,
           IF(OFFSET(PLE!$G$15,$M16-$A$15,CB$13)="",10^12,OFFSET(PLE!$G$15,$M16-$A$15,CB$13)))</f>
        <v>0</v>
      </c>
      <c r="CC16" s="179">
        <f ca="1">IF(OR($D16&lt;&gt;"Serviço",AND(AUTOEVENTO="Manual",$M16=$A$15),$M16&gt;(ROW(PLE.lastrow)-ROW(PLE.firstrow))),0,
           IF(OFFSET(PLE!$G$15,$M16-$A$15,CC$13)="",10^12,OFFSET(PLE!$G$15,$M16-$A$15,CC$13)))</f>
        <v>0</v>
      </c>
      <c r="CD16" s="179">
        <f ca="1">IF(OR($D16&lt;&gt;"Serviço",AND(AUTOEVENTO="Manual",$M16=$A$15),$M16&gt;(ROW(PLE.lastrow)-ROW(PLE.firstrow))),0,
           IF(OFFSET(PLE!$G$15,$M16-$A$15,CD$13)="",10^12,OFFSET(PLE!$G$15,$M16-$A$15,CD$13)))</f>
        <v>0</v>
      </c>
      <c r="CE16" s="179">
        <f ca="1">IF(OR($D16&lt;&gt;"Serviço",AND(AUTOEVENTO="Manual",$M16=$A$15),$M16&gt;(ROW(PLE.lastrow)-ROW(PLE.firstrow))),0,
           IF(OFFSET(PLE!$G$15,$M16-$A$15,CE$13)="",10^12,OFFSET(PLE!$G$15,$M16-$A$15,CE$13)))</f>
        <v>0</v>
      </c>
      <c r="CF16" s="179">
        <f ca="1">IF(OR($D16&lt;&gt;"Serviço",AND(AUTOEVENTO="Manual",$M16=$A$15),$M16&gt;(ROW(PLE.lastrow)-ROW(PLE.firstrow))),0,
           IF(OFFSET(PLE!$G$15,$M16-$A$15,CF$13)="",10^12,OFFSET(PLE!$G$15,$M16-$A$15,CF$13)))</f>
        <v>0</v>
      </c>
      <c r="CG16" s="179">
        <f ca="1">IF(OR($D16&lt;&gt;"Serviço",AND(AUTOEVENTO="Manual",$M16=$A$15),$M16&gt;(ROW(PLE.lastrow)-ROW(PLE.firstrow))),0,
           IF(OFFSET(PLE!$G$15,$M16-$A$15,CG$13)="",10^12,OFFSET(PLE!$G$15,$M16-$A$15,CG$13)))</f>
        <v>0</v>
      </c>
      <c r="CH16" s="179">
        <f ca="1">IF(OR($D16&lt;&gt;"Serviço",AND(AUTOEVENTO="Manual",$M16=$A$15),$M16&gt;(ROW(PLE.lastrow)-ROW(PLE.firstrow))),0,
           IF(OFFSET(PLE!$G$15,$M16-$A$15,CH$13)="",10^12,OFFSET(PLE!$G$15,$M16-$A$15,CH$13)))</f>
        <v>0</v>
      </c>
      <c r="CI16" s="179">
        <f ca="1">IF(OR($D16&lt;&gt;"Serviço",AND(AUTOEVENTO="Manual",$M16=$A$15),$M16&gt;(ROW(PLE.lastrow)-ROW(PLE.firstrow))),0,
           IF(OFFSET(PLE!$G$15,$M16-$A$15,CI$13)="",10^12,OFFSET(PLE!$G$15,$M16-$A$15,CI$13)))</f>
        <v>0</v>
      </c>
      <c r="CJ16" s="179">
        <f ca="1">IF(OR($D16&lt;&gt;"Serviço",AND(AUTOEVENTO="Manual",$M16=$A$15),$M16&gt;(ROW(PLE.lastrow)-ROW(PLE.firstrow))),0,
           IF(OFFSET(PLE!$G$15,$M16-$A$15,CJ$13)="",10^12,OFFSET(PLE!$G$15,$M16-$A$15,CJ$13)))</f>
        <v>0</v>
      </c>
      <c r="CK16" s="179">
        <f ca="1">IF(OR($D16&lt;&gt;"Serviço",AND(AUTOEVENTO="Manual",$M16=$A$15),$M16&gt;(ROW(PLE.lastrow)-ROW(PLE.firstrow))),0,
           IF(OFFSET(PLE!$G$15,$M16-$A$15,CK$13)="",10^12,OFFSET(PLE!$G$15,$M16-$A$15,CK$13)))</f>
        <v>0</v>
      </c>
      <c r="CL16" s="179">
        <f ca="1">IF(OR($D16&lt;&gt;"Serviço",AND(AUTOEVENTO="Manual",$M16=$A$15),$M16&gt;(ROW(PLE.lastrow)-ROW(PLE.firstrow))),0,
           IF(OFFSET(PLE!$G$15,$M16-$A$15,CL$13)="",10^12,OFFSET(PLE!$G$15,$M16-$A$15,CL$13)))</f>
        <v>0</v>
      </c>
      <c r="CM16" s="179">
        <f ca="1">IF(OR($D16&lt;&gt;"Serviço",AND(AUTOEVENTO="Manual",$M16=$A$15),$M16&gt;(ROW(PLE.lastrow)-ROW(PLE.firstrow))),0,
           IF(OFFSET(PLE!$G$15,$M16-$A$15,CM$13)="",10^12,OFFSET(PLE!$G$15,$M16-$A$15,CM$13)))</f>
        <v>0</v>
      </c>
    </row>
    <row r="17" spans="1:91" ht="12.75" x14ac:dyDescent="0.2">
      <c r="A17" s="7" t="str">
        <f ca="1">IF(AUTOEVENTO="Manual",IF(K17&lt;&gt;"",MIN(VALUE(LEFT(K17,FIND(".",K17)-1)),COUNTA(EVENTOS.Lista)),0),IF(OR($B17&gt;AUTOEVENTO,$B17="S",$B17=0),SUBSTITUTE(OFFSET($A17,-1,0),IF($D17="Serviço",".",""),""),ROW(A17)-ROW($A$15)&amp;"."))</f>
        <v>2.</v>
      </c>
      <c r="B17" s="7">
        <f ca="1">OFFSET(ORÇAMENTO!C$15,ROW(B17)-ROW(B$15),0)</f>
        <v>2</v>
      </c>
      <c r="C17" s="7" t="str">
        <f ca="1">OFFSET(ORÇAMENTO!L$15,ROW(C17)-ROW(C$15),0)</f>
        <v>F</v>
      </c>
      <c r="D17" s="118" t="str">
        <f ca="1">OFFSET(ORÇAMENTO!N$15,ROW(D17)-ROW(D$15),0)</f>
        <v>Nível 2</v>
      </c>
      <c r="E17" s="119" t="str">
        <f ca="1">OFFSET(ORÇAMENTO!O$15,ROW(E17)-ROW(E$15),0)</f>
        <v>1.1.</v>
      </c>
      <c r="F17" s="170" t="str">
        <f ca="1">OFFSET(ORÇAMENTO!R$15,ROW(F17)-ROW(F$15),0)</f>
        <v>SERVIÇOS INICIAIS</v>
      </c>
      <c r="G17" s="171" t="str">
        <f ca="1">IF($D17&lt;&gt;"Serviço","",OFFSET(ORÇAMENTO!S$15,ROW(G17)-ROW(G$15),0))</f>
        <v/>
      </c>
      <c r="H17" s="124" cm="1">
        <f t="array" aca="1" ref="H17" ca="1">IF($D17&lt;&gt;"Serviço",0,IF(_xlfn.SINGLE(ACOMPANHAMENTO)="BM",ROUND(OFFSET(ORÇAMENTO!AJ$15,ROW(H17)-ROW(H$15),0),15-13*ORÇAMENTO!$AF$7),SUMPRODUCT(($Q$1:$AI$1)*ROUND($Q17:$AI17,15-13*ORÇAMENTO!$AF$7))))</f>
        <v>0</v>
      </c>
      <c r="I17" s="500"/>
      <c r="J17" s="632" t="str" cm="1">
        <f t="array" aca="1" ref="J17" ca="1">IF(B17&lt;&gt;"S","",IF(AND(ACOMPANHAMENTO="PLE",AUTOEVENTO="Manual",OR(H17&gt;0,ORÇAMENTO!AC17="QUANT."),OR(K17="",M17=0,N17="")),"►",IF(AND(ACOMPANHAMENTO="PLE",ORÇAMENTO!AC17="QUANT."),"►►",IF(AND(COUNTIF($P$11:$AI$11,"▼")=0,H17&gt;0,I17=""),"◄",""))))</f>
        <v/>
      </c>
      <c r="K17" s="624"/>
      <c r="L17" s="172" t="s">
        <v>253</v>
      </c>
      <c r="M17" s="173" t="str">
        <f ca="1">IF($D17&lt;&gt;"Serviço","",
          IF(AUTOEVENTO="manual",$A17,
                IF(ISERROR(MATCH($A17,$A$15:OFFSET($A17,-1,0),0)),MAX($M$15:OFFSET(M17,-1,0))+1,
                      INDEX($M$15:OFFSET(M17,-1,0),MATCH($A17,$A$15:OFFSET($A17,-1,0),0)))))</f>
        <v/>
      </c>
      <c r="N17" s="174" t="str">
        <f ca="1">IF($D17&lt;&gt;"Serviço","",
         IF(AUTOEVENTO="Manual",
                IF($A17=0,"&lt;-- defina o número do agrupador",
                       OFFSET(EVENTOS!$D$15,$A17-$A$15,0)),
                OFFSET($F$15,$A17,0)))</f>
        <v/>
      </c>
      <c r="O17" s="175"/>
      <c r="Q17" s="175"/>
      <c r="R17" s="176"/>
      <c r="S17" s="176"/>
      <c r="T17" s="176"/>
      <c r="U17" s="176"/>
      <c r="V17" s="176"/>
      <c r="W17" s="176"/>
      <c r="X17" s="176"/>
      <c r="Y17" s="176"/>
      <c r="Z17" s="177"/>
      <c r="AA17" s="176"/>
      <c r="AB17" s="176"/>
      <c r="AC17" s="176"/>
      <c r="AD17" s="176"/>
      <c r="AE17" s="176"/>
      <c r="AF17" s="176"/>
      <c r="AG17" s="176"/>
      <c r="AH17" s="177"/>
      <c r="AJ17" s="485">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85">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85">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85">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85">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85">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85">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85">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85">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85">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85">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85">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85">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85">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85">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85">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85">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85">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8">
        <f ca="1">IF(OR($D17&lt;&gt;"Serviço",AND(AUTOEVENTO="Manual",$M17=$A$15)),0,
         IF(OFFSET(CRONOPLE!$F$15,$M17-$A$15,BC$13)="",10^12,OFFSET(CRONOPLE!$F$15,$M17-$A$15,BC$13)))</f>
        <v>0</v>
      </c>
      <c r="BD17" s="178">
        <f ca="1">IF(OR($D17&lt;&gt;"Serviço",AND(AUTOEVENTO="Manual",$M17=$A$15)),0,
         IF(OFFSET(CRONOPLE!$F$15,$M17-$A$15,BD$13)="",10^12,OFFSET(CRONOPLE!$F$15,$M17-$A$15,BD$13)))</f>
        <v>0</v>
      </c>
      <c r="BE17" s="178">
        <f ca="1">IF(OR($D17&lt;&gt;"Serviço",AND(AUTOEVENTO="Manual",$M17=$A$15)),0,
         IF(OFFSET(CRONOPLE!$F$15,$M17-$A$15,BE$13)="",10^12,OFFSET(CRONOPLE!$F$15,$M17-$A$15,BE$13)))</f>
        <v>0</v>
      </c>
      <c r="BF17" s="178">
        <f ca="1">IF(OR($D17&lt;&gt;"Serviço",AND(AUTOEVENTO="Manual",$M17=$A$15)),0,
         IF(OFFSET(CRONOPLE!$F$15,$M17-$A$15,BF$13)="",10^12,OFFSET(CRONOPLE!$F$15,$M17-$A$15,BF$13)))</f>
        <v>0</v>
      </c>
      <c r="BG17" s="178">
        <f ca="1">IF(OR($D17&lt;&gt;"Serviço",AND(AUTOEVENTO="Manual",$M17=$A$15)),0,
         IF(OFFSET(CRONOPLE!$F$15,$M17-$A$15,BG$13)="",10^12,OFFSET(CRONOPLE!$F$15,$M17-$A$15,BG$13)))</f>
        <v>0</v>
      </c>
      <c r="BH17" s="178">
        <f ca="1">IF(OR($D17&lt;&gt;"Serviço",AND(AUTOEVENTO="Manual",$M17=$A$15)),0,
         IF(OFFSET(CRONOPLE!$F$15,$M17-$A$15,BH$13)="",10^12,OFFSET(CRONOPLE!$F$15,$M17-$A$15,BH$13)))</f>
        <v>0</v>
      </c>
      <c r="BI17" s="178">
        <f ca="1">IF(OR($D17&lt;&gt;"Serviço",AND(AUTOEVENTO="Manual",$M17=$A$15)),0,
         IF(OFFSET(CRONOPLE!$F$15,$M17-$A$15,BI$13)="",10^12,OFFSET(CRONOPLE!$F$15,$M17-$A$15,BI$13)))</f>
        <v>0</v>
      </c>
      <c r="BJ17" s="178">
        <f ca="1">IF(OR($D17&lt;&gt;"Serviço",AND(AUTOEVENTO="Manual",$M17=$A$15)),0,
         IF(OFFSET(CRONOPLE!$F$15,$M17-$A$15,BJ$13)="",10^12,OFFSET(CRONOPLE!$F$15,$M17-$A$15,BJ$13)))</f>
        <v>0</v>
      </c>
      <c r="BK17" s="178">
        <f ca="1">IF(OR($D17&lt;&gt;"Serviço",AND(AUTOEVENTO="Manual",$M17=$A$15)),0,
         IF(OFFSET(CRONOPLE!$F$15,$M17-$A$15,BK$13)="",10^12,OFFSET(CRONOPLE!$F$15,$M17-$A$15,BK$13)))</f>
        <v>0</v>
      </c>
      <c r="BL17" s="178">
        <f ca="1">IF(OR($D17&lt;&gt;"Serviço",AND(AUTOEVENTO="Manual",$M17=$A$15)),0,
         IF(OFFSET(CRONOPLE!$F$15,$M17-$A$15,BL$13)="",10^12,OFFSET(CRONOPLE!$F$15,$M17-$A$15,BL$13)))</f>
        <v>0</v>
      </c>
      <c r="BM17" s="178">
        <f ca="1">IF(OR($D17&lt;&gt;"Serviço",AND(AUTOEVENTO="Manual",$M17=$A$15)),0,
         IF(OFFSET(CRONOPLE!$F$15,$M17-$A$15,BM$13)="",10^12,OFFSET(CRONOPLE!$F$15,$M17-$A$15,BM$13)))</f>
        <v>0</v>
      </c>
      <c r="BN17" s="178">
        <f ca="1">IF(OR($D17&lt;&gt;"Serviço",AND(AUTOEVENTO="Manual",$M17=$A$15)),0,
         IF(OFFSET(CRONOPLE!$F$15,$M17-$A$15,BN$13)="",10^12,OFFSET(CRONOPLE!$F$15,$M17-$A$15,BN$13)))</f>
        <v>0</v>
      </c>
      <c r="BO17" s="178">
        <f ca="1">IF(OR($D17&lt;&gt;"Serviço",AND(AUTOEVENTO="Manual",$M17=$A$15)),0,
         IF(OFFSET(CRONOPLE!$F$15,$M17-$A$15,BO$13)="",10^12,OFFSET(CRONOPLE!$F$15,$M17-$A$15,BO$13)))</f>
        <v>0</v>
      </c>
      <c r="BP17" s="178">
        <f ca="1">IF(OR($D17&lt;&gt;"Serviço",AND(AUTOEVENTO="Manual",$M17=$A$15)),0,
         IF(OFFSET(CRONOPLE!$F$15,$M17-$A$15,BP$13)="",10^12,OFFSET(CRONOPLE!$F$15,$M17-$A$15,BP$13)))</f>
        <v>0</v>
      </c>
      <c r="BQ17" s="178">
        <f ca="1">IF(OR($D17&lt;&gt;"Serviço",AND(AUTOEVENTO="Manual",$M17=$A$15)),0,
         IF(OFFSET(CRONOPLE!$F$15,$M17-$A$15,BQ$13)="",10^12,OFFSET(CRONOPLE!$F$15,$M17-$A$15,BQ$13)))</f>
        <v>0</v>
      </c>
      <c r="BR17" s="178">
        <f ca="1">IF(OR($D17&lt;&gt;"Serviço",AND(AUTOEVENTO="Manual",$M17=$A$15)),0,
         IF(OFFSET(CRONOPLE!$F$15,$M17-$A$15,BR$13)="",10^12,OFFSET(CRONOPLE!$F$15,$M17-$A$15,BR$13)))</f>
        <v>0</v>
      </c>
      <c r="BS17" s="178">
        <f ca="1">IF(OR($D17&lt;&gt;"Serviço",AND(AUTOEVENTO="Manual",$M17=$A$15)),0,
         IF(OFFSET(CRONOPLE!$F$15,$M17-$A$15,BS$13)="",10^12,OFFSET(CRONOPLE!$F$15,$M17-$A$15,BS$13)))</f>
        <v>0</v>
      </c>
      <c r="BT17" s="178">
        <f ca="1">IF(OR($D17&lt;&gt;"Serviço",AND(AUTOEVENTO="Manual",$M17=$A$15)),0,
         IF(OFFSET(CRONOPLE!$F$15,$M17-$A$15,BT$13)="",10^12,OFFSET(CRONOPLE!$F$15,$M17-$A$15,BT$13)))</f>
        <v>0</v>
      </c>
      <c r="BV17" s="179">
        <f ca="1">IF(OR($D17&lt;&gt;"Serviço",AND(AUTOEVENTO="Manual",$M17=$A$15),$M17&gt;(ROW(PLE.lastrow)-ROW(PLE.firstrow))),0,
           IF(OFFSET(PLE!$G$15,$M17-$A$15,BV$13)="",10^12,OFFSET(PLE!$G$15,$M17-$A$15,BV$13)))</f>
        <v>0</v>
      </c>
      <c r="BW17" s="179">
        <f ca="1">IF(OR($D17&lt;&gt;"Serviço",AND(AUTOEVENTO="Manual",$M17=$A$15),$M17&gt;(ROW(PLE.lastrow)-ROW(PLE.firstrow))),0,
           IF(OFFSET(PLE!$G$15,$M17-$A$15,BW$13)="",10^12,OFFSET(PLE!$G$15,$M17-$A$15,BW$13)))</f>
        <v>0</v>
      </c>
      <c r="BX17" s="179">
        <f ca="1">IF(OR($D17&lt;&gt;"Serviço",AND(AUTOEVENTO="Manual",$M17=$A$15),$M17&gt;(ROW(PLE.lastrow)-ROW(PLE.firstrow))),0,
           IF(OFFSET(PLE!$G$15,$M17-$A$15,BX$13)="",10^12,OFFSET(PLE!$G$15,$M17-$A$15,BX$13)))</f>
        <v>0</v>
      </c>
      <c r="BY17" s="179">
        <f ca="1">IF(OR($D17&lt;&gt;"Serviço",AND(AUTOEVENTO="Manual",$M17=$A$15),$M17&gt;(ROW(PLE.lastrow)-ROW(PLE.firstrow))),0,
           IF(OFFSET(PLE!$G$15,$M17-$A$15,BY$13)="",10^12,OFFSET(PLE!$G$15,$M17-$A$15,BY$13)))</f>
        <v>0</v>
      </c>
      <c r="BZ17" s="179">
        <f ca="1">IF(OR($D17&lt;&gt;"Serviço",AND(AUTOEVENTO="Manual",$M17=$A$15),$M17&gt;(ROW(PLE.lastrow)-ROW(PLE.firstrow))),0,
           IF(OFFSET(PLE!$G$15,$M17-$A$15,BZ$13)="",10^12,OFFSET(PLE!$G$15,$M17-$A$15,BZ$13)))</f>
        <v>0</v>
      </c>
      <c r="CA17" s="179">
        <f ca="1">IF(OR($D17&lt;&gt;"Serviço",AND(AUTOEVENTO="Manual",$M17=$A$15),$M17&gt;(ROW(PLE.lastrow)-ROW(PLE.firstrow))),0,
           IF(OFFSET(PLE!$G$15,$M17-$A$15,CA$13)="",10^12,OFFSET(PLE!$G$15,$M17-$A$15,CA$13)))</f>
        <v>0</v>
      </c>
      <c r="CB17" s="179">
        <f ca="1">IF(OR($D17&lt;&gt;"Serviço",AND(AUTOEVENTO="Manual",$M17=$A$15),$M17&gt;(ROW(PLE.lastrow)-ROW(PLE.firstrow))),0,
           IF(OFFSET(PLE!$G$15,$M17-$A$15,CB$13)="",10^12,OFFSET(PLE!$G$15,$M17-$A$15,CB$13)))</f>
        <v>0</v>
      </c>
      <c r="CC17" s="179">
        <f ca="1">IF(OR($D17&lt;&gt;"Serviço",AND(AUTOEVENTO="Manual",$M17=$A$15),$M17&gt;(ROW(PLE.lastrow)-ROW(PLE.firstrow))),0,
           IF(OFFSET(PLE!$G$15,$M17-$A$15,CC$13)="",10^12,OFFSET(PLE!$G$15,$M17-$A$15,CC$13)))</f>
        <v>0</v>
      </c>
      <c r="CD17" s="179">
        <f ca="1">IF(OR($D17&lt;&gt;"Serviço",AND(AUTOEVENTO="Manual",$M17=$A$15),$M17&gt;(ROW(PLE.lastrow)-ROW(PLE.firstrow))),0,
           IF(OFFSET(PLE!$G$15,$M17-$A$15,CD$13)="",10^12,OFFSET(PLE!$G$15,$M17-$A$15,CD$13)))</f>
        <v>0</v>
      </c>
      <c r="CE17" s="179">
        <f ca="1">IF(OR($D17&lt;&gt;"Serviço",AND(AUTOEVENTO="Manual",$M17=$A$15),$M17&gt;(ROW(PLE.lastrow)-ROW(PLE.firstrow))),0,
           IF(OFFSET(PLE!$G$15,$M17-$A$15,CE$13)="",10^12,OFFSET(PLE!$G$15,$M17-$A$15,CE$13)))</f>
        <v>0</v>
      </c>
      <c r="CF17" s="179">
        <f ca="1">IF(OR($D17&lt;&gt;"Serviço",AND(AUTOEVENTO="Manual",$M17=$A$15),$M17&gt;(ROW(PLE.lastrow)-ROW(PLE.firstrow))),0,
           IF(OFFSET(PLE!$G$15,$M17-$A$15,CF$13)="",10^12,OFFSET(PLE!$G$15,$M17-$A$15,CF$13)))</f>
        <v>0</v>
      </c>
      <c r="CG17" s="179">
        <f ca="1">IF(OR($D17&lt;&gt;"Serviço",AND(AUTOEVENTO="Manual",$M17=$A$15),$M17&gt;(ROW(PLE.lastrow)-ROW(PLE.firstrow))),0,
           IF(OFFSET(PLE!$G$15,$M17-$A$15,CG$13)="",10^12,OFFSET(PLE!$G$15,$M17-$A$15,CG$13)))</f>
        <v>0</v>
      </c>
      <c r="CH17" s="179">
        <f ca="1">IF(OR($D17&lt;&gt;"Serviço",AND(AUTOEVENTO="Manual",$M17=$A$15),$M17&gt;(ROW(PLE.lastrow)-ROW(PLE.firstrow))),0,
           IF(OFFSET(PLE!$G$15,$M17-$A$15,CH$13)="",10^12,OFFSET(PLE!$G$15,$M17-$A$15,CH$13)))</f>
        <v>0</v>
      </c>
      <c r="CI17" s="179">
        <f ca="1">IF(OR($D17&lt;&gt;"Serviço",AND(AUTOEVENTO="Manual",$M17=$A$15),$M17&gt;(ROW(PLE.lastrow)-ROW(PLE.firstrow))),0,
           IF(OFFSET(PLE!$G$15,$M17-$A$15,CI$13)="",10^12,OFFSET(PLE!$G$15,$M17-$A$15,CI$13)))</f>
        <v>0</v>
      </c>
      <c r="CJ17" s="179">
        <f ca="1">IF(OR($D17&lt;&gt;"Serviço",AND(AUTOEVENTO="Manual",$M17=$A$15),$M17&gt;(ROW(PLE.lastrow)-ROW(PLE.firstrow))),0,
           IF(OFFSET(PLE!$G$15,$M17-$A$15,CJ$13)="",10^12,OFFSET(PLE!$G$15,$M17-$A$15,CJ$13)))</f>
        <v>0</v>
      </c>
      <c r="CK17" s="179">
        <f ca="1">IF(OR($D17&lt;&gt;"Serviço",AND(AUTOEVENTO="Manual",$M17=$A$15),$M17&gt;(ROW(PLE.lastrow)-ROW(PLE.firstrow))),0,
           IF(OFFSET(PLE!$G$15,$M17-$A$15,CK$13)="",10^12,OFFSET(PLE!$G$15,$M17-$A$15,CK$13)))</f>
        <v>0</v>
      </c>
      <c r="CL17" s="179">
        <f ca="1">IF(OR($D17&lt;&gt;"Serviço",AND(AUTOEVENTO="Manual",$M17=$A$15),$M17&gt;(ROW(PLE.lastrow)-ROW(PLE.firstrow))),0,
           IF(OFFSET(PLE!$G$15,$M17-$A$15,CL$13)="",10^12,OFFSET(PLE!$G$15,$M17-$A$15,CL$13)))</f>
        <v>0</v>
      </c>
      <c r="CM17" s="179">
        <f ca="1">IF(OR($D17&lt;&gt;"Serviço",AND(AUTOEVENTO="Manual",$M17=$A$15),$M17&gt;(ROW(PLE.lastrow)-ROW(PLE.firstrow))),0,
           IF(OFFSET(PLE!$G$15,$M17-$A$15,CM$13)="",10^12,OFFSET(PLE!$G$15,$M17-$A$15,CM$13)))</f>
        <v>0</v>
      </c>
    </row>
    <row r="18" spans="1:91" ht="25.5" x14ac:dyDescent="0.2">
      <c r="A18" s="7" t="str">
        <f ca="1">IF(AUTOEVENTO="Manual",IF(K18&lt;&gt;"",MIN(VALUE(LEFT(K18,FIND(".",K18)-1)),COUNTA(EVENTOS.Lista)),0),IF(OR($B18&gt;AUTOEVENTO,$B18="S",$B18=0),SUBSTITUTE(OFFSET($A18,-1,0),IF($D18="Serviço",".",""),""),ROW(A18)-ROW($A$15)&amp;"."))</f>
        <v>2</v>
      </c>
      <c r="B18" s="7" t="str">
        <f ca="1">OFFSET(ORÇAMENTO!C$15,ROW(B18)-ROW(B$15),0)</f>
        <v>S</v>
      </c>
      <c r="C18" s="7" t="str">
        <f ca="1">OFFSET(ORÇAMENTO!L$15,ROW(C18)-ROW(C$15),0)</f>
        <v>F</v>
      </c>
      <c r="D18" s="118" t="str">
        <f ca="1">OFFSET(ORÇAMENTO!N$15,ROW(D18)-ROW(D$15),0)</f>
        <v>Serviço</v>
      </c>
      <c r="E18" s="119" t="str">
        <f ca="1">OFFSET(ORÇAMENTO!O$15,ROW(E18)-ROW(E$15),0)</f>
        <v>1.1.0.0.1.</v>
      </c>
      <c r="F18" s="170" t="str">
        <f ca="1">OFFSET(ORÇAMENTO!R$15,ROW(F18)-ROW(F$15),0)</f>
        <v>FORNECIMENTO E INSTALAÇÃO DE PLACA DE OBRA COM CHAPA GALVANIZADA E ESTRUTURA DE MADEIRA. AF_03/2022_PS</v>
      </c>
      <c r="G18" s="171" t="str">
        <f ca="1">IF($D18&lt;&gt;"Serviço","",OFFSET(ORÇAMENTO!S$15,ROW(G18)-ROW(G$15),0))</f>
        <v>M2</v>
      </c>
      <c r="H18" s="124" cm="1">
        <f t="array" aca="1" ref="H18" ca="1">IF($D18&lt;&gt;"Serviço",0,IF(_xlfn.SINGLE(ACOMPANHAMENTO)="BM",ROUND(OFFSET(ORÇAMENTO!AJ$15,ROW(H18)-ROW(H$15),0),15-13*ORÇAMENTO!$AF$7),SUMPRODUCT(($Q$1:$AI$1)*ROUND($Q18:$AI18,15-13*ORÇAMENTO!$AF$7))))</f>
        <v>2.88</v>
      </c>
      <c r="I18" s="500" t="s">
        <v>962</v>
      </c>
      <c r="J18" s="632" t="str" cm="1">
        <f t="array" aca="1" ref="J18" ca="1">IF(B18&lt;&gt;"S","",IF(AND(ACOMPANHAMENTO="PLE",AUTOEVENTO="Manual",OR(H18&gt;0,ORÇAMENTO!AC18="QUANT."),OR(K18="",M18=0,N18="")),"►",IF(AND(ACOMPANHAMENTO="PLE",ORÇAMENTO!AC18="QUANT."),"►►",IF(AND(COUNTIF($P$11:$AI$11,"▼")=0,H18&gt;0,I18=""),"◄",""))))</f>
        <v/>
      </c>
      <c r="K18" s="624"/>
      <c r="L18" s="172" t="s">
        <v>253</v>
      </c>
      <c r="M18" s="173">
        <f ca="1">IF($D18&lt;&gt;"Serviço","",
          IF(AUTOEVENTO="manual",$A18,
                IF(ISERROR(MATCH($A18,$A$15:OFFSET($A18,-1,0),0)),MAX($M$15:OFFSET(M18,-1,0))+1,
                      INDEX($M$15:OFFSET(M18,-1,0),MATCH($A18,$A$15:OFFSET($A18,-1,0),0)))))</f>
        <v>1</v>
      </c>
      <c r="N18" s="174" t="str">
        <f ca="1">IF($D18&lt;&gt;"Serviço","",
         IF(AUTOEVENTO="Manual",
                IF($A18=0,"&lt;-- defina o número do agrupador",
                       OFFSET(EVENTOS!$D$15,$A18-$A$15,0)),
                OFFSET($F$15,$A18,0)))</f>
        <v>SERVIÇOS INICIAIS</v>
      </c>
      <c r="O18" s="175"/>
      <c r="Q18" s="175">
        <v>2.88</v>
      </c>
      <c r="R18" s="176"/>
      <c r="S18" s="176"/>
      <c r="T18" s="176"/>
      <c r="U18" s="176"/>
      <c r="V18" s="176"/>
      <c r="W18" s="176"/>
      <c r="X18" s="176"/>
      <c r="Y18" s="176"/>
      <c r="Z18" s="177"/>
      <c r="AA18" s="176"/>
      <c r="AB18" s="176"/>
      <c r="AC18" s="176"/>
      <c r="AD18" s="176"/>
      <c r="AE18" s="176"/>
      <c r="AF18" s="176"/>
      <c r="AG18" s="176"/>
      <c r="AH18" s="177"/>
      <c r="AJ18" s="485">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1786.09</v>
      </c>
      <c r="AK18" s="485">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85">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85">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85">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85">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85">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85">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85">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85">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85">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85">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85">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85">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85">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85">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85">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85">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8">
        <f ca="1">IF(OR($D18&lt;&gt;"Serviço",AND(AUTOEVENTO="Manual",$M18=$A$15)),0,
         IF(OFFSET(CRONOPLE!$F$15,$M18-$A$15,BC$13)="",10^12,OFFSET(CRONOPLE!$F$15,$M18-$A$15,BC$13)))</f>
        <v>1</v>
      </c>
      <c r="BD18" s="178">
        <f ca="1">IF(OR($D18&lt;&gt;"Serviço",AND(AUTOEVENTO="Manual",$M18=$A$15)),0,
         IF(OFFSET(CRONOPLE!$F$15,$M18-$A$15,BD$13)="",10^12,OFFSET(CRONOPLE!$F$15,$M18-$A$15,BD$13)))</f>
        <v>1000000000000</v>
      </c>
      <c r="BE18" s="178">
        <f ca="1">IF(OR($D18&lt;&gt;"Serviço",AND(AUTOEVENTO="Manual",$M18=$A$15)),0,
         IF(OFFSET(CRONOPLE!$F$15,$M18-$A$15,BE$13)="",10^12,OFFSET(CRONOPLE!$F$15,$M18-$A$15,BE$13)))</f>
        <v>1000000000000</v>
      </c>
      <c r="BF18" s="178">
        <f ca="1">IF(OR($D18&lt;&gt;"Serviço",AND(AUTOEVENTO="Manual",$M18=$A$15)),0,
         IF(OFFSET(CRONOPLE!$F$15,$M18-$A$15,BF$13)="",10^12,OFFSET(CRONOPLE!$F$15,$M18-$A$15,BF$13)))</f>
        <v>1000000000000</v>
      </c>
      <c r="BG18" s="178">
        <f ca="1">IF(OR($D18&lt;&gt;"Serviço",AND(AUTOEVENTO="Manual",$M18=$A$15)),0,
         IF(OFFSET(CRONOPLE!$F$15,$M18-$A$15,BG$13)="",10^12,OFFSET(CRONOPLE!$F$15,$M18-$A$15,BG$13)))</f>
        <v>1000000000000</v>
      </c>
      <c r="BH18" s="178">
        <f ca="1">IF(OR($D18&lt;&gt;"Serviço",AND(AUTOEVENTO="Manual",$M18=$A$15)),0,
         IF(OFFSET(CRONOPLE!$F$15,$M18-$A$15,BH$13)="",10^12,OFFSET(CRONOPLE!$F$15,$M18-$A$15,BH$13)))</f>
        <v>1000000000000</v>
      </c>
      <c r="BI18" s="178">
        <f ca="1">IF(OR($D18&lt;&gt;"Serviço",AND(AUTOEVENTO="Manual",$M18=$A$15)),0,
         IF(OFFSET(CRONOPLE!$F$15,$M18-$A$15,BI$13)="",10^12,OFFSET(CRONOPLE!$F$15,$M18-$A$15,BI$13)))</f>
        <v>1000000000000</v>
      </c>
      <c r="BJ18" s="178">
        <f ca="1">IF(OR($D18&lt;&gt;"Serviço",AND(AUTOEVENTO="Manual",$M18=$A$15)),0,
         IF(OFFSET(CRONOPLE!$F$15,$M18-$A$15,BJ$13)="",10^12,OFFSET(CRONOPLE!$F$15,$M18-$A$15,BJ$13)))</f>
        <v>1000000000000</v>
      </c>
      <c r="BK18" s="178">
        <f ca="1">IF(OR($D18&lt;&gt;"Serviço",AND(AUTOEVENTO="Manual",$M18=$A$15)),0,
         IF(OFFSET(CRONOPLE!$F$15,$M18-$A$15,BK$13)="",10^12,OFFSET(CRONOPLE!$F$15,$M18-$A$15,BK$13)))</f>
        <v>1000000000000</v>
      </c>
      <c r="BL18" s="178">
        <f ca="1">IF(OR($D18&lt;&gt;"Serviço",AND(AUTOEVENTO="Manual",$M18=$A$15)),0,
         IF(OFFSET(CRONOPLE!$F$15,$M18-$A$15,BL$13)="",10^12,OFFSET(CRONOPLE!$F$15,$M18-$A$15,BL$13)))</f>
        <v>1000000000000</v>
      </c>
      <c r="BM18" s="178">
        <f ca="1">IF(OR($D18&lt;&gt;"Serviço",AND(AUTOEVENTO="Manual",$M18=$A$15)),0,
         IF(OFFSET(CRONOPLE!$F$15,$M18-$A$15,BM$13)="",10^12,OFFSET(CRONOPLE!$F$15,$M18-$A$15,BM$13)))</f>
        <v>1000000000000</v>
      </c>
      <c r="BN18" s="178">
        <f ca="1">IF(OR($D18&lt;&gt;"Serviço",AND(AUTOEVENTO="Manual",$M18=$A$15)),0,
         IF(OFFSET(CRONOPLE!$F$15,$M18-$A$15,BN$13)="",10^12,OFFSET(CRONOPLE!$F$15,$M18-$A$15,BN$13)))</f>
        <v>1000000000000</v>
      </c>
      <c r="BO18" s="178">
        <f ca="1">IF(OR($D18&lt;&gt;"Serviço",AND(AUTOEVENTO="Manual",$M18=$A$15)),0,
         IF(OFFSET(CRONOPLE!$F$15,$M18-$A$15,BO$13)="",10^12,OFFSET(CRONOPLE!$F$15,$M18-$A$15,BO$13)))</f>
        <v>1000000000000</v>
      </c>
      <c r="BP18" s="178">
        <f ca="1">IF(OR($D18&lt;&gt;"Serviço",AND(AUTOEVENTO="Manual",$M18=$A$15)),0,
         IF(OFFSET(CRONOPLE!$F$15,$M18-$A$15,BP$13)="",10^12,OFFSET(CRONOPLE!$F$15,$M18-$A$15,BP$13)))</f>
        <v>1000000000000</v>
      </c>
      <c r="BQ18" s="178">
        <f ca="1">IF(OR($D18&lt;&gt;"Serviço",AND(AUTOEVENTO="Manual",$M18=$A$15)),0,
         IF(OFFSET(CRONOPLE!$F$15,$M18-$A$15,BQ$13)="",10^12,OFFSET(CRONOPLE!$F$15,$M18-$A$15,BQ$13)))</f>
        <v>1000000000000</v>
      </c>
      <c r="BR18" s="178">
        <f ca="1">IF(OR($D18&lt;&gt;"Serviço",AND(AUTOEVENTO="Manual",$M18=$A$15)),0,
         IF(OFFSET(CRONOPLE!$F$15,$M18-$A$15,BR$13)="",10^12,OFFSET(CRONOPLE!$F$15,$M18-$A$15,BR$13)))</f>
        <v>1000000000000</v>
      </c>
      <c r="BS18" s="178">
        <f ca="1">IF(OR($D18&lt;&gt;"Serviço",AND(AUTOEVENTO="Manual",$M18=$A$15)),0,
         IF(OFFSET(CRONOPLE!$F$15,$M18-$A$15,BS$13)="",10^12,OFFSET(CRONOPLE!$F$15,$M18-$A$15,BS$13)))</f>
        <v>1000000000000</v>
      </c>
      <c r="BT18" s="178">
        <f ca="1">IF(OR($D18&lt;&gt;"Serviço",AND(AUTOEVENTO="Manual",$M18=$A$15)),0,
         IF(OFFSET(CRONOPLE!$F$15,$M18-$A$15,BT$13)="",10^12,OFFSET(CRONOPLE!$F$15,$M18-$A$15,BT$13)))</f>
        <v>1000000000000</v>
      </c>
      <c r="BV18" s="179">
        <f ca="1">IF(OR($D18&lt;&gt;"Serviço",AND(AUTOEVENTO="Manual",$M18=$A$15),$M18&gt;(ROW(PLE.lastrow)-ROW(PLE.firstrow))),0,
           IF(OFFSET(PLE!$G$15,$M18-$A$15,BV$13)="",10^12,OFFSET(PLE!$G$15,$M18-$A$15,BV$13)))</f>
        <v>1000000000000</v>
      </c>
      <c r="BW18" s="179">
        <f ca="1">IF(OR($D18&lt;&gt;"Serviço",AND(AUTOEVENTO="Manual",$M18=$A$15),$M18&gt;(ROW(PLE.lastrow)-ROW(PLE.firstrow))),0,
           IF(OFFSET(PLE!$G$15,$M18-$A$15,BW$13)="",10^12,OFFSET(PLE!$G$15,$M18-$A$15,BW$13)))</f>
        <v>1000000000000</v>
      </c>
      <c r="BX18" s="179">
        <f ca="1">IF(OR($D18&lt;&gt;"Serviço",AND(AUTOEVENTO="Manual",$M18=$A$15),$M18&gt;(ROW(PLE.lastrow)-ROW(PLE.firstrow))),0,
           IF(OFFSET(PLE!$G$15,$M18-$A$15,BX$13)="",10^12,OFFSET(PLE!$G$15,$M18-$A$15,BX$13)))</f>
        <v>1000000000000</v>
      </c>
      <c r="BY18" s="179">
        <f ca="1">IF(OR($D18&lt;&gt;"Serviço",AND(AUTOEVENTO="Manual",$M18=$A$15),$M18&gt;(ROW(PLE.lastrow)-ROW(PLE.firstrow))),0,
           IF(OFFSET(PLE!$G$15,$M18-$A$15,BY$13)="",10^12,OFFSET(PLE!$G$15,$M18-$A$15,BY$13)))</f>
        <v>1000000000000</v>
      </c>
      <c r="BZ18" s="179">
        <f ca="1">IF(OR($D18&lt;&gt;"Serviço",AND(AUTOEVENTO="Manual",$M18=$A$15),$M18&gt;(ROW(PLE.lastrow)-ROW(PLE.firstrow))),0,
           IF(OFFSET(PLE!$G$15,$M18-$A$15,BZ$13)="",10^12,OFFSET(PLE!$G$15,$M18-$A$15,BZ$13)))</f>
        <v>1000000000000</v>
      </c>
      <c r="CA18" s="179">
        <f ca="1">IF(OR($D18&lt;&gt;"Serviço",AND(AUTOEVENTO="Manual",$M18=$A$15),$M18&gt;(ROW(PLE.lastrow)-ROW(PLE.firstrow))),0,
           IF(OFFSET(PLE!$G$15,$M18-$A$15,CA$13)="",10^12,OFFSET(PLE!$G$15,$M18-$A$15,CA$13)))</f>
        <v>1000000000000</v>
      </c>
      <c r="CB18" s="179">
        <f ca="1">IF(OR($D18&lt;&gt;"Serviço",AND(AUTOEVENTO="Manual",$M18=$A$15),$M18&gt;(ROW(PLE.lastrow)-ROW(PLE.firstrow))),0,
           IF(OFFSET(PLE!$G$15,$M18-$A$15,CB$13)="",10^12,OFFSET(PLE!$G$15,$M18-$A$15,CB$13)))</f>
        <v>1000000000000</v>
      </c>
      <c r="CC18" s="179">
        <f ca="1">IF(OR($D18&lt;&gt;"Serviço",AND(AUTOEVENTO="Manual",$M18=$A$15),$M18&gt;(ROW(PLE.lastrow)-ROW(PLE.firstrow))),0,
           IF(OFFSET(PLE!$G$15,$M18-$A$15,CC$13)="",10^12,OFFSET(PLE!$G$15,$M18-$A$15,CC$13)))</f>
        <v>1000000000000</v>
      </c>
      <c r="CD18" s="179">
        <f ca="1">IF(OR($D18&lt;&gt;"Serviço",AND(AUTOEVENTO="Manual",$M18=$A$15),$M18&gt;(ROW(PLE.lastrow)-ROW(PLE.firstrow))),0,
           IF(OFFSET(PLE!$G$15,$M18-$A$15,CD$13)="",10^12,OFFSET(PLE!$G$15,$M18-$A$15,CD$13)))</f>
        <v>1000000000000</v>
      </c>
      <c r="CE18" s="179">
        <f ca="1">IF(OR($D18&lt;&gt;"Serviço",AND(AUTOEVENTO="Manual",$M18=$A$15),$M18&gt;(ROW(PLE.lastrow)-ROW(PLE.firstrow))),0,
           IF(OFFSET(PLE!$G$15,$M18-$A$15,CE$13)="",10^12,OFFSET(PLE!$G$15,$M18-$A$15,CE$13)))</f>
        <v>1000000000000</v>
      </c>
      <c r="CF18" s="179">
        <f ca="1">IF(OR($D18&lt;&gt;"Serviço",AND(AUTOEVENTO="Manual",$M18=$A$15),$M18&gt;(ROW(PLE.lastrow)-ROW(PLE.firstrow))),0,
           IF(OFFSET(PLE!$G$15,$M18-$A$15,CF$13)="",10^12,OFFSET(PLE!$G$15,$M18-$A$15,CF$13)))</f>
        <v>1000000000000</v>
      </c>
      <c r="CG18" s="179">
        <f ca="1">IF(OR($D18&lt;&gt;"Serviço",AND(AUTOEVENTO="Manual",$M18=$A$15),$M18&gt;(ROW(PLE.lastrow)-ROW(PLE.firstrow))),0,
           IF(OFFSET(PLE!$G$15,$M18-$A$15,CG$13)="",10^12,OFFSET(PLE!$G$15,$M18-$A$15,CG$13)))</f>
        <v>1000000000000</v>
      </c>
      <c r="CH18" s="179">
        <f ca="1">IF(OR($D18&lt;&gt;"Serviço",AND(AUTOEVENTO="Manual",$M18=$A$15),$M18&gt;(ROW(PLE.lastrow)-ROW(PLE.firstrow))),0,
           IF(OFFSET(PLE!$G$15,$M18-$A$15,CH$13)="",10^12,OFFSET(PLE!$G$15,$M18-$A$15,CH$13)))</f>
        <v>1000000000000</v>
      </c>
      <c r="CI18" s="179">
        <f ca="1">IF(OR($D18&lt;&gt;"Serviço",AND(AUTOEVENTO="Manual",$M18=$A$15),$M18&gt;(ROW(PLE.lastrow)-ROW(PLE.firstrow))),0,
           IF(OFFSET(PLE!$G$15,$M18-$A$15,CI$13)="",10^12,OFFSET(PLE!$G$15,$M18-$A$15,CI$13)))</f>
        <v>1000000000000</v>
      </c>
      <c r="CJ18" s="179">
        <f ca="1">IF(OR($D18&lt;&gt;"Serviço",AND(AUTOEVENTO="Manual",$M18=$A$15),$M18&gt;(ROW(PLE.lastrow)-ROW(PLE.firstrow))),0,
           IF(OFFSET(PLE!$G$15,$M18-$A$15,CJ$13)="",10^12,OFFSET(PLE!$G$15,$M18-$A$15,CJ$13)))</f>
        <v>1000000000000</v>
      </c>
      <c r="CK18" s="179">
        <f ca="1">IF(OR($D18&lt;&gt;"Serviço",AND(AUTOEVENTO="Manual",$M18=$A$15),$M18&gt;(ROW(PLE.lastrow)-ROW(PLE.firstrow))),0,
           IF(OFFSET(PLE!$G$15,$M18-$A$15,CK$13)="",10^12,OFFSET(PLE!$G$15,$M18-$A$15,CK$13)))</f>
        <v>1000000000000</v>
      </c>
      <c r="CL18" s="179">
        <f ca="1">IF(OR($D18&lt;&gt;"Serviço",AND(AUTOEVENTO="Manual",$M18=$A$15),$M18&gt;(ROW(PLE.lastrow)-ROW(PLE.firstrow))),0,
           IF(OFFSET(PLE!$G$15,$M18-$A$15,CL$13)="",10^12,OFFSET(PLE!$G$15,$M18-$A$15,CL$13)))</f>
        <v>1000000000000</v>
      </c>
      <c r="CM18" s="179">
        <f ca="1">IF(OR($D18&lt;&gt;"Serviço",AND(AUTOEVENTO="Manual",$M18=$A$15),$M18&gt;(ROW(PLE.lastrow)-ROW(PLE.firstrow))),0,
           IF(OFFSET(PLE!$G$15,$M18-$A$15,CM$13)="",10^12,OFFSET(PLE!$G$15,$M18-$A$15,CM$13)))</f>
        <v>1000000000000</v>
      </c>
    </row>
    <row r="19" spans="1:91" ht="12.75" x14ac:dyDescent="0.2">
      <c r="A19" s="7" t="str">
        <f ca="1">IF(AUTOEVENTO="Manual",IF(K19&lt;&gt;"",MIN(VALUE(LEFT(K19,FIND(".",K19)-1)),COUNTA(EVENTOS.Lista)),0),IF(OR($B19&gt;AUTOEVENTO,$B19="S",$B19=0),SUBSTITUTE(OFFSET($A19,-1,0),IF($D19="Serviço",".",""),""),ROW(A19)-ROW($A$15)&amp;"."))</f>
        <v>4.</v>
      </c>
      <c r="B19" s="7">
        <f ca="1">OFFSET(ORÇAMENTO!C$15,ROW(B19)-ROW(B$15),0)</f>
        <v>2</v>
      </c>
      <c r="C19" s="7" t="str">
        <f ca="1">OFFSET(ORÇAMENTO!L$15,ROW(C19)-ROW(C$15),0)</f>
        <v>F</v>
      </c>
      <c r="D19" s="118" t="str">
        <f ca="1">OFFSET(ORÇAMENTO!N$15,ROW(D19)-ROW(D$15),0)</f>
        <v>Nível 2</v>
      </c>
      <c r="E19" s="119" t="str">
        <f ca="1">OFFSET(ORÇAMENTO!O$15,ROW(E19)-ROW(E$15),0)</f>
        <v>1.2.</v>
      </c>
      <c r="F19" s="170" t="str">
        <f ca="1">OFFSET(ORÇAMENTO!R$15,ROW(F19)-ROW(F$15),0)</f>
        <v>LOCAÇÃO DE OBRA</v>
      </c>
      <c r="G19" s="171" t="str">
        <f ca="1">IF($D19&lt;&gt;"Serviço","",OFFSET(ORÇAMENTO!S$15,ROW(G19)-ROW(G$15),0))</f>
        <v/>
      </c>
      <c r="H19" s="124" cm="1">
        <f t="array" aca="1" ref="H19" ca="1">IF($D19&lt;&gt;"Serviço",0,IF(_xlfn.SINGLE(ACOMPANHAMENTO)="BM",ROUND(OFFSET(ORÇAMENTO!AJ$15,ROW(H19)-ROW(H$15),0),15-13*ORÇAMENTO!$AF$7),SUMPRODUCT(($Q$1:$AI$1)*ROUND($Q19:$AI19,15-13*ORÇAMENTO!$AF$7))))</f>
        <v>0</v>
      </c>
      <c r="I19" s="500"/>
      <c r="J19" s="632" t="str" cm="1">
        <f t="array" aca="1" ref="J19" ca="1">IF(B19&lt;&gt;"S","",IF(AND(ACOMPANHAMENTO="PLE",AUTOEVENTO="Manual",OR(H19&gt;0,ORÇAMENTO!AC19="QUANT."),OR(K19="",M19=0,N19="")),"►",IF(AND(ACOMPANHAMENTO="PLE",ORÇAMENTO!AC19="QUANT."),"►►",IF(AND(COUNTIF($P$11:$AI$11,"▼")=0,H19&gt;0,I19=""),"◄",""))))</f>
        <v/>
      </c>
      <c r="K19" s="624"/>
      <c r="L19" s="172" t="s">
        <v>253</v>
      </c>
      <c r="M19" s="173" t="str">
        <f ca="1">IF($D19&lt;&gt;"Serviço","",
          IF(AUTOEVENTO="manual",$A19,
                IF(ISERROR(MATCH($A19,$A$15:OFFSET($A19,-1,0),0)),MAX($M$15:OFFSET(M19,-1,0))+1,
                      INDEX($M$15:OFFSET(M19,-1,0),MATCH($A19,$A$15:OFFSET($A19,-1,0),0)))))</f>
        <v/>
      </c>
      <c r="N19" s="174" t="str">
        <f ca="1">IF($D19&lt;&gt;"Serviço","",
         IF(AUTOEVENTO="Manual",
                IF($A19=0,"&lt;-- defina o número do agrupador",
                       OFFSET(EVENTOS!$D$15,$A19-$A$15,0)),
                OFFSET($F$15,$A19,0)))</f>
        <v/>
      </c>
      <c r="O19" s="175"/>
      <c r="Q19" s="175"/>
      <c r="R19" s="176"/>
      <c r="S19" s="176"/>
      <c r="T19" s="176"/>
      <c r="U19" s="176"/>
      <c r="V19" s="176"/>
      <c r="W19" s="176"/>
      <c r="X19" s="176"/>
      <c r="Y19" s="176"/>
      <c r="Z19" s="177"/>
      <c r="AA19" s="176"/>
      <c r="AB19" s="176"/>
      <c r="AC19" s="176"/>
      <c r="AD19" s="176"/>
      <c r="AE19" s="176"/>
      <c r="AF19" s="176"/>
      <c r="AG19" s="176"/>
      <c r="AH19" s="177"/>
      <c r="AJ19" s="485">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85">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L19" s="485">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85">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85">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85">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85">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85">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85">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85">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85">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85">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85">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85">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85">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85">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85">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85">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8">
        <f ca="1">IF(OR($D19&lt;&gt;"Serviço",AND(AUTOEVENTO="Manual",$M19=$A$15)),0,
         IF(OFFSET(CRONOPLE!$F$15,$M19-$A$15,BC$13)="",10^12,OFFSET(CRONOPLE!$F$15,$M19-$A$15,BC$13)))</f>
        <v>0</v>
      </c>
      <c r="BD19" s="178">
        <f ca="1">IF(OR($D19&lt;&gt;"Serviço",AND(AUTOEVENTO="Manual",$M19=$A$15)),0,
         IF(OFFSET(CRONOPLE!$F$15,$M19-$A$15,BD$13)="",10^12,OFFSET(CRONOPLE!$F$15,$M19-$A$15,BD$13)))</f>
        <v>0</v>
      </c>
      <c r="BE19" s="178">
        <f ca="1">IF(OR($D19&lt;&gt;"Serviço",AND(AUTOEVENTO="Manual",$M19=$A$15)),0,
         IF(OFFSET(CRONOPLE!$F$15,$M19-$A$15,BE$13)="",10^12,OFFSET(CRONOPLE!$F$15,$M19-$A$15,BE$13)))</f>
        <v>0</v>
      </c>
      <c r="BF19" s="178">
        <f ca="1">IF(OR($D19&lt;&gt;"Serviço",AND(AUTOEVENTO="Manual",$M19=$A$15)),0,
         IF(OFFSET(CRONOPLE!$F$15,$M19-$A$15,BF$13)="",10^12,OFFSET(CRONOPLE!$F$15,$M19-$A$15,BF$13)))</f>
        <v>0</v>
      </c>
      <c r="BG19" s="178">
        <f ca="1">IF(OR($D19&lt;&gt;"Serviço",AND(AUTOEVENTO="Manual",$M19=$A$15)),0,
         IF(OFFSET(CRONOPLE!$F$15,$M19-$A$15,BG$13)="",10^12,OFFSET(CRONOPLE!$F$15,$M19-$A$15,BG$13)))</f>
        <v>0</v>
      </c>
      <c r="BH19" s="178">
        <f ca="1">IF(OR($D19&lt;&gt;"Serviço",AND(AUTOEVENTO="Manual",$M19=$A$15)),0,
         IF(OFFSET(CRONOPLE!$F$15,$M19-$A$15,BH$13)="",10^12,OFFSET(CRONOPLE!$F$15,$M19-$A$15,BH$13)))</f>
        <v>0</v>
      </c>
      <c r="BI19" s="178">
        <f ca="1">IF(OR($D19&lt;&gt;"Serviço",AND(AUTOEVENTO="Manual",$M19=$A$15)),0,
         IF(OFFSET(CRONOPLE!$F$15,$M19-$A$15,BI$13)="",10^12,OFFSET(CRONOPLE!$F$15,$M19-$A$15,BI$13)))</f>
        <v>0</v>
      </c>
      <c r="BJ19" s="178">
        <f ca="1">IF(OR($D19&lt;&gt;"Serviço",AND(AUTOEVENTO="Manual",$M19=$A$15)),0,
         IF(OFFSET(CRONOPLE!$F$15,$M19-$A$15,BJ$13)="",10^12,OFFSET(CRONOPLE!$F$15,$M19-$A$15,BJ$13)))</f>
        <v>0</v>
      </c>
      <c r="BK19" s="178">
        <f ca="1">IF(OR($D19&lt;&gt;"Serviço",AND(AUTOEVENTO="Manual",$M19=$A$15)),0,
         IF(OFFSET(CRONOPLE!$F$15,$M19-$A$15,BK$13)="",10^12,OFFSET(CRONOPLE!$F$15,$M19-$A$15,BK$13)))</f>
        <v>0</v>
      </c>
      <c r="BL19" s="178">
        <f ca="1">IF(OR($D19&lt;&gt;"Serviço",AND(AUTOEVENTO="Manual",$M19=$A$15)),0,
         IF(OFFSET(CRONOPLE!$F$15,$M19-$A$15,BL$13)="",10^12,OFFSET(CRONOPLE!$F$15,$M19-$A$15,BL$13)))</f>
        <v>0</v>
      </c>
      <c r="BM19" s="178">
        <f ca="1">IF(OR($D19&lt;&gt;"Serviço",AND(AUTOEVENTO="Manual",$M19=$A$15)),0,
         IF(OFFSET(CRONOPLE!$F$15,$M19-$A$15,BM$13)="",10^12,OFFSET(CRONOPLE!$F$15,$M19-$A$15,BM$13)))</f>
        <v>0</v>
      </c>
      <c r="BN19" s="178">
        <f ca="1">IF(OR($D19&lt;&gt;"Serviço",AND(AUTOEVENTO="Manual",$M19=$A$15)),0,
         IF(OFFSET(CRONOPLE!$F$15,$M19-$A$15,BN$13)="",10^12,OFFSET(CRONOPLE!$F$15,$M19-$A$15,BN$13)))</f>
        <v>0</v>
      </c>
      <c r="BO19" s="178">
        <f ca="1">IF(OR($D19&lt;&gt;"Serviço",AND(AUTOEVENTO="Manual",$M19=$A$15)),0,
         IF(OFFSET(CRONOPLE!$F$15,$M19-$A$15,BO$13)="",10^12,OFFSET(CRONOPLE!$F$15,$M19-$A$15,BO$13)))</f>
        <v>0</v>
      </c>
      <c r="BP19" s="178">
        <f ca="1">IF(OR($D19&lt;&gt;"Serviço",AND(AUTOEVENTO="Manual",$M19=$A$15)),0,
         IF(OFFSET(CRONOPLE!$F$15,$M19-$A$15,BP$13)="",10^12,OFFSET(CRONOPLE!$F$15,$M19-$A$15,BP$13)))</f>
        <v>0</v>
      </c>
      <c r="BQ19" s="178">
        <f ca="1">IF(OR($D19&lt;&gt;"Serviço",AND(AUTOEVENTO="Manual",$M19=$A$15)),0,
         IF(OFFSET(CRONOPLE!$F$15,$M19-$A$15,BQ$13)="",10^12,OFFSET(CRONOPLE!$F$15,$M19-$A$15,BQ$13)))</f>
        <v>0</v>
      </c>
      <c r="BR19" s="178">
        <f ca="1">IF(OR($D19&lt;&gt;"Serviço",AND(AUTOEVENTO="Manual",$M19=$A$15)),0,
         IF(OFFSET(CRONOPLE!$F$15,$M19-$A$15,BR$13)="",10^12,OFFSET(CRONOPLE!$F$15,$M19-$A$15,BR$13)))</f>
        <v>0</v>
      </c>
      <c r="BS19" s="178">
        <f ca="1">IF(OR($D19&lt;&gt;"Serviço",AND(AUTOEVENTO="Manual",$M19=$A$15)),0,
         IF(OFFSET(CRONOPLE!$F$15,$M19-$A$15,BS$13)="",10^12,OFFSET(CRONOPLE!$F$15,$M19-$A$15,BS$13)))</f>
        <v>0</v>
      </c>
      <c r="BT19" s="178">
        <f ca="1">IF(OR($D19&lt;&gt;"Serviço",AND(AUTOEVENTO="Manual",$M19=$A$15)),0,
         IF(OFFSET(CRONOPLE!$F$15,$M19-$A$15,BT$13)="",10^12,OFFSET(CRONOPLE!$F$15,$M19-$A$15,BT$13)))</f>
        <v>0</v>
      </c>
      <c r="BV19" s="179">
        <f ca="1">IF(OR($D19&lt;&gt;"Serviço",AND(AUTOEVENTO="Manual",$M19=$A$15),$M19&gt;(ROW(PLE.lastrow)-ROW(PLE.firstrow))),0,
           IF(OFFSET(PLE!$G$15,$M19-$A$15,BV$13)="",10^12,OFFSET(PLE!$G$15,$M19-$A$15,BV$13)))</f>
        <v>0</v>
      </c>
      <c r="BW19" s="179">
        <f ca="1">IF(OR($D19&lt;&gt;"Serviço",AND(AUTOEVENTO="Manual",$M19=$A$15),$M19&gt;(ROW(PLE.lastrow)-ROW(PLE.firstrow))),0,
           IF(OFFSET(PLE!$G$15,$M19-$A$15,BW$13)="",10^12,OFFSET(PLE!$G$15,$M19-$A$15,BW$13)))</f>
        <v>0</v>
      </c>
      <c r="BX19" s="179">
        <f ca="1">IF(OR($D19&lt;&gt;"Serviço",AND(AUTOEVENTO="Manual",$M19=$A$15),$M19&gt;(ROW(PLE.lastrow)-ROW(PLE.firstrow))),0,
           IF(OFFSET(PLE!$G$15,$M19-$A$15,BX$13)="",10^12,OFFSET(PLE!$G$15,$M19-$A$15,BX$13)))</f>
        <v>0</v>
      </c>
      <c r="BY19" s="179">
        <f ca="1">IF(OR($D19&lt;&gt;"Serviço",AND(AUTOEVENTO="Manual",$M19=$A$15),$M19&gt;(ROW(PLE.lastrow)-ROW(PLE.firstrow))),0,
           IF(OFFSET(PLE!$G$15,$M19-$A$15,BY$13)="",10^12,OFFSET(PLE!$G$15,$M19-$A$15,BY$13)))</f>
        <v>0</v>
      </c>
      <c r="BZ19" s="179">
        <f ca="1">IF(OR($D19&lt;&gt;"Serviço",AND(AUTOEVENTO="Manual",$M19=$A$15),$M19&gt;(ROW(PLE.lastrow)-ROW(PLE.firstrow))),0,
           IF(OFFSET(PLE!$G$15,$M19-$A$15,BZ$13)="",10^12,OFFSET(PLE!$G$15,$M19-$A$15,BZ$13)))</f>
        <v>0</v>
      </c>
      <c r="CA19" s="179">
        <f ca="1">IF(OR($D19&lt;&gt;"Serviço",AND(AUTOEVENTO="Manual",$M19=$A$15),$M19&gt;(ROW(PLE.lastrow)-ROW(PLE.firstrow))),0,
           IF(OFFSET(PLE!$G$15,$M19-$A$15,CA$13)="",10^12,OFFSET(PLE!$G$15,$M19-$A$15,CA$13)))</f>
        <v>0</v>
      </c>
      <c r="CB19" s="179">
        <f ca="1">IF(OR($D19&lt;&gt;"Serviço",AND(AUTOEVENTO="Manual",$M19=$A$15),$M19&gt;(ROW(PLE.lastrow)-ROW(PLE.firstrow))),0,
           IF(OFFSET(PLE!$G$15,$M19-$A$15,CB$13)="",10^12,OFFSET(PLE!$G$15,$M19-$A$15,CB$13)))</f>
        <v>0</v>
      </c>
      <c r="CC19" s="179">
        <f ca="1">IF(OR($D19&lt;&gt;"Serviço",AND(AUTOEVENTO="Manual",$M19=$A$15),$M19&gt;(ROW(PLE.lastrow)-ROW(PLE.firstrow))),0,
           IF(OFFSET(PLE!$G$15,$M19-$A$15,CC$13)="",10^12,OFFSET(PLE!$G$15,$M19-$A$15,CC$13)))</f>
        <v>0</v>
      </c>
      <c r="CD19" s="179">
        <f ca="1">IF(OR($D19&lt;&gt;"Serviço",AND(AUTOEVENTO="Manual",$M19=$A$15),$M19&gt;(ROW(PLE.lastrow)-ROW(PLE.firstrow))),0,
           IF(OFFSET(PLE!$G$15,$M19-$A$15,CD$13)="",10^12,OFFSET(PLE!$G$15,$M19-$A$15,CD$13)))</f>
        <v>0</v>
      </c>
      <c r="CE19" s="179">
        <f ca="1">IF(OR($D19&lt;&gt;"Serviço",AND(AUTOEVENTO="Manual",$M19=$A$15),$M19&gt;(ROW(PLE.lastrow)-ROW(PLE.firstrow))),0,
           IF(OFFSET(PLE!$G$15,$M19-$A$15,CE$13)="",10^12,OFFSET(PLE!$G$15,$M19-$A$15,CE$13)))</f>
        <v>0</v>
      </c>
      <c r="CF19" s="179">
        <f ca="1">IF(OR($D19&lt;&gt;"Serviço",AND(AUTOEVENTO="Manual",$M19=$A$15),$M19&gt;(ROW(PLE.lastrow)-ROW(PLE.firstrow))),0,
           IF(OFFSET(PLE!$G$15,$M19-$A$15,CF$13)="",10^12,OFFSET(PLE!$G$15,$M19-$A$15,CF$13)))</f>
        <v>0</v>
      </c>
      <c r="CG19" s="179">
        <f ca="1">IF(OR($D19&lt;&gt;"Serviço",AND(AUTOEVENTO="Manual",$M19=$A$15),$M19&gt;(ROW(PLE.lastrow)-ROW(PLE.firstrow))),0,
           IF(OFFSET(PLE!$G$15,$M19-$A$15,CG$13)="",10^12,OFFSET(PLE!$G$15,$M19-$A$15,CG$13)))</f>
        <v>0</v>
      </c>
      <c r="CH19" s="179">
        <f ca="1">IF(OR($D19&lt;&gt;"Serviço",AND(AUTOEVENTO="Manual",$M19=$A$15),$M19&gt;(ROW(PLE.lastrow)-ROW(PLE.firstrow))),0,
           IF(OFFSET(PLE!$G$15,$M19-$A$15,CH$13)="",10^12,OFFSET(PLE!$G$15,$M19-$A$15,CH$13)))</f>
        <v>0</v>
      </c>
      <c r="CI19" s="179">
        <f ca="1">IF(OR($D19&lt;&gt;"Serviço",AND(AUTOEVENTO="Manual",$M19=$A$15),$M19&gt;(ROW(PLE.lastrow)-ROW(PLE.firstrow))),0,
           IF(OFFSET(PLE!$G$15,$M19-$A$15,CI$13)="",10^12,OFFSET(PLE!$G$15,$M19-$A$15,CI$13)))</f>
        <v>0</v>
      </c>
      <c r="CJ19" s="179">
        <f ca="1">IF(OR($D19&lt;&gt;"Serviço",AND(AUTOEVENTO="Manual",$M19=$A$15),$M19&gt;(ROW(PLE.lastrow)-ROW(PLE.firstrow))),0,
           IF(OFFSET(PLE!$G$15,$M19-$A$15,CJ$13)="",10^12,OFFSET(PLE!$G$15,$M19-$A$15,CJ$13)))</f>
        <v>0</v>
      </c>
      <c r="CK19" s="179">
        <f ca="1">IF(OR($D19&lt;&gt;"Serviço",AND(AUTOEVENTO="Manual",$M19=$A$15),$M19&gt;(ROW(PLE.lastrow)-ROW(PLE.firstrow))),0,
           IF(OFFSET(PLE!$G$15,$M19-$A$15,CK$13)="",10^12,OFFSET(PLE!$G$15,$M19-$A$15,CK$13)))</f>
        <v>0</v>
      </c>
      <c r="CL19" s="179">
        <f ca="1">IF(OR($D19&lt;&gt;"Serviço",AND(AUTOEVENTO="Manual",$M19=$A$15),$M19&gt;(ROW(PLE.lastrow)-ROW(PLE.firstrow))),0,
           IF(OFFSET(PLE!$G$15,$M19-$A$15,CL$13)="",10^12,OFFSET(PLE!$G$15,$M19-$A$15,CL$13)))</f>
        <v>0</v>
      </c>
      <c r="CM19" s="179">
        <f ca="1">IF(OR($D19&lt;&gt;"Serviço",AND(AUTOEVENTO="Manual",$M19=$A$15),$M19&gt;(ROW(PLE.lastrow)-ROW(PLE.firstrow))),0,
           IF(OFFSET(PLE!$G$15,$M19-$A$15,CM$13)="",10^12,OFFSET(PLE!$G$15,$M19-$A$15,CM$13)))</f>
        <v>0</v>
      </c>
    </row>
    <row r="20" spans="1:91" ht="12.75" x14ac:dyDescent="0.2">
      <c r="A20" s="7" t="str">
        <f ca="1">IF(AUTOEVENTO="Manual",IF(K20&lt;&gt;"",MIN(VALUE(LEFT(K20,FIND(".",K20)-1)),COUNTA(EVENTOS.Lista)),0),IF(OR($B20&gt;AUTOEVENTO,$B20="S",$B20=0),SUBSTITUTE(OFFSET($A20,-1,0),IF($D20="Serviço",".",""),""),ROW(A20)-ROW($A$15)&amp;"."))</f>
        <v>4</v>
      </c>
      <c r="B20" s="7" t="str">
        <f ca="1">OFFSET(ORÇAMENTO!C$15,ROW(B20)-ROW(B$15),0)</f>
        <v>S</v>
      </c>
      <c r="C20" s="7" t="str">
        <f ca="1">OFFSET(ORÇAMENTO!L$15,ROW(C20)-ROW(C$15),0)</f>
        <v>F</v>
      </c>
      <c r="D20" s="118" t="str">
        <f ca="1">OFFSET(ORÇAMENTO!N$15,ROW(D20)-ROW(D$15),0)</f>
        <v>Serviço</v>
      </c>
      <c r="E20" s="119" t="str">
        <f ca="1">OFFSET(ORÇAMENTO!O$15,ROW(E20)-ROW(E$15),0)</f>
        <v>1.2.0.0.1.</v>
      </c>
      <c r="F20" s="170" t="str">
        <f ca="1">OFFSET(ORÇAMENTO!R$15,ROW(F20)-ROW(F$15),0)</f>
        <v>TAPUME EM CHAPA DE MADEIRA COMPENSADA 6MM</v>
      </c>
      <c r="G20" s="171" t="str">
        <f ca="1">IF($D20&lt;&gt;"Serviço","",OFFSET(ORÇAMENTO!S$15,ROW(G20)-ROW(G$15),0))</f>
        <v xml:space="preserve">M2    </v>
      </c>
      <c r="H20" s="124" cm="1">
        <f t="array" aca="1" ref="H20" ca="1">IF($D20&lt;&gt;"Serviço",0,IF(_xlfn.SINGLE(ACOMPANHAMENTO)="BM",ROUND(OFFSET(ORÇAMENTO!AJ$15,ROW(H20)-ROW(H$15),0),15-13*ORÇAMENTO!$AF$7),SUMPRODUCT(($Q$1:$AI$1)*ROUND($Q20:$AI20,15-13*ORÇAMENTO!$AF$7))))</f>
        <v>1530</v>
      </c>
      <c r="I20" s="500" t="s">
        <v>1070</v>
      </c>
      <c r="J20" s="632" t="str" cm="1">
        <f t="array" aca="1" ref="J20" ca="1">IF(B20&lt;&gt;"S","",IF(AND(ACOMPANHAMENTO="PLE",AUTOEVENTO="Manual",OR(H20&gt;0,ORÇAMENTO!AC20="QUANT."),OR(K20="",M20=0,N20="")),"►",IF(AND(ACOMPANHAMENTO="PLE",ORÇAMENTO!AC20="QUANT."),"►►",IF(AND(COUNTIF($P$11:$AI$11,"▼")=0,H20&gt;0,I20=""),"◄",""))))</f>
        <v/>
      </c>
      <c r="K20" s="624"/>
      <c r="L20" s="172" t="s">
        <v>253</v>
      </c>
      <c r="M20" s="173">
        <f ca="1">IF($D20&lt;&gt;"Serviço","",
          IF(AUTOEVENTO="manual",$A20,
                IF(ISERROR(MATCH($A20,$A$15:OFFSET($A20,-1,0),0)),MAX($M$15:OFFSET(M20,-1,0))+1,
                      INDEX($M$15:OFFSET(M20,-1,0),MATCH($A20,$A$15:OFFSET($A20,-1,0),0)))))</f>
        <v>2</v>
      </c>
      <c r="N20" s="174" t="str">
        <f ca="1">IF($D20&lt;&gt;"Serviço","",
         IF(AUTOEVENTO="Manual",
                IF($A20=0,"&lt;-- defina o número do agrupador",
                       OFFSET(EVENTOS!$D$15,$A20-$A$15,0)),
                OFFSET($F$15,$A20,0)))</f>
        <v>LOCAÇÃO DE OBRA</v>
      </c>
      <c r="O20" s="175"/>
      <c r="Q20" s="175">
        <f>18*85</f>
        <v>1530</v>
      </c>
      <c r="R20" s="176"/>
      <c r="S20" s="176"/>
      <c r="T20" s="176"/>
      <c r="U20" s="176"/>
      <c r="V20" s="176"/>
      <c r="W20" s="176"/>
      <c r="X20" s="176"/>
      <c r="Y20" s="176"/>
      <c r="Z20" s="177"/>
      <c r="AA20" s="176"/>
      <c r="AB20" s="176"/>
      <c r="AC20" s="176"/>
      <c r="AD20" s="176"/>
      <c r="AE20" s="176"/>
      <c r="AF20" s="176"/>
      <c r="AG20" s="176"/>
      <c r="AH20" s="177"/>
      <c r="AJ20" s="485">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86506.2</v>
      </c>
      <c r="AK20" s="485">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L20" s="485">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85">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85">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85">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85">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85">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85">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85">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85">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85">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85">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85">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85">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85">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85">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85">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8">
        <f ca="1">IF(OR($D20&lt;&gt;"Serviço",AND(AUTOEVENTO="Manual",$M20=$A$15)),0,
         IF(OFFSET(CRONOPLE!$F$15,$M20-$A$15,BC$13)="",10^12,OFFSET(CRONOPLE!$F$15,$M20-$A$15,BC$13)))</f>
        <v>1</v>
      </c>
      <c r="BD20" s="178">
        <f ca="1">IF(OR($D20&lt;&gt;"Serviço",AND(AUTOEVENTO="Manual",$M20=$A$15)),0,
         IF(OFFSET(CRONOPLE!$F$15,$M20-$A$15,BD$13)="",10^12,OFFSET(CRONOPLE!$F$15,$M20-$A$15,BD$13)))</f>
        <v>1000000000000</v>
      </c>
      <c r="BE20" s="178">
        <f ca="1">IF(OR($D20&lt;&gt;"Serviço",AND(AUTOEVENTO="Manual",$M20=$A$15)),0,
         IF(OFFSET(CRONOPLE!$F$15,$M20-$A$15,BE$13)="",10^12,OFFSET(CRONOPLE!$F$15,$M20-$A$15,BE$13)))</f>
        <v>1000000000000</v>
      </c>
      <c r="BF20" s="178">
        <f ca="1">IF(OR($D20&lt;&gt;"Serviço",AND(AUTOEVENTO="Manual",$M20=$A$15)),0,
         IF(OFFSET(CRONOPLE!$F$15,$M20-$A$15,BF$13)="",10^12,OFFSET(CRONOPLE!$F$15,$M20-$A$15,BF$13)))</f>
        <v>1000000000000</v>
      </c>
      <c r="BG20" s="178">
        <f ca="1">IF(OR($D20&lt;&gt;"Serviço",AND(AUTOEVENTO="Manual",$M20=$A$15)),0,
         IF(OFFSET(CRONOPLE!$F$15,$M20-$A$15,BG$13)="",10^12,OFFSET(CRONOPLE!$F$15,$M20-$A$15,BG$13)))</f>
        <v>1000000000000</v>
      </c>
      <c r="BH20" s="178">
        <f ca="1">IF(OR($D20&lt;&gt;"Serviço",AND(AUTOEVENTO="Manual",$M20=$A$15)),0,
         IF(OFFSET(CRONOPLE!$F$15,$M20-$A$15,BH$13)="",10^12,OFFSET(CRONOPLE!$F$15,$M20-$A$15,BH$13)))</f>
        <v>1000000000000</v>
      </c>
      <c r="BI20" s="178">
        <f ca="1">IF(OR($D20&lt;&gt;"Serviço",AND(AUTOEVENTO="Manual",$M20=$A$15)),0,
         IF(OFFSET(CRONOPLE!$F$15,$M20-$A$15,BI$13)="",10^12,OFFSET(CRONOPLE!$F$15,$M20-$A$15,BI$13)))</f>
        <v>1000000000000</v>
      </c>
      <c r="BJ20" s="178">
        <f ca="1">IF(OR($D20&lt;&gt;"Serviço",AND(AUTOEVENTO="Manual",$M20=$A$15)),0,
         IF(OFFSET(CRONOPLE!$F$15,$M20-$A$15,BJ$13)="",10^12,OFFSET(CRONOPLE!$F$15,$M20-$A$15,BJ$13)))</f>
        <v>1000000000000</v>
      </c>
      <c r="BK20" s="178">
        <f ca="1">IF(OR($D20&lt;&gt;"Serviço",AND(AUTOEVENTO="Manual",$M20=$A$15)),0,
         IF(OFFSET(CRONOPLE!$F$15,$M20-$A$15,BK$13)="",10^12,OFFSET(CRONOPLE!$F$15,$M20-$A$15,BK$13)))</f>
        <v>1000000000000</v>
      </c>
      <c r="BL20" s="178">
        <f ca="1">IF(OR($D20&lt;&gt;"Serviço",AND(AUTOEVENTO="Manual",$M20=$A$15)),0,
         IF(OFFSET(CRONOPLE!$F$15,$M20-$A$15,BL$13)="",10^12,OFFSET(CRONOPLE!$F$15,$M20-$A$15,BL$13)))</f>
        <v>1000000000000</v>
      </c>
      <c r="BM20" s="178">
        <f ca="1">IF(OR($D20&lt;&gt;"Serviço",AND(AUTOEVENTO="Manual",$M20=$A$15)),0,
         IF(OFFSET(CRONOPLE!$F$15,$M20-$A$15,BM$13)="",10^12,OFFSET(CRONOPLE!$F$15,$M20-$A$15,BM$13)))</f>
        <v>1000000000000</v>
      </c>
      <c r="BN20" s="178">
        <f ca="1">IF(OR($D20&lt;&gt;"Serviço",AND(AUTOEVENTO="Manual",$M20=$A$15)),0,
         IF(OFFSET(CRONOPLE!$F$15,$M20-$A$15,BN$13)="",10^12,OFFSET(CRONOPLE!$F$15,$M20-$A$15,BN$13)))</f>
        <v>1000000000000</v>
      </c>
      <c r="BO20" s="178">
        <f ca="1">IF(OR($D20&lt;&gt;"Serviço",AND(AUTOEVENTO="Manual",$M20=$A$15)),0,
         IF(OFFSET(CRONOPLE!$F$15,$M20-$A$15,BO$13)="",10^12,OFFSET(CRONOPLE!$F$15,$M20-$A$15,BO$13)))</f>
        <v>1000000000000</v>
      </c>
      <c r="BP20" s="178">
        <f ca="1">IF(OR($D20&lt;&gt;"Serviço",AND(AUTOEVENTO="Manual",$M20=$A$15)),0,
         IF(OFFSET(CRONOPLE!$F$15,$M20-$A$15,BP$13)="",10^12,OFFSET(CRONOPLE!$F$15,$M20-$A$15,BP$13)))</f>
        <v>1000000000000</v>
      </c>
      <c r="BQ20" s="178">
        <f ca="1">IF(OR($D20&lt;&gt;"Serviço",AND(AUTOEVENTO="Manual",$M20=$A$15)),0,
         IF(OFFSET(CRONOPLE!$F$15,$M20-$A$15,BQ$13)="",10^12,OFFSET(CRONOPLE!$F$15,$M20-$A$15,BQ$13)))</f>
        <v>1000000000000</v>
      </c>
      <c r="BR20" s="178">
        <f ca="1">IF(OR($D20&lt;&gt;"Serviço",AND(AUTOEVENTO="Manual",$M20=$A$15)),0,
         IF(OFFSET(CRONOPLE!$F$15,$M20-$A$15,BR$13)="",10^12,OFFSET(CRONOPLE!$F$15,$M20-$A$15,BR$13)))</f>
        <v>1000000000000</v>
      </c>
      <c r="BS20" s="178">
        <f ca="1">IF(OR($D20&lt;&gt;"Serviço",AND(AUTOEVENTO="Manual",$M20=$A$15)),0,
         IF(OFFSET(CRONOPLE!$F$15,$M20-$A$15,BS$13)="",10^12,OFFSET(CRONOPLE!$F$15,$M20-$A$15,BS$13)))</f>
        <v>1000000000000</v>
      </c>
      <c r="BT20" s="178">
        <f ca="1">IF(OR($D20&lt;&gt;"Serviço",AND(AUTOEVENTO="Manual",$M20=$A$15)),0,
         IF(OFFSET(CRONOPLE!$F$15,$M20-$A$15,BT$13)="",10^12,OFFSET(CRONOPLE!$F$15,$M20-$A$15,BT$13)))</f>
        <v>1000000000000</v>
      </c>
      <c r="BV20" s="179">
        <f ca="1">IF(OR($D20&lt;&gt;"Serviço",AND(AUTOEVENTO="Manual",$M20=$A$15),$M20&gt;(ROW(PLE.lastrow)-ROW(PLE.firstrow))),0,
           IF(OFFSET(PLE!$G$15,$M20-$A$15,BV$13)="",10^12,OFFSET(PLE!$G$15,$M20-$A$15,BV$13)))</f>
        <v>1000000000000</v>
      </c>
      <c r="BW20" s="179">
        <f ca="1">IF(OR($D20&lt;&gt;"Serviço",AND(AUTOEVENTO="Manual",$M20=$A$15),$M20&gt;(ROW(PLE.lastrow)-ROW(PLE.firstrow))),0,
           IF(OFFSET(PLE!$G$15,$M20-$A$15,BW$13)="",10^12,OFFSET(PLE!$G$15,$M20-$A$15,BW$13)))</f>
        <v>1000000000000</v>
      </c>
      <c r="BX20" s="179">
        <f ca="1">IF(OR($D20&lt;&gt;"Serviço",AND(AUTOEVENTO="Manual",$M20=$A$15),$M20&gt;(ROW(PLE.lastrow)-ROW(PLE.firstrow))),0,
           IF(OFFSET(PLE!$G$15,$M20-$A$15,BX$13)="",10^12,OFFSET(PLE!$G$15,$M20-$A$15,BX$13)))</f>
        <v>1000000000000</v>
      </c>
      <c r="BY20" s="179">
        <f ca="1">IF(OR($D20&lt;&gt;"Serviço",AND(AUTOEVENTO="Manual",$M20=$A$15),$M20&gt;(ROW(PLE.lastrow)-ROW(PLE.firstrow))),0,
           IF(OFFSET(PLE!$G$15,$M20-$A$15,BY$13)="",10^12,OFFSET(PLE!$G$15,$M20-$A$15,BY$13)))</f>
        <v>1000000000000</v>
      </c>
      <c r="BZ20" s="179">
        <f ca="1">IF(OR($D20&lt;&gt;"Serviço",AND(AUTOEVENTO="Manual",$M20=$A$15),$M20&gt;(ROW(PLE.lastrow)-ROW(PLE.firstrow))),0,
           IF(OFFSET(PLE!$G$15,$M20-$A$15,BZ$13)="",10^12,OFFSET(PLE!$G$15,$M20-$A$15,BZ$13)))</f>
        <v>1000000000000</v>
      </c>
      <c r="CA20" s="179">
        <f ca="1">IF(OR($D20&lt;&gt;"Serviço",AND(AUTOEVENTO="Manual",$M20=$A$15),$M20&gt;(ROW(PLE.lastrow)-ROW(PLE.firstrow))),0,
           IF(OFFSET(PLE!$G$15,$M20-$A$15,CA$13)="",10^12,OFFSET(PLE!$G$15,$M20-$A$15,CA$13)))</f>
        <v>1000000000000</v>
      </c>
      <c r="CB20" s="179">
        <f ca="1">IF(OR($D20&lt;&gt;"Serviço",AND(AUTOEVENTO="Manual",$M20=$A$15),$M20&gt;(ROW(PLE.lastrow)-ROW(PLE.firstrow))),0,
           IF(OFFSET(PLE!$G$15,$M20-$A$15,CB$13)="",10^12,OFFSET(PLE!$G$15,$M20-$A$15,CB$13)))</f>
        <v>1000000000000</v>
      </c>
      <c r="CC20" s="179">
        <f ca="1">IF(OR($D20&lt;&gt;"Serviço",AND(AUTOEVENTO="Manual",$M20=$A$15),$M20&gt;(ROW(PLE.lastrow)-ROW(PLE.firstrow))),0,
           IF(OFFSET(PLE!$G$15,$M20-$A$15,CC$13)="",10^12,OFFSET(PLE!$G$15,$M20-$A$15,CC$13)))</f>
        <v>1000000000000</v>
      </c>
      <c r="CD20" s="179">
        <f ca="1">IF(OR($D20&lt;&gt;"Serviço",AND(AUTOEVENTO="Manual",$M20=$A$15),$M20&gt;(ROW(PLE.lastrow)-ROW(PLE.firstrow))),0,
           IF(OFFSET(PLE!$G$15,$M20-$A$15,CD$13)="",10^12,OFFSET(PLE!$G$15,$M20-$A$15,CD$13)))</f>
        <v>1000000000000</v>
      </c>
      <c r="CE20" s="179">
        <f ca="1">IF(OR($D20&lt;&gt;"Serviço",AND(AUTOEVENTO="Manual",$M20=$A$15),$M20&gt;(ROW(PLE.lastrow)-ROW(PLE.firstrow))),0,
           IF(OFFSET(PLE!$G$15,$M20-$A$15,CE$13)="",10^12,OFFSET(PLE!$G$15,$M20-$A$15,CE$13)))</f>
        <v>1000000000000</v>
      </c>
      <c r="CF20" s="179">
        <f ca="1">IF(OR($D20&lt;&gt;"Serviço",AND(AUTOEVENTO="Manual",$M20=$A$15),$M20&gt;(ROW(PLE.lastrow)-ROW(PLE.firstrow))),0,
           IF(OFFSET(PLE!$G$15,$M20-$A$15,CF$13)="",10^12,OFFSET(PLE!$G$15,$M20-$A$15,CF$13)))</f>
        <v>1000000000000</v>
      </c>
      <c r="CG20" s="179">
        <f ca="1">IF(OR($D20&lt;&gt;"Serviço",AND(AUTOEVENTO="Manual",$M20=$A$15),$M20&gt;(ROW(PLE.lastrow)-ROW(PLE.firstrow))),0,
           IF(OFFSET(PLE!$G$15,$M20-$A$15,CG$13)="",10^12,OFFSET(PLE!$G$15,$M20-$A$15,CG$13)))</f>
        <v>1000000000000</v>
      </c>
      <c r="CH20" s="179">
        <f ca="1">IF(OR($D20&lt;&gt;"Serviço",AND(AUTOEVENTO="Manual",$M20=$A$15),$M20&gt;(ROW(PLE.lastrow)-ROW(PLE.firstrow))),0,
           IF(OFFSET(PLE!$G$15,$M20-$A$15,CH$13)="",10^12,OFFSET(PLE!$G$15,$M20-$A$15,CH$13)))</f>
        <v>1000000000000</v>
      </c>
      <c r="CI20" s="179">
        <f ca="1">IF(OR($D20&lt;&gt;"Serviço",AND(AUTOEVENTO="Manual",$M20=$A$15),$M20&gt;(ROW(PLE.lastrow)-ROW(PLE.firstrow))),0,
           IF(OFFSET(PLE!$G$15,$M20-$A$15,CI$13)="",10^12,OFFSET(PLE!$G$15,$M20-$A$15,CI$13)))</f>
        <v>1000000000000</v>
      </c>
      <c r="CJ20" s="179">
        <f ca="1">IF(OR($D20&lt;&gt;"Serviço",AND(AUTOEVENTO="Manual",$M20=$A$15),$M20&gt;(ROW(PLE.lastrow)-ROW(PLE.firstrow))),0,
           IF(OFFSET(PLE!$G$15,$M20-$A$15,CJ$13)="",10^12,OFFSET(PLE!$G$15,$M20-$A$15,CJ$13)))</f>
        <v>1000000000000</v>
      </c>
      <c r="CK20" s="179">
        <f ca="1">IF(OR($D20&lt;&gt;"Serviço",AND(AUTOEVENTO="Manual",$M20=$A$15),$M20&gt;(ROW(PLE.lastrow)-ROW(PLE.firstrow))),0,
           IF(OFFSET(PLE!$G$15,$M20-$A$15,CK$13)="",10^12,OFFSET(PLE!$G$15,$M20-$A$15,CK$13)))</f>
        <v>1000000000000</v>
      </c>
      <c r="CL20" s="179">
        <f ca="1">IF(OR($D20&lt;&gt;"Serviço",AND(AUTOEVENTO="Manual",$M20=$A$15),$M20&gt;(ROW(PLE.lastrow)-ROW(PLE.firstrow))),0,
           IF(OFFSET(PLE!$G$15,$M20-$A$15,CL$13)="",10^12,OFFSET(PLE!$G$15,$M20-$A$15,CL$13)))</f>
        <v>1000000000000</v>
      </c>
      <c r="CM20" s="179">
        <f ca="1">IF(OR($D20&lt;&gt;"Serviço",AND(AUTOEVENTO="Manual",$M20=$A$15),$M20&gt;(ROW(PLE.lastrow)-ROW(PLE.firstrow))),0,
           IF(OFFSET(PLE!$G$15,$M20-$A$15,CM$13)="",10^12,OFFSET(PLE!$G$15,$M20-$A$15,CM$13)))</f>
        <v>1000000000000</v>
      </c>
    </row>
    <row r="21" spans="1:91" ht="12.75" x14ac:dyDescent="0.2">
      <c r="A21" s="7" t="str">
        <f ca="1">IF(AUTOEVENTO="Manual",IF(K21&lt;&gt;"",MIN(VALUE(LEFT(K21,FIND(".",K21)-1)),COUNTA(EVENTOS.Lista)),0),IF(OR($B21&gt;AUTOEVENTO,$B21="S",$B21=0),SUBSTITUTE(OFFSET($A21,-1,0),IF($D21="Serviço",".",""),""),ROW(A21)-ROW($A$15)&amp;"."))</f>
        <v>6.</v>
      </c>
      <c r="B21" s="7">
        <f ca="1">OFFSET(ORÇAMENTO!C$15,ROW(B21)-ROW(B$15),0)</f>
        <v>2</v>
      </c>
      <c r="C21" s="7" t="str">
        <f ca="1">OFFSET(ORÇAMENTO!L$15,ROW(C21)-ROW(C$15),0)</f>
        <v>F</v>
      </c>
      <c r="D21" s="118" t="str">
        <f ca="1">OFFSET(ORÇAMENTO!N$15,ROW(D21)-ROW(D$15),0)</f>
        <v>Nível 2</v>
      </c>
      <c r="E21" s="119" t="str">
        <f ca="1">OFFSET(ORÇAMENTO!O$15,ROW(E21)-ROW(E$15),0)</f>
        <v>1.3.</v>
      </c>
      <c r="F21" s="170" t="str">
        <f ca="1">OFFSET(ORÇAMENTO!R$15,ROW(F21)-ROW(F$15),0)</f>
        <v>DEMOLIÇÕES E REMOÇÕES</v>
      </c>
      <c r="G21" s="171" t="str">
        <f ca="1">IF($D21&lt;&gt;"Serviço","",OFFSET(ORÇAMENTO!S$15,ROW(G21)-ROW(G$15),0))</f>
        <v/>
      </c>
      <c r="H21" s="124" cm="1">
        <f t="array" aca="1" ref="H21" ca="1">IF($D21&lt;&gt;"Serviço",0,IF(_xlfn.SINGLE(ACOMPANHAMENTO)="BM",ROUND(OFFSET(ORÇAMENTO!AJ$15,ROW(H21)-ROW(H$15),0),15-13*ORÇAMENTO!$AF$7),SUMPRODUCT(($Q$1:$AI$1)*ROUND($Q21:$AI21,15-13*ORÇAMENTO!$AF$7))))</f>
        <v>0</v>
      </c>
      <c r="I21" s="500"/>
      <c r="J21" s="632" t="str" cm="1">
        <f t="array" aca="1" ref="J21" ca="1">IF(B21&lt;&gt;"S","",IF(AND(ACOMPANHAMENTO="PLE",AUTOEVENTO="Manual",OR(H21&gt;0,ORÇAMENTO!AC21="QUANT."),OR(K21="",M21=0,N21="")),"►",IF(AND(ACOMPANHAMENTO="PLE",ORÇAMENTO!AC21="QUANT."),"►►",IF(AND(COUNTIF($P$11:$AI$11,"▼")=0,H21&gt;0,I21=""),"◄",""))))</f>
        <v/>
      </c>
      <c r="K21" s="624"/>
      <c r="L21" s="172" t="s">
        <v>253</v>
      </c>
      <c r="M21" s="173" t="str">
        <f ca="1">IF($D21&lt;&gt;"Serviço","",
          IF(AUTOEVENTO="manual",$A21,
                IF(ISERROR(MATCH($A21,$A$15:OFFSET($A21,-1,0),0)),MAX($M$15:OFFSET(M21,-1,0))+1,
                      INDEX($M$15:OFFSET(M21,-1,0),MATCH($A21,$A$15:OFFSET($A21,-1,0),0)))))</f>
        <v/>
      </c>
      <c r="N21" s="174" t="str">
        <f ca="1">IF($D21&lt;&gt;"Serviço","",
         IF(AUTOEVENTO="Manual",
                IF($A21=0,"&lt;-- defina o número do agrupador",
                       OFFSET(EVENTOS!$D$15,$A21-$A$15,0)),
                OFFSET($F$15,$A21,0)))</f>
        <v/>
      </c>
      <c r="O21" s="175"/>
      <c r="Q21" s="175"/>
      <c r="R21" s="176"/>
      <c r="S21" s="176"/>
      <c r="T21" s="176"/>
      <c r="U21" s="176"/>
      <c r="V21" s="176"/>
      <c r="W21" s="176"/>
      <c r="X21" s="176"/>
      <c r="Y21" s="176"/>
      <c r="Z21" s="177"/>
      <c r="AA21" s="176"/>
      <c r="AB21" s="176"/>
      <c r="AC21" s="176"/>
      <c r="AD21" s="176"/>
      <c r="AE21" s="176"/>
      <c r="AF21" s="176"/>
      <c r="AG21" s="176"/>
      <c r="AH21" s="177"/>
      <c r="AJ21" s="485">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85">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85">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85">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85">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85">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85">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85">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85">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85">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85">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85">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85">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85">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85">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85">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85">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85">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8">
        <f ca="1">IF(OR($D21&lt;&gt;"Serviço",AND(AUTOEVENTO="Manual",$M21=$A$15)),0,
         IF(OFFSET(CRONOPLE!$F$15,$M21-$A$15,BC$13)="",10^12,OFFSET(CRONOPLE!$F$15,$M21-$A$15,BC$13)))</f>
        <v>0</v>
      </c>
      <c r="BD21" s="178">
        <f ca="1">IF(OR($D21&lt;&gt;"Serviço",AND(AUTOEVENTO="Manual",$M21=$A$15)),0,
         IF(OFFSET(CRONOPLE!$F$15,$M21-$A$15,BD$13)="",10^12,OFFSET(CRONOPLE!$F$15,$M21-$A$15,BD$13)))</f>
        <v>0</v>
      </c>
      <c r="BE21" s="178">
        <f ca="1">IF(OR($D21&lt;&gt;"Serviço",AND(AUTOEVENTO="Manual",$M21=$A$15)),0,
         IF(OFFSET(CRONOPLE!$F$15,$M21-$A$15,BE$13)="",10^12,OFFSET(CRONOPLE!$F$15,$M21-$A$15,BE$13)))</f>
        <v>0</v>
      </c>
      <c r="BF21" s="178">
        <f ca="1">IF(OR($D21&lt;&gt;"Serviço",AND(AUTOEVENTO="Manual",$M21=$A$15)),0,
         IF(OFFSET(CRONOPLE!$F$15,$M21-$A$15,BF$13)="",10^12,OFFSET(CRONOPLE!$F$15,$M21-$A$15,BF$13)))</f>
        <v>0</v>
      </c>
      <c r="BG21" s="178">
        <f ca="1">IF(OR($D21&lt;&gt;"Serviço",AND(AUTOEVENTO="Manual",$M21=$A$15)),0,
         IF(OFFSET(CRONOPLE!$F$15,$M21-$A$15,BG$13)="",10^12,OFFSET(CRONOPLE!$F$15,$M21-$A$15,BG$13)))</f>
        <v>0</v>
      </c>
      <c r="BH21" s="178">
        <f ca="1">IF(OR($D21&lt;&gt;"Serviço",AND(AUTOEVENTO="Manual",$M21=$A$15)),0,
         IF(OFFSET(CRONOPLE!$F$15,$M21-$A$15,BH$13)="",10^12,OFFSET(CRONOPLE!$F$15,$M21-$A$15,BH$13)))</f>
        <v>0</v>
      </c>
      <c r="BI21" s="178">
        <f ca="1">IF(OR($D21&lt;&gt;"Serviço",AND(AUTOEVENTO="Manual",$M21=$A$15)),0,
         IF(OFFSET(CRONOPLE!$F$15,$M21-$A$15,BI$13)="",10^12,OFFSET(CRONOPLE!$F$15,$M21-$A$15,BI$13)))</f>
        <v>0</v>
      </c>
      <c r="BJ21" s="178">
        <f ca="1">IF(OR($D21&lt;&gt;"Serviço",AND(AUTOEVENTO="Manual",$M21=$A$15)),0,
         IF(OFFSET(CRONOPLE!$F$15,$M21-$A$15,BJ$13)="",10^12,OFFSET(CRONOPLE!$F$15,$M21-$A$15,BJ$13)))</f>
        <v>0</v>
      </c>
      <c r="BK21" s="178">
        <f ca="1">IF(OR($D21&lt;&gt;"Serviço",AND(AUTOEVENTO="Manual",$M21=$A$15)),0,
         IF(OFFSET(CRONOPLE!$F$15,$M21-$A$15,BK$13)="",10^12,OFFSET(CRONOPLE!$F$15,$M21-$A$15,BK$13)))</f>
        <v>0</v>
      </c>
      <c r="BL21" s="178">
        <f ca="1">IF(OR($D21&lt;&gt;"Serviço",AND(AUTOEVENTO="Manual",$M21=$A$15)),0,
         IF(OFFSET(CRONOPLE!$F$15,$M21-$A$15,BL$13)="",10^12,OFFSET(CRONOPLE!$F$15,$M21-$A$15,BL$13)))</f>
        <v>0</v>
      </c>
      <c r="BM21" s="178">
        <f ca="1">IF(OR($D21&lt;&gt;"Serviço",AND(AUTOEVENTO="Manual",$M21=$A$15)),0,
         IF(OFFSET(CRONOPLE!$F$15,$M21-$A$15,BM$13)="",10^12,OFFSET(CRONOPLE!$F$15,$M21-$A$15,BM$13)))</f>
        <v>0</v>
      </c>
      <c r="BN21" s="178">
        <f ca="1">IF(OR($D21&lt;&gt;"Serviço",AND(AUTOEVENTO="Manual",$M21=$A$15)),0,
         IF(OFFSET(CRONOPLE!$F$15,$M21-$A$15,BN$13)="",10^12,OFFSET(CRONOPLE!$F$15,$M21-$A$15,BN$13)))</f>
        <v>0</v>
      </c>
      <c r="BO21" s="178">
        <f ca="1">IF(OR($D21&lt;&gt;"Serviço",AND(AUTOEVENTO="Manual",$M21=$A$15)),0,
         IF(OFFSET(CRONOPLE!$F$15,$M21-$A$15,BO$13)="",10^12,OFFSET(CRONOPLE!$F$15,$M21-$A$15,BO$13)))</f>
        <v>0</v>
      </c>
      <c r="BP21" s="178">
        <f ca="1">IF(OR($D21&lt;&gt;"Serviço",AND(AUTOEVENTO="Manual",$M21=$A$15)),0,
         IF(OFFSET(CRONOPLE!$F$15,$M21-$A$15,BP$13)="",10^12,OFFSET(CRONOPLE!$F$15,$M21-$A$15,BP$13)))</f>
        <v>0</v>
      </c>
      <c r="BQ21" s="178">
        <f ca="1">IF(OR($D21&lt;&gt;"Serviço",AND(AUTOEVENTO="Manual",$M21=$A$15)),0,
         IF(OFFSET(CRONOPLE!$F$15,$M21-$A$15,BQ$13)="",10^12,OFFSET(CRONOPLE!$F$15,$M21-$A$15,BQ$13)))</f>
        <v>0</v>
      </c>
      <c r="BR21" s="178">
        <f ca="1">IF(OR($D21&lt;&gt;"Serviço",AND(AUTOEVENTO="Manual",$M21=$A$15)),0,
         IF(OFFSET(CRONOPLE!$F$15,$M21-$A$15,BR$13)="",10^12,OFFSET(CRONOPLE!$F$15,$M21-$A$15,BR$13)))</f>
        <v>0</v>
      </c>
      <c r="BS21" s="178">
        <f ca="1">IF(OR($D21&lt;&gt;"Serviço",AND(AUTOEVENTO="Manual",$M21=$A$15)),0,
         IF(OFFSET(CRONOPLE!$F$15,$M21-$A$15,BS$13)="",10^12,OFFSET(CRONOPLE!$F$15,$M21-$A$15,BS$13)))</f>
        <v>0</v>
      </c>
      <c r="BT21" s="178">
        <f ca="1">IF(OR($D21&lt;&gt;"Serviço",AND(AUTOEVENTO="Manual",$M21=$A$15)),0,
         IF(OFFSET(CRONOPLE!$F$15,$M21-$A$15,BT$13)="",10^12,OFFSET(CRONOPLE!$F$15,$M21-$A$15,BT$13)))</f>
        <v>0</v>
      </c>
      <c r="BV21" s="179">
        <f ca="1">IF(OR($D21&lt;&gt;"Serviço",AND(AUTOEVENTO="Manual",$M21=$A$15),$M21&gt;(ROW(PLE.lastrow)-ROW(PLE.firstrow))),0,
           IF(OFFSET(PLE!$G$15,$M21-$A$15,BV$13)="",10^12,OFFSET(PLE!$G$15,$M21-$A$15,BV$13)))</f>
        <v>0</v>
      </c>
      <c r="BW21" s="179">
        <f ca="1">IF(OR($D21&lt;&gt;"Serviço",AND(AUTOEVENTO="Manual",$M21=$A$15),$M21&gt;(ROW(PLE.lastrow)-ROW(PLE.firstrow))),0,
           IF(OFFSET(PLE!$G$15,$M21-$A$15,BW$13)="",10^12,OFFSET(PLE!$G$15,$M21-$A$15,BW$13)))</f>
        <v>0</v>
      </c>
      <c r="BX21" s="179">
        <f ca="1">IF(OR($D21&lt;&gt;"Serviço",AND(AUTOEVENTO="Manual",$M21=$A$15),$M21&gt;(ROW(PLE.lastrow)-ROW(PLE.firstrow))),0,
           IF(OFFSET(PLE!$G$15,$M21-$A$15,BX$13)="",10^12,OFFSET(PLE!$G$15,$M21-$A$15,BX$13)))</f>
        <v>0</v>
      </c>
      <c r="BY21" s="179">
        <f ca="1">IF(OR($D21&lt;&gt;"Serviço",AND(AUTOEVENTO="Manual",$M21=$A$15),$M21&gt;(ROW(PLE.lastrow)-ROW(PLE.firstrow))),0,
           IF(OFFSET(PLE!$G$15,$M21-$A$15,BY$13)="",10^12,OFFSET(PLE!$G$15,$M21-$A$15,BY$13)))</f>
        <v>0</v>
      </c>
      <c r="BZ21" s="179">
        <f ca="1">IF(OR($D21&lt;&gt;"Serviço",AND(AUTOEVENTO="Manual",$M21=$A$15),$M21&gt;(ROW(PLE.lastrow)-ROW(PLE.firstrow))),0,
           IF(OFFSET(PLE!$G$15,$M21-$A$15,BZ$13)="",10^12,OFFSET(PLE!$G$15,$M21-$A$15,BZ$13)))</f>
        <v>0</v>
      </c>
      <c r="CA21" s="179">
        <f ca="1">IF(OR($D21&lt;&gt;"Serviço",AND(AUTOEVENTO="Manual",$M21=$A$15),$M21&gt;(ROW(PLE.lastrow)-ROW(PLE.firstrow))),0,
           IF(OFFSET(PLE!$G$15,$M21-$A$15,CA$13)="",10^12,OFFSET(PLE!$G$15,$M21-$A$15,CA$13)))</f>
        <v>0</v>
      </c>
      <c r="CB21" s="179">
        <f ca="1">IF(OR($D21&lt;&gt;"Serviço",AND(AUTOEVENTO="Manual",$M21=$A$15),$M21&gt;(ROW(PLE.lastrow)-ROW(PLE.firstrow))),0,
           IF(OFFSET(PLE!$G$15,$M21-$A$15,CB$13)="",10^12,OFFSET(PLE!$G$15,$M21-$A$15,CB$13)))</f>
        <v>0</v>
      </c>
      <c r="CC21" s="179">
        <f ca="1">IF(OR($D21&lt;&gt;"Serviço",AND(AUTOEVENTO="Manual",$M21=$A$15),$M21&gt;(ROW(PLE.lastrow)-ROW(PLE.firstrow))),0,
           IF(OFFSET(PLE!$G$15,$M21-$A$15,CC$13)="",10^12,OFFSET(PLE!$G$15,$M21-$A$15,CC$13)))</f>
        <v>0</v>
      </c>
      <c r="CD21" s="179">
        <f ca="1">IF(OR($D21&lt;&gt;"Serviço",AND(AUTOEVENTO="Manual",$M21=$A$15),$M21&gt;(ROW(PLE.lastrow)-ROW(PLE.firstrow))),0,
           IF(OFFSET(PLE!$G$15,$M21-$A$15,CD$13)="",10^12,OFFSET(PLE!$G$15,$M21-$A$15,CD$13)))</f>
        <v>0</v>
      </c>
      <c r="CE21" s="179">
        <f ca="1">IF(OR($D21&lt;&gt;"Serviço",AND(AUTOEVENTO="Manual",$M21=$A$15),$M21&gt;(ROW(PLE.lastrow)-ROW(PLE.firstrow))),0,
           IF(OFFSET(PLE!$G$15,$M21-$A$15,CE$13)="",10^12,OFFSET(PLE!$G$15,$M21-$A$15,CE$13)))</f>
        <v>0</v>
      </c>
      <c r="CF21" s="179">
        <f ca="1">IF(OR($D21&lt;&gt;"Serviço",AND(AUTOEVENTO="Manual",$M21=$A$15),$M21&gt;(ROW(PLE.lastrow)-ROW(PLE.firstrow))),0,
           IF(OFFSET(PLE!$G$15,$M21-$A$15,CF$13)="",10^12,OFFSET(PLE!$G$15,$M21-$A$15,CF$13)))</f>
        <v>0</v>
      </c>
      <c r="CG21" s="179">
        <f ca="1">IF(OR($D21&lt;&gt;"Serviço",AND(AUTOEVENTO="Manual",$M21=$A$15),$M21&gt;(ROW(PLE.lastrow)-ROW(PLE.firstrow))),0,
           IF(OFFSET(PLE!$G$15,$M21-$A$15,CG$13)="",10^12,OFFSET(PLE!$G$15,$M21-$A$15,CG$13)))</f>
        <v>0</v>
      </c>
      <c r="CH21" s="179">
        <f ca="1">IF(OR($D21&lt;&gt;"Serviço",AND(AUTOEVENTO="Manual",$M21=$A$15),$M21&gt;(ROW(PLE.lastrow)-ROW(PLE.firstrow))),0,
           IF(OFFSET(PLE!$G$15,$M21-$A$15,CH$13)="",10^12,OFFSET(PLE!$G$15,$M21-$A$15,CH$13)))</f>
        <v>0</v>
      </c>
      <c r="CI21" s="179">
        <f ca="1">IF(OR($D21&lt;&gt;"Serviço",AND(AUTOEVENTO="Manual",$M21=$A$15),$M21&gt;(ROW(PLE.lastrow)-ROW(PLE.firstrow))),0,
           IF(OFFSET(PLE!$G$15,$M21-$A$15,CI$13)="",10^12,OFFSET(PLE!$G$15,$M21-$A$15,CI$13)))</f>
        <v>0</v>
      </c>
      <c r="CJ21" s="179">
        <f ca="1">IF(OR($D21&lt;&gt;"Serviço",AND(AUTOEVENTO="Manual",$M21=$A$15),$M21&gt;(ROW(PLE.lastrow)-ROW(PLE.firstrow))),0,
           IF(OFFSET(PLE!$G$15,$M21-$A$15,CJ$13)="",10^12,OFFSET(PLE!$G$15,$M21-$A$15,CJ$13)))</f>
        <v>0</v>
      </c>
      <c r="CK21" s="179">
        <f ca="1">IF(OR($D21&lt;&gt;"Serviço",AND(AUTOEVENTO="Manual",$M21=$A$15),$M21&gt;(ROW(PLE.lastrow)-ROW(PLE.firstrow))),0,
           IF(OFFSET(PLE!$G$15,$M21-$A$15,CK$13)="",10^12,OFFSET(PLE!$G$15,$M21-$A$15,CK$13)))</f>
        <v>0</v>
      </c>
      <c r="CL21" s="179">
        <f ca="1">IF(OR($D21&lt;&gt;"Serviço",AND(AUTOEVENTO="Manual",$M21=$A$15),$M21&gt;(ROW(PLE.lastrow)-ROW(PLE.firstrow))),0,
           IF(OFFSET(PLE!$G$15,$M21-$A$15,CL$13)="",10^12,OFFSET(PLE!$G$15,$M21-$A$15,CL$13)))</f>
        <v>0</v>
      </c>
      <c r="CM21" s="179">
        <f ca="1">IF(OR($D21&lt;&gt;"Serviço",AND(AUTOEVENTO="Manual",$M21=$A$15),$M21&gt;(ROW(PLE.lastrow)-ROW(PLE.firstrow))),0,
           IF(OFFSET(PLE!$G$15,$M21-$A$15,CM$13)="",10^12,OFFSET(PLE!$G$15,$M21-$A$15,CM$13)))</f>
        <v>0</v>
      </c>
    </row>
    <row r="22" spans="1:91" ht="12.75" x14ac:dyDescent="0.2">
      <c r="A22" s="7" t="str">
        <f ca="1">IF(AUTOEVENTO="Manual",IF(K22&lt;&gt;"",MIN(VALUE(LEFT(K22,FIND(".",K22)-1)),COUNTA(EVENTOS.Lista)),0),IF(OR($B22&gt;AUTOEVENTO,$B22="S",$B22=0),SUBSTITUTE(OFFSET($A22,-1,0),IF($D22="Serviço",".",""),""),ROW(A22)-ROW($A$15)&amp;"."))</f>
        <v>6.</v>
      </c>
      <c r="B22" s="7">
        <f ca="1">OFFSET(ORÇAMENTO!C$15,ROW(B22)-ROW(B$15),0)</f>
        <v>3</v>
      </c>
      <c r="C22" s="7" t="str">
        <f ca="1">OFFSET(ORÇAMENTO!L$15,ROW(C22)-ROW(C$15),0)</f>
        <v>F</v>
      </c>
      <c r="D22" s="118" t="str">
        <f ca="1">OFFSET(ORÇAMENTO!N$15,ROW(D22)-ROW(D$15),0)</f>
        <v>Nível 3</v>
      </c>
      <c r="E22" s="119" t="str">
        <f ca="1">OFFSET(ORÇAMENTO!O$15,ROW(E22)-ROW(E$15),0)</f>
        <v>1.3.1.</v>
      </c>
      <c r="F22" s="170" t="str">
        <f ca="1">OFFSET(ORÇAMENTO!R$15,ROW(F22)-ROW(F$15),0)</f>
        <v>ÁRVORES</v>
      </c>
      <c r="G22" s="171" t="str">
        <f ca="1">IF($D22&lt;&gt;"Serviço","",OFFSET(ORÇAMENTO!S$15,ROW(G22)-ROW(G$15),0))</f>
        <v/>
      </c>
      <c r="H22" s="124" cm="1">
        <f t="array" aca="1" ref="H22" ca="1">IF($D22&lt;&gt;"Serviço",0,IF(_xlfn.SINGLE(ACOMPANHAMENTO)="BM",ROUND(OFFSET(ORÇAMENTO!AJ$15,ROW(H22)-ROW(H$15),0),15-13*ORÇAMENTO!$AF$7),SUMPRODUCT(($Q$1:$AI$1)*ROUND($Q22:$AI22,15-13*ORÇAMENTO!$AF$7))))</f>
        <v>0</v>
      </c>
      <c r="I22" s="500"/>
      <c r="J22" s="632" t="str" cm="1">
        <f t="array" aca="1" ref="J22" ca="1">IF(B22&lt;&gt;"S","",IF(AND(ACOMPANHAMENTO="PLE",AUTOEVENTO="Manual",OR(H22&gt;0,ORÇAMENTO!AC22="QUANT."),OR(K22="",M22=0,N22="")),"►",IF(AND(ACOMPANHAMENTO="PLE",ORÇAMENTO!AC22="QUANT."),"►►",IF(AND(COUNTIF($P$11:$AI$11,"▼")=0,H22&gt;0,I22=""),"◄",""))))</f>
        <v/>
      </c>
      <c r="K22" s="624"/>
      <c r="L22" s="172" t="s">
        <v>253</v>
      </c>
      <c r="M22" s="173" t="str">
        <f ca="1">IF($D22&lt;&gt;"Serviço","",
          IF(AUTOEVENTO="manual",$A22,
                IF(ISERROR(MATCH($A22,$A$15:OFFSET($A22,-1,0),0)),MAX($M$15:OFFSET(M22,-1,0))+1,
                      INDEX($M$15:OFFSET(M22,-1,0),MATCH($A22,$A$15:OFFSET($A22,-1,0),0)))))</f>
        <v/>
      </c>
      <c r="N22" s="174" t="str">
        <f ca="1">IF($D22&lt;&gt;"Serviço","",
         IF(AUTOEVENTO="Manual",
                IF($A22=0,"&lt;-- defina o número do agrupador",
                       OFFSET(EVENTOS!$D$15,$A22-$A$15,0)),
                OFFSET($F$15,$A22,0)))</f>
        <v/>
      </c>
      <c r="O22" s="175"/>
      <c r="Q22" s="175"/>
      <c r="R22" s="176"/>
      <c r="S22" s="176"/>
      <c r="T22" s="176"/>
      <c r="U22" s="176"/>
      <c r="V22" s="176"/>
      <c r="W22" s="176"/>
      <c r="X22" s="176"/>
      <c r="Y22" s="176"/>
      <c r="Z22" s="177"/>
      <c r="AA22" s="176"/>
      <c r="AB22" s="176"/>
      <c r="AC22" s="176"/>
      <c r="AD22" s="176"/>
      <c r="AE22" s="176"/>
      <c r="AF22" s="176"/>
      <c r="AG22" s="176"/>
      <c r="AH22" s="177"/>
      <c r="AJ22" s="485">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85">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85">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85">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85">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0</v>
      </c>
      <c r="AO22" s="485">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85">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85">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85">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85">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85">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85">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85">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85">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85">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85">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85">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85">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8">
        <f ca="1">IF(OR($D22&lt;&gt;"Serviço",AND(AUTOEVENTO="Manual",$M22=$A$15)),0,
         IF(OFFSET(CRONOPLE!$F$15,$M22-$A$15,BC$13)="",10^12,OFFSET(CRONOPLE!$F$15,$M22-$A$15,BC$13)))</f>
        <v>0</v>
      </c>
      <c r="BD22" s="178">
        <f ca="1">IF(OR($D22&lt;&gt;"Serviço",AND(AUTOEVENTO="Manual",$M22=$A$15)),0,
         IF(OFFSET(CRONOPLE!$F$15,$M22-$A$15,BD$13)="",10^12,OFFSET(CRONOPLE!$F$15,$M22-$A$15,BD$13)))</f>
        <v>0</v>
      </c>
      <c r="BE22" s="178">
        <f ca="1">IF(OR($D22&lt;&gt;"Serviço",AND(AUTOEVENTO="Manual",$M22=$A$15)),0,
         IF(OFFSET(CRONOPLE!$F$15,$M22-$A$15,BE$13)="",10^12,OFFSET(CRONOPLE!$F$15,$M22-$A$15,BE$13)))</f>
        <v>0</v>
      </c>
      <c r="BF22" s="178">
        <f ca="1">IF(OR($D22&lt;&gt;"Serviço",AND(AUTOEVENTO="Manual",$M22=$A$15)),0,
         IF(OFFSET(CRONOPLE!$F$15,$M22-$A$15,BF$13)="",10^12,OFFSET(CRONOPLE!$F$15,$M22-$A$15,BF$13)))</f>
        <v>0</v>
      </c>
      <c r="BG22" s="178">
        <f ca="1">IF(OR($D22&lt;&gt;"Serviço",AND(AUTOEVENTO="Manual",$M22=$A$15)),0,
         IF(OFFSET(CRONOPLE!$F$15,$M22-$A$15,BG$13)="",10^12,OFFSET(CRONOPLE!$F$15,$M22-$A$15,BG$13)))</f>
        <v>0</v>
      </c>
      <c r="BH22" s="178">
        <f ca="1">IF(OR($D22&lt;&gt;"Serviço",AND(AUTOEVENTO="Manual",$M22=$A$15)),0,
         IF(OFFSET(CRONOPLE!$F$15,$M22-$A$15,BH$13)="",10^12,OFFSET(CRONOPLE!$F$15,$M22-$A$15,BH$13)))</f>
        <v>0</v>
      </c>
      <c r="BI22" s="178">
        <f ca="1">IF(OR($D22&lt;&gt;"Serviço",AND(AUTOEVENTO="Manual",$M22=$A$15)),0,
         IF(OFFSET(CRONOPLE!$F$15,$M22-$A$15,BI$13)="",10^12,OFFSET(CRONOPLE!$F$15,$M22-$A$15,BI$13)))</f>
        <v>0</v>
      </c>
      <c r="BJ22" s="178">
        <f ca="1">IF(OR($D22&lt;&gt;"Serviço",AND(AUTOEVENTO="Manual",$M22=$A$15)),0,
         IF(OFFSET(CRONOPLE!$F$15,$M22-$A$15,BJ$13)="",10^12,OFFSET(CRONOPLE!$F$15,$M22-$A$15,BJ$13)))</f>
        <v>0</v>
      </c>
      <c r="BK22" s="178">
        <f ca="1">IF(OR($D22&lt;&gt;"Serviço",AND(AUTOEVENTO="Manual",$M22=$A$15)),0,
         IF(OFFSET(CRONOPLE!$F$15,$M22-$A$15,BK$13)="",10^12,OFFSET(CRONOPLE!$F$15,$M22-$A$15,BK$13)))</f>
        <v>0</v>
      </c>
      <c r="BL22" s="178">
        <f ca="1">IF(OR($D22&lt;&gt;"Serviço",AND(AUTOEVENTO="Manual",$M22=$A$15)),0,
         IF(OFFSET(CRONOPLE!$F$15,$M22-$A$15,BL$13)="",10^12,OFFSET(CRONOPLE!$F$15,$M22-$A$15,BL$13)))</f>
        <v>0</v>
      </c>
      <c r="BM22" s="178">
        <f ca="1">IF(OR($D22&lt;&gt;"Serviço",AND(AUTOEVENTO="Manual",$M22=$A$15)),0,
         IF(OFFSET(CRONOPLE!$F$15,$M22-$A$15,BM$13)="",10^12,OFFSET(CRONOPLE!$F$15,$M22-$A$15,BM$13)))</f>
        <v>0</v>
      </c>
      <c r="BN22" s="178">
        <f ca="1">IF(OR($D22&lt;&gt;"Serviço",AND(AUTOEVENTO="Manual",$M22=$A$15)),0,
         IF(OFFSET(CRONOPLE!$F$15,$M22-$A$15,BN$13)="",10^12,OFFSET(CRONOPLE!$F$15,$M22-$A$15,BN$13)))</f>
        <v>0</v>
      </c>
      <c r="BO22" s="178">
        <f ca="1">IF(OR($D22&lt;&gt;"Serviço",AND(AUTOEVENTO="Manual",$M22=$A$15)),0,
         IF(OFFSET(CRONOPLE!$F$15,$M22-$A$15,BO$13)="",10^12,OFFSET(CRONOPLE!$F$15,$M22-$A$15,BO$13)))</f>
        <v>0</v>
      </c>
      <c r="BP22" s="178">
        <f ca="1">IF(OR($D22&lt;&gt;"Serviço",AND(AUTOEVENTO="Manual",$M22=$A$15)),0,
         IF(OFFSET(CRONOPLE!$F$15,$M22-$A$15,BP$13)="",10^12,OFFSET(CRONOPLE!$F$15,$M22-$A$15,BP$13)))</f>
        <v>0</v>
      </c>
      <c r="BQ22" s="178">
        <f ca="1">IF(OR($D22&lt;&gt;"Serviço",AND(AUTOEVENTO="Manual",$M22=$A$15)),0,
         IF(OFFSET(CRONOPLE!$F$15,$M22-$A$15,BQ$13)="",10^12,OFFSET(CRONOPLE!$F$15,$M22-$A$15,BQ$13)))</f>
        <v>0</v>
      </c>
      <c r="BR22" s="178">
        <f ca="1">IF(OR($D22&lt;&gt;"Serviço",AND(AUTOEVENTO="Manual",$M22=$A$15)),0,
         IF(OFFSET(CRONOPLE!$F$15,$M22-$A$15,BR$13)="",10^12,OFFSET(CRONOPLE!$F$15,$M22-$A$15,BR$13)))</f>
        <v>0</v>
      </c>
      <c r="BS22" s="178">
        <f ca="1">IF(OR($D22&lt;&gt;"Serviço",AND(AUTOEVENTO="Manual",$M22=$A$15)),0,
         IF(OFFSET(CRONOPLE!$F$15,$M22-$A$15,BS$13)="",10^12,OFFSET(CRONOPLE!$F$15,$M22-$A$15,BS$13)))</f>
        <v>0</v>
      </c>
      <c r="BT22" s="178">
        <f ca="1">IF(OR($D22&lt;&gt;"Serviço",AND(AUTOEVENTO="Manual",$M22=$A$15)),0,
         IF(OFFSET(CRONOPLE!$F$15,$M22-$A$15,BT$13)="",10^12,OFFSET(CRONOPLE!$F$15,$M22-$A$15,BT$13)))</f>
        <v>0</v>
      </c>
      <c r="BV22" s="179">
        <f ca="1">IF(OR($D22&lt;&gt;"Serviço",AND(AUTOEVENTO="Manual",$M22=$A$15),$M22&gt;(ROW(PLE.lastrow)-ROW(PLE.firstrow))),0,
           IF(OFFSET(PLE!$G$15,$M22-$A$15,BV$13)="",10^12,OFFSET(PLE!$G$15,$M22-$A$15,BV$13)))</f>
        <v>0</v>
      </c>
      <c r="BW22" s="179">
        <f ca="1">IF(OR($D22&lt;&gt;"Serviço",AND(AUTOEVENTO="Manual",$M22=$A$15),$M22&gt;(ROW(PLE.lastrow)-ROW(PLE.firstrow))),0,
           IF(OFFSET(PLE!$G$15,$M22-$A$15,BW$13)="",10^12,OFFSET(PLE!$G$15,$M22-$A$15,BW$13)))</f>
        <v>0</v>
      </c>
      <c r="BX22" s="179">
        <f ca="1">IF(OR($D22&lt;&gt;"Serviço",AND(AUTOEVENTO="Manual",$M22=$A$15),$M22&gt;(ROW(PLE.lastrow)-ROW(PLE.firstrow))),0,
           IF(OFFSET(PLE!$G$15,$M22-$A$15,BX$13)="",10^12,OFFSET(PLE!$G$15,$M22-$A$15,BX$13)))</f>
        <v>0</v>
      </c>
      <c r="BY22" s="179">
        <f ca="1">IF(OR($D22&lt;&gt;"Serviço",AND(AUTOEVENTO="Manual",$M22=$A$15),$M22&gt;(ROW(PLE.lastrow)-ROW(PLE.firstrow))),0,
           IF(OFFSET(PLE!$G$15,$M22-$A$15,BY$13)="",10^12,OFFSET(PLE!$G$15,$M22-$A$15,BY$13)))</f>
        <v>0</v>
      </c>
      <c r="BZ22" s="179">
        <f ca="1">IF(OR($D22&lt;&gt;"Serviço",AND(AUTOEVENTO="Manual",$M22=$A$15),$M22&gt;(ROW(PLE.lastrow)-ROW(PLE.firstrow))),0,
           IF(OFFSET(PLE!$G$15,$M22-$A$15,BZ$13)="",10^12,OFFSET(PLE!$G$15,$M22-$A$15,BZ$13)))</f>
        <v>0</v>
      </c>
      <c r="CA22" s="179">
        <f ca="1">IF(OR($D22&lt;&gt;"Serviço",AND(AUTOEVENTO="Manual",$M22=$A$15),$M22&gt;(ROW(PLE.lastrow)-ROW(PLE.firstrow))),0,
           IF(OFFSET(PLE!$G$15,$M22-$A$15,CA$13)="",10^12,OFFSET(PLE!$G$15,$M22-$A$15,CA$13)))</f>
        <v>0</v>
      </c>
      <c r="CB22" s="179">
        <f ca="1">IF(OR($D22&lt;&gt;"Serviço",AND(AUTOEVENTO="Manual",$M22=$A$15),$M22&gt;(ROW(PLE.lastrow)-ROW(PLE.firstrow))),0,
           IF(OFFSET(PLE!$G$15,$M22-$A$15,CB$13)="",10^12,OFFSET(PLE!$G$15,$M22-$A$15,CB$13)))</f>
        <v>0</v>
      </c>
      <c r="CC22" s="179">
        <f ca="1">IF(OR($D22&lt;&gt;"Serviço",AND(AUTOEVENTO="Manual",$M22=$A$15),$M22&gt;(ROW(PLE.lastrow)-ROW(PLE.firstrow))),0,
           IF(OFFSET(PLE!$G$15,$M22-$A$15,CC$13)="",10^12,OFFSET(PLE!$G$15,$M22-$A$15,CC$13)))</f>
        <v>0</v>
      </c>
      <c r="CD22" s="179">
        <f ca="1">IF(OR($D22&lt;&gt;"Serviço",AND(AUTOEVENTO="Manual",$M22=$A$15),$M22&gt;(ROW(PLE.lastrow)-ROW(PLE.firstrow))),0,
           IF(OFFSET(PLE!$G$15,$M22-$A$15,CD$13)="",10^12,OFFSET(PLE!$G$15,$M22-$A$15,CD$13)))</f>
        <v>0</v>
      </c>
      <c r="CE22" s="179">
        <f ca="1">IF(OR($D22&lt;&gt;"Serviço",AND(AUTOEVENTO="Manual",$M22=$A$15),$M22&gt;(ROW(PLE.lastrow)-ROW(PLE.firstrow))),0,
           IF(OFFSET(PLE!$G$15,$M22-$A$15,CE$13)="",10^12,OFFSET(PLE!$G$15,$M22-$A$15,CE$13)))</f>
        <v>0</v>
      </c>
      <c r="CF22" s="179">
        <f ca="1">IF(OR($D22&lt;&gt;"Serviço",AND(AUTOEVENTO="Manual",$M22=$A$15),$M22&gt;(ROW(PLE.lastrow)-ROW(PLE.firstrow))),0,
           IF(OFFSET(PLE!$G$15,$M22-$A$15,CF$13)="",10^12,OFFSET(PLE!$G$15,$M22-$A$15,CF$13)))</f>
        <v>0</v>
      </c>
      <c r="CG22" s="179">
        <f ca="1">IF(OR($D22&lt;&gt;"Serviço",AND(AUTOEVENTO="Manual",$M22=$A$15),$M22&gt;(ROW(PLE.lastrow)-ROW(PLE.firstrow))),0,
           IF(OFFSET(PLE!$G$15,$M22-$A$15,CG$13)="",10^12,OFFSET(PLE!$G$15,$M22-$A$15,CG$13)))</f>
        <v>0</v>
      </c>
      <c r="CH22" s="179">
        <f ca="1">IF(OR($D22&lt;&gt;"Serviço",AND(AUTOEVENTO="Manual",$M22=$A$15),$M22&gt;(ROW(PLE.lastrow)-ROW(PLE.firstrow))),0,
           IF(OFFSET(PLE!$G$15,$M22-$A$15,CH$13)="",10^12,OFFSET(PLE!$G$15,$M22-$A$15,CH$13)))</f>
        <v>0</v>
      </c>
      <c r="CI22" s="179">
        <f ca="1">IF(OR($D22&lt;&gt;"Serviço",AND(AUTOEVENTO="Manual",$M22=$A$15),$M22&gt;(ROW(PLE.lastrow)-ROW(PLE.firstrow))),0,
           IF(OFFSET(PLE!$G$15,$M22-$A$15,CI$13)="",10^12,OFFSET(PLE!$G$15,$M22-$A$15,CI$13)))</f>
        <v>0</v>
      </c>
      <c r="CJ22" s="179">
        <f ca="1">IF(OR($D22&lt;&gt;"Serviço",AND(AUTOEVENTO="Manual",$M22=$A$15),$M22&gt;(ROW(PLE.lastrow)-ROW(PLE.firstrow))),0,
           IF(OFFSET(PLE!$G$15,$M22-$A$15,CJ$13)="",10^12,OFFSET(PLE!$G$15,$M22-$A$15,CJ$13)))</f>
        <v>0</v>
      </c>
      <c r="CK22" s="179">
        <f ca="1">IF(OR($D22&lt;&gt;"Serviço",AND(AUTOEVENTO="Manual",$M22=$A$15),$M22&gt;(ROW(PLE.lastrow)-ROW(PLE.firstrow))),0,
           IF(OFFSET(PLE!$G$15,$M22-$A$15,CK$13)="",10^12,OFFSET(PLE!$G$15,$M22-$A$15,CK$13)))</f>
        <v>0</v>
      </c>
      <c r="CL22" s="179">
        <f ca="1">IF(OR($D22&lt;&gt;"Serviço",AND(AUTOEVENTO="Manual",$M22=$A$15),$M22&gt;(ROW(PLE.lastrow)-ROW(PLE.firstrow))),0,
           IF(OFFSET(PLE!$G$15,$M22-$A$15,CL$13)="",10^12,OFFSET(PLE!$G$15,$M22-$A$15,CL$13)))</f>
        <v>0</v>
      </c>
      <c r="CM22" s="179">
        <f ca="1">IF(OR($D22&lt;&gt;"Serviço",AND(AUTOEVENTO="Manual",$M22=$A$15),$M22&gt;(ROW(PLE.lastrow)-ROW(PLE.firstrow))),0,
           IF(OFFSET(PLE!$G$15,$M22-$A$15,CM$13)="",10^12,OFFSET(PLE!$G$15,$M22-$A$15,CM$13)))</f>
        <v>0</v>
      </c>
    </row>
    <row r="23" spans="1:91" ht="25.5" x14ac:dyDescent="0.2">
      <c r="A23" s="7" t="str">
        <f ca="1">IF(AUTOEVENTO="Manual",IF(K23&lt;&gt;"",MIN(VALUE(LEFT(K23,FIND(".",K23)-1)),COUNTA(EVENTOS.Lista)),0),IF(OR($B23&gt;AUTOEVENTO,$B23="S",$B23=0),SUBSTITUTE(OFFSET($A23,-1,0),IF($D23="Serviço",".",""),""),ROW(A23)-ROW($A$15)&amp;"."))</f>
        <v>6</v>
      </c>
      <c r="B23" s="7" t="str">
        <f ca="1">OFFSET(ORÇAMENTO!C$15,ROW(B23)-ROW(B$15),0)</f>
        <v>S</v>
      </c>
      <c r="C23" s="7" t="str">
        <f ca="1">OFFSET(ORÇAMENTO!L$15,ROW(C23)-ROW(C$15),0)</f>
        <v>F</v>
      </c>
      <c r="D23" s="118" t="str">
        <f ca="1">OFFSET(ORÇAMENTO!N$15,ROW(D23)-ROW(D$15),0)</f>
        <v>Serviço</v>
      </c>
      <c r="E23" s="119" t="str">
        <f ca="1">OFFSET(ORÇAMENTO!O$15,ROW(E23)-ROW(E$15),0)</f>
        <v>1.3.1.0.1.</v>
      </c>
      <c r="F23" s="170" t="str">
        <f ca="1">OFFSET(ORÇAMENTO!R$15,ROW(F23)-ROW(F$15),0)</f>
        <v>CORTE RASO E RECORTE DE ÁRVORE COM DIÂMETRO DE TRONCO MAIOR OU IGUAL A 0,40 M E MENOR QUE 0,60 M. AF_03/2024</v>
      </c>
      <c r="G23" s="171" t="str">
        <f ca="1">IF($D23&lt;&gt;"Serviço","",OFFSET(ORÇAMENTO!S$15,ROW(G23)-ROW(G$15),0))</f>
        <v>UN</v>
      </c>
      <c r="H23" s="124" cm="1">
        <f t="array" aca="1" ref="H23" ca="1">IF($D23&lt;&gt;"Serviço",0,IF(_xlfn.SINGLE(ACOMPANHAMENTO)="BM",ROUND(OFFSET(ORÇAMENTO!AJ$15,ROW(H23)-ROW(H$15),0),15-13*ORÇAMENTO!$AF$7),SUMPRODUCT(($Q$1:$AI$1)*ROUND($Q23:$AI23,15-13*ORÇAMENTO!$AF$7))))</f>
        <v>4</v>
      </c>
      <c r="I23" s="500" t="s">
        <v>966</v>
      </c>
      <c r="J23" s="632" t="str" cm="1">
        <f t="array" aca="1" ref="J23" ca="1">IF(B23&lt;&gt;"S","",IF(AND(ACOMPANHAMENTO="PLE",AUTOEVENTO="Manual",OR(H23&gt;0,ORÇAMENTO!AC23="QUANT."),OR(K23="",M23=0,N23="")),"►",IF(AND(ACOMPANHAMENTO="PLE",ORÇAMENTO!AC23="QUANT."),"►►",IF(AND(COUNTIF($P$11:$AI$11,"▼")=0,H23&gt;0,I23=""),"◄",""))))</f>
        <v/>
      </c>
      <c r="K23" s="624"/>
      <c r="L23" s="172" t="s">
        <v>253</v>
      </c>
      <c r="M23" s="173">
        <f ca="1">IF($D23&lt;&gt;"Serviço","",
          IF(AUTOEVENTO="manual",$A23,
                IF(ISERROR(MATCH($A23,$A$15:OFFSET($A23,-1,0),0)),MAX($M$15:OFFSET(M23,-1,0))+1,
                      INDEX($M$15:OFFSET(M23,-1,0),MATCH($A23,$A$15:OFFSET($A23,-1,0),0)))))</f>
        <v>3</v>
      </c>
      <c r="N23" s="174" t="str">
        <f ca="1">IF($D23&lt;&gt;"Serviço","",
         IF(AUTOEVENTO="Manual",
                IF($A23=0,"&lt;-- defina o número do agrupador",
                       OFFSET(EVENTOS!$D$15,$A23-$A$15,0)),
                OFFSET($F$15,$A23,0)))</f>
        <v>DEMOLIÇÕES E REMOÇÕES</v>
      </c>
      <c r="O23" s="175"/>
      <c r="Q23" s="175">
        <v>4</v>
      </c>
      <c r="R23" s="176"/>
      <c r="S23" s="176"/>
      <c r="T23" s="176"/>
      <c r="U23" s="176"/>
      <c r="V23" s="176"/>
      <c r="W23" s="176"/>
      <c r="X23" s="176"/>
      <c r="Y23" s="176"/>
      <c r="Z23" s="177"/>
      <c r="AA23" s="176"/>
      <c r="AB23" s="176"/>
      <c r="AC23" s="176"/>
      <c r="AD23" s="176"/>
      <c r="AE23" s="176"/>
      <c r="AF23" s="176"/>
      <c r="AG23" s="176"/>
      <c r="AH23" s="177"/>
      <c r="AJ23" s="485">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825.6</v>
      </c>
      <c r="AK23" s="485">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L23" s="485">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85">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85">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85">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85">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85">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85">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85">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85">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85">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85">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85">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85">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85">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85">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85">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8">
        <f ca="1">IF(OR($D23&lt;&gt;"Serviço",AND(AUTOEVENTO="Manual",$M23=$A$15)),0,
         IF(OFFSET(CRONOPLE!$F$15,$M23-$A$15,BC$13)="",10^12,OFFSET(CRONOPLE!$F$15,$M23-$A$15,BC$13)))</f>
        <v>1</v>
      </c>
      <c r="BD23" s="178">
        <f ca="1">IF(OR($D23&lt;&gt;"Serviço",AND(AUTOEVENTO="Manual",$M23=$A$15)),0,
         IF(OFFSET(CRONOPLE!$F$15,$M23-$A$15,BD$13)="",10^12,OFFSET(CRONOPLE!$F$15,$M23-$A$15,BD$13)))</f>
        <v>2</v>
      </c>
      <c r="BE23" s="178">
        <f ca="1">IF(OR($D23&lt;&gt;"Serviço",AND(AUTOEVENTO="Manual",$M23=$A$15)),0,
         IF(OFFSET(CRONOPLE!$F$15,$M23-$A$15,BE$13)="",10^12,OFFSET(CRONOPLE!$F$15,$M23-$A$15,BE$13)))</f>
        <v>3</v>
      </c>
      <c r="BF23" s="178">
        <f ca="1">IF(OR($D23&lt;&gt;"Serviço",AND(AUTOEVENTO="Manual",$M23=$A$15)),0,
         IF(OFFSET(CRONOPLE!$F$15,$M23-$A$15,BF$13)="",10^12,OFFSET(CRONOPLE!$F$15,$M23-$A$15,BF$13)))</f>
        <v>4</v>
      </c>
      <c r="BG23" s="178">
        <f ca="1">IF(OR($D23&lt;&gt;"Serviço",AND(AUTOEVENTO="Manual",$M23=$A$15)),0,
         IF(OFFSET(CRONOPLE!$F$15,$M23-$A$15,BG$13)="",10^12,OFFSET(CRONOPLE!$F$15,$M23-$A$15,BG$13)))</f>
        <v>5</v>
      </c>
      <c r="BH23" s="178">
        <f ca="1">IF(OR($D23&lt;&gt;"Serviço",AND(AUTOEVENTO="Manual",$M23=$A$15)),0,
         IF(OFFSET(CRONOPLE!$F$15,$M23-$A$15,BH$13)="",10^12,OFFSET(CRONOPLE!$F$15,$M23-$A$15,BH$13)))</f>
        <v>6</v>
      </c>
      <c r="BI23" s="178">
        <f ca="1">IF(OR($D23&lt;&gt;"Serviço",AND(AUTOEVENTO="Manual",$M23=$A$15)),0,
         IF(OFFSET(CRONOPLE!$F$15,$M23-$A$15,BI$13)="",10^12,OFFSET(CRONOPLE!$F$15,$M23-$A$15,BI$13)))</f>
        <v>7</v>
      </c>
      <c r="BJ23" s="178">
        <f ca="1">IF(OR($D23&lt;&gt;"Serviço",AND(AUTOEVENTO="Manual",$M23=$A$15)),0,
         IF(OFFSET(CRONOPLE!$F$15,$M23-$A$15,BJ$13)="",10^12,OFFSET(CRONOPLE!$F$15,$M23-$A$15,BJ$13)))</f>
        <v>1000000000000</v>
      </c>
      <c r="BK23" s="178">
        <f ca="1">IF(OR($D23&lt;&gt;"Serviço",AND(AUTOEVENTO="Manual",$M23=$A$15)),0,
         IF(OFFSET(CRONOPLE!$F$15,$M23-$A$15,BK$13)="",10^12,OFFSET(CRONOPLE!$F$15,$M23-$A$15,BK$13)))</f>
        <v>1000000000000</v>
      </c>
      <c r="BL23" s="178">
        <f ca="1">IF(OR($D23&lt;&gt;"Serviço",AND(AUTOEVENTO="Manual",$M23=$A$15)),0,
         IF(OFFSET(CRONOPLE!$F$15,$M23-$A$15,BL$13)="",10^12,OFFSET(CRONOPLE!$F$15,$M23-$A$15,BL$13)))</f>
        <v>1000000000000</v>
      </c>
      <c r="BM23" s="178">
        <f ca="1">IF(OR($D23&lt;&gt;"Serviço",AND(AUTOEVENTO="Manual",$M23=$A$15)),0,
         IF(OFFSET(CRONOPLE!$F$15,$M23-$A$15,BM$13)="",10^12,OFFSET(CRONOPLE!$F$15,$M23-$A$15,BM$13)))</f>
        <v>1000000000000</v>
      </c>
      <c r="BN23" s="178">
        <f ca="1">IF(OR($D23&lt;&gt;"Serviço",AND(AUTOEVENTO="Manual",$M23=$A$15)),0,
         IF(OFFSET(CRONOPLE!$F$15,$M23-$A$15,BN$13)="",10^12,OFFSET(CRONOPLE!$F$15,$M23-$A$15,BN$13)))</f>
        <v>1000000000000</v>
      </c>
      <c r="BO23" s="178">
        <f ca="1">IF(OR($D23&lt;&gt;"Serviço",AND(AUTOEVENTO="Manual",$M23=$A$15)),0,
         IF(OFFSET(CRONOPLE!$F$15,$M23-$A$15,BO$13)="",10^12,OFFSET(CRONOPLE!$F$15,$M23-$A$15,BO$13)))</f>
        <v>1000000000000</v>
      </c>
      <c r="BP23" s="178">
        <f ca="1">IF(OR($D23&lt;&gt;"Serviço",AND(AUTOEVENTO="Manual",$M23=$A$15)),0,
         IF(OFFSET(CRONOPLE!$F$15,$M23-$A$15,BP$13)="",10^12,OFFSET(CRONOPLE!$F$15,$M23-$A$15,BP$13)))</f>
        <v>1000000000000</v>
      </c>
      <c r="BQ23" s="178">
        <f ca="1">IF(OR($D23&lt;&gt;"Serviço",AND(AUTOEVENTO="Manual",$M23=$A$15)),0,
         IF(OFFSET(CRONOPLE!$F$15,$M23-$A$15,BQ$13)="",10^12,OFFSET(CRONOPLE!$F$15,$M23-$A$15,BQ$13)))</f>
        <v>1000000000000</v>
      </c>
      <c r="BR23" s="178">
        <f ca="1">IF(OR($D23&lt;&gt;"Serviço",AND(AUTOEVENTO="Manual",$M23=$A$15)),0,
         IF(OFFSET(CRONOPLE!$F$15,$M23-$A$15,BR$13)="",10^12,OFFSET(CRONOPLE!$F$15,$M23-$A$15,BR$13)))</f>
        <v>1000000000000</v>
      </c>
      <c r="BS23" s="178">
        <f ca="1">IF(OR($D23&lt;&gt;"Serviço",AND(AUTOEVENTO="Manual",$M23=$A$15)),0,
         IF(OFFSET(CRONOPLE!$F$15,$M23-$A$15,BS$13)="",10^12,OFFSET(CRONOPLE!$F$15,$M23-$A$15,BS$13)))</f>
        <v>1000000000000</v>
      </c>
      <c r="BT23" s="178">
        <f ca="1">IF(OR($D23&lt;&gt;"Serviço",AND(AUTOEVENTO="Manual",$M23=$A$15)),0,
         IF(OFFSET(CRONOPLE!$F$15,$M23-$A$15,BT$13)="",10^12,OFFSET(CRONOPLE!$F$15,$M23-$A$15,BT$13)))</f>
        <v>1000000000000</v>
      </c>
      <c r="BV23" s="179">
        <f ca="1">IF(OR($D23&lt;&gt;"Serviço",AND(AUTOEVENTO="Manual",$M23=$A$15),$M23&gt;(ROW(PLE.lastrow)-ROW(PLE.firstrow))),0,
           IF(OFFSET(PLE!$G$15,$M23-$A$15,BV$13)="",10^12,OFFSET(PLE!$G$15,$M23-$A$15,BV$13)))</f>
        <v>1000000000000</v>
      </c>
      <c r="BW23" s="179">
        <f ca="1">IF(OR($D23&lt;&gt;"Serviço",AND(AUTOEVENTO="Manual",$M23=$A$15),$M23&gt;(ROW(PLE.lastrow)-ROW(PLE.firstrow))),0,
           IF(OFFSET(PLE!$G$15,$M23-$A$15,BW$13)="",10^12,OFFSET(PLE!$G$15,$M23-$A$15,BW$13)))</f>
        <v>1000000000000</v>
      </c>
      <c r="BX23" s="179">
        <f ca="1">IF(OR($D23&lt;&gt;"Serviço",AND(AUTOEVENTO="Manual",$M23=$A$15),$M23&gt;(ROW(PLE.lastrow)-ROW(PLE.firstrow))),0,
           IF(OFFSET(PLE!$G$15,$M23-$A$15,BX$13)="",10^12,OFFSET(PLE!$G$15,$M23-$A$15,BX$13)))</f>
        <v>1000000000000</v>
      </c>
      <c r="BY23" s="179">
        <f ca="1">IF(OR($D23&lt;&gt;"Serviço",AND(AUTOEVENTO="Manual",$M23=$A$15),$M23&gt;(ROW(PLE.lastrow)-ROW(PLE.firstrow))),0,
           IF(OFFSET(PLE!$G$15,$M23-$A$15,BY$13)="",10^12,OFFSET(PLE!$G$15,$M23-$A$15,BY$13)))</f>
        <v>1000000000000</v>
      </c>
      <c r="BZ23" s="179">
        <f ca="1">IF(OR($D23&lt;&gt;"Serviço",AND(AUTOEVENTO="Manual",$M23=$A$15),$M23&gt;(ROW(PLE.lastrow)-ROW(PLE.firstrow))),0,
           IF(OFFSET(PLE!$G$15,$M23-$A$15,BZ$13)="",10^12,OFFSET(PLE!$G$15,$M23-$A$15,BZ$13)))</f>
        <v>1000000000000</v>
      </c>
      <c r="CA23" s="179">
        <f ca="1">IF(OR($D23&lt;&gt;"Serviço",AND(AUTOEVENTO="Manual",$M23=$A$15),$M23&gt;(ROW(PLE.lastrow)-ROW(PLE.firstrow))),0,
           IF(OFFSET(PLE!$G$15,$M23-$A$15,CA$13)="",10^12,OFFSET(PLE!$G$15,$M23-$A$15,CA$13)))</f>
        <v>1000000000000</v>
      </c>
      <c r="CB23" s="179">
        <f ca="1">IF(OR($D23&lt;&gt;"Serviço",AND(AUTOEVENTO="Manual",$M23=$A$15),$M23&gt;(ROW(PLE.lastrow)-ROW(PLE.firstrow))),0,
           IF(OFFSET(PLE!$G$15,$M23-$A$15,CB$13)="",10^12,OFFSET(PLE!$G$15,$M23-$A$15,CB$13)))</f>
        <v>1000000000000</v>
      </c>
      <c r="CC23" s="179">
        <f ca="1">IF(OR($D23&lt;&gt;"Serviço",AND(AUTOEVENTO="Manual",$M23=$A$15),$M23&gt;(ROW(PLE.lastrow)-ROW(PLE.firstrow))),0,
           IF(OFFSET(PLE!$G$15,$M23-$A$15,CC$13)="",10^12,OFFSET(PLE!$G$15,$M23-$A$15,CC$13)))</f>
        <v>1000000000000</v>
      </c>
      <c r="CD23" s="179">
        <f ca="1">IF(OR($D23&lt;&gt;"Serviço",AND(AUTOEVENTO="Manual",$M23=$A$15),$M23&gt;(ROW(PLE.lastrow)-ROW(PLE.firstrow))),0,
           IF(OFFSET(PLE!$G$15,$M23-$A$15,CD$13)="",10^12,OFFSET(PLE!$G$15,$M23-$A$15,CD$13)))</f>
        <v>1000000000000</v>
      </c>
      <c r="CE23" s="179">
        <f ca="1">IF(OR($D23&lt;&gt;"Serviço",AND(AUTOEVENTO="Manual",$M23=$A$15),$M23&gt;(ROW(PLE.lastrow)-ROW(PLE.firstrow))),0,
           IF(OFFSET(PLE!$G$15,$M23-$A$15,CE$13)="",10^12,OFFSET(PLE!$G$15,$M23-$A$15,CE$13)))</f>
        <v>1000000000000</v>
      </c>
      <c r="CF23" s="179">
        <f ca="1">IF(OR($D23&lt;&gt;"Serviço",AND(AUTOEVENTO="Manual",$M23=$A$15),$M23&gt;(ROW(PLE.lastrow)-ROW(PLE.firstrow))),0,
           IF(OFFSET(PLE!$G$15,$M23-$A$15,CF$13)="",10^12,OFFSET(PLE!$G$15,$M23-$A$15,CF$13)))</f>
        <v>1000000000000</v>
      </c>
      <c r="CG23" s="179">
        <f ca="1">IF(OR($D23&lt;&gt;"Serviço",AND(AUTOEVENTO="Manual",$M23=$A$15),$M23&gt;(ROW(PLE.lastrow)-ROW(PLE.firstrow))),0,
           IF(OFFSET(PLE!$G$15,$M23-$A$15,CG$13)="",10^12,OFFSET(PLE!$G$15,$M23-$A$15,CG$13)))</f>
        <v>1000000000000</v>
      </c>
      <c r="CH23" s="179">
        <f ca="1">IF(OR($D23&lt;&gt;"Serviço",AND(AUTOEVENTO="Manual",$M23=$A$15),$M23&gt;(ROW(PLE.lastrow)-ROW(PLE.firstrow))),0,
           IF(OFFSET(PLE!$G$15,$M23-$A$15,CH$13)="",10^12,OFFSET(PLE!$G$15,$M23-$A$15,CH$13)))</f>
        <v>1000000000000</v>
      </c>
      <c r="CI23" s="179">
        <f ca="1">IF(OR($D23&lt;&gt;"Serviço",AND(AUTOEVENTO="Manual",$M23=$A$15),$M23&gt;(ROW(PLE.lastrow)-ROW(PLE.firstrow))),0,
           IF(OFFSET(PLE!$G$15,$M23-$A$15,CI$13)="",10^12,OFFSET(PLE!$G$15,$M23-$A$15,CI$13)))</f>
        <v>1000000000000</v>
      </c>
      <c r="CJ23" s="179">
        <f ca="1">IF(OR($D23&lt;&gt;"Serviço",AND(AUTOEVENTO="Manual",$M23=$A$15),$M23&gt;(ROW(PLE.lastrow)-ROW(PLE.firstrow))),0,
           IF(OFFSET(PLE!$G$15,$M23-$A$15,CJ$13)="",10^12,OFFSET(PLE!$G$15,$M23-$A$15,CJ$13)))</f>
        <v>1000000000000</v>
      </c>
      <c r="CK23" s="179">
        <f ca="1">IF(OR($D23&lt;&gt;"Serviço",AND(AUTOEVENTO="Manual",$M23=$A$15),$M23&gt;(ROW(PLE.lastrow)-ROW(PLE.firstrow))),0,
           IF(OFFSET(PLE!$G$15,$M23-$A$15,CK$13)="",10^12,OFFSET(PLE!$G$15,$M23-$A$15,CK$13)))</f>
        <v>1000000000000</v>
      </c>
      <c r="CL23" s="179">
        <f ca="1">IF(OR($D23&lt;&gt;"Serviço",AND(AUTOEVENTO="Manual",$M23=$A$15),$M23&gt;(ROW(PLE.lastrow)-ROW(PLE.firstrow))),0,
           IF(OFFSET(PLE!$G$15,$M23-$A$15,CL$13)="",10^12,OFFSET(PLE!$G$15,$M23-$A$15,CL$13)))</f>
        <v>1000000000000</v>
      </c>
      <c r="CM23" s="179">
        <f ca="1">IF(OR($D23&lt;&gt;"Serviço",AND(AUTOEVENTO="Manual",$M23=$A$15),$M23&gt;(ROW(PLE.lastrow)-ROW(PLE.firstrow))),0,
           IF(OFFSET(PLE!$G$15,$M23-$A$15,CM$13)="",10^12,OFFSET(PLE!$G$15,$M23-$A$15,CM$13)))</f>
        <v>1000000000000</v>
      </c>
    </row>
    <row r="24" spans="1:91" ht="38.25" x14ac:dyDescent="0.2">
      <c r="A24" s="7" t="str">
        <f ca="1">IF(AUTOEVENTO="Manual",IF(K24&lt;&gt;"",MIN(VALUE(LEFT(K24,FIND(".",K24)-1)),COUNTA(EVENTOS.Lista)),0),IF(OR($B24&gt;AUTOEVENTO,$B24="S",$B24=0),SUBSTITUTE(OFFSET($A24,-1,0),IF($D24="Serviço",".",""),""),ROW(A24)-ROW($A$15)&amp;"."))</f>
        <v>6</v>
      </c>
      <c r="B24" s="7" t="str">
        <f ca="1">OFFSET(ORÇAMENTO!C$15,ROW(B24)-ROW(B$15),0)</f>
        <v>S</v>
      </c>
      <c r="C24" s="7" t="str">
        <f ca="1">OFFSET(ORÇAMENTO!L$15,ROW(C24)-ROW(C$15),0)</f>
        <v>F</v>
      </c>
      <c r="D24" s="118" t="str">
        <f ca="1">OFFSET(ORÇAMENTO!N$15,ROW(D24)-ROW(D$15),0)</f>
        <v>Serviço</v>
      </c>
      <c r="E24" s="119" t="str">
        <f ca="1">OFFSET(ORÇAMENTO!O$15,ROW(E24)-ROW(E$15),0)</f>
        <v>1.3.1.0.2.</v>
      </c>
      <c r="F24" s="170" t="str">
        <f ca="1">OFFSET(ORÇAMENTO!R$15,ROW(F24)-ROW(F$15),0)</f>
        <v>REMOÇÃO DE RAÍZES REMANESCENTES DE TRONCO DE ÁRVORE COM DIÂMETRO MAIOR OU IGUAL A 0,40 M E MENOR QUE 0,60 M. AF_03/2024</v>
      </c>
      <c r="G24" s="171" t="str">
        <f ca="1">IF($D24&lt;&gt;"Serviço","",OFFSET(ORÇAMENTO!S$15,ROW(G24)-ROW(G$15),0))</f>
        <v>UN</v>
      </c>
      <c r="H24" s="124" cm="1">
        <f t="array" aca="1" ref="H24" ca="1">IF($D24&lt;&gt;"Serviço",0,IF(_xlfn.SINGLE(ACOMPANHAMENTO)="BM",ROUND(OFFSET(ORÇAMENTO!AJ$15,ROW(H24)-ROW(H$15),0),15-13*ORÇAMENTO!$AF$7),SUMPRODUCT(($Q$1:$AI$1)*ROUND($Q24:$AI24,15-13*ORÇAMENTO!$AF$7))))</f>
        <v>4</v>
      </c>
      <c r="I24" s="500" t="s">
        <v>966</v>
      </c>
      <c r="J24" s="632" t="str" cm="1">
        <f t="array" aca="1" ref="J24" ca="1">IF(B24&lt;&gt;"S","",IF(AND(ACOMPANHAMENTO="PLE",AUTOEVENTO="Manual",OR(H24&gt;0,ORÇAMENTO!AC24="QUANT."),OR(K24="",M24=0,N24="")),"►",IF(AND(ACOMPANHAMENTO="PLE",ORÇAMENTO!AC24="QUANT."),"►►",IF(AND(COUNTIF($P$11:$AI$11,"▼")=0,H24&gt;0,I24=""),"◄",""))))</f>
        <v/>
      </c>
      <c r="K24" s="624"/>
      <c r="L24" s="172" t="s">
        <v>253</v>
      </c>
      <c r="M24" s="173">
        <f ca="1">IF($D24&lt;&gt;"Serviço","",
          IF(AUTOEVENTO="manual",$A24,
                IF(ISERROR(MATCH($A24,$A$15:OFFSET($A24,-1,0),0)),MAX($M$15:OFFSET(M24,-1,0))+1,
                      INDEX($M$15:OFFSET(M24,-1,0),MATCH($A24,$A$15:OFFSET($A24,-1,0),0)))))</f>
        <v>3</v>
      </c>
      <c r="N24" s="174" t="str">
        <f ca="1">IF($D24&lt;&gt;"Serviço","",
         IF(AUTOEVENTO="Manual",
                IF($A24=0,"&lt;-- defina o número do agrupador",
                       OFFSET(EVENTOS!$D$15,$A24-$A$15,0)),
                OFFSET($F$15,$A24,0)))</f>
        <v>DEMOLIÇÕES E REMOÇÕES</v>
      </c>
      <c r="O24" s="175"/>
      <c r="Q24" s="175">
        <v>4</v>
      </c>
      <c r="R24" s="176"/>
      <c r="S24" s="176"/>
      <c r="T24" s="176"/>
      <c r="U24" s="176"/>
      <c r="V24" s="176"/>
      <c r="W24" s="176"/>
      <c r="X24" s="176"/>
      <c r="Y24" s="176"/>
      <c r="Z24" s="177"/>
      <c r="AA24" s="176"/>
      <c r="AB24" s="176"/>
      <c r="AC24" s="176"/>
      <c r="AD24" s="176"/>
      <c r="AE24" s="176"/>
      <c r="AF24" s="176"/>
      <c r="AG24" s="176"/>
      <c r="AH24" s="177"/>
      <c r="AJ24" s="485">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1191.28</v>
      </c>
      <c r="AK24" s="485">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85">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0</v>
      </c>
      <c r="AM24" s="485">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85">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85">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85">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85">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85">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85">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85">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85">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85">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85">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85">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85">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85">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85">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8">
        <f ca="1">IF(OR($D24&lt;&gt;"Serviço",AND(AUTOEVENTO="Manual",$M24=$A$15)),0,
         IF(OFFSET(CRONOPLE!$F$15,$M24-$A$15,BC$13)="",10^12,OFFSET(CRONOPLE!$F$15,$M24-$A$15,BC$13)))</f>
        <v>1</v>
      </c>
      <c r="BD24" s="178">
        <f ca="1">IF(OR($D24&lt;&gt;"Serviço",AND(AUTOEVENTO="Manual",$M24=$A$15)),0,
         IF(OFFSET(CRONOPLE!$F$15,$M24-$A$15,BD$13)="",10^12,OFFSET(CRONOPLE!$F$15,$M24-$A$15,BD$13)))</f>
        <v>2</v>
      </c>
      <c r="BE24" s="178">
        <f ca="1">IF(OR($D24&lt;&gt;"Serviço",AND(AUTOEVENTO="Manual",$M24=$A$15)),0,
         IF(OFFSET(CRONOPLE!$F$15,$M24-$A$15,BE$13)="",10^12,OFFSET(CRONOPLE!$F$15,$M24-$A$15,BE$13)))</f>
        <v>3</v>
      </c>
      <c r="BF24" s="178">
        <f ca="1">IF(OR($D24&lt;&gt;"Serviço",AND(AUTOEVENTO="Manual",$M24=$A$15)),0,
         IF(OFFSET(CRONOPLE!$F$15,$M24-$A$15,BF$13)="",10^12,OFFSET(CRONOPLE!$F$15,$M24-$A$15,BF$13)))</f>
        <v>4</v>
      </c>
      <c r="BG24" s="178">
        <f ca="1">IF(OR($D24&lt;&gt;"Serviço",AND(AUTOEVENTO="Manual",$M24=$A$15)),0,
         IF(OFFSET(CRONOPLE!$F$15,$M24-$A$15,BG$13)="",10^12,OFFSET(CRONOPLE!$F$15,$M24-$A$15,BG$13)))</f>
        <v>5</v>
      </c>
      <c r="BH24" s="178">
        <f ca="1">IF(OR($D24&lt;&gt;"Serviço",AND(AUTOEVENTO="Manual",$M24=$A$15)),0,
         IF(OFFSET(CRONOPLE!$F$15,$M24-$A$15,BH$13)="",10^12,OFFSET(CRONOPLE!$F$15,$M24-$A$15,BH$13)))</f>
        <v>6</v>
      </c>
      <c r="BI24" s="178">
        <f ca="1">IF(OR($D24&lt;&gt;"Serviço",AND(AUTOEVENTO="Manual",$M24=$A$15)),0,
         IF(OFFSET(CRONOPLE!$F$15,$M24-$A$15,BI$13)="",10^12,OFFSET(CRONOPLE!$F$15,$M24-$A$15,BI$13)))</f>
        <v>7</v>
      </c>
      <c r="BJ24" s="178">
        <f ca="1">IF(OR($D24&lt;&gt;"Serviço",AND(AUTOEVENTO="Manual",$M24=$A$15)),0,
         IF(OFFSET(CRONOPLE!$F$15,$M24-$A$15,BJ$13)="",10^12,OFFSET(CRONOPLE!$F$15,$M24-$A$15,BJ$13)))</f>
        <v>1000000000000</v>
      </c>
      <c r="BK24" s="178">
        <f ca="1">IF(OR($D24&lt;&gt;"Serviço",AND(AUTOEVENTO="Manual",$M24=$A$15)),0,
         IF(OFFSET(CRONOPLE!$F$15,$M24-$A$15,BK$13)="",10^12,OFFSET(CRONOPLE!$F$15,$M24-$A$15,BK$13)))</f>
        <v>1000000000000</v>
      </c>
      <c r="BL24" s="178">
        <f ca="1">IF(OR($D24&lt;&gt;"Serviço",AND(AUTOEVENTO="Manual",$M24=$A$15)),0,
         IF(OFFSET(CRONOPLE!$F$15,$M24-$A$15,BL$13)="",10^12,OFFSET(CRONOPLE!$F$15,$M24-$A$15,BL$13)))</f>
        <v>1000000000000</v>
      </c>
      <c r="BM24" s="178">
        <f ca="1">IF(OR($D24&lt;&gt;"Serviço",AND(AUTOEVENTO="Manual",$M24=$A$15)),0,
         IF(OFFSET(CRONOPLE!$F$15,$M24-$A$15,BM$13)="",10^12,OFFSET(CRONOPLE!$F$15,$M24-$A$15,BM$13)))</f>
        <v>1000000000000</v>
      </c>
      <c r="BN24" s="178">
        <f ca="1">IF(OR($D24&lt;&gt;"Serviço",AND(AUTOEVENTO="Manual",$M24=$A$15)),0,
         IF(OFFSET(CRONOPLE!$F$15,$M24-$A$15,BN$13)="",10^12,OFFSET(CRONOPLE!$F$15,$M24-$A$15,BN$13)))</f>
        <v>1000000000000</v>
      </c>
      <c r="BO24" s="178">
        <f ca="1">IF(OR($D24&lt;&gt;"Serviço",AND(AUTOEVENTO="Manual",$M24=$A$15)),0,
         IF(OFFSET(CRONOPLE!$F$15,$M24-$A$15,BO$13)="",10^12,OFFSET(CRONOPLE!$F$15,$M24-$A$15,BO$13)))</f>
        <v>1000000000000</v>
      </c>
      <c r="BP24" s="178">
        <f ca="1">IF(OR($D24&lt;&gt;"Serviço",AND(AUTOEVENTO="Manual",$M24=$A$15)),0,
         IF(OFFSET(CRONOPLE!$F$15,$M24-$A$15,BP$13)="",10^12,OFFSET(CRONOPLE!$F$15,$M24-$A$15,BP$13)))</f>
        <v>1000000000000</v>
      </c>
      <c r="BQ24" s="178">
        <f ca="1">IF(OR($D24&lt;&gt;"Serviço",AND(AUTOEVENTO="Manual",$M24=$A$15)),0,
         IF(OFFSET(CRONOPLE!$F$15,$M24-$A$15,BQ$13)="",10^12,OFFSET(CRONOPLE!$F$15,$M24-$A$15,BQ$13)))</f>
        <v>1000000000000</v>
      </c>
      <c r="BR24" s="178">
        <f ca="1">IF(OR($D24&lt;&gt;"Serviço",AND(AUTOEVENTO="Manual",$M24=$A$15)),0,
         IF(OFFSET(CRONOPLE!$F$15,$M24-$A$15,BR$13)="",10^12,OFFSET(CRONOPLE!$F$15,$M24-$A$15,BR$13)))</f>
        <v>1000000000000</v>
      </c>
      <c r="BS24" s="178">
        <f ca="1">IF(OR($D24&lt;&gt;"Serviço",AND(AUTOEVENTO="Manual",$M24=$A$15)),0,
         IF(OFFSET(CRONOPLE!$F$15,$M24-$A$15,BS$13)="",10^12,OFFSET(CRONOPLE!$F$15,$M24-$A$15,BS$13)))</f>
        <v>1000000000000</v>
      </c>
      <c r="BT24" s="178">
        <f ca="1">IF(OR($D24&lt;&gt;"Serviço",AND(AUTOEVENTO="Manual",$M24=$A$15)),0,
         IF(OFFSET(CRONOPLE!$F$15,$M24-$A$15,BT$13)="",10^12,OFFSET(CRONOPLE!$F$15,$M24-$A$15,BT$13)))</f>
        <v>1000000000000</v>
      </c>
      <c r="BV24" s="179">
        <f ca="1">IF(OR($D24&lt;&gt;"Serviço",AND(AUTOEVENTO="Manual",$M24=$A$15),$M24&gt;(ROW(PLE.lastrow)-ROW(PLE.firstrow))),0,
           IF(OFFSET(PLE!$G$15,$M24-$A$15,BV$13)="",10^12,OFFSET(PLE!$G$15,$M24-$A$15,BV$13)))</f>
        <v>1000000000000</v>
      </c>
      <c r="BW24" s="179">
        <f ca="1">IF(OR($D24&lt;&gt;"Serviço",AND(AUTOEVENTO="Manual",$M24=$A$15),$M24&gt;(ROW(PLE.lastrow)-ROW(PLE.firstrow))),0,
           IF(OFFSET(PLE!$G$15,$M24-$A$15,BW$13)="",10^12,OFFSET(PLE!$G$15,$M24-$A$15,BW$13)))</f>
        <v>1000000000000</v>
      </c>
      <c r="BX24" s="179">
        <f ca="1">IF(OR($D24&lt;&gt;"Serviço",AND(AUTOEVENTO="Manual",$M24=$A$15),$M24&gt;(ROW(PLE.lastrow)-ROW(PLE.firstrow))),0,
           IF(OFFSET(PLE!$G$15,$M24-$A$15,BX$13)="",10^12,OFFSET(PLE!$G$15,$M24-$A$15,BX$13)))</f>
        <v>1000000000000</v>
      </c>
      <c r="BY24" s="179">
        <f ca="1">IF(OR($D24&lt;&gt;"Serviço",AND(AUTOEVENTO="Manual",$M24=$A$15),$M24&gt;(ROW(PLE.lastrow)-ROW(PLE.firstrow))),0,
           IF(OFFSET(PLE!$G$15,$M24-$A$15,BY$13)="",10^12,OFFSET(PLE!$G$15,$M24-$A$15,BY$13)))</f>
        <v>1000000000000</v>
      </c>
      <c r="BZ24" s="179">
        <f ca="1">IF(OR($D24&lt;&gt;"Serviço",AND(AUTOEVENTO="Manual",$M24=$A$15),$M24&gt;(ROW(PLE.lastrow)-ROW(PLE.firstrow))),0,
           IF(OFFSET(PLE!$G$15,$M24-$A$15,BZ$13)="",10^12,OFFSET(PLE!$G$15,$M24-$A$15,BZ$13)))</f>
        <v>1000000000000</v>
      </c>
      <c r="CA24" s="179">
        <f ca="1">IF(OR($D24&lt;&gt;"Serviço",AND(AUTOEVENTO="Manual",$M24=$A$15),$M24&gt;(ROW(PLE.lastrow)-ROW(PLE.firstrow))),0,
           IF(OFFSET(PLE!$G$15,$M24-$A$15,CA$13)="",10^12,OFFSET(PLE!$G$15,$M24-$A$15,CA$13)))</f>
        <v>1000000000000</v>
      </c>
      <c r="CB24" s="179">
        <f ca="1">IF(OR($D24&lt;&gt;"Serviço",AND(AUTOEVENTO="Manual",$M24=$A$15),$M24&gt;(ROW(PLE.lastrow)-ROW(PLE.firstrow))),0,
           IF(OFFSET(PLE!$G$15,$M24-$A$15,CB$13)="",10^12,OFFSET(PLE!$G$15,$M24-$A$15,CB$13)))</f>
        <v>1000000000000</v>
      </c>
      <c r="CC24" s="179">
        <f ca="1">IF(OR($D24&lt;&gt;"Serviço",AND(AUTOEVENTO="Manual",$M24=$A$15),$M24&gt;(ROW(PLE.lastrow)-ROW(PLE.firstrow))),0,
           IF(OFFSET(PLE!$G$15,$M24-$A$15,CC$13)="",10^12,OFFSET(PLE!$G$15,$M24-$A$15,CC$13)))</f>
        <v>1000000000000</v>
      </c>
      <c r="CD24" s="179">
        <f ca="1">IF(OR($D24&lt;&gt;"Serviço",AND(AUTOEVENTO="Manual",$M24=$A$15),$M24&gt;(ROW(PLE.lastrow)-ROW(PLE.firstrow))),0,
           IF(OFFSET(PLE!$G$15,$M24-$A$15,CD$13)="",10^12,OFFSET(PLE!$G$15,$M24-$A$15,CD$13)))</f>
        <v>1000000000000</v>
      </c>
      <c r="CE24" s="179">
        <f ca="1">IF(OR($D24&lt;&gt;"Serviço",AND(AUTOEVENTO="Manual",$M24=$A$15),$M24&gt;(ROW(PLE.lastrow)-ROW(PLE.firstrow))),0,
           IF(OFFSET(PLE!$G$15,$M24-$A$15,CE$13)="",10^12,OFFSET(PLE!$G$15,$M24-$A$15,CE$13)))</f>
        <v>1000000000000</v>
      </c>
      <c r="CF24" s="179">
        <f ca="1">IF(OR($D24&lt;&gt;"Serviço",AND(AUTOEVENTO="Manual",$M24=$A$15),$M24&gt;(ROW(PLE.lastrow)-ROW(PLE.firstrow))),0,
           IF(OFFSET(PLE!$G$15,$M24-$A$15,CF$13)="",10^12,OFFSET(PLE!$G$15,$M24-$A$15,CF$13)))</f>
        <v>1000000000000</v>
      </c>
      <c r="CG24" s="179">
        <f ca="1">IF(OR($D24&lt;&gt;"Serviço",AND(AUTOEVENTO="Manual",$M24=$A$15),$M24&gt;(ROW(PLE.lastrow)-ROW(PLE.firstrow))),0,
           IF(OFFSET(PLE!$G$15,$M24-$A$15,CG$13)="",10^12,OFFSET(PLE!$G$15,$M24-$A$15,CG$13)))</f>
        <v>1000000000000</v>
      </c>
      <c r="CH24" s="179">
        <f ca="1">IF(OR($D24&lt;&gt;"Serviço",AND(AUTOEVENTO="Manual",$M24=$A$15),$M24&gt;(ROW(PLE.lastrow)-ROW(PLE.firstrow))),0,
           IF(OFFSET(PLE!$G$15,$M24-$A$15,CH$13)="",10^12,OFFSET(PLE!$G$15,$M24-$A$15,CH$13)))</f>
        <v>1000000000000</v>
      </c>
      <c r="CI24" s="179">
        <f ca="1">IF(OR($D24&lt;&gt;"Serviço",AND(AUTOEVENTO="Manual",$M24=$A$15),$M24&gt;(ROW(PLE.lastrow)-ROW(PLE.firstrow))),0,
           IF(OFFSET(PLE!$G$15,$M24-$A$15,CI$13)="",10^12,OFFSET(PLE!$G$15,$M24-$A$15,CI$13)))</f>
        <v>1000000000000</v>
      </c>
      <c r="CJ24" s="179">
        <f ca="1">IF(OR($D24&lt;&gt;"Serviço",AND(AUTOEVENTO="Manual",$M24=$A$15),$M24&gt;(ROW(PLE.lastrow)-ROW(PLE.firstrow))),0,
           IF(OFFSET(PLE!$G$15,$M24-$A$15,CJ$13)="",10^12,OFFSET(PLE!$G$15,$M24-$A$15,CJ$13)))</f>
        <v>1000000000000</v>
      </c>
      <c r="CK24" s="179">
        <f ca="1">IF(OR($D24&lt;&gt;"Serviço",AND(AUTOEVENTO="Manual",$M24=$A$15),$M24&gt;(ROW(PLE.lastrow)-ROW(PLE.firstrow))),0,
           IF(OFFSET(PLE!$G$15,$M24-$A$15,CK$13)="",10^12,OFFSET(PLE!$G$15,$M24-$A$15,CK$13)))</f>
        <v>1000000000000</v>
      </c>
      <c r="CL24" s="179">
        <f ca="1">IF(OR($D24&lt;&gt;"Serviço",AND(AUTOEVENTO="Manual",$M24=$A$15),$M24&gt;(ROW(PLE.lastrow)-ROW(PLE.firstrow))),0,
           IF(OFFSET(PLE!$G$15,$M24-$A$15,CL$13)="",10^12,OFFSET(PLE!$G$15,$M24-$A$15,CL$13)))</f>
        <v>1000000000000</v>
      </c>
      <c r="CM24" s="179">
        <f ca="1">IF(OR($D24&lt;&gt;"Serviço",AND(AUTOEVENTO="Manual",$M24=$A$15),$M24&gt;(ROW(PLE.lastrow)-ROW(PLE.firstrow))),0,
           IF(OFFSET(PLE!$G$15,$M24-$A$15,CM$13)="",10^12,OFFSET(PLE!$G$15,$M24-$A$15,CM$13)))</f>
        <v>1000000000000</v>
      </c>
    </row>
    <row r="25" spans="1:91" ht="12.75" x14ac:dyDescent="0.2">
      <c r="A25" s="7" t="str">
        <f ca="1">IF(AUTOEVENTO="Manual",IF(K25&lt;&gt;"",MIN(VALUE(LEFT(K25,FIND(".",K25)-1)),COUNTA(EVENTOS.Lista)),0),IF(OR($B25&gt;AUTOEVENTO,$B25="S",$B25=0),SUBSTITUTE(OFFSET($A25,-1,0),IF($D25="Serviço",".",""),""),ROW(A25)-ROW($A$15)&amp;"."))</f>
        <v>6</v>
      </c>
      <c r="B25" s="7">
        <f ca="1">OFFSET(ORÇAMENTO!C$15,ROW(B25)-ROW(B$15),0)</f>
        <v>3</v>
      </c>
      <c r="C25" s="7" t="str">
        <f ca="1">OFFSET(ORÇAMENTO!L$15,ROW(C25)-ROW(C$15),0)</f>
        <v>F</v>
      </c>
      <c r="D25" s="118" t="str">
        <f ca="1">OFFSET(ORÇAMENTO!N$15,ROW(D25)-ROW(D$15),0)</f>
        <v>Nível 3</v>
      </c>
      <c r="E25" s="119" t="str">
        <f ca="1">OFFSET(ORÇAMENTO!O$15,ROW(E25)-ROW(E$15),0)</f>
        <v>1.3.2.</v>
      </c>
      <c r="F25" s="170" t="str">
        <f ca="1">OFFSET(ORÇAMENTO!R$15,ROW(F25)-ROW(F$15),0)</f>
        <v>CALÇADAS E CANTEIROS</v>
      </c>
      <c r="G25" s="171" t="str">
        <f ca="1">IF($D25&lt;&gt;"Serviço","",OFFSET(ORÇAMENTO!S$15,ROW(G25)-ROW(G$15),0))</f>
        <v/>
      </c>
      <c r="H25" s="124" cm="1">
        <f t="array" aca="1" ref="H25" ca="1">IF($D25&lt;&gt;"Serviço",0,IF(_xlfn.SINGLE(ACOMPANHAMENTO)="BM",ROUND(OFFSET(ORÇAMENTO!AJ$15,ROW(H25)-ROW(H$15),0),15-13*ORÇAMENTO!$AF$7),SUMPRODUCT(($Q$1:$AI$1)*ROUND($Q25:$AI25,15-13*ORÇAMENTO!$AF$7))))</f>
        <v>0</v>
      </c>
      <c r="I25" s="500"/>
      <c r="J25" s="632" t="str" cm="1">
        <f t="array" aca="1" ref="J25" ca="1">IF(B25&lt;&gt;"S","",IF(AND(ACOMPANHAMENTO="PLE",AUTOEVENTO="Manual",OR(H25&gt;0,ORÇAMENTO!AC25="QUANT."),OR(K25="",M25=0,N25="")),"►",IF(AND(ACOMPANHAMENTO="PLE",ORÇAMENTO!AC25="QUANT."),"►►",IF(AND(COUNTIF($P$11:$AI$11,"▼")=0,H25&gt;0,I25=""),"◄",""))))</f>
        <v/>
      </c>
      <c r="K25" s="624"/>
      <c r="L25" s="172" t="s">
        <v>253</v>
      </c>
      <c r="M25" s="173" t="str">
        <f ca="1">IF($D25&lt;&gt;"Serviço","",
          IF(AUTOEVENTO="manual",$A25,
                IF(ISERROR(MATCH($A25,$A$15:OFFSET($A25,-1,0),0)),MAX($M$15:OFFSET(M25,-1,0))+1,
                      INDEX($M$15:OFFSET(M25,-1,0),MATCH($A25,$A$15:OFFSET($A25,-1,0),0)))))</f>
        <v/>
      </c>
      <c r="N25" s="174" t="str">
        <f ca="1">IF($D25&lt;&gt;"Serviço","",
         IF(AUTOEVENTO="Manual",
                IF($A25=0,"&lt;-- defina o número do agrupador",
                       OFFSET(EVENTOS!$D$15,$A25-$A$15,0)),
                OFFSET($F$15,$A25,0)))</f>
        <v/>
      </c>
      <c r="O25" s="175"/>
      <c r="Q25" s="175"/>
      <c r="R25" s="176"/>
      <c r="S25" s="176"/>
      <c r="T25" s="176"/>
      <c r="U25" s="176"/>
      <c r="V25" s="176"/>
      <c r="W25" s="176"/>
      <c r="X25" s="176"/>
      <c r="Y25" s="176"/>
      <c r="Z25" s="177"/>
      <c r="AA25" s="176"/>
      <c r="AB25" s="176"/>
      <c r="AC25" s="176"/>
      <c r="AD25" s="176"/>
      <c r="AE25" s="176"/>
      <c r="AF25" s="176"/>
      <c r="AG25" s="176"/>
      <c r="AH25" s="177"/>
      <c r="AJ25" s="485">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85">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85">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0</v>
      </c>
      <c r="AM25" s="485">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85">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0</v>
      </c>
      <c r="AO25" s="485">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85">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0</v>
      </c>
      <c r="AQ25" s="485">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85">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85">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85">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85">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85">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85">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85">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85">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85">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85">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8">
        <f ca="1">IF(OR($D25&lt;&gt;"Serviço",AND(AUTOEVENTO="Manual",$M25=$A$15)),0,
         IF(OFFSET(CRONOPLE!$F$15,$M25-$A$15,BC$13)="",10^12,OFFSET(CRONOPLE!$F$15,$M25-$A$15,BC$13)))</f>
        <v>0</v>
      </c>
      <c r="BD25" s="178">
        <f ca="1">IF(OR($D25&lt;&gt;"Serviço",AND(AUTOEVENTO="Manual",$M25=$A$15)),0,
         IF(OFFSET(CRONOPLE!$F$15,$M25-$A$15,BD$13)="",10^12,OFFSET(CRONOPLE!$F$15,$M25-$A$15,BD$13)))</f>
        <v>0</v>
      </c>
      <c r="BE25" s="178">
        <f ca="1">IF(OR($D25&lt;&gt;"Serviço",AND(AUTOEVENTO="Manual",$M25=$A$15)),0,
         IF(OFFSET(CRONOPLE!$F$15,$M25-$A$15,BE$13)="",10^12,OFFSET(CRONOPLE!$F$15,$M25-$A$15,BE$13)))</f>
        <v>0</v>
      </c>
      <c r="BF25" s="178">
        <f ca="1">IF(OR($D25&lt;&gt;"Serviço",AND(AUTOEVENTO="Manual",$M25=$A$15)),0,
         IF(OFFSET(CRONOPLE!$F$15,$M25-$A$15,BF$13)="",10^12,OFFSET(CRONOPLE!$F$15,$M25-$A$15,BF$13)))</f>
        <v>0</v>
      </c>
      <c r="BG25" s="178">
        <f ca="1">IF(OR($D25&lt;&gt;"Serviço",AND(AUTOEVENTO="Manual",$M25=$A$15)),0,
         IF(OFFSET(CRONOPLE!$F$15,$M25-$A$15,BG$13)="",10^12,OFFSET(CRONOPLE!$F$15,$M25-$A$15,BG$13)))</f>
        <v>0</v>
      </c>
      <c r="BH25" s="178">
        <f ca="1">IF(OR($D25&lt;&gt;"Serviço",AND(AUTOEVENTO="Manual",$M25=$A$15)),0,
         IF(OFFSET(CRONOPLE!$F$15,$M25-$A$15,BH$13)="",10^12,OFFSET(CRONOPLE!$F$15,$M25-$A$15,BH$13)))</f>
        <v>0</v>
      </c>
      <c r="BI25" s="178">
        <f ca="1">IF(OR($D25&lt;&gt;"Serviço",AND(AUTOEVENTO="Manual",$M25=$A$15)),0,
         IF(OFFSET(CRONOPLE!$F$15,$M25-$A$15,BI$13)="",10^12,OFFSET(CRONOPLE!$F$15,$M25-$A$15,BI$13)))</f>
        <v>0</v>
      </c>
      <c r="BJ25" s="178">
        <f ca="1">IF(OR($D25&lt;&gt;"Serviço",AND(AUTOEVENTO="Manual",$M25=$A$15)),0,
         IF(OFFSET(CRONOPLE!$F$15,$M25-$A$15,BJ$13)="",10^12,OFFSET(CRONOPLE!$F$15,$M25-$A$15,BJ$13)))</f>
        <v>0</v>
      </c>
      <c r="BK25" s="178">
        <f ca="1">IF(OR($D25&lt;&gt;"Serviço",AND(AUTOEVENTO="Manual",$M25=$A$15)),0,
         IF(OFFSET(CRONOPLE!$F$15,$M25-$A$15,BK$13)="",10^12,OFFSET(CRONOPLE!$F$15,$M25-$A$15,BK$13)))</f>
        <v>0</v>
      </c>
      <c r="BL25" s="178">
        <f ca="1">IF(OR($D25&lt;&gt;"Serviço",AND(AUTOEVENTO="Manual",$M25=$A$15)),0,
         IF(OFFSET(CRONOPLE!$F$15,$M25-$A$15,BL$13)="",10^12,OFFSET(CRONOPLE!$F$15,$M25-$A$15,BL$13)))</f>
        <v>0</v>
      </c>
      <c r="BM25" s="178">
        <f ca="1">IF(OR($D25&lt;&gt;"Serviço",AND(AUTOEVENTO="Manual",$M25=$A$15)),0,
         IF(OFFSET(CRONOPLE!$F$15,$M25-$A$15,BM$13)="",10^12,OFFSET(CRONOPLE!$F$15,$M25-$A$15,BM$13)))</f>
        <v>0</v>
      </c>
      <c r="BN25" s="178">
        <f ca="1">IF(OR($D25&lt;&gt;"Serviço",AND(AUTOEVENTO="Manual",$M25=$A$15)),0,
         IF(OFFSET(CRONOPLE!$F$15,$M25-$A$15,BN$13)="",10^12,OFFSET(CRONOPLE!$F$15,$M25-$A$15,BN$13)))</f>
        <v>0</v>
      </c>
      <c r="BO25" s="178">
        <f ca="1">IF(OR($D25&lt;&gt;"Serviço",AND(AUTOEVENTO="Manual",$M25=$A$15)),0,
         IF(OFFSET(CRONOPLE!$F$15,$M25-$A$15,BO$13)="",10^12,OFFSET(CRONOPLE!$F$15,$M25-$A$15,BO$13)))</f>
        <v>0</v>
      </c>
      <c r="BP25" s="178">
        <f ca="1">IF(OR($D25&lt;&gt;"Serviço",AND(AUTOEVENTO="Manual",$M25=$A$15)),0,
         IF(OFFSET(CRONOPLE!$F$15,$M25-$A$15,BP$13)="",10^12,OFFSET(CRONOPLE!$F$15,$M25-$A$15,BP$13)))</f>
        <v>0</v>
      </c>
      <c r="BQ25" s="178">
        <f ca="1">IF(OR($D25&lt;&gt;"Serviço",AND(AUTOEVENTO="Manual",$M25=$A$15)),0,
         IF(OFFSET(CRONOPLE!$F$15,$M25-$A$15,BQ$13)="",10^12,OFFSET(CRONOPLE!$F$15,$M25-$A$15,BQ$13)))</f>
        <v>0</v>
      </c>
      <c r="BR25" s="178">
        <f ca="1">IF(OR($D25&lt;&gt;"Serviço",AND(AUTOEVENTO="Manual",$M25=$A$15)),0,
         IF(OFFSET(CRONOPLE!$F$15,$M25-$A$15,BR$13)="",10^12,OFFSET(CRONOPLE!$F$15,$M25-$A$15,BR$13)))</f>
        <v>0</v>
      </c>
      <c r="BS25" s="178">
        <f ca="1">IF(OR($D25&lt;&gt;"Serviço",AND(AUTOEVENTO="Manual",$M25=$A$15)),0,
         IF(OFFSET(CRONOPLE!$F$15,$M25-$A$15,BS$13)="",10^12,OFFSET(CRONOPLE!$F$15,$M25-$A$15,BS$13)))</f>
        <v>0</v>
      </c>
      <c r="BT25" s="178">
        <f ca="1">IF(OR($D25&lt;&gt;"Serviço",AND(AUTOEVENTO="Manual",$M25=$A$15)),0,
         IF(OFFSET(CRONOPLE!$F$15,$M25-$A$15,BT$13)="",10^12,OFFSET(CRONOPLE!$F$15,$M25-$A$15,BT$13)))</f>
        <v>0</v>
      </c>
      <c r="BV25" s="179">
        <f ca="1">IF(OR($D25&lt;&gt;"Serviço",AND(AUTOEVENTO="Manual",$M25=$A$15),$M25&gt;(ROW(PLE.lastrow)-ROW(PLE.firstrow))),0,
           IF(OFFSET(PLE!$G$15,$M25-$A$15,BV$13)="",10^12,OFFSET(PLE!$G$15,$M25-$A$15,BV$13)))</f>
        <v>0</v>
      </c>
      <c r="BW25" s="179">
        <f ca="1">IF(OR($D25&lt;&gt;"Serviço",AND(AUTOEVENTO="Manual",$M25=$A$15),$M25&gt;(ROW(PLE.lastrow)-ROW(PLE.firstrow))),0,
           IF(OFFSET(PLE!$G$15,$M25-$A$15,BW$13)="",10^12,OFFSET(PLE!$G$15,$M25-$A$15,BW$13)))</f>
        <v>0</v>
      </c>
      <c r="BX25" s="179">
        <f ca="1">IF(OR($D25&lt;&gt;"Serviço",AND(AUTOEVENTO="Manual",$M25=$A$15),$M25&gt;(ROW(PLE.lastrow)-ROW(PLE.firstrow))),0,
           IF(OFFSET(PLE!$G$15,$M25-$A$15,BX$13)="",10^12,OFFSET(PLE!$G$15,$M25-$A$15,BX$13)))</f>
        <v>0</v>
      </c>
      <c r="BY25" s="179">
        <f ca="1">IF(OR($D25&lt;&gt;"Serviço",AND(AUTOEVENTO="Manual",$M25=$A$15),$M25&gt;(ROW(PLE.lastrow)-ROW(PLE.firstrow))),0,
           IF(OFFSET(PLE!$G$15,$M25-$A$15,BY$13)="",10^12,OFFSET(PLE!$G$15,$M25-$A$15,BY$13)))</f>
        <v>0</v>
      </c>
      <c r="BZ25" s="179">
        <f ca="1">IF(OR($D25&lt;&gt;"Serviço",AND(AUTOEVENTO="Manual",$M25=$A$15),$M25&gt;(ROW(PLE.lastrow)-ROW(PLE.firstrow))),0,
           IF(OFFSET(PLE!$G$15,$M25-$A$15,BZ$13)="",10^12,OFFSET(PLE!$G$15,$M25-$A$15,BZ$13)))</f>
        <v>0</v>
      </c>
      <c r="CA25" s="179">
        <f ca="1">IF(OR($D25&lt;&gt;"Serviço",AND(AUTOEVENTO="Manual",$M25=$A$15),$M25&gt;(ROW(PLE.lastrow)-ROW(PLE.firstrow))),0,
           IF(OFFSET(PLE!$G$15,$M25-$A$15,CA$13)="",10^12,OFFSET(PLE!$G$15,$M25-$A$15,CA$13)))</f>
        <v>0</v>
      </c>
      <c r="CB25" s="179">
        <f ca="1">IF(OR($D25&lt;&gt;"Serviço",AND(AUTOEVENTO="Manual",$M25=$A$15),$M25&gt;(ROW(PLE.lastrow)-ROW(PLE.firstrow))),0,
           IF(OFFSET(PLE!$G$15,$M25-$A$15,CB$13)="",10^12,OFFSET(PLE!$G$15,$M25-$A$15,CB$13)))</f>
        <v>0</v>
      </c>
      <c r="CC25" s="179">
        <f ca="1">IF(OR($D25&lt;&gt;"Serviço",AND(AUTOEVENTO="Manual",$M25=$A$15),$M25&gt;(ROW(PLE.lastrow)-ROW(PLE.firstrow))),0,
           IF(OFFSET(PLE!$G$15,$M25-$A$15,CC$13)="",10^12,OFFSET(PLE!$G$15,$M25-$A$15,CC$13)))</f>
        <v>0</v>
      </c>
      <c r="CD25" s="179">
        <f ca="1">IF(OR($D25&lt;&gt;"Serviço",AND(AUTOEVENTO="Manual",$M25=$A$15),$M25&gt;(ROW(PLE.lastrow)-ROW(PLE.firstrow))),0,
           IF(OFFSET(PLE!$G$15,$M25-$A$15,CD$13)="",10^12,OFFSET(PLE!$G$15,$M25-$A$15,CD$13)))</f>
        <v>0</v>
      </c>
      <c r="CE25" s="179">
        <f ca="1">IF(OR($D25&lt;&gt;"Serviço",AND(AUTOEVENTO="Manual",$M25=$A$15),$M25&gt;(ROW(PLE.lastrow)-ROW(PLE.firstrow))),0,
           IF(OFFSET(PLE!$G$15,$M25-$A$15,CE$13)="",10^12,OFFSET(PLE!$G$15,$M25-$A$15,CE$13)))</f>
        <v>0</v>
      </c>
      <c r="CF25" s="179">
        <f ca="1">IF(OR($D25&lt;&gt;"Serviço",AND(AUTOEVENTO="Manual",$M25=$A$15),$M25&gt;(ROW(PLE.lastrow)-ROW(PLE.firstrow))),0,
           IF(OFFSET(PLE!$G$15,$M25-$A$15,CF$13)="",10^12,OFFSET(PLE!$G$15,$M25-$A$15,CF$13)))</f>
        <v>0</v>
      </c>
      <c r="CG25" s="179">
        <f ca="1">IF(OR($D25&lt;&gt;"Serviço",AND(AUTOEVENTO="Manual",$M25=$A$15),$M25&gt;(ROW(PLE.lastrow)-ROW(PLE.firstrow))),0,
           IF(OFFSET(PLE!$G$15,$M25-$A$15,CG$13)="",10^12,OFFSET(PLE!$G$15,$M25-$A$15,CG$13)))</f>
        <v>0</v>
      </c>
      <c r="CH25" s="179">
        <f ca="1">IF(OR($D25&lt;&gt;"Serviço",AND(AUTOEVENTO="Manual",$M25=$A$15),$M25&gt;(ROW(PLE.lastrow)-ROW(PLE.firstrow))),0,
           IF(OFFSET(PLE!$G$15,$M25-$A$15,CH$13)="",10^12,OFFSET(PLE!$G$15,$M25-$A$15,CH$13)))</f>
        <v>0</v>
      </c>
      <c r="CI25" s="179">
        <f ca="1">IF(OR($D25&lt;&gt;"Serviço",AND(AUTOEVENTO="Manual",$M25=$A$15),$M25&gt;(ROW(PLE.lastrow)-ROW(PLE.firstrow))),0,
           IF(OFFSET(PLE!$G$15,$M25-$A$15,CI$13)="",10^12,OFFSET(PLE!$G$15,$M25-$A$15,CI$13)))</f>
        <v>0</v>
      </c>
      <c r="CJ25" s="179">
        <f ca="1">IF(OR($D25&lt;&gt;"Serviço",AND(AUTOEVENTO="Manual",$M25=$A$15),$M25&gt;(ROW(PLE.lastrow)-ROW(PLE.firstrow))),0,
           IF(OFFSET(PLE!$G$15,$M25-$A$15,CJ$13)="",10^12,OFFSET(PLE!$G$15,$M25-$A$15,CJ$13)))</f>
        <v>0</v>
      </c>
      <c r="CK25" s="179">
        <f ca="1">IF(OR($D25&lt;&gt;"Serviço",AND(AUTOEVENTO="Manual",$M25=$A$15),$M25&gt;(ROW(PLE.lastrow)-ROW(PLE.firstrow))),0,
           IF(OFFSET(PLE!$G$15,$M25-$A$15,CK$13)="",10^12,OFFSET(PLE!$G$15,$M25-$A$15,CK$13)))</f>
        <v>0</v>
      </c>
      <c r="CL25" s="179">
        <f ca="1">IF(OR($D25&lt;&gt;"Serviço",AND(AUTOEVENTO="Manual",$M25=$A$15),$M25&gt;(ROW(PLE.lastrow)-ROW(PLE.firstrow))),0,
           IF(OFFSET(PLE!$G$15,$M25-$A$15,CL$13)="",10^12,OFFSET(PLE!$G$15,$M25-$A$15,CL$13)))</f>
        <v>0</v>
      </c>
      <c r="CM25" s="179">
        <f ca="1">IF(OR($D25&lt;&gt;"Serviço",AND(AUTOEVENTO="Manual",$M25=$A$15),$M25&gt;(ROW(PLE.lastrow)-ROW(PLE.firstrow))),0,
           IF(OFFSET(PLE!$G$15,$M25-$A$15,CM$13)="",10^12,OFFSET(PLE!$G$15,$M25-$A$15,CM$13)))</f>
        <v>0</v>
      </c>
    </row>
    <row r="26" spans="1:91" ht="25.5" x14ac:dyDescent="0.2">
      <c r="A26" s="7" t="str">
        <f ca="1">IF(AUTOEVENTO="Manual",IF(K26&lt;&gt;"",MIN(VALUE(LEFT(K26,FIND(".",K26)-1)),COUNTA(EVENTOS.Lista)),0),IF(OR($B26&gt;AUTOEVENTO,$B26="S",$B26=0),SUBSTITUTE(OFFSET($A26,-1,0),IF($D26="Serviço",".",""),""),ROW(A26)-ROW($A$15)&amp;"."))</f>
        <v>6</v>
      </c>
      <c r="B26" s="7" t="str">
        <f ca="1">OFFSET(ORÇAMENTO!C$15,ROW(B26)-ROW(B$15),0)</f>
        <v>S</v>
      </c>
      <c r="C26" s="7" t="str">
        <f ca="1">OFFSET(ORÇAMENTO!L$15,ROW(C26)-ROW(C$15),0)</f>
        <v>F</v>
      </c>
      <c r="D26" s="118" t="str">
        <f ca="1">OFFSET(ORÇAMENTO!N$15,ROW(D26)-ROW(D$15),0)</f>
        <v>Serviço</v>
      </c>
      <c r="E26" s="119" t="str">
        <f ca="1">OFFSET(ORÇAMENTO!O$15,ROW(E26)-ROW(E$15),0)</f>
        <v>1.3.2.0.1.</v>
      </c>
      <c r="F26" s="170" t="str">
        <f ca="1">OFFSET(ORÇAMENTO!R$15,ROW(F26)-ROW(F$15),0)</f>
        <v>DEMOLIÇÃO DE GUIAS, SARJETAS OU SARJETÕES, DE FORMA MECANIZADA, SEM REAPROVEITAMENTO. AF_09/2023</v>
      </c>
      <c r="G26" s="171" t="str">
        <f ca="1">IF($D26&lt;&gt;"Serviço","",OFFSET(ORÇAMENTO!S$15,ROW(G26)-ROW(G$15),0))</f>
        <v>M</v>
      </c>
      <c r="H26" s="124" cm="1">
        <f t="array" aca="1" ref="H26" ca="1">IF($D26&lt;&gt;"Serviço",0,IF(_xlfn.SINGLE(ACOMPANHAMENTO)="BM",ROUND(OFFSET(ORÇAMENTO!AJ$15,ROW(H26)-ROW(H$15),0),15-13*ORÇAMENTO!$AF$7),SUMPRODUCT(($Q$1:$AI$1)*ROUND($Q26:$AI26,15-13*ORÇAMENTO!$AF$7))))</f>
        <v>31.88</v>
      </c>
      <c r="I26" s="500" t="s">
        <v>1070</v>
      </c>
      <c r="J26" s="632" t="str" cm="1">
        <f t="array" aca="1" ref="J26" ca="1">IF(B26&lt;&gt;"S","",IF(AND(ACOMPANHAMENTO="PLE",AUTOEVENTO="Manual",OR(H26&gt;0,ORÇAMENTO!AC26="QUANT."),OR(K26="",M26=0,N26="")),"►",IF(AND(ACOMPANHAMENTO="PLE",ORÇAMENTO!AC26="QUANT."),"►►",IF(AND(COUNTIF($P$11:$AI$11,"▼")=0,H26&gt;0,I26=""),"◄",""))))</f>
        <v/>
      </c>
      <c r="K26" s="624"/>
      <c r="L26" s="172" t="s">
        <v>253</v>
      </c>
      <c r="M26" s="173">
        <f ca="1">IF($D26&lt;&gt;"Serviço","",
          IF(AUTOEVENTO="manual",$A26,
                IF(ISERROR(MATCH($A26,$A$15:OFFSET($A26,-1,0),0)),MAX($M$15:OFFSET(M26,-1,0))+1,
                      INDEX($M$15:OFFSET(M26,-1,0),MATCH($A26,$A$15:OFFSET($A26,-1,0),0)))))</f>
        <v>3</v>
      </c>
      <c r="N26" s="174" t="str">
        <f ca="1">IF($D26&lt;&gt;"Serviço","",
         IF(AUTOEVENTO="Manual",
                IF($A26=0,"&lt;-- defina o número do agrupador",
                       OFFSET(EVENTOS!$D$15,$A26-$A$15,0)),
                OFFSET($F$15,$A26,0)))</f>
        <v>DEMOLIÇÕES E REMOÇÕES</v>
      </c>
      <c r="O26" s="175"/>
      <c r="Q26" s="175">
        <v>31.88</v>
      </c>
      <c r="R26" s="176"/>
      <c r="S26" s="176"/>
      <c r="T26" s="176"/>
      <c r="U26" s="176"/>
      <c r="V26" s="176"/>
      <c r="W26" s="176"/>
      <c r="X26" s="176"/>
      <c r="Y26" s="176"/>
      <c r="Z26" s="177"/>
      <c r="AA26" s="176"/>
      <c r="AB26" s="176"/>
      <c r="AC26" s="176"/>
      <c r="AD26" s="176"/>
      <c r="AE26" s="176"/>
      <c r="AF26" s="176"/>
      <c r="AG26" s="176"/>
      <c r="AH26" s="177"/>
      <c r="AJ26" s="485">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643.02</v>
      </c>
      <c r="AK26" s="485">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85">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85">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85">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85">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85">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85">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85">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85">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85">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85">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85">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85">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85">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85">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85">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85">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8">
        <f ca="1">IF(OR($D26&lt;&gt;"Serviço",AND(AUTOEVENTO="Manual",$M26=$A$15)),0,
         IF(OFFSET(CRONOPLE!$F$15,$M26-$A$15,BC$13)="",10^12,OFFSET(CRONOPLE!$F$15,$M26-$A$15,BC$13)))</f>
        <v>1</v>
      </c>
      <c r="BD26" s="178">
        <f ca="1">IF(OR($D26&lt;&gt;"Serviço",AND(AUTOEVENTO="Manual",$M26=$A$15)),0,
         IF(OFFSET(CRONOPLE!$F$15,$M26-$A$15,BD$13)="",10^12,OFFSET(CRONOPLE!$F$15,$M26-$A$15,BD$13)))</f>
        <v>2</v>
      </c>
      <c r="BE26" s="178">
        <f ca="1">IF(OR($D26&lt;&gt;"Serviço",AND(AUTOEVENTO="Manual",$M26=$A$15)),0,
         IF(OFFSET(CRONOPLE!$F$15,$M26-$A$15,BE$13)="",10^12,OFFSET(CRONOPLE!$F$15,$M26-$A$15,BE$13)))</f>
        <v>3</v>
      </c>
      <c r="BF26" s="178">
        <f ca="1">IF(OR($D26&lt;&gt;"Serviço",AND(AUTOEVENTO="Manual",$M26=$A$15)),0,
         IF(OFFSET(CRONOPLE!$F$15,$M26-$A$15,BF$13)="",10^12,OFFSET(CRONOPLE!$F$15,$M26-$A$15,BF$13)))</f>
        <v>4</v>
      </c>
      <c r="BG26" s="178">
        <f ca="1">IF(OR($D26&lt;&gt;"Serviço",AND(AUTOEVENTO="Manual",$M26=$A$15)),0,
         IF(OFFSET(CRONOPLE!$F$15,$M26-$A$15,BG$13)="",10^12,OFFSET(CRONOPLE!$F$15,$M26-$A$15,BG$13)))</f>
        <v>5</v>
      </c>
      <c r="BH26" s="178">
        <f ca="1">IF(OR($D26&lt;&gt;"Serviço",AND(AUTOEVENTO="Manual",$M26=$A$15)),0,
         IF(OFFSET(CRONOPLE!$F$15,$M26-$A$15,BH$13)="",10^12,OFFSET(CRONOPLE!$F$15,$M26-$A$15,BH$13)))</f>
        <v>6</v>
      </c>
      <c r="BI26" s="178">
        <f ca="1">IF(OR($D26&lt;&gt;"Serviço",AND(AUTOEVENTO="Manual",$M26=$A$15)),0,
         IF(OFFSET(CRONOPLE!$F$15,$M26-$A$15,BI$13)="",10^12,OFFSET(CRONOPLE!$F$15,$M26-$A$15,BI$13)))</f>
        <v>7</v>
      </c>
      <c r="BJ26" s="178">
        <f ca="1">IF(OR($D26&lt;&gt;"Serviço",AND(AUTOEVENTO="Manual",$M26=$A$15)),0,
         IF(OFFSET(CRONOPLE!$F$15,$M26-$A$15,BJ$13)="",10^12,OFFSET(CRONOPLE!$F$15,$M26-$A$15,BJ$13)))</f>
        <v>1000000000000</v>
      </c>
      <c r="BK26" s="178">
        <f ca="1">IF(OR($D26&lt;&gt;"Serviço",AND(AUTOEVENTO="Manual",$M26=$A$15)),0,
         IF(OFFSET(CRONOPLE!$F$15,$M26-$A$15,BK$13)="",10^12,OFFSET(CRONOPLE!$F$15,$M26-$A$15,BK$13)))</f>
        <v>1000000000000</v>
      </c>
      <c r="BL26" s="178">
        <f ca="1">IF(OR($D26&lt;&gt;"Serviço",AND(AUTOEVENTO="Manual",$M26=$A$15)),0,
         IF(OFFSET(CRONOPLE!$F$15,$M26-$A$15,BL$13)="",10^12,OFFSET(CRONOPLE!$F$15,$M26-$A$15,BL$13)))</f>
        <v>1000000000000</v>
      </c>
      <c r="BM26" s="178">
        <f ca="1">IF(OR($D26&lt;&gt;"Serviço",AND(AUTOEVENTO="Manual",$M26=$A$15)),0,
         IF(OFFSET(CRONOPLE!$F$15,$M26-$A$15,BM$13)="",10^12,OFFSET(CRONOPLE!$F$15,$M26-$A$15,BM$13)))</f>
        <v>1000000000000</v>
      </c>
      <c r="BN26" s="178">
        <f ca="1">IF(OR($D26&lt;&gt;"Serviço",AND(AUTOEVENTO="Manual",$M26=$A$15)),0,
         IF(OFFSET(CRONOPLE!$F$15,$M26-$A$15,BN$13)="",10^12,OFFSET(CRONOPLE!$F$15,$M26-$A$15,BN$13)))</f>
        <v>1000000000000</v>
      </c>
      <c r="BO26" s="178">
        <f ca="1">IF(OR($D26&lt;&gt;"Serviço",AND(AUTOEVENTO="Manual",$M26=$A$15)),0,
         IF(OFFSET(CRONOPLE!$F$15,$M26-$A$15,BO$13)="",10^12,OFFSET(CRONOPLE!$F$15,$M26-$A$15,BO$13)))</f>
        <v>1000000000000</v>
      </c>
      <c r="BP26" s="178">
        <f ca="1">IF(OR($D26&lt;&gt;"Serviço",AND(AUTOEVENTO="Manual",$M26=$A$15)),0,
         IF(OFFSET(CRONOPLE!$F$15,$M26-$A$15,BP$13)="",10^12,OFFSET(CRONOPLE!$F$15,$M26-$A$15,BP$13)))</f>
        <v>1000000000000</v>
      </c>
      <c r="BQ26" s="178">
        <f ca="1">IF(OR($D26&lt;&gt;"Serviço",AND(AUTOEVENTO="Manual",$M26=$A$15)),0,
         IF(OFFSET(CRONOPLE!$F$15,$M26-$A$15,BQ$13)="",10^12,OFFSET(CRONOPLE!$F$15,$M26-$A$15,BQ$13)))</f>
        <v>1000000000000</v>
      </c>
      <c r="BR26" s="178">
        <f ca="1">IF(OR($D26&lt;&gt;"Serviço",AND(AUTOEVENTO="Manual",$M26=$A$15)),0,
         IF(OFFSET(CRONOPLE!$F$15,$M26-$A$15,BR$13)="",10^12,OFFSET(CRONOPLE!$F$15,$M26-$A$15,BR$13)))</f>
        <v>1000000000000</v>
      </c>
      <c r="BS26" s="178">
        <f ca="1">IF(OR($D26&lt;&gt;"Serviço",AND(AUTOEVENTO="Manual",$M26=$A$15)),0,
         IF(OFFSET(CRONOPLE!$F$15,$M26-$A$15,BS$13)="",10^12,OFFSET(CRONOPLE!$F$15,$M26-$A$15,BS$13)))</f>
        <v>1000000000000</v>
      </c>
      <c r="BT26" s="178">
        <f ca="1">IF(OR($D26&lt;&gt;"Serviço",AND(AUTOEVENTO="Manual",$M26=$A$15)),0,
         IF(OFFSET(CRONOPLE!$F$15,$M26-$A$15,BT$13)="",10^12,OFFSET(CRONOPLE!$F$15,$M26-$A$15,BT$13)))</f>
        <v>1000000000000</v>
      </c>
      <c r="BV26" s="179">
        <f ca="1">IF(OR($D26&lt;&gt;"Serviço",AND(AUTOEVENTO="Manual",$M26=$A$15),$M26&gt;(ROW(PLE.lastrow)-ROW(PLE.firstrow))),0,
           IF(OFFSET(PLE!$G$15,$M26-$A$15,BV$13)="",10^12,OFFSET(PLE!$G$15,$M26-$A$15,BV$13)))</f>
        <v>1000000000000</v>
      </c>
      <c r="BW26" s="179">
        <f ca="1">IF(OR($D26&lt;&gt;"Serviço",AND(AUTOEVENTO="Manual",$M26=$A$15),$M26&gt;(ROW(PLE.lastrow)-ROW(PLE.firstrow))),0,
           IF(OFFSET(PLE!$G$15,$M26-$A$15,BW$13)="",10^12,OFFSET(PLE!$G$15,$M26-$A$15,BW$13)))</f>
        <v>1000000000000</v>
      </c>
      <c r="BX26" s="179">
        <f ca="1">IF(OR($D26&lt;&gt;"Serviço",AND(AUTOEVENTO="Manual",$M26=$A$15),$M26&gt;(ROW(PLE.lastrow)-ROW(PLE.firstrow))),0,
           IF(OFFSET(PLE!$G$15,$M26-$A$15,BX$13)="",10^12,OFFSET(PLE!$G$15,$M26-$A$15,BX$13)))</f>
        <v>1000000000000</v>
      </c>
      <c r="BY26" s="179">
        <f ca="1">IF(OR($D26&lt;&gt;"Serviço",AND(AUTOEVENTO="Manual",$M26=$A$15),$M26&gt;(ROW(PLE.lastrow)-ROW(PLE.firstrow))),0,
           IF(OFFSET(PLE!$G$15,$M26-$A$15,BY$13)="",10^12,OFFSET(PLE!$G$15,$M26-$A$15,BY$13)))</f>
        <v>1000000000000</v>
      </c>
      <c r="BZ26" s="179">
        <f ca="1">IF(OR($D26&lt;&gt;"Serviço",AND(AUTOEVENTO="Manual",$M26=$A$15),$M26&gt;(ROW(PLE.lastrow)-ROW(PLE.firstrow))),0,
           IF(OFFSET(PLE!$G$15,$M26-$A$15,BZ$13)="",10^12,OFFSET(PLE!$G$15,$M26-$A$15,BZ$13)))</f>
        <v>1000000000000</v>
      </c>
      <c r="CA26" s="179">
        <f ca="1">IF(OR($D26&lt;&gt;"Serviço",AND(AUTOEVENTO="Manual",$M26=$A$15),$M26&gt;(ROW(PLE.lastrow)-ROW(PLE.firstrow))),0,
           IF(OFFSET(PLE!$G$15,$M26-$A$15,CA$13)="",10^12,OFFSET(PLE!$G$15,$M26-$A$15,CA$13)))</f>
        <v>1000000000000</v>
      </c>
      <c r="CB26" s="179">
        <f ca="1">IF(OR($D26&lt;&gt;"Serviço",AND(AUTOEVENTO="Manual",$M26=$A$15),$M26&gt;(ROW(PLE.lastrow)-ROW(PLE.firstrow))),0,
           IF(OFFSET(PLE!$G$15,$M26-$A$15,CB$13)="",10^12,OFFSET(PLE!$G$15,$M26-$A$15,CB$13)))</f>
        <v>1000000000000</v>
      </c>
      <c r="CC26" s="179">
        <f ca="1">IF(OR($D26&lt;&gt;"Serviço",AND(AUTOEVENTO="Manual",$M26=$A$15),$M26&gt;(ROW(PLE.lastrow)-ROW(PLE.firstrow))),0,
           IF(OFFSET(PLE!$G$15,$M26-$A$15,CC$13)="",10^12,OFFSET(PLE!$G$15,$M26-$A$15,CC$13)))</f>
        <v>1000000000000</v>
      </c>
      <c r="CD26" s="179">
        <f ca="1">IF(OR($D26&lt;&gt;"Serviço",AND(AUTOEVENTO="Manual",$M26=$A$15),$M26&gt;(ROW(PLE.lastrow)-ROW(PLE.firstrow))),0,
           IF(OFFSET(PLE!$G$15,$M26-$A$15,CD$13)="",10^12,OFFSET(PLE!$G$15,$M26-$A$15,CD$13)))</f>
        <v>1000000000000</v>
      </c>
      <c r="CE26" s="179">
        <f ca="1">IF(OR($D26&lt;&gt;"Serviço",AND(AUTOEVENTO="Manual",$M26=$A$15),$M26&gt;(ROW(PLE.lastrow)-ROW(PLE.firstrow))),0,
           IF(OFFSET(PLE!$G$15,$M26-$A$15,CE$13)="",10^12,OFFSET(PLE!$G$15,$M26-$A$15,CE$13)))</f>
        <v>1000000000000</v>
      </c>
      <c r="CF26" s="179">
        <f ca="1">IF(OR($D26&lt;&gt;"Serviço",AND(AUTOEVENTO="Manual",$M26=$A$15),$M26&gt;(ROW(PLE.lastrow)-ROW(PLE.firstrow))),0,
           IF(OFFSET(PLE!$G$15,$M26-$A$15,CF$13)="",10^12,OFFSET(PLE!$G$15,$M26-$A$15,CF$13)))</f>
        <v>1000000000000</v>
      </c>
      <c r="CG26" s="179">
        <f ca="1">IF(OR($D26&lt;&gt;"Serviço",AND(AUTOEVENTO="Manual",$M26=$A$15),$M26&gt;(ROW(PLE.lastrow)-ROW(PLE.firstrow))),0,
           IF(OFFSET(PLE!$G$15,$M26-$A$15,CG$13)="",10^12,OFFSET(PLE!$G$15,$M26-$A$15,CG$13)))</f>
        <v>1000000000000</v>
      </c>
      <c r="CH26" s="179">
        <f ca="1">IF(OR($D26&lt;&gt;"Serviço",AND(AUTOEVENTO="Manual",$M26=$A$15),$M26&gt;(ROW(PLE.lastrow)-ROW(PLE.firstrow))),0,
           IF(OFFSET(PLE!$G$15,$M26-$A$15,CH$13)="",10^12,OFFSET(PLE!$G$15,$M26-$A$15,CH$13)))</f>
        <v>1000000000000</v>
      </c>
      <c r="CI26" s="179">
        <f ca="1">IF(OR($D26&lt;&gt;"Serviço",AND(AUTOEVENTO="Manual",$M26=$A$15),$M26&gt;(ROW(PLE.lastrow)-ROW(PLE.firstrow))),0,
           IF(OFFSET(PLE!$G$15,$M26-$A$15,CI$13)="",10^12,OFFSET(PLE!$G$15,$M26-$A$15,CI$13)))</f>
        <v>1000000000000</v>
      </c>
      <c r="CJ26" s="179">
        <f ca="1">IF(OR($D26&lt;&gt;"Serviço",AND(AUTOEVENTO="Manual",$M26=$A$15),$M26&gt;(ROW(PLE.lastrow)-ROW(PLE.firstrow))),0,
           IF(OFFSET(PLE!$G$15,$M26-$A$15,CJ$13)="",10^12,OFFSET(PLE!$G$15,$M26-$A$15,CJ$13)))</f>
        <v>1000000000000</v>
      </c>
      <c r="CK26" s="179">
        <f ca="1">IF(OR($D26&lt;&gt;"Serviço",AND(AUTOEVENTO="Manual",$M26=$A$15),$M26&gt;(ROW(PLE.lastrow)-ROW(PLE.firstrow))),0,
           IF(OFFSET(PLE!$G$15,$M26-$A$15,CK$13)="",10^12,OFFSET(PLE!$G$15,$M26-$A$15,CK$13)))</f>
        <v>1000000000000</v>
      </c>
      <c r="CL26" s="179">
        <f ca="1">IF(OR($D26&lt;&gt;"Serviço",AND(AUTOEVENTO="Manual",$M26=$A$15),$M26&gt;(ROW(PLE.lastrow)-ROW(PLE.firstrow))),0,
           IF(OFFSET(PLE!$G$15,$M26-$A$15,CL$13)="",10^12,OFFSET(PLE!$G$15,$M26-$A$15,CL$13)))</f>
        <v>1000000000000</v>
      </c>
      <c r="CM26" s="179">
        <f ca="1">IF(OR($D26&lt;&gt;"Serviço",AND(AUTOEVENTO="Manual",$M26=$A$15),$M26&gt;(ROW(PLE.lastrow)-ROW(PLE.firstrow))),0,
           IF(OFFSET(PLE!$G$15,$M26-$A$15,CM$13)="",10^12,OFFSET(PLE!$G$15,$M26-$A$15,CM$13)))</f>
        <v>1000000000000</v>
      </c>
    </row>
    <row r="27" spans="1:91" ht="38.25" x14ac:dyDescent="0.2">
      <c r="A27" s="7" t="str">
        <f ca="1">IF(AUTOEVENTO="Manual",IF(K27&lt;&gt;"",MIN(VALUE(LEFT(K27,FIND(".",K27)-1)),COUNTA(EVENTOS.Lista)),0),IF(OR($B27&gt;AUTOEVENTO,$B27="S",$B27=0),SUBSTITUTE(OFFSET($A27,-1,0),IF($D27="Serviço",".",""),""),ROW(A27)-ROW($A$15)&amp;"."))</f>
        <v>6</v>
      </c>
      <c r="B27" s="7" t="str">
        <f ca="1">OFFSET(ORÇAMENTO!C$15,ROW(B27)-ROW(B$15),0)</f>
        <v>S</v>
      </c>
      <c r="C27" s="7" t="str">
        <f ca="1">OFFSET(ORÇAMENTO!L$15,ROW(C27)-ROW(C$15),0)</f>
        <v>F</v>
      </c>
      <c r="D27" s="118" t="str">
        <f ca="1">OFFSET(ORÇAMENTO!N$15,ROW(D27)-ROW(D$15),0)</f>
        <v>Serviço</v>
      </c>
      <c r="E27" s="119" t="str">
        <f ca="1">OFFSET(ORÇAMENTO!O$15,ROW(E27)-ROW(E$15),0)</f>
        <v>1.3.2.0.2.</v>
      </c>
      <c r="F27" s="170" t="str">
        <f ca="1">OFFSET(ORÇAMENTO!R$15,ROW(F27)-ROW(F$15),0)</f>
        <v>DEMOLIÇÃO DE PISO DE CONCRETO SIMPLES, DE FORMA MECANIZADA COM MARTELETE, SEM REAPROVEITAMENTO. AF_09/2023</v>
      </c>
      <c r="G27" s="171" t="str">
        <f ca="1">IF($D27&lt;&gt;"Serviço","",OFFSET(ORÇAMENTO!S$15,ROW(G27)-ROW(G$15),0))</f>
        <v>M3</v>
      </c>
      <c r="H27" s="124" cm="1">
        <f t="array" aca="1" ref="H27" ca="1">IF($D27&lt;&gt;"Serviço",0,IF(_xlfn.SINGLE(ACOMPANHAMENTO)="BM",ROUND(OFFSET(ORÇAMENTO!AJ$15,ROW(H27)-ROW(H$15),0),15-13*ORÇAMENTO!$AF$7),SUMPRODUCT(($Q$1:$AI$1)*ROUND($Q27:$AI27,15-13*ORÇAMENTO!$AF$7))))</f>
        <v>4.78</v>
      </c>
      <c r="I27" s="500" t="s">
        <v>1070</v>
      </c>
      <c r="J27" s="632" t="str" cm="1">
        <f t="array" aca="1" ref="J27" ca="1">IF(B27&lt;&gt;"S","",IF(AND(ACOMPANHAMENTO="PLE",AUTOEVENTO="Manual",OR(H27&gt;0,ORÇAMENTO!AC27="QUANT."),OR(K27="",M27=0,N27="")),"►",IF(AND(ACOMPANHAMENTO="PLE",ORÇAMENTO!AC27="QUANT."),"►►",IF(AND(COUNTIF($P$11:$AI$11,"▼")=0,H27&gt;0,I27=""),"◄",""))))</f>
        <v/>
      </c>
      <c r="K27" s="624"/>
      <c r="L27" s="172" t="s">
        <v>253</v>
      </c>
      <c r="M27" s="173">
        <f ca="1">IF($D27&lt;&gt;"Serviço","",
          IF(AUTOEVENTO="manual",$A27,
                IF(ISERROR(MATCH($A27,$A$15:OFFSET($A27,-1,0),0)),MAX($M$15:OFFSET(M27,-1,0))+1,
                      INDEX($M$15:OFFSET(M27,-1,0),MATCH($A27,$A$15:OFFSET($A27,-1,0),0)))))</f>
        <v>3</v>
      </c>
      <c r="N27" s="174" t="str">
        <f ca="1">IF($D27&lt;&gt;"Serviço","",
         IF(AUTOEVENTO="Manual",
                IF($A27=0,"&lt;-- defina o número do agrupador",
                       OFFSET(EVENTOS!$D$15,$A27-$A$15,0)),
                OFFSET($F$15,$A27,0)))</f>
        <v>DEMOLIÇÕES E REMOÇÕES</v>
      </c>
      <c r="O27" s="175"/>
      <c r="Q27" s="175">
        <f>31.88*0.15</f>
        <v>4.782</v>
      </c>
      <c r="R27" s="176"/>
      <c r="S27" s="176"/>
      <c r="T27" s="176"/>
      <c r="U27" s="176"/>
      <c r="V27" s="176"/>
      <c r="W27" s="176"/>
      <c r="X27" s="176"/>
      <c r="Y27" s="176"/>
      <c r="Z27" s="177"/>
      <c r="AA27" s="176"/>
      <c r="AB27" s="176"/>
      <c r="AC27" s="176"/>
      <c r="AD27" s="176"/>
      <c r="AE27" s="176"/>
      <c r="AF27" s="176"/>
      <c r="AG27" s="176"/>
      <c r="AH27" s="177"/>
      <c r="AJ27" s="485">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724.84</v>
      </c>
      <c r="AK27" s="485">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85">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85">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85">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85">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85">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85">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85">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85">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85">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85">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85">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85">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85">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85">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85">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85">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8">
        <f ca="1">IF(OR($D27&lt;&gt;"Serviço",AND(AUTOEVENTO="Manual",$M27=$A$15)),0,
         IF(OFFSET(CRONOPLE!$F$15,$M27-$A$15,BC$13)="",10^12,OFFSET(CRONOPLE!$F$15,$M27-$A$15,BC$13)))</f>
        <v>1</v>
      </c>
      <c r="BD27" s="178">
        <f ca="1">IF(OR($D27&lt;&gt;"Serviço",AND(AUTOEVENTO="Manual",$M27=$A$15)),0,
         IF(OFFSET(CRONOPLE!$F$15,$M27-$A$15,BD$13)="",10^12,OFFSET(CRONOPLE!$F$15,$M27-$A$15,BD$13)))</f>
        <v>2</v>
      </c>
      <c r="BE27" s="178">
        <f ca="1">IF(OR($D27&lt;&gt;"Serviço",AND(AUTOEVENTO="Manual",$M27=$A$15)),0,
         IF(OFFSET(CRONOPLE!$F$15,$M27-$A$15,BE$13)="",10^12,OFFSET(CRONOPLE!$F$15,$M27-$A$15,BE$13)))</f>
        <v>3</v>
      </c>
      <c r="BF27" s="178">
        <f ca="1">IF(OR($D27&lt;&gt;"Serviço",AND(AUTOEVENTO="Manual",$M27=$A$15)),0,
         IF(OFFSET(CRONOPLE!$F$15,$M27-$A$15,BF$13)="",10^12,OFFSET(CRONOPLE!$F$15,$M27-$A$15,BF$13)))</f>
        <v>4</v>
      </c>
      <c r="BG27" s="178">
        <f ca="1">IF(OR($D27&lt;&gt;"Serviço",AND(AUTOEVENTO="Manual",$M27=$A$15)),0,
         IF(OFFSET(CRONOPLE!$F$15,$M27-$A$15,BG$13)="",10^12,OFFSET(CRONOPLE!$F$15,$M27-$A$15,BG$13)))</f>
        <v>5</v>
      </c>
      <c r="BH27" s="178">
        <f ca="1">IF(OR($D27&lt;&gt;"Serviço",AND(AUTOEVENTO="Manual",$M27=$A$15)),0,
         IF(OFFSET(CRONOPLE!$F$15,$M27-$A$15,BH$13)="",10^12,OFFSET(CRONOPLE!$F$15,$M27-$A$15,BH$13)))</f>
        <v>6</v>
      </c>
      <c r="BI27" s="178">
        <f ca="1">IF(OR($D27&lt;&gt;"Serviço",AND(AUTOEVENTO="Manual",$M27=$A$15)),0,
         IF(OFFSET(CRONOPLE!$F$15,$M27-$A$15,BI$13)="",10^12,OFFSET(CRONOPLE!$F$15,$M27-$A$15,BI$13)))</f>
        <v>7</v>
      </c>
      <c r="BJ27" s="178">
        <f ca="1">IF(OR($D27&lt;&gt;"Serviço",AND(AUTOEVENTO="Manual",$M27=$A$15)),0,
         IF(OFFSET(CRONOPLE!$F$15,$M27-$A$15,BJ$13)="",10^12,OFFSET(CRONOPLE!$F$15,$M27-$A$15,BJ$13)))</f>
        <v>1000000000000</v>
      </c>
      <c r="BK27" s="178">
        <f ca="1">IF(OR($D27&lt;&gt;"Serviço",AND(AUTOEVENTO="Manual",$M27=$A$15)),0,
         IF(OFFSET(CRONOPLE!$F$15,$M27-$A$15,BK$13)="",10^12,OFFSET(CRONOPLE!$F$15,$M27-$A$15,BK$13)))</f>
        <v>1000000000000</v>
      </c>
      <c r="BL27" s="178">
        <f ca="1">IF(OR($D27&lt;&gt;"Serviço",AND(AUTOEVENTO="Manual",$M27=$A$15)),0,
         IF(OFFSET(CRONOPLE!$F$15,$M27-$A$15,BL$13)="",10^12,OFFSET(CRONOPLE!$F$15,$M27-$A$15,BL$13)))</f>
        <v>1000000000000</v>
      </c>
      <c r="BM27" s="178">
        <f ca="1">IF(OR($D27&lt;&gt;"Serviço",AND(AUTOEVENTO="Manual",$M27=$A$15)),0,
         IF(OFFSET(CRONOPLE!$F$15,$M27-$A$15,BM$13)="",10^12,OFFSET(CRONOPLE!$F$15,$M27-$A$15,BM$13)))</f>
        <v>1000000000000</v>
      </c>
      <c r="BN27" s="178">
        <f ca="1">IF(OR($D27&lt;&gt;"Serviço",AND(AUTOEVENTO="Manual",$M27=$A$15)),0,
         IF(OFFSET(CRONOPLE!$F$15,$M27-$A$15,BN$13)="",10^12,OFFSET(CRONOPLE!$F$15,$M27-$A$15,BN$13)))</f>
        <v>1000000000000</v>
      </c>
      <c r="BO27" s="178">
        <f ca="1">IF(OR($D27&lt;&gt;"Serviço",AND(AUTOEVENTO="Manual",$M27=$A$15)),0,
         IF(OFFSET(CRONOPLE!$F$15,$M27-$A$15,BO$13)="",10^12,OFFSET(CRONOPLE!$F$15,$M27-$A$15,BO$13)))</f>
        <v>1000000000000</v>
      </c>
      <c r="BP27" s="178">
        <f ca="1">IF(OR($D27&lt;&gt;"Serviço",AND(AUTOEVENTO="Manual",$M27=$A$15)),0,
         IF(OFFSET(CRONOPLE!$F$15,$M27-$A$15,BP$13)="",10^12,OFFSET(CRONOPLE!$F$15,$M27-$A$15,BP$13)))</f>
        <v>1000000000000</v>
      </c>
      <c r="BQ27" s="178">
        <f ca="1">IF(OR($D27&lt;&gt;"Serviço",AND(AUTOEVENTO="Manual",$M27=$A$15)),0,
         IF(OFFSET(CRONOPLE!$F$15,$M27-$A$15,BQ$13)="",10^12,OFFSET(CRONOPLE!$F$15,$M27-$A$15,BQ$13)))</f>
        <v>1000000000000</v>
      </c>
      <c r="BR27" s="178">
        <f ca="1">IF(OR($D27&lt;&gt;"Serviço",AND(AUTOEVENTO="Manual",$M27=$A$15)),0,
         IF(OFFSET(CRONOPLE!$F$15,$M27-$A$15,BR$13)="",10^12,OFFSET(CRONOPLE!$F$15,$M27-$A$15,BR$13)))</f>
        <v>1000000000000</v>
      </c>
      <c r="BS27" s="178">
        <f ca="1">IF(OR($D27&lt;&gt;"Serviço",AND(AUTOEVENTO="Manual",$M27=$A$15)),0,
         IF(OFFSET(CRONOPLE!$F$15,$M27-$A$15,BS$13)="",10^12,OFFSET(CRONOPLE!$F$15,$M27-$A$15,BS$13)))</f>
        <v>1000000000000</v>
      </c>
      <c r="BT27" s="178">
        <f ca="1">IF(OR($D27&lt;&gt;"Serviço",AND(AUTOEVENTO="Manual",$M27=$A$15)),0,
         IF(OFFSET(CRONOPLE!$F$15,$M27-$A$15,BT$13)="",10^12,OFFSET(CRONOPLE!$F$15,$M27-$A$15,BT$13)))</f>
        <v>1000000000000</v>
      </c>
      <c r="BV27" s="179">
        <f ca="1">IF(OR($D27&lt;&gt;"Serviço",AND(AUTOEVENTO="Manual",$M27=$A$15),$M27&gt;(ROW(PLE.lastrow)-ROW(PLE.firstrow))),0,
           IF(OFFSET(PLE!$G$15,$M27-$A$15,BV$13)="",10^12,OFFSET(PLE!$G$15,$M27-$A$15,BV$13)))</f>
        <v>1000000000000</v>
      </c>
      <c r="BW27" s="179">
        <f ca="1">IF(OR($D27&lt;&gt;"Serviço",AND(AUTOEVENTO="Manual",$M27=$A$15),$M27&gt;(ROW(PLE.lastrow)-ROW(PLE.firstrow))),0,
           IF(OFFSET(PLE!$G$15,$M27-$A$15,BW$13)="",10^12,OFFSET(PLE!$G$15,$M27-$A$15,BW$13)))</f>
        <v>1000000000000</v>
      </c>
      <c r="BX27" s="179">
        <f ca="1">IF(OR($D27&lt;&gt;"Serviço",AND(AUTOEVENTO="Manual",$M27=$A$15),$M27&gt;(ROW(PLE.lastrow)-ROW(PLE.firstrow))),0,
           IF(OFFSET(PLE!$G$15,$M27-$A$15,BX$13)="",10^12,OFFSET(PLE!$G$15,$M27-$A$15,BX$13)))</f>
        <v>1000000000000</v>
      </c>
      <c r="BY27" s="179">
        <f ca="1">IF(OR($D27&lt;&gt;"Serviço",AND(AUTOEVENTO="Manual",$M27=$A$15),$M27&gt;(ROW(PLE.lastrow)-ROW(PLE.firstrow))),0,
           IF(OFFSET(PLE!$G$15,$M27-$A$15,BY$13)="",10^12,OFFSET(PLE!$G$15,$M27-$A$15,BY$13)))</f>
        <v>1000000000000</v>
      </c>
      <c r="BZ27" s="179">
        <f ca="1">IF(OR($D27&lt;&gt;"Serviço",AND(AUTOEVENTO="Manual",$M27=$A$15),$M27&gt;(ROW(PLE.lastrow)-ROW(PLE.firstrow))),0,
           IF(OFFSET(PLE!$G$15,$M27-$A$15,BZ$13)="",10^12,OFFSET(PLE!$G$15,$M27-$A$15,BZ$13)))</f>
        <v>1000000000000</v>
      </c>
      <c r="CA27" s="179">
        <f ca="1">IF(OR($D27&lt;&gt;"Serviço",AND(AUTOEVENTO="Manual",$M27=$A$15),$M27&gt;(ROW(PLE.lastrow)-ROW(PLE.firstrow))),0,
           IF(OFFSET(PLE!$G$15,$M27-$A$15,CA$13)="",10^12,OFFSET(PLE!$G$15,$M27-$A$15,CA$13)))</f>
        <v>1000000000000</v>
      </c>
      <c r="CB27" s="179">
        <f ca="1">IF(OR($D27&lt;&gt;"Serviço",AND(AUTOEVENTO="Manual",$M27=$A$15),$M27&gt;(ROW(PLE.lastrow)-ROW(PLE.firstrow))),0,
           IF(OFFSET(PLE!$G$15,$M27-$A$15,CB$13)="",10^12,OFFSET(PLE!$G$15,$M27-$A$15,CB$13)))</f>
        <v>1000000000000</v>
      </c>
      <c r="CC27" s="179">
        <f ca="1">IF(OR($D27&lt;&gt;"Serviço",AND(AUTOEVENTO="Manual",$M27=$A$15),$M27&gt;(ROW(PLE.lastrow)-ROW(PLE.firstrow))),0,
           IF(OFFSET(PLE!$G$15,$M27-$A$15,CC$13)="",10^12,OFFSET(PLE!$G$15,$M27-$A$15,CC$13)))</f>
        <v>1000000000000</v>
      </c>
      <c r="CD27" s="179">
        <f ca="1">IF(OR($D27&lt;&gt;"Serviço",AND(AUTOEVENTO="Manual",$M27=$A$15),$M27&gt;(ROW(PLE.lastrow)-ROW(PLE.firstrow))),0,
           IF(OFFSET(PLE!$G$15,$M27-$A$15,CD$13)="",10^12,OFFSET(PLE!$G$15,$M27-$A$15,CD$13)))</f>
        <v>1000000000000</v>
      </c>
      <c r="CE27" s="179">
        <f ca="1">IF(OR($D27&lt;&gt;"Serviço",AND(AUTOEVENTO="Manual",$M27=$A$15),$M27&gt;(ROW(PLE.lastrow)-ROW(PLE.firstrow))),0,
           IF(OFFSET(PLE!$G$15,$M27-$A$15,CE$13)="",10^12,OFFSET(PLE!$G$15,$M27-$A$15,CE$13)))</f>
        <v>1000000000000</v>
      </c>
      <c r="CF27" s="179">
        <f ca="1">IF(OR($D27&lt;&gt;"Serviço",AND(AUTOEVENTO="Manual",$M27=$A$15),$M27&gt;(ROW(PLE.lastrow)-ROW(PLE.firstrow))),0,
           IF(OFFSET(PLE!$G$15,$M27-$A$15,CF$13)="",10^12,OFFSET(PLE!$G$15,$M27-$A$15,CF$13)))</f>
        <v>1000000000000</v>
      </c>
      <c r="CG27" s="179">
        <f ca="1">IF(OR($D27&lt;&gt;"Serviço",AND(AUTOEVENTO="Manual",$M27=$A$15),$M27&gt;(ROW(PLE.lastrow)-ROW(PLE.firstrow))),0,
           IF(OFFSET(PLE!$G$15,$M27-$A$15,CG$13)="",10^12,OFFSET(PLE!$G$15,$M27-$A$15,CG$13)))</f>
        <v>1000000000000</v>
      </c>
      <c r="CH27" s="179">
        <f ca="1">IF(OR($D27&lt;&gt;"Serviço",AND(AUTOEVENTO="Manual",$M27=$A$15),$M27&gt;(ROW(PLE.lastrow)-ROW(PLE.firstrow))),0,
           IF(OFFSET(PLE!$G$15,$M27-$A$15,CH$13)="",10^12,OFFSET(PLE!$G$15,$M27-$A$15,CH$13)))</f>
        <v>1000000000000</v>
      </c>
      <c r="CI27" s="179">
        <f ca="1">IF(OR($D27&lt;&gt;"Serviço",AND(AUTOEVENTO="Manual",$M27=$A$15),$M27&gt;(ROW(PLE.lastrow)-ROW(PLE.firstrow))),0,
           IF(OFFSET(PLE!$G$15,$M27-$A$15,CI$13)="",10^12,OFFSET(PLE!$G$15,$M27-$A$15,CI$13)))</f>
        <v>1000000000000</v>
      </c>
      <c r="CJ27" s="179">
        <f ca="1">IF(OR($D27&lt;&gt;"Serviço",AND(AUTOEVENTO="Manual",$M27=$A$15),$M27&gt;(ROW(PLE.lastrow)-ROW(PLE.firstrow))),0,
           IF(OFFSET(PLE!$G$15,$M27-$A$15,CJ$13)="",10^12,OFFSET(PLE!$G$15,$M27-$A$15,CJ$13)))</f>
        <v>1000000000000</v>
      </c>
      <c r="CK27" s="179">
        <f ca="1">IF(OR($D27&lt;&gt;"Serviço",AND(AUTOEVENTO="Manual",$M27=$A$15),$M27&gt;(ROW(PLE.lastrow)-ROW(PLE.firstrow))),0,
           IF(OFFSET(PLE!$G$15,$M27-$A$15,CK$13)="",10^12,OFFSET(PLE!$G$15,$M27-$A$15,CK$13)))</f>
        <v>1000000000000</v>
      </c>
      <c r="CL27" s="179">
        <f ca="1">IF(OR($D27&lt;&gt;"Serviço",AND(AUTOEVENTO="Manual",$M27=$A$15),$M27&gt;(ROW(PLE.lastrow)-ROW(PLE.firstrow))),0,
           IF(OFFSET(PLE!$G$15,$M27-$A$15,CL$13)="",10^12,OFFSET(PLE!$G$15,$M27-$A$15,CL$13)))</f>
        <v>1000000000000</v>
      </c>
      <c r="CM27" s="179">
        <f ca="1">IF(OR($D27&lt;&gt;"Serviço",AND(AUTOEVENTO="Manual",$M27=$A$15),$M27&gt;(ROW(PLE.lastrow)-ROW(PLE.firstrow))),0,
           IF(OFFSET(PLE!$G$15,$M27-$A$15,CM$13)="",10^12,OFFSET(PLE!$G$15,$M27-$A$15,CM$13)))</f>
        <v>1000000000000</v>
      </c>
    </row>
    <row r="28" spans="1:91" ht="51" x14ac:dyDescent="0.2">
      <c r="A28" s="7" t="str">
        <f ca="1">IF(AUTOEVENTO="Manual",IF(K28&lt;&gt;"",MIN(VALUE(LEFT(K28,FIND(".",K28)-1)),COUNTA(EVENTOS.Lista)),0),IF(OR($B28&gt;AUTOEVENTO,$B28="S",$B28=0),SUBSTITUTE(OFFSET($A28,-1,0),IF($D28="Serviço",".",""),""),ROW(A28)-ROW($A$15)&amp;"."))</f>
        <v>6</v>
      </c>
      <c r="B28" s="7" t="str">
        <f ca="1">OFFSET(ORÇAMENTO!C$15,ROW(B28)-ROW(B$15),0)</f>
        <v>S</v>
      </c>
      <c r="C28" s="7" t="str">
        <f ca="1">OFFSET(ORÇAMENTO!L$15,ROW(C28)-ROW(C$15),0)</f>
        <v>F</v>
      </c>
      <c r="D28" s="118" t="str">
        <f ca="1">OFFSET(ORÇAMENTO!N$15,ROW(D28)-ROW(D$15),0)</f>
        <v>Serviço</v>
      </c>
      <c r="E28" s="119" t="str">
        <f ca="1">OFFSET(ORÇAMENTO!O$15,ROW(E28)-ROW(E$15),0)</f>
        <v>1.3.2.0.3.</v>
      </c>
      <c r="F28" s="170" t="str">
        <f ca="1">OFFSET(ORÇAMENTO!R$15,ROW(F28)-ROW(F$15),0)</f>
        <v>REMOÇÃO DE ENTULHO CLASSE A (ALVENARIA, CONCRETO, ARGAMASSAS E CERÂMICOS) POR DUTO DE ENTULHO E ACONDICIONAMENTO FINAL EM CAÇAMBA ESTACIONÁRIA. EXCLUSO FRETE. AF_09/2025</v>
      </c>
      <c r="G28" s="171" t="str">
        <f ca="1">IF($D28&lt;&gt;"Serviço","",OFFSET(ORÇAMENTO!S$15,ROW(G28)-ROW(G$15),0))</f>
        <v>M3</v>
      </c>
      <c r="H28" s="124" cm="1">
        <f t="array" aca="1" ref="H28" ca="1">IF($D28&lt;&gt;"Serviço",0,IF(_xlfn.SINGLE(ACOMPANHAMENTO)="BM",ROUND(OFFSET(ORÇAMENTO!AJ$15,ROW(H28)-ROW(H$15),0),15-13*ORÇAMENTO!$AF$7),SUMPRODUCT(($Q$1:$AI$1)*ROUND($Q28:$AI28,15-13*ORÇAMENTO!$AF$7))))</f>
        <v>9.56</v>
      </c>
      <c r="I28" s="500" t="s">
        <v>1070</v>
      </c>
      <c r="J28" s="632" t="str" cm="1">
        <f t="array" aca="1" ref="J28" ca="1">IF(B28&lt;&gt;"S","",IF(AND(ACOMPANHAMENTO="PLE",AUTOEVENTO="Manual",OR(H28&gt;0,ORÇAMENTO!AC28="QUANT."),OR(K28="",M28=0,N28="")),"►",IF(AND(ACOMPANHAMENTO="PLE",ORÇAMENTO!AC28="QUANT."),"►►",IF(AND(COUNTIF($P$11:$AI$11,"▼")=0,H28&gt;0,I28=""),"◄",""))))</f>
        <v/>
      </c>
      <c r="K28" s="624"/>
      <c r="L28" s="172" t="s">
        <v>253</v>
      </c>
      <c r="M28" s="173">
        <f ca="1">IF($D28&lt;&gt;"Serviço","",
          IF(AUTOEVENTO="manual",$A28,
                IF(ISERROR(MATCH($A28,$A$15:OFFSET($A28,-1,0),0)),MAX($M$15:OFFSET(M28,-1,0))+1,
                      INDEX($M$15:OFFSET(M28,-1,0),MATCH($A28,$A$15:OFFSET($A28,-1,0),0)))))</f>
        <v>3</v>
      </c>
      <c r="N28" s="174" t="str">
        <f ca="1">IF($D28&lt;&gt;"Serviço","",
         IF(AUTOEVENTO="Manual",
                IF($A28=0,"&lt;-- defina o número do agrupador",
                       OFFSET(EVENTOS!$D$15,$A28-$A$15,0)),
                OFFSET($F$15,$A28,0)))</f>
        <v>DEMOLIÇÕES E REMOÇÕES</v>
      </c>
      <c r="O28" s="175"/>
      <c r="Q28" s="175">
        <f>31.88*0.3</f>
        <v>9.5640000000000001</v>
      </c>
      <c r="R28" s="176"/>
      <c r="S28" s="176"/>
      <c r="T28" s="176"/>
      <c r="U28" s="176"/>
      <c r="V28" s="176"/>
      <c r="W28" s="176"/>
      <c r="X28" s="176"/>
      <c r="Y28" s="176"/>
      <c r="Z28" s="177"/>
      <c r="AA28" s="176"/>
      <c r="AB28" s="176"/>
      <c r="AC28" s="176"/>
      <c r="AD28" s="176"/>
      <c r="AE28" s="176"/>
      <c r="AF28" s="176"/>
      <c r="AG28" s="176"/>
      <c r="AH28" s="177"/>
      <c r="AJ28" s="485">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1017.95</v>
      </c>
      <c r="AK28" s="485">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L28" s="485">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0</v>
      </c>
      <c r="AM28" s="485">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0</v>
      </c>
      <c r="AN28" s="485">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0</v>
      </c>
      <c r="AO28" s="485">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0</v>
      </c>
      <c r="AP28" s="485">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0</v>
      </c>
      <c r="AQ28" s="485">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0</v>
      </c>
      <c r="AR28" s="485">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85">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85">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85">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85">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85">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85">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85">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85">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85">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8">
        <f ca="1">IF(OR($D28&lt;&gt;"Serviço",AND(AUTOEVENTO="Manual",$M28=$A$15)),0,
         IF(OFFSET(CRONOPLE!$F$15,$M28-$A$15,BC$13)="",10^12,OFFSET(CRONOPLE!$F$15,$M28-$A$15,BC$13)))</f>
        <v>1</v>
      </c>
      <c r="BD28" s="178">
        <f ca="1">IF(OR($D28&lt;&gt;"Serviço",AND(AUTOEVENTO="Manual",$M28=$A$15)),0,
         IF(OFFSET(CRONOPLE!$F$15,$M28-$A$15,BD$13)="",10^12,OFFSET(CRONOPLE!$F$15,$M28-$A$15,BD$13)))</f>
        <v>2</v>
      </c>
      <c r="BE28" s="178">
        <f ca="1">IF(OR($D28&lt;&gt;"Serviço",AND(AUTOEVENTO="Manual",$M28=$A$15)),0,
         IF(OFFSET(CRONOPLE!$F$15,$M28-$A$15,BE$13)="",10^12,OFFSET(CRONOPLE!$F$15,$M28-$A$15,BE$13)))</f>
        <v>3</v>
      </c>
      <c r="BF28" s="178">
        <f ca="1">IF(OR($D28&lt;&gt;"Serviço",AND(AUTOEVENTO="Manual",$M28=$A$15)),0,
         IF(OFFSET(CRONOPLE!$F$15,$M28-$A$15,BF$13)="",10^12,OFFSET(CRONOPLE!$F$15,$M28-$A$15,BF$13)))</f>
        <v>4</v>
      </c>
      <c r="BG28" s="178">
        <f ca="1">IF(OR($D28&lt;&gt;"Serviço",AND(AUTOEVENTO="Manual",$M28=$A$15)),0,
         IF(OFFSET(CRONOPLE!$F$15,$M28-$A$15,BG$13)="",10^12,OFFSET(CRONOPLE!$F$15,$M28-$A$15,BG$13)))</f>
        <v>5</v>
      </c>
      <c r="BH28" s="178">
        <f ca="1">IF(OR($D28&lt;&gt;"Serviço",AND(AUTOEVENTO="Manual",$M28=$A$15)),0,
         IF(OFFSET(CRONOPLE!$F$15,$M28-$A$15,BH$13)="",10^12,OFFSET(CRONOPLE!$F$15,$M28-$A$15,BH$13)))</f>
        <v>6</v>
      </c>
      <c r="BI28" s="178">
        <f ca="1">IF(OR($D28&lt;&gt;"Serviço",AND(AUTOEVENTO="Manual",$M28=$A$15)),0,
         IF(OFFSET(CRONOPLE!$F$15,$M28-$A$15,BI$13)="",10^12,OFFSET(CRONOPLE!$F$15,$M28-$A$15,BI$13)))</f>
        <v>7</v>
      </c>
      <c r="BJ28" s="178">
        <f ca="1">IF(OR($D28&lt;&gt;"Serviço",AND(AUTOEVENTO="Manual",$M28=$A$15)),0,
         IF(OFFSET(CRONOPLE!$F$15,$M28-$A$15,BJ$13)="",10^12,OFFSET(CRONOPLE!$F$15,$M28-$A$15,BJ$13)))</f>
        <v>1000000000000</v>
      </c>
      <c r="BK28" s="178">
        <f ca="1">IF(OR($D28&lt;&gt;"Serviço",AND(AUTOEVENTO="Manual",$M28=$A$15)),0,
         IF(OFFSET(CRONOPLE!$F$15,$M28-$A$15,BK$13)="",10^12,OFFSET(CRONOPLE!$F$15,$M28-$A$15,BK$13)))</f>
        <v>1000000000000</v>
      </c>
      <c r="BL28" s="178">
        <f ca="1">IF(OR($D28&lt;&gt;"Serviço",AND(AUTOEVENTO="Manual",$M28=$A$15)),0,
         IF(OFFSET(CRONOPLE!$F$15,$M28-$A$15,BL$13)="",10^12,OFFSET(CRONOPLE!$F$15,$M28-$A$15,BL$13)))</f>
        <v>1000000000000</v>
      </c>
      <c r="BM28" s="178">
        <f ca="1">IF(OR($D28&lt;&gt;"Serviço",AND(AUTOEVENTO="Manual",$M28=$A$15)),0,
         IF(OFFSET(CRONOPLE!$F$15,$M28-$A$15,BM$13)="",10^12,OFFSET(CRONOPLE!$F$15,$M28-$A$15,BM$13)))</f>
        <v>1000000000000</v>
      </c>
      <c r="BN28" s="178">
        <f ca="1">IF(OR($D28&lt;&gt;"Serviço",AND(AUTOEVENTO="Manual",$M28=$A$15)),0,
         IF(OFFSET(CRONOPLE!$F$15,$M28-$A$15,BN$13)="",10^12,OFFSET(CRONOPLE!$F$15,$M28-$A$15,BN$13)))</f>
        <v>1000000000000</v>
      </c>
      <c r="BO28" s="178">
        <f ca="1">IF(OR($D28&lt;&gt;"Serviço",AND(AUTOEVENTO="Manual",$M28=$A$15)),0,
         IF(OFFSET(CRONOPLE!$F$15,$M28-$A$15,BO$13)="",10^12,OFFSET(CRONOPLE!$F$15,$M28-$A$15,BO$13)))</f>
        <v>1000000000000</v>
      </c>
      <c r="BP28" s="178">
        <f ca="1">IF(OR($D28&lt;&gt;"Serviço",AND(AUTOEVENTO="Manual",$M28=$A$15)),0,
         IF(OFFSET(CRONOPLE!$F$15,$M28-$A$15,BP$13)="",10^12,OFFSET(CRONOPLE!$F$15,$M28-$A$15,BP$13)))</f>
        <v>1000000000000</v>
      </c>
      <c r="BQ28" s="178">
        <f ca="1">IF(OR($D28&lt;&gt;"Serviço",AND(AUTOEVENTO="Manual",$M28=$A$15)),0,
         IF(OFFSET(CRONOPLE!$F$15,$M28-$A$15,BQ$13)="",10^12,OFFSET(CRONOPLE!$F$15,$M28-$A$15,BQ$13)))</f>
        <v>1000000000000</v>
      </c>
      <c r="BR28" s="178">
        <f ca="1">IF(OR($D28&lt;&gt;"Serviço",AND(AUTOEVENTO="Manual",$M28=$A$15)),0,
         IF(OFFSET(CRONOPLE!$F$15,$M28-$A$15,BR$13)="",10^12,OFFSET(CRONOPLE!$F$15,$M28-$A$15,BR$13)))</f>
        <v>1000000000000</v>
      </c>
      <c r="BS28" s="178">
        <f ca="1">IF(OR($D28&lt;&gt;"Serviço",AND(AUTOEVENTO="Manual",$M28=$A$15)),0,
         IF(OFFSET(CRONOPLE!$F$15,$M28-$A$15,BS$13)="",10^12,OFFSET(CRONOPLE!$F$15,$M28-$A$15,BS$13)))</f>
        <v>1000000000000</v>
      </c>
      <c r="BT28" s="178">
        <f ca="1">IF(OR($D28&lt;&gt;"Serviço",AND(AUTOEVENTO="Manual",$M28=$A$15)),0,
         IF(OFFSET(CRONOPLE!$F$15,$M28-$A$15,BT$13)="",10^12,OFFSET(CRONOPLE!$F$15,$M28-$A$15,BT$13)))</f>
        <v>1000000000000</v>
      </c>
      <c r="BV28" s="179">
        <f ca="1">IF(OR($D28&lt;&gt;"Serviço",AND(AUTOEVENTO="Manual",$M28=$A$15),$M28&gt;(ROW(PLE.lastrow)-ROW(PLE.firstrow))),0,
           IF(OFFSET(PLE!$G$15,$M28-$A$15,BV$13)="",10^12,OFFSET(PLE!$G$15,$M28-$A$15,BV$13)))</f>
        <v>1000000000000</v>
      </c>
      <c r="BW28" s="179">
        <f ca="1">IF(OR($D28&lt;&gt;"Serviço",AND(AUTOEVENTO="Manual",$M28=$A$15),$M28&gt;(ROW(PLE.lastrow)-ROW(PLE.firstrow))),0,
           IF(OFFSET(PLE!$G$15,$M28-$A$15,BW$13)="",10^12,OFFSET(PLE!$G$15,$M28-$A$15,BW$13)))</f>
        <v>1000000000000</v>
      </c>
      <c r="BX28" s="179">
        <f ca="1">IF(OR($D28&lt;&gt;"Serviço",AND(AUTOEVENTO="Manual",$M28=$A$15),$M28&gt;(ROW(PLE.lastrow)-ROW(PLE.firstrow))),0,
           IF(OFFSET(PLE!$G$15,$M28-$A$15,BX$13)="",10^12,OFFSET(PLE!$G$15,$M28-$A$15,BX$13)))</f>
        <v>1000000000000</v>
      </c>
      <c r="BY28" s="179">
        <f ca="1">IF(OR($D28&lt;&gt;"Serviço",AND(AUTOEVENTO="Manual",$M28=$A$15),$M28&gt;(ROW(PLE.lastrow)-ROW(PLE.firstrow))),0,
           IF(OFFSET(PLE!$G$15,$M28-$A$15,BY$13)="",10^12,OFFSET(PLE!$G$15,$M28-$A$15,BY$13)))</f>
        <v>1000000000000</v>
      </c>
      <c r="BZ28" s="179">
        <f ca="1">IF(OR($D28&lt;&gt;"Serviço",AND(AUTOEVENTO="Manual",$M28=$A$15),$M28&gt;(ROW(PLE.lastrow)-ROW(PLE.firstrow))),0,
           IF(OFFSET(PLE!$G$15,$M28-$A$15,BZ$13)="",10^12,OFFSET(PLE!$G$15,$M28-$A$15,BZ$13)))</f>
        <v>1000000000000</v>
      </c>
      <c r="CA28" s="179">
        <f ca="1">IF(OR($D28&lt;&gt;"Serviço",AND(AUTOEVENTO="Manual",$M28=$A$15),$M28&gt;(ROW(PLE.lastrow)-ROW(PLE.firstrow))),0,
           IF(OFFSET(PLE!$G$15,$M28-$A$15,CA$13)="",10^12,OFFSET(PLE!$G$15,$M28-$A$15,CA$13)))</f>
        <v>1000000000000</v>
      </c>
      <c r="CB28" s="179">
        <f ca="1">IF(OR($D28&lt;&gt;"Serviço",AND(AUTOEVENTO="Manual",$M28=$A$15),$M28&gt;(ROW(PLE.lastrow)-ROW(PLE.firstrow))),0,
           IF(OFFSET(PLE!$G$15,$M28-$A$15,CB$13)="",10^12,OFFSET(PLE!$G$15,$M28-$A$15,CB$13)))</f>
        <v>1000000000000</v>
      </c>
      <c r="CC28" s="179">
        <f ca="1">IF(OR($D28&lt;&gt;"Serviço",AND(AUTOEVENTO="Manual",$M28=$A$15),$M28&gt;(ROW(PLE.lastrow)-ROW(PLE.firstrow))),0,
           IF(OFFSET(PLE!$G$15,$M28-$A$15,CC$13)="",10^12,OFFSET(PLE!$G$15,$M28-$A$15,CC$13)))</f>
        <v>1000000000000</v>
      </c>
      <c r="CD28" s="179">
        <f ca="1">IF(OR($D28&lt;&gt;"Serviço",AND(AUTOEVENTO="Manual",$M28=$A$15),$M28&gt;(ROW(PLE.lastrow)-ROW(PLE.firstrow))),0,
           IF(OFFSET(PLE!$G$15,$M28-$A$15,CD$13)="",10^12,OFFSET(PLE!$G$15,$M28-$A$15,CD$13)))</f>
        <v>1000000000000</v>
      </c>
      <c r="CE28" s="179">
        <f ca="1">IF(OR($D28&lt;&gt;"Serviço",AND(AUTOEVENTO="Manual",$M28=$A$15),$M28&gt;(ROW(PLE.lastrow)-ROW(PLE.firstrow))),0,
           IF(OFFSET(PLE!$G$15,$M28-$A$15,CE$13)="",10^12,OFFSET(PLE!$G$15,$M28-$A$15,CE$13)))</f>
        <v>1000000000000</v>
      </c>
      <c r="CF28" s="179">
        <f ca="1">IF(OR($D28&lt;&gt;"Serviço",AND(AUTOEVENTO="Manual",$M28=$A$15),$M28&gt;(ROW(PLE.lastrow)-ROW(PLE.firstrow))),0,
           IF(OFFSET(PLE!$G$15,$M28-$A$15,CF$13)="",10^12,OFFSET(PLE!$G$15,$M28-$A$15,CF$13)))</f>
        <v>1000000000000</v>
      </c>
      <c r="CG28" s="179">
        <f ca="1">IF(OR($D28&lt;&gt;"Serviço",AND(AUTOEVENTO="Manual",$M28=$A$15),$M28&gt;(ROW(PLE.lastrow)-ROW(PLE.firstrow))),0,
           IF(OFFSET(PLE!$G$15,$M28-$A$15,CG$13)="",10^12,OFFSET(PLE!$G$15,$M28-$A$15,CG$13)))</f>
        <v>1000000000000</v>
      </c>
      <c r="CH28" s="179">
        <f ca="1">IF(OR($D28&lt;&gt;"Serviço",AND(AUTOEVENTO="Manual",$M28=$A$15),$M28&gt;(ROW(PLE.lastrow)-ROW(PLE.firstrow))),0,
           IF(OFFSET(PLE!$G$15,$M28-$A$15,CH$13)="",10^12,OFFSET(PLE!$G$15,$M28-$A$15,CH$13)))</f>
        <v>1000000000000</v>
      </c>
      <c r="CI28" s="179">
        <f ca="1">IF(OR($D28&lt;&gt;"Serviço",AND(AUTOEVENTO="Manual",$M28=$A$15),$M28&gt;(ROW(PLE.lastrow)-ROW(PLE.firstrow))),0,
           IF(OFFSET(PLE!$G$15,$M28-$A$15,CI$13)="",10^12,OFFSET(PLE!$G$15,$M28-$A$15,CI$13)))</f>
        <v>1000000000000</v>
      </c>
      <c r="CJ28" s="179">
        <f ca="1">IF(OR($D28&lt;&gt;"Serviço",AND(AUTOEVENTO="Manual",$M28=$A$15),$M28&gt;(ROW(PLE.lastrow)-ROW(PLE.firstrow))),0,
           IF(OFFSET(PLE!$G$15,$M28-$A$15,CJ$13)="",10^12,OFFSET(PLE!$G$15,$M28-$A$15,CJ$13)))</f>
        <v>1000000000000</v>
      </c>
      <c r="CK28" s="179">
        <f ca="1">IF(OR($D28&lt;&gt;"Serviço",AND(AUTOEVENTO="Manual",$M28=$A$15),$M28&gt;(ROW(PLE.lastrow)-ROW(PLE.firstrow))),0,
           IF(OFFSET(PLE!$G$15,$M28-$A$15,CK$13)="",10^12,OFFSET(PLE!$G$15,$M28-$A$15,CK$13)))</f>
        <v>1000000000000</v>
      </c>
      <c r="CL28" s="179">
        <f ca="1">IF(OR($D28&lt;&gt;"Serviço",AND(AUTOEVENTO="Manual",$M28=$A$15),$M28&gt;(ROW(PLE.lastrow)-ROW(PLE.firstrow))),0,
           IF(OFFSET(PLE!$G$15,$M28-$A$15,CL$13)="",10^12,OFFSET(PLE!$G$15,$M28-$A$15,CL$13)))</f>
        <v>1000000000000</v>
      </c>
      <c r="CM28" s="179">
        <f ca="1">IF(OR($D28&lt;&gt;"Serviço",AND(AUTOEVENTO="Manual",$M28=$A$15),$M28&gt;(ROW(PLE.lastrow)-ROW(PLE.firstrow))),0,
           IF(OFFSET(PLE!$G$15,$M28-$A$15,CM$13)="",10^12,OFFSET(PLE!$G$15,$M28-$A$15,CM$13)))</f>
        <v>1000000000000</v>
      </c>
    </row>
    <row r="29" spans="1:91" ht="12.75" x14ac:dyDescent="0.2">
      <c r="A29" s="7" t="str">
        <f ca="1">IF(AUTOEVENTO="Manual",IF(K29&lt;&gt;"",MIN(VALUE(LEFT(K29,FIND(".",K29)-1)),COUNTA(EVENTOS.Lista)),0),IF(OR($B29&gt;AUTOEVENTO,$B29="S",$B29=0),SUBSTITUTE(OFFSET($A29,-1,0),IF($D29="Serviço",".",""),""),ROW(A29)-ROW($A$15)&amp;"."))</f>
        <v>14.</v>
      </c>
      <c r="B29" s="7">
        <f ca="1">OFFSET(ORÇAMENTO!C$15,ROW(B29)-ROW(B$15),0)</f>
        <v>2</v>
      </c>
      <c r="C29" s="7" t="str">
        <f ca="1">OFFSET(ORÇAMENTO!L$15,ROW(C29)-ROW(C$15),0)</f>
        <v>F</v>
      </c>
      <c r="D29" s="118" t="str">
        <f ca="1">OFFSET(ORÇAMENTO!N$15,ROW(D29)-ROW(D$15),0)</f>
        <v>Nível 2</v>
      </c>
      <c r="E29" s="119" t="str">
        <f ca="1">OFFSET(ORÇAMENTO!O$15,ROW(E29)-ROW(E$15),0)</f>
        <v>1.4.</v>
      </c>
      <c r="F29" s="170" t="str">
        <f ca="1">OFFSET(ORÇAMENTO!R$15,ROW(F29)-ROW(F$15),0)</f>
        <v>PAVIMENTAÇÃO</v>
      </c>
      <c r="G29" s="171" t="str">
        <f ca="1">IF($D29&lt;&gt;"Serviço","",OFFSET(ORÇAMENTO!S$15,ROW(G29)-ROW(G$15),0))</f>
        <v/>
      </c>
      <c r="H29" s="124" cm="1">
        <f t="array" aca="1" ref="H29" ca="1">IF($D29&lt;&gt;"Serviço",0,IF(_xlfn.SINGLE(ACOMPANHAMENTO)="BM",ROUND(OFFSET(ORÇAMENTO!AJ$15,ROW(H29)-ROW(H$15),0),15-13*ORÇAMENTO!$AF$7),SUMPRODUCT(($Q$1:$AI$1)*ROUND($Q29:$AI29,15-13*ORÇAMENTO!$AF$7))))</f>
        <v>0</v>
      </c>
      <c r="I29" s="500"/>
      <c r="J29" s="632" t="str" cm="1">
        <f t="array" aca="1" ref="J29" ca="1">IF(B29&lt;&gt;"S","",IF(AND(ACOMPANHAMENTO="PLE",AUTOEVENTO="Manual",OR(H29&gt;0,ORÇAMENTO!AC29="QUANT."),OR(K29="",M29=0,N29="")),"►",IF(AND(ACOMPANHAMENTO="PLE",ORÇAMENTO!AC29="QUANT."),"►►",IF(AND(COUNTIF($P$11:$AI$11,"▼")=0,H29&gt;0,I29=""),"◄",""))))</f>
        <v/>
      </c>
      <c r="K29" s="624"/>
      <c r="L29" s="172" t="s">
        <v>253</v>
      </c>
      <c r="M29" s="173" t="str">
        <f ca="1">IF($D29&lt;&gt;"Serviço","",
          IF(AUTOEVENTO="manual",$A29,
                IF(ISERROR(MATCH($A29,$A$15:OFFSET($A29,-1,0),0)),MAX($M$15:OFFSET(M29,-1,0))+1,
                      INDEX($M$15:OFFSET(M29,-1,0),MATCH($A29,$A$15:OFFSET($A29,-1,0),0)))))</f>
        <v/>
      </c>
      <c r="N29" s="174" t="str">
        <f ca="1">IF($D29&lt;&gt;"Serviço","",
         IF(AUTOEVENTO="Manual",
                IF($A29=0,"&lt;-- defina o número do agrupador",
                       OFFSET(EVENTOS!$D$15,$A29-$A$15,0)),
                OFFSET($F$15,$A29,0)))</f>
        <v/>
      </c>
      <c r="O29" s="175"/>
      <c r="Q29" s="175"/>
      <c r="R29" s="176"/>
      <c r="S29" s="176"/>
      <c r="T29" s="176"/>
      <c r="U29" s="176"/>
      <c r="V29" s="176"/>
      <c r="W29" s="176"/>
      <c r="X29" s="176"/>
      <c r="Y29" s="176"/>
      <c r="Z29" s="177"/>
      <c r="AA29" s="176"/>
      <c r="AB29" s="176"/>
      <c r="AC29" s="176"/>
      <c r="AD29" s="176"/>
      <c r="AE29" s="176"/>
      <c r="AF29" s="176"/>
      <c r="AG29" s="176"/>
      <c r="AH29" s="177"/>
      <c r="AJ29" s="485">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85">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L29" s="485">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0</v>
      </c>
      <c r="AM29" s="485">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0</v>
      </c>
      <c r="AN29" s="485">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0</v>
      </c>
      <c r="AO29" s="485">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0</v>
      </c>
      <c r="AP29" s="485">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0</v>
      </c>
      <c r="AQ29" s="485">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0</v>
      </c>
      <c r="AR29" s="485">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85">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85">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85">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85">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85">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85">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85">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85">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85">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8">
        <f ca="1">IF(OR($D29&lt;&gt;"Serviço",AND(AUTOEVENTO="Manual",$M29=$A$15)),0,
         IF(OFFSET(CRONOPLE!$F$15,$M29-$A$15,BC$13)="",10^12,OFFSET(CRONOPLE!$F$15,$M29-$A$15,BC$13)))</f>
        <v>0</v>
      </c>
      <c r="BD29" s="178">
        <f ca="1">IF(OR($D29&lt;&gt;"Serviço",AND(AUTOEVENTO="Manual",$M29=$A$15)),0,
         IF(OFFSET(CRONOPLE!$F$15,$M29-$A$15,BD$13)="",10^12,OFFSET(CRONOPLE!$F$15,$M29-$A$15,BD$13)))</f>
        <v>0</v>
      </c>
      <c r="BE29" s="178">
        <f ca="1">IF(OR($D29&lt;&gt;"Serviço",AND(AUTOEVENTO="Manual",$M29=$A$15)),0,
         IF(OFFSET(CRONOPLE!$F$15,$M29-$A$15,BE$13)="",10^12,OFFSET(CRONOPLE!$F$15,$M29-$A$15,BE$13)))</f>
        <v>0</v>
      </c>
      <c r="BF29" s="178">
        <f ca="1">IF(OR($D29&lt;&gt;"Serviço",AND(AUTOEVENTO="Manual",$M29=$A$15)),0,
         IF(OFFSET(CRONOPLE!$F$15,$M29-$A$15,BF$13)="",10^12,OFFSET(CRONOPLE!$F$15,$M29-$A$15,BF$13)))</f>
        <v>0</v>
      </c>
      <c r="BG29" s="178">
        <f ca="1">IF(OR($D29&lt;&gt;"Serviço",AND(AUTOEVENTO="Manual",$M29=$A$15)),0,
         IF(OFFSET(CRONOPLE!$F$15,$M29-$A$15,BG$13)="",10^12,OFFSET(CRONOPLE!$F$15,$M29-$A$15,BG$13)))</f>
        <v>0</v>
      </c>
      <c r="BH29" s="178">
        <f ca="1">IF(OR($D29&lt;&gt;"Serviço",AND(AUTOEVENTO="Manual",$M29=$A$15)),0,
         IF(OFFSET(CRONOPLE!$F$15,$M29-$A$15,BH$13)="",10^12,OFFSET(CRONOPLE!$F$15,$M29-$A$15,BH$13)))</f>
        <v>0</v>
      </c>
      <c r="BI29" s="178">
        <f ca="1">IF(OR($D29&lt;&gt;"Serviço",AND(AUTOEVENTO="Manual",$M29=$A$15)),0,
         IF(OFFSET(CRONOPLE!$F$15,$M29-$A$15,BI$13)="",10^12,OFFSET(CRONOPLE!$F$15,$M29-$A$15,BI$13)))</f>
        <v>0</v>
      </c>
      <c r="BJ29" s="178">
        <f ca="1">IF(OR($D29&lt;&gt;"Serviço",AND(AUTOEVENTO="Manual",$M29=$A$15)),0,
         IF(OFFSET(CRONOPLE!$F$15,$M29-$A$15,BJ$13)="",10^12,OFFSET(CRONOPLE!$F$15,$M29-$A$15,BJ$13)))</f>
        <v>0</v>
      </c>
      <c r="BK29" s="178">
        <f ca="1">IF(OR($D29&lt;&gt;"Serviço",AND(AUTOEVENTO="Manual",$M29=$A$15)),0,
         IF(OFFSET(CRONOPLE!$F$15,$M29-$A$15,BK$13)="",10^12,OFFSET(CRONOPLE!$F$15,$M29-$A$15,BK$13)))</f>
        <v>0</v>
      </c>
      <c r="BL29" s="178">
        <f ca="1">IF(OR($D29&lt;&gt;"Serviço",AND(AUTOEVENTO="Manual",$M29=$A$15)),0,
         IF(OFFSET(CRONOPLE!$F$15,$M29-$A$15,BL$13)="",10^12,OFFSET(CRONOPLE!$F$15,$M29-$A$15,BL$13)))</f>
        <v>0</v>
      </c>
      <c r="BM29" s="178">
        <f ca="1">IF(OR($D29&lt;&gt;"Serviço",AND(AUTOEVENTO="Manual",$M29=$A$15)),0,
         IF(OFFSET(CRONOPLE!$F$15,$M29-$A$15,BM$13)="",10^12,OFFSET(CRONOPLE!$F$15,$M29-$A$15,BM$13)))</f>
        <v>0</v>
      </c>
      <c r="BN29" s="178">
        <f ca="1">IF(OR($D29&lt;&gt;"Serviço",AND(AUTOEVENTO="Manual",$M29=$A$15)),0,
         IF(OFFSET(CRONOPLE!$F$15,$M29-$A$15,BN$13)="",10^12,OFFSET(CRONOPLE!$F$15,$M29-$A$15,BN$13)))</f>
        <v>0</v>
      </c>
      <c r="BO29" s="178">
        <f ca="1">IF(OR($D29&lt;&gt;"Serviço",AND(AUTOEVENTO="Manual",$M29=$A$15)),0,
         IF(OFFSET(CRONOPLE!$F$15,$M29-$A$15,BO$13)="",10^12,OFFSET(CRONOPLE!$F$15,$M29-$A$15,BO$13)))</f>
        <v>0</v>
      </c>
      <c r="BP29" s="178">
        <f ca="1">IF(OR($D29&lt;&gt;"Serviço",AND(AUTOEVENTO="Manual",$M29=$A$15)),0,
         IF(OFFSET(CRONOPLE!$F$15,$M29-$A$15,BP$13)="",10^12,OFFSET(CRONOPLE!$F$15,$M29-$A$15,BP$13)))</f>
        <v>0</v>
      </c>
      <c r="BQ29" s="178">
        <f ca="1">IF(OR($D29&lt;&gt;"Serviço",AND(AUTOEVENTO="Manual",$M29=$A$15)),0,
         IF(OFFSET(CRONOPLE!$F$15,$M29-$A$15,BQ$13)="",10^12,OFFSET(CRONOPLE!$F$15,$M29-$A$15,BQ$13)))</f>
        <v>0</v>
      </c>
      <c r="BR29" s="178">
        <f ca="1">IF(OR($D29&lt;&gt;"Serviço",AND(AUTOEVENTO="Manual",$M29=$A$15)),0,
         IF(OFFSET(CRONOPLE!$F$15,$M29-$A$15,BR$13)="",10^12,OFFSET(CRONOPLE!$F$15,$M29-$A$15,BR$13)))</f>
        <v>0</v>
      </c>
      <c r="BS29" s="178">
        <f ca="1">IF(OR($D29&lt;&gt;"Serviço",AND(AUTOEVENTO="Manual",$M29=$A$15)),0,
         IF(OFFSET(CRONOPLE!$F$15,$M29-$A$15,BS$13)="",10^12,OFFSET(CRONOPLE!$F$15,$M29-$A$15,BS$13)))</f>
        <v>0</v>
      </c>
      <c r="BT29" s="178">
        <f ca="1">IF(OR($D29&lt;&gt;"Serviço",AND(AUTOEVENTO="Manual",$M29=$A$15)),0,
         IF(OFFSET(CRONOPLE!$F$15,$M29-$A$15,BT$13)="",10^12,OFFSET(CRONOPLE!$F$15,$M29-$A$15,BT$13)))</f>
        <v>0</v>
      </c>
      <c r="BV29" s="179">
        <f ca="1">IF(OR($D29&lt;&gt;"Serviço",AND(AUTOEVENTO="Manual",$M29=$A$15),$M29&gt;(ROW(PLE.lastrow)-ROW(PLE.firstrow))),0,
           IF(OFFSET(PLE!$G$15,$M29-$A$15,BV$13)="",10^12,OFFSET(PLE!$G$15,$M29-$A$15,BV$13)))</f>
        <v>0</v>
      </c>
      <c r="BW29" s="179">
        <f ca="1">IF(OR($D29&lt;&gt;"Serviço",AND(AUTOEVENTO="Manual",$M29=$A$15),$M29&gt;(ROW(PLE.lastrow)-ROW(PLE.firstrow))),0,
           IF(OFFSET(PLE!$G$15,$M29-$A$15,BW$13)="",10^12,OFFSET(PLE!$G$15,$M29-$A$15,BW$13)))</f>
        <v>0</v>
      </c>
      <c r="BX29" s="179">
        <f ca="1">IF(OR($D29&lt;&gt;"Serviço",AND(AUTOEVENTO="Manual",$M29=$A$15),$M29&gt;(ROW(PLE.lastrow)-ROW(PLE.firstrow))),0,
           IF(OFFSET(PLE!$G$15,$M29-$A$15,BX$13)="",10^12,OFFSET(PLE!$G$15,$M29-$A$15,BX$13)))</f>
        <v>0</v>
      </c>
      <c r="BY29" s="179">
        <f ca="1">IF(OR($D29&lt;&gt;"Serviço",AND(AUTOEVENTO="Manual",$M29=$A$15),$M29&gt;(ROW(PLE.lastrow)-ROW(PLE.firstrow))),0,
           IF(OFFSET(PLE!$G$15,$M29-$A$15,BY$13)="",10^12,OFFSET(PLE!$G$15,$M29-$A$15,BY$13)))</f>
        <v>0</v>
      </c>
      <c r="BZ29" s="179">
        <f ca="1">IF(OR($D29&lt;&gt;"Serviço",AND(AUTOEVENTO="Manual",$M29=$A$15),$M29&gt;(ROW(PLE.lastrow)-ROW(PLE.firstrow))),0,
           IF(OFFSET(PLE!$G$15,$M29-$A$15,BZ$13)="",10^12,OFFSET(PLE!$G$15,$M29-$A$15,BZ$13)))</f>
        <v>0</v>
      </c>
      <c r="CA29" s="179">
        <f ca="1">IF(OR($D29&lt;&gt;"Serviço",AND(AUTOEVENTO="Manual",$M29=$A$15),$M29&gt;(ROW(PLE.lastrow)-ROW(PLE.firstrow))),0,
           IF(OFFSET(PLE!$G$15,$M29-$A$15,CA$13)="",10^12,OFFSET(PLE!$G$15,$M29-$A$15,CA$13)))</f>
        <v>0</v>
      </c>
      <c r="CB29" s="179">
        <f ca="1">IF(OR($D29&lt;&gt;"Serviço",AND(AUTOEVENTO="Manual",$M29=$A$15),$M29&gt;(ROW(PLE.lastrow)-ROW(PLE.firstrow))),0,
           IF(OFFSET(PLE!$G$15,$M29-$A$15,CB$13)="",10^12,OFFSET(PLE!$G$15,$M29-$A$15,CB$13)))</f>
        <v>0</v>
      </c>
      <c r="CC29" s="179">
        <f ca="1">IF(OR($D29&lt;&gt;"Serviço",AND(AUTOEVENTO="Manual",$M29=$A$15),$M29&gt;(ROW(PLE.lastrow)-ROW(PLE.firstrow))),0,
           IF(OFFSET(PLE!$G$15,$M29-$A$15,CC$13)="",10^12,OFFSET(PLE!$G$15,$M29-$A$15,CC$13)))</f>
        <v>0</v>
      </c>
      <c r="CD29" s="179">
        <f ca="1">IF(OR($D29&lt;&gt;"Serviço",AND(AUTOEVENTO="Manual",$M29=$A$15),$M29&gt;(ROW(PLE.lastrow)-ROW(PLE.firstrow))),0,
           IF(OFFSET(PLE!$G$15,$M29-$A$15,CD$13)="",10^12,OFFSET(PLE!$G$15,$M29-$A$15,CD$13)))</f>
        <v>0</v>
      </c>
      <c r="CE29" s="179">
        <f ca="1">IF(OR($D29&lt;&gt;"Serviço",AND(AUTOEVENTO="Manual",$M29=$A$15),$M29&gt;(ROW(PLE.lastrow)-ROW(PLE.firstrow))),0,
           IF(OFFSET(PLE!$G$15,$M29-$A$15,CE$13)="",10^12,OFFSET(PLE!$G$15,$M29-$A$15,CE$13)))</f>
        <v>0</v>
      </c>
      <c r="CF29" s="179">
        <f ca="1">IF(OR($D29&lt;&gt;"Serviço",AND(AUTOEVENTO="Manual",$M29=$A$15),$M29&gt;(ROW(PLE.lastrow)-ROW(PLE.firstrow))),0,
           IF(OFFSET(PLE!$G$15,$M29-$A$15,CF$13)="",10^12,OFFSET(PLE!$G$15,$M29-$A$15,CF$13)))</f>
        <v>0</v>
      </c>
      <c r="CG29" s="179">
        <f ca="1">IF(OR($D29&lt;&gt;"Serviço",AND(AUTOEVENTO="Manual",$M29=$A$15),$M29&gt;(ROW(PLE.lastrow)-ROW(PLE.firstrow))),0,
           IF(OFFSET(PLE!$G$15,$M29-$A$15,CG$13)="",10^12,OFFSET(PLE!$G$15,$M29-$A$15,CG$13)))</f>
        <v>0</v>
      </c>
      <c r="CH29" s="179">
        <f ca="1">IF(OR($D29&lt;&gt;"Serviço",AND(AUTOEVENTO="Manual",$M29=$A$15),$M29&gt;(ROW(PLE.lastrow)-ROW(PLE.firstrow))),0,
           IF(OFFSET(PLE!$G$15,$M29-$A$15,CH$13)="",10^12,OFFSET(PLE!$G$15,$M29-$A$15,CH$13)))</f>
        <v>0</v>
      </c>
      <c r="CI29" s="179">
        <f ca="1">IF(OR($D29&lt;&gt;"Serviço",AND(AUTOEVENTO="Manual",$M29=$A$15),$M29&gt;(ROW(PLE.lastrow)-ROW(PLE.firstrow))),0,
           IF(OFFSET(PLE!$G$15,$M29-$A$15,CI$13)="",10^12,OFFSET(PLE!$G$15,$M29-$A$15,CI$13)))</f>
        <v>0</v>
      </c>
      <c r="CJ29" s="179">
        <f ca="1">IF(OR($D29&lt;&gt;"Serviço",AND(AUTOEVENTO="Manual",$M29=$A$15),$M29&gt;(ROW(PLE.lastrow)-ROW(PLE.firstrow))),0,
           IF(OFFSET(PLE!$G$15,$M29-$A$15,CJ$13)="",10^12,OFFSET(PLE!$G$15,$M29-$A$15,CJ$13)))</f>
        <v>0</v>
      </c>
      <c r="CK29" s="179">
        <f ca="1">IF(OR($D29&lt;&gt;"Serviço",AND(AUTOEVENTO="Manual",$M29=$A$15),$M29&gt;(ROW(PLE.lastrow)-ROW(PLE.firstrow))),0,
           IF(OFFSET(PLE!$G$15,$M29-$A$15,CK$13)="",10^12,OFFSET(PLE!$G$15,$M29-$A$15,CK$13)))</f>
        <v>0</v>
      </c>
      <c r="CL29" s="179">
        <f ca="1">IF(OR($D29&lt;&gt;"Serviço",AND(AUTOEVENTO="Manual",$M29=$A$15),$M29&gt;(ROW(PLE.lastrow)-ROW(PLE.firstrow))),0,
           IF(OFFSET(PLE!$G$15,$M29-$A$15,CL$13)="",10^12,OFFSET(PLE!$G$15,$M29-$A$15,CL$13)))</f>
        <v>0</v>
      </c>
      <c r="CM29" s="179">
        <f ca="1">IF(OR($D29&lt;&gt;"Serviço",AND(AUTOEVENTO="Manual",$M29=$A$15),$M29&gt;(ROW(PLE.lastrow)-ROW(PLE.firstrow))),0,
           IF(OFFSET(PLE!$G$15,$M29-$A$15,CM$13)="",10^12,OFFSET(PLE!$G$15,$M29-$A$15,CM$13)))</f>
        <v>0</v>
      </c>
    </row>
    <row r="30" spans="1:91" ht="51" x14ac:dyDescent="0.2">
      <c r="A30" s="7" t="str">
        <f ca="1">IF(AUTOEVENTO="Manual",IF(K30&lt;&gt;"",MIN(VALUE(LEFT(K30,FIND(".",K30)-1)),COUNTA(EVENTOS.Lista)),0),IF(OR($B30&gt;AUTOEVENTO,$B30="S",$B30=0),SUBSTITUTE(OFFSET($A30,-1,0),IF($D30="Serviço",".",""),""),ROW(A30)-ROW($A$15)&amp;"."))</f>
        <v>14</v>
      </c>
      <c r="B30" s="7" t="str">
        <f ca="1">OFFSET(ORÇAMENTO!C$15,ROW(B30)-ROW(B$15),0)</f>
        <v>S</v>
      </c>
      <c r="C30" s="7" t="str">
        <f ca="1">OFFSET(ORÇAMENTO!L$15,ROW(C30)-ROW(C$15),0)</f>
        <v>F</v>
      </c>
      <c r="D30" s="118" t="str">
        <f ca="1">OFFSET(ORÇAMENTO!N$15,ROW(D30)-ROW(D$15),0)</f>
        <v>Serviço</v>
      </c>
      <c r="E30" s="119" t="str">
        <f ca="1">OFFSET(ORÇAMENTO!O$15,ROW(E30)-ROW(E$15),0)</f>
        <v>1.4.0.0.1.</v>
      </c>
      <c r="F30" s="170" t="str">
        <f ca="1">OFFSET(ORÇAMENTO!R$15,ROW(F30)-ROW(F$15),0)</f>
        <v>ASSENTAMENTO DE GUIA (MEIO-FIO) EM TRECHO RETO, CONFECCIONADA EM CONCRETO PRÉ-FABRICADO, DIMENSÕES 100X15X13X20 CM (COMPRIMENTO X BASE INFERIOR X BASE SUPERIOR X ALTURA). AF_01/2024</v>
      </c>
      <c r="G30" s="171" t="str">
        <f ca="1">IF($D30&lt;&gt;"Serviço","",OFFSET(ORÇAMENTO!S$15,ROW(G30)-ROW(G$15),0))</f>
        <v>M</v>
      </c>
      <c r="H30" s="124" cm="1">
        <f t="array" aca="1" ref="H30" ca="1">IF($D30&lt;&gt;"Serviço",0,IF(_xlfn.SINGLE(ACOMPANHAMENTO)="BM",ROUND(OFFSET(ORÇAMENTO!AJ$15,ROW(H30)-ROW(H$15),0),15-13*ORÇAMENTO!$AF$7),SUMPRODUCT(($Q$1:$AI$1)*ROUND($Q30:$AI30,15-13*ORÇAMENTO!$AF$7))))</f>
        <v>169.59</v>
      </c>
      <c r="I30" s="500" t="s">
        <v>1070</v>
      </c>
      <c r="J30" s="632" t="str" cm="1">
        <f t="array" aca="1" ref="J30" ca="1">IF(B30&lt;&gt;"S","",IF(AND(ACOMPANHAMENTO="PLE",AUTOEVENTO="Manual",OR(H30&gt;0,ORÇAMENTO!AC30="QUANT."),OR(K30="",M30=0,N30="")),"►",IF(AND(ACOMPANHAMENTO="PLE",ORÇAMENTO!AC30="QUANT."),"►►",IF(AND(COUNTIF($P$11:$AI$11,"▼")=0,H30&gt;0,I30=""),"◄",""))))</f>
        <v/>
      </c>
      <c r="K30" s="624"/>
      <c r="L30" s="172" t="s">
        <v>253</v>
      </c>
      <c r="M30" s="173">
        <f ca="1">IF($D30&lt;&gt;"Serviço","",
          IF(AUTOEVENTO="manual",$A30,
                IF(ISERROR(MATCH($A30,$A$15:OFFSET($A30,-1,0),0)),MAX($M$15:OFFSET(M30,-1,0))+1,
                      INDEX($M$15:OFFSET(M30,-1,0),MATCH($A30,$A$15:OFFSET($A30,-1,0),0)))))</f>
        <v>4</v>
      </c>
      <c r="N30" s="174" t="str">
        <f ca="1">IF($D30&lt;&gt;"Serviço","",
         IF(AUTOEVENTO="Manual",
                IF($A30=0,"&lt;-- defina o número do agrupador",
                       OFFSET(EVENTOS!$D$15,$A30-$A$15,0)),
                OFFSET($F$15,$A30,0)))</f>
        <v>PAVIMENTAÇÃO</v>
      </c>
      <c r="O30" s="175"/>
      <c r="Q30" s="175"/>
      <c r="R30" s="176"/>
      <c r="S30" s="176">
        <f>81.76+7.96+89.21+1.47+1.47+1.47+1.47-10.11-5.11</f>
        <v>169.58999999999997</v>
      </c>
      <c r="T30" s="176"/>
      <c r="U30" s="176"/>
      <c r="V30" s="176"/>
      <c r="W30" s="176"/>
      <c r="X30" s="176"/>
      <c r="Y30" s="176"/>
      <c r="Z30" s="177"/>
      <c r="AA30" s="176"/>
      <c r="AB30" s="176"/>
      <c r="AC30" s="176"/>
      <c r="AD30" s="176"/>
      <c r="AE30" s="176"/>
      <c r="AF30" s="176"/>
      <c r="AG30" s="176"/>
      <c r="AH30" s="177"/>
      <c r="AJ30" s="485">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85">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L30" s="485">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9537.74</v>
      </c>
      <c r="AM30" s="485">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0</v>
      </c>
      <c r="AN30" s="485">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0</v>
      </c>
      <c r="AO30" s="485">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0</v>
      </c>
      <c r="AP30" s="485">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0</v>
      </c>
      <c r="AQ30" s="485">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0</v>
      </c>
      <c r="AR30" s="485">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85">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85">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85">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85">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85">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85">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85">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85">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85">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8">
        <f ca="1">IF(OR($D30&lt;&gt;"Serviço",AND(AUTOEVENTO="Manual",$M30=$A$15)),0,
         IF(OFFSET(CRONOPLE!$F$15,$M30-$A$15,BC$13)="",10^12,OFFSET(CRONOPLE!$F$15,$M30-$A$15,BC$13)))</f>
        <v>1</v>
      </c>
      <c r="BD30" s="178">
        <f ca="1">IF(OR($D30&lt;&gt;"Serviço",AND(AUTOEVENTO="Manual",$M30=$A$15)),0,
         IF(OFFSET(CRONOPLE!$F$15,$M30-$A$15,BD$13)="",10^12,OFFSET(CRONOPLE!$F$15,$M30-$A$15,BD$13)))</f>
        <v>2</v>
      </c>
      <c r="BE30" s="178">
        <f ca="1">IF(OR($D30&lt;&gt;"Serviço",AND(AUTOEVENTO="Manual",$M30=$A$15)),0,
         IF(OFFSET(CRONOPLE!$F$15,$M30-$A$15,BE$13)="",10^12,OFFSET(CRONOPLE!$F$15,$M30-$A$15,BE$13)))</f>
        <v>3</v>
      </c>
      <c r="BF30" s="178">
        <f ca="1">IF(OR($D30&lt;&gt;"Serviço",AND(AUTOEVENTO="Manual",$M30=$A$15)),0,
         IF(OFFSET(CRONOPLE!$F$15,$M30-$A$15,BF$13)="",10^12,OFFSET(CRONOPLE!$F$15,$M30-$A$15,BF$13)))</f>
        <v>1000000000000</v>
      </c>
      <c r="BG30" s="178">
        <f ca="1">IF(OR($D30&lt;&gt;"Serviço",AND(AUTOEVENTO="Manual",$M30=$A$15)),0,
         IF(OFFSET(CRONOPLE!$F$15,$M30-$A$15,BG$13)="",10^12,OFFSET(CRONOPLE!$F$15,$M30-$A$15,BG$13)))</f>
        <v>1000000000000</v>
      </c>
      <c r="BH30" s="178">
        <f ca="1">IF(OR($D30&lt;&gt;"Serviço",AND(AUTOEVENTO="Manual",$M30=$A$15)),0,
         IF(OFFSET(CRONOPLE!$F$15,$M30-$A$15,BH$13)="",10^12,OFFSET(CRONOPLE!$F$15,$M30-$A$15,BH$13)))</f>
        <v>1000000000000</v>
      </c>
      <c r="BI30" s="178">
        <f ca="1">IF(OR($D30&lt;&gt;"Serviço",AND(AUTOEVENTO="Manual",$M30=$A$15)),0,
         IF(OFFSET(CRONOPLE!$F$15,$M30-$A$15,BI$13)="",10^12,OFFSET(CRONOPLE!$F$15,$M30-$A$15,BI$13)))</f>
        <v>7</v>
      </c>
      <c r="BJ30" s="178">
        <f ca="1">IF(OR($D30&lt;&gt;"Serviço",AND(AUTOEVENTO="Manual",$M30=$A$15)),0,
         IF(OFFSET(CRONOPLE!$F$15,$M30-$A$15,BJ$13)="",10^12,OFFSET(CRONOPLE!$F$15,$M30-$A$15,BJ$13)))</f>
        <v>1000000000000</v>
      </c>
      <c r="BK30" s="178">
        <f ca="1">IF(OR($D30&lt;&gt;"Serviço",AND(AUTOEVENTO="Manual",$M30=$A$15)),0,
         IF(OFFSET(CRONOPLE!$F$15,$M30-$A$15,BK$13)="",10^12,OFFSET(CRONOPLE!$F$15,$M30-$A$15,BK$13)))</f>
        <v>1000000000000</v>
      </c>
      <c r="BL30" s="178">
        <f ca="1">IF(OR($D30&lt;&gt;"Serviço",AND(AUTOEVENTO="Manual",$M30=$A$15)),0,
         IF(OFFSET(CRONOPLE!$F$15,$M30-$A$15,BL$13)="",10^12,OFFSET(CRONOPLE!$F$15,$M30-$A$15,BL$13)))</f>
        <v>1000000000000</v>
      </c>
      <c r="BM30" s="178">
        <f ca="1">IF(OR($D30&lt;&gt;"Serviço",AND(AUTOEVENTO="Manual",$M30=$A$15)),0,
         IF(OFFSET(CRONOPLE!$F$15,$M30-$A$15,BM$13)="",10^12,OFFSET(CRONOPLE!$F$15,$M30-$A$15,BM$13)))</f>
        <v>1000000000000</v>
      </c>
      <c r="BN30" s="178">
        <f ca="1">IF(OR($D30&lt;&gt;"Serviço",AND(AUTOEVENTO="Manual",$M30=$A$15)),0,
         IF(OFFSET(CRONOPLE!$F$15,$M30-$A$15,BN$13)="",10^12,OFFSET(CRONOPLE!$F$15,$M30-$A$15,BN$13)))</f>
        <v>1000000000000</v>
      </c>
      <c r="BO30" s="178">
        <f ca="1">IF(OR($D30&lt;&gt;"Serviço",AND(AUTOEVENTO="Manual",$M30=$A$15)),0,
         IF(OFFSET(CRONOPLE!$F$15,$M30-$A$15,BO$13)="",10^12,OFFSET(CRONOPLE!$F$15,$M30-$A$15,BO$13)))</f>
        <v>1000000000000</v>
      </c>
      <c r="BP30" s="178">
        <f ca="1">IF(OR($D30&lt;&gt;"Serviço",AND(AUTOEVENTO="Manual",$M30=$A$15)),0,
         IF(OFFSET(CRONOPLE!$F$15,$M30-$A$15,BP$13)="",10^12,OFFSET(CRONOPLE!$F$15,$M30-$A$15,BP$13)))</f>
        <v>1000000000000</v>
      </c>
      <c r="BQ30" s="178">
        <f ca="1">IF(OR($D30&lt;&gt;"Serviço",AND(AUTOEVENTO="Manual",$M30=$A$15)),0,
         IF(OFFSET(CRONOPLE!$F$15,$M30-$A$15,BQ$13)="",10^12,OFFSET(CRONOPLE!$F$15,$M30-$A$15,BQ$13)))</f>
        <v>1000000000000</v>
      </c>
      <c r="BR30" s="178">
        <f ca="1">IF(OR($D30&lt;&gt;"Serviço",AND(AUTOEVENTO="Manual",$M30=$A$15)),0,
         IF(OFFSET(CRONOPLE!$F$15,$M30-$A$15,BR$13)="",10^12,OFFSET(CRONOPLE!$F$15,$M30-$A$15,BR$13)))</f>
        <v>1000000000000</v>
      </c>
      <c r="BS30" s="178">
        <f ca="1">IF(OR($D30&lt;&gt;"Serviço",AND(AUTOEVENTO="Manual",$M30=$A$15)),0,
         IF(OFFSET(CRONOPLE!$F$15,$M30-$A$15,BS$13)="",10^12,OFFSET(CRONOPLE!$F$15,$M30-$A$15,BS$13)))</f>
        <v>1000000000000</v>
      </c>
      <c r="BT30" s="178">
        <f ca="1">IF(OR($D30&lt;&gt;"Serviço",AND(AUTOEVENTO="Manual",$M30=$A$15)),0,
         IF(OFFSET(CRONOPLE!$F$15,$M30-$A$15,BT$13)="",10^12,OFFSET(CRONOPLE!$F$15,$M30-$A$15,BT$13)))</f>
        <v>1000000000000</v>
      </c>
      <c r="BV30" s="179">
        <f ca="1">IF(OR($D30&lt;&gt;"Serviço",AND(AUTOEVENTO="Manual",$M30=$A$15),$M30&gt;(ROW(PLE.lastrow)-ROW(PLE.firstrow))),0,
           IF(OFFSET(PLE!$G$15,$M30-$A$15,BV$13)="",10^12,OFFSET(PLE!$G$15,$M30-$A$15,BV$13)))</f>
        <v>1000000000000</v>
      </c>
      <c r="BW30" s="179">
        <f ca="1">IF(OR($D30&lt;&gt;"Serviço",AND(AUTOEVENTO="Manual",$M30=$A$15),$M30&gt;(ROW(PLE.lastrow)-ROW(PLE.firstrow))),0,
           IF(OFFSET(PLE!$G$15,$M30-$A$15,BW$13)="",10^12,OFFSET(PLE!$G$15,$M30-$A$15,BW$13)))</f>
        <v>1000000000000</v>
      </c>
      <c r="BX30" s="179">
        <f ca="1">IF(OR($D30&lt;&gt;"Serviço",AND(AUTOEVENTO="Manual",$M30=$A$15),$M30&gt;(ROW(PLE.lastrow)-ROW(PLE.firstrow))),0,
           IF(OFFSET(PLE!$G$15,$M30-$A$15,BX$13)="",10^12,OFFSET(PLE!$G$15,$M30-$A$15,BX$13)))</f>
        <v>1000000000000</v>
      </c>
      <c r="BY30" s="179">
        <f ca="1">IF(OR($D30&lt;&gt;"Serviço",AND(AUTOEVENTO="Manual",$M30=$A$15),$M30&gt;(ROW(PLE.lastrow)-ROW(PLE.firstrow))),0,
           IF(OFFSET(PLE!$G$15,$M30-$A$15,BY$13)="",10^12,OFFSET(PLE!$G$15,$M30-$A$15,BY$13)))</f>
        <v>1000000000000</v>
      </c>
      <c r="BZ30" s="179">
        <f ca="1">IF(OR($D30&lt;&gt;"Serviço",AND(AUTOEVENTO="Manual",$M30=$A$15),$M30&gt;(ROW(PLE.lastrow)-ROW(PLE.firstrow))),0,
           IF(OFFSET(PLE!$G$15,$M30-$A$15,BZ$13)="",10^12,OFFSET(PLE!$G$15,$M30-$A$15,BZ$13)))</f>
        <v>1000000000000</v>
      </c>
      <c r="CA30" s="179">
        <f ca="1">IF(OR($D30&lt;&gt;"Serviço",AND(AUTOEVENTO="Manual",$M30=$A$15),$M30&gt;(ROW(PLE.lastrow)-ROW(PLE.firstrow))),0,
           IF(OFFSET(PLE!$G$15,$M30-$A$15,CA$13)="",10^12,OFFSET(PLE!$G$15,$M30-$A$15,CA$13)))</f>
        <v>1000000000000</v>
      </c>
      <c r="CB30" s="179">
        <f ca="1">IF(OR($D30&lt;&gt;"Serviço",AND(AUTOEVENTO="Manual",$M30=$A$15),$M30&gt;(ROW(PLE.lastrow)-ROW(PLE.firstrow))),0,
           IF(OFFSET(PLE!$G$15,$M30-$A$15,CB$13)="",10^12,OFFSET(PLE!$G$15,$M30-$A$15,CB$13)))</f>
        <v>1000000000000</v>
      </c>
      <c r="CC30" s="179">
        <f ca="1">IF(OR($D30&lt;&gt;"Serviço",AND(AUTOEVENTO="Manual",$M30=$A$15),$M30&gt;(ROW(PLE.lastrow)-ROW(PLE.firstrow))),0,
           IF(OFFSET(PLE!$G$15,$M30-$A$15,CC$13)="",10^12,OFFSET(PLE!$G$15,$M30-$A$15,CC$13)))</f>
        <v>1000000000000</v>
      </c>
      <c r="CD30" s="179">
        <f ca="1">IF(OR($D30&lt;&gt;"Serviço",AND(AUTOEVENTO="Manual",$M30=$A$15),$M30&gt;(ROW(PLE.lastrow)-ROW(PLE.firstrow))),0,
           IF(OFFSET(PLE!$G$15,$M30-$A$15,CD$13)="",10^12,OFFSET(PLE!$G$15,$M30-$A$15,CD$13)))</f>
        <v>1000000000000</v>
      </c>
      <c r="CE30" s="179">
        <f ca="1">IF(OR($D30&lt;&gt;"Serviço",AND(AUTOEVENTO="Manual",$M30=$A$15),$M30&gt;(ROW(PLE.lastrow)-ROW(PLE.firstrow))),0,
           IF(OFFSET(PLE!$G$15,$M30-$A$15,CE$13)="",10^12,OFFSET(PLE!$G$15,$M30-$A$15,CE$13)))</f>
        <v>1000000000000</v>
      </c>
      <c r="CF30" s="179">
        <f ca="1">IF(OR($D30&lt;&gt;"Serviço",AND(AUTOEVENTO="Manual",$M30=$A$15),$M30&gt;(ROW(PLE.lastrow)-ROW(PLE.firstrow))),0,
           IF(OFFSET(PLE!$G$15,$M30-$A$15,CF$13)="",10^12,OFFSET(PLE!$G$15,$M30-$A$15,CF$13)))</f>
        <v>1000000000000</v>
      </c>
      <c r="CG30" s="179">
        <f ca="1">IF(OR($D30&lt;&gt;"Serviço",AND(AUTOEVENTO="Manual",$M30=$A$15),$M30&gt;(ROW(PLE.lastrow)-ROW(PLE.firstrow))),0,
           IF(OFFSET(PLE!$G$15,$M30-$A$15,CG$13)="",10^12,OFFSET(PLE!$G$15,$M30-$A$15,CG$13)))</f>
        <v>1000000000000</v>
      </c>
      <c r="CH30" s="179">
        <f ca="1">IF(OR($D30&lt;&gt;"Serviço",AND(AUTOEVENTO="Manual",$M30=$A$15),$M30&gt;(ROW(PLE.lastrow)-ROW(PLE.firstrow))),0,
           IF(OFFSET(PLE!$G$15,$M30-$A$15,CH$13)="",10^12,OFFSET(PLE!$G$15,$M30-$A$15,CH$13)))</f>
        <v>1000000000000</v>
      </c>
      <c r="CI30" s="179">
        <f ca="1">IF(OR($D30&lt;&gt;"Serviço",AND(AUTOEVENTO="Manual",$M30=$A$15),$M30&gt;(ROW(PLE.lastrow)-ROW(PLE.firstrow))),0,
           IF(OFFSET(PLE!$G$15,$M30-$A$15,CI$13)="",10^12,OFFSET(PLE!$G$15,$M30-$A$15,CI$13)))</f>
        <v>1000000000000</v>
      </c>
      <c r="CJ30" s="179">
        <f ca="1">IF(OR($D30&lt;&gt;"Serviço",AND(AUTOEVENTO="Manual",$M30=$A$15),$M30&gt;(ROW(PLE.lastrow)-ROW(PLE.firstrow))),0,
           IF(OFFSET(PLE!$G$15,$M30-$A$15,CJ$13)="",10^12,OFFSET(PLE!$G$15,$M30-$A$15,CJ$13)))</f>
        <v>1000000000000</v>
      </c>
      <c r="CK30" s="179">
        <f ca="1">IF(OR($D30&lt;&gt;"Serviço",AND(AUTOEVENTO="Manual",$M30=$A$15),$M30&gt;(ROW(PLE.lastrow)-ROW(PLE.firstrow))),0,
           IF(OFFSET(PLE!$G$15,$M30-$A$15,CK$13)="",10^12,OFFSET(PLE!$G$15,$M30-$A$15,CK$13)))</f>
        <v>1000000000000</v>
      </c>
      <c r="CL30" s="179">
        <f ca="1">IF(OR($D30&lt;&gt;"Serviço",AND(AUTOEVENTO="Manual",$M30=$A$15),$M30&gt;(ROW(PLE.lastrow)-ROW(PLE.firstrow))),0,
           IF(OFFSET(PLE!$G$15,$M30-$A$15,CL$13)="",10^12,OFFSET(PLE!$G$15,$M30-$A$15,CL$13)))</f>
        <v>1000000000000</v>
      </c>
      <c r="CM30" s="179">
        <f ca="1">IF(OR($D30&lt;&gt;"Serviço",AND(AUTOEVENTO="Manual",$M30=$A$15),$M30&gt;(ROW(PLE.lastrow)-ROW(PLE.firstrow))),0,
           IF(OFFSET(PLE!$G$15,$M30-$A$15,CM$13)="",10^12,OFFSET(PLE!$G$15,$M30-$A$15,CM$13)))</f>
        <v>1000000000000</v>
      </c>
    </row>
    <row r="31" spans="1:91" ht="51" x14ac:dyDescent="0.2">
      <c r="A31" s="7" t="str">
        <f ca="1">IF(AUTOEVENTO="Manual",IF(K31&lt;&gt;"",MIN(VALUE(LEFT(K31,FIND(".",K31)-1)),COUNTA(EVENTOS.Lista)),0),IF(OR($B31&gt;AUTOEVENTO,$B31="S",$B31=0),SUBSTITUTE(OFFSET($A31,-1,0),IF($D31="Serviço",".",""),""),ROW(A31)-ROW($A$15)&amp;"."))</f>
        <v>14</v>
      </c>
      <c r="B31" s="7" t="str">
        <f ca="1">OFFSET(ORÇAMENTO!C$15,ROW(B31)-ROW(B$15),0)</f>
        <v>S</v>
      </c>
      <c r="C31" s="7" t="str">
        <f ca="1">OFFSET(ORÇAMENTO!L$15,ROW(C31)-ROW(C$15),0)</f>
        <v>F</v>
      </c>
      <c r="D31" s="118" t="str">
        <f ca="1">OFFSET(ORÇAMENTO!N$15,ROW(D31)-ROW(D$15),0)</f>
        <v>Serviço</v>
      </c>
      <c r="E31" s="119" t="str">
        <f ca="1">OFFSET(ORÇAMENTO!O$15,ROW(E31)-ROW(E$15),0)</f>
        <v>1.4.0.0.2.</v>
      </c>
      <c r="F31" s="170" t="str">
        <f ca="1">OFFSET(ORÇAMENTO!R$15,ROW(F31)-ROW(F$15),0)</f>
        <v>ASSENTAMENTO DE GUIA (MEIO-FIO) EM TRECHO CURVO, CONFECCIONADA EM CONCRETO PRÉ-FABRICADO, DIMENSÕES 100X15X13X20 CM (COMPRIMENTO X BASE INFERIOR X BASE SUPERIOR X ALTURA). AF_01/2024</v>
      </c>
      <c r="G31" s="171" t="str">
        <f ca="1">IF($D31&lt;&gt;"Serviço","",OFFSET(ORÇAMENTO!S$15,ROW(G31)-ROW(G$15),0))</f>
        <v>M</v>
      </c>
      <c r="H31" s="124" cm="1">
        <f t="array" aca="1" ref="H31" ca="1">IF($D31&lt;&gt;"Serviço",0,IF(_xlfn.SINGLE(ACOMPANHAMENTO)="BM",ROUND(OFFSET(ORÇAMENTO!AJ$15,ROW(H31)-ROW(H$15),0),15-13*ORÇAMENTO!$AF$7),SUMPRODUCT(($Q$1:$AI$1)*ROUND($Q31:$AI31,15-13*ORÇAMENTO!$AF$7))))</f>
        <v>7.85</v>
      </c>
      <c r="I31" s="500" t="s">
        <v>1070</v>
      </c>
      <c r="J31" s="632" t="str" cm="1">
        <f t="array" aca="1" ref="J31" ca="1">IF(B31&lt;&gt;"S","",IF(AND(ACOMPANHAMENTO="PLE",AUTOEVENTO="Manual",OR(H31&gt;0,ORÇAMENTO!AC31="QUANT."),OR(K31="",M31=0,N31="")),"►",IF(AND(ACOMPANHAMENTO="PLE",ORÇAMENTO!AC31="QUANT."),"►►",IF(AND(COUNTIF($P$11:$AI$11,"▼")=0,H31&gt;0,I31=""),"◄",""))))</f>
        <v/>
      </c>
      <c r="K31" s="624"/>
      <c r="L31" s="172" t="s">
        <v>253</v>
      </c>
      <c r="M31" s="173">
        <f ca="1">IF($D31&lt;&gt;"Serviço","",
          IF(AUTOEVENTO="manual",$A31,
                IF(ISERROR(MATCH($A31,$A$15:OFFSET($A31,-1,0),0)),MAX($M$15:OFFSET(M31,-1,0))+1,
                      INDEX($M$15:OFFSET(M31,-1,0),MATCH($A31,$A$15:OFFSET($A31,-1,0),0)))))</f>
        <v>4</v>
      </c>
      <c r="N31" s="174" t="str">
        <f ca="1">IF($D31&lt;&gt;"Serviço","",
         IF(AUTOEVENTO="Manual",
                IF($A31=0,"&lt;-- defina o número do agrupador",
                       OFFSET(EVENTOS!$D$15,$A31-$A$15,0)),
                OFFSET($F$15,$A31,0)))</f>
        <v>PAVIMENTAÇÃO</v>
      </c>
      <c r="O31" s="175"/>
      <c r="Q31" s="175"/>
      <c r="R31" s="176"/>
      <c r="S31" s="176">
        <v>7.85</v>
      </c>
      <c r="T31" s="176"/>
      <c r="U31" s="176"/>
      <c r="V31" s="176"/>
      <c r="W31" s="176"/>
      <c r="X31" s="176"/>
      <c r="Y31" s="176"/>
      <c r="Z31" s="177"/>
      <c r="AA31" s="176"/>
      <c r="AB31" s="176"/>
      <c r="AC31" s="176"/>
      <c r="AD31" s="176"/>
      <c r="AE31" s="176"/>
      <c r="AF31" s="176"/>
      <c r="AG31" s="176"/>
      <c r="AH31" s="177"/>
      <c r="AJ31" s="485">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85">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L31" s="485">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473.9</v>
      </c>
      <c r="AM31" s="485">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0</v>
      </c>
      <c r="AN31" s="485">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0</v>
      </c>
      <c r="AO31" s="485">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0</v>
      </c>
      <c r="AP31" s="485">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0</v>
      </c>
      <c r="AQ31" s="485">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0</v>
      </c>
      <c r="AR31" s="485">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85">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85">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85">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85">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85">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85">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85">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85">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85">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8">
        <f ca="1">IF(OR($D31&lt;&gt;"Serviço",AND(AUTOEVENTO="Manual",$M31=$A$15)),0,
         IF(OFFSET(CRONOPLE!$F$15,$M31-$A$15,BC$13)="",10^12,OFFSET(CRONOPLE!$F$15,$M31-$A$15,BC$13)))</f>
        <v>1</v>
      </c>
      <c r="BD31" s="178">
        <f ca="1">IF(OR($D31&lt;&gt;"Serviço",AND(AUTOEVENTO="Manual",$M31=$A$15)),0,
         IF(OFFSET(CRONOPLE!$F$15,$M31-$A$15,BD$13)="",10^12,OFFSET(CRONOPLE!$F$15,$M31-$A$15,BD$13)))</f>
        <v>2</v>
      </c>
      <c r="BE31" s="178">
        <f ca="1">IF(OR($D31&lt;&gt;"Serviço",AND(AUTOEVENTO="Manual",$M31=$A$15)),0,
         IF(OFFSET(CRONOPLE!$F$15,$M31-$A$15,BE$13)="",10^12,OFFSET(CRONOPLE!$F$15,$M31-$A$15,BE$13)))</f>
        <v>3</v>
      </c>
      <c r="BF31" s="178">
        <f ca="1">IF(OR($D31&lt;&gt;"Serviço",AND(AUTOEVENTO="Manual",$M31=$A$15)),0,
         IF(OFFSET(CRONOPLE!$F$15,$M31-$A$15,BF$13)="",10^12,OFFSET(CRONOPLE!$F$15,$M31-$A$15,BF$13)))</f>
        <v>1000000000000</v>
      </c>
      <c r="BG31" s="178">
        <f ca="1">IF(OR($D31&lt;&gt;"Serviço",AND(AUTOEVENTO="Manual",$M31=$A$15)),0,
         IF(OFFSET(CRONOPLE!$F$15,$M31-$A$15,BG$13)="",10^12,OFFSET(CRONOPLE!$F$15,$M31-$A$15,BG$13)))</f>
        <v>1000000000000</v>
      </c>
      <c r="BH31" s="178">
        <f ca="1">IF(OR($D31&lt;&gt;"Serviço",AND(AUTOEVENTO="Manual",$M31=$A$15)),0,
         IF(OFFSET(CRONOPLE!$F$15,$M31-$A$15,BH$13)="",10^12,OFFSET(CRONOPLE!$F$15,$M31-$A$15,BH$13)))</f>
        <v>1000000000000</v>
      </c>
      <c r="BI31" s="178">
        <f ca="1">IF(OR($D31&lt;&gt;"Serviço",AND(AUTOEVENTO="Manual",$M31=$A$15)),0,
         IF(OFFSET(CRONOPLE!$F$15,$M31-$A$15,BI$13)="",10^12,OFFSET(CRONOPLE!$F$15,$M31-$A$15,BI$13)))</f>
        <v>7</v>
      </c>
      <c r="BJ31" s="178">
        <f ca="1">IF(OR($D31&lt;&gt;"Serviço",AND(AUTOEVENTO="Manual",$M31=$A$15)),0,
         IF(OFFSET(CRONOPLE!$F$15,$M31-$A$15,BJ$13)="",10^12,OFFSET(CRONOPLE!$F$15,$M31-$A$15,BJ$13)))</f>
        <v>1000000000000</v>
      </c>
      <c r="BK31" s="178">
        <f ca="1">IF(OR($D31&lt;&gt;"Serviço",AND(AUTOEVENTO="Manual",$M31=$A$15)),0,
         IF(OFFSET(CRONOPLE!$F$15,$M31-$A$15,BK$13)="",10^12,OFFSET(CRONOPLE!$F$15,$M31-$A$15,BK$13)))</f>
        <v>1000000000000</v>
      </c>
      <c r="BL31" s="178">
        <f ca="1">IF(OR($D31&lt;&gt;"Serviço",AND(AUTOEVENTO="Manual",$M31=$A$15)),0,
         IF(OFFSET(CRONOPLE!$F$15,$M31-$A$15,BL$13)="",10^12,OFFSET(CRONOPLE!$F$15,$M31-$A$15,BL$13)))</f>
        <v>1000000000000</v>
      </c>
      <c r="BM31" s="178">
        <f ca="1">IF(OR($D31&lt;&gt;"Serviço",AND(AUTOEVENTO="Manual",$M31=$A$15)),0,
         IF(OFFSET(CRONOPLE!$F$15,$M31-$A$15,BM$13)="",10^12,OFFSET(CRONOPLE!$F$15,$M31-$A$15,BM$13)))</f>
        <v>1000000000000</v>
      </c>
      <c r="BN31" s="178">
        <f ca="1">IF(OR($D31&lt;&gt;"Serviço",AND(AUTOEVENTO="Manual",$M31=$A$15)),0,
         IF(OFFSET(CRONOPLE!$F$15,$M31-$A$15,BN$13)="",10^12,OFFSET(CRONOPLE!$F$15,$M31-$A$15,BN$13)))</f>
        <v>1000000000000</v>
      </c>
      <c r="BO31" s="178">
        <f ca="1">IF(OR($D31&lt;&gt;"Serviço",AND(AUTOEVENTO="Manual",$M31=$A$15)),0,
         IF(OFFSET(CRONOPLE!$F$15,$M31-$A$15,BO$13)="",10^12,OFFSET(CRONOPLE!$F$15,$M31-$A$15,BO$13)))</f>
        <v>1000000000000</v>
      </c>
      <c r="BP31" s="178">
        <f ca="1">IF(OR($D31&lt;&gt;"Serviço",AND(AUTOEVENTO="Manual",$M31=$A$15)),0,
         IF(OFFSET(CRONOPLE!$F$15,$M31-$A$15,BP$13)="",10^12,OFFSET(CRONOPLE!$F$15,$M31-$A$15,BP$13)))</f>
        <v>1000000000000</v>
      </c>
      <c r="BQ31" s="178">
        <f ca="1">IF(OR($D31&lt;&gt;"Serviço",AND(AUTOEVENTO="Manual",$M31=$A$15)),0,
         IF(OFFSET(CRONOPLE!$F$15,$M31-$A$15,BQ$13)="",10^12,OFFSET(CRONOPLE!$F$15,$M31-$A$15,BQ$13)))</f>
        <v>1000000000000</v>
      </c>
      <c r="BR31" s="178">
        <f ca="1">IF(OR($D31&lt;&gt;"Serviço",AND(AUTOEVENTO="Manual",$M31=$A$15)),0,
         IF(OFFSET(CRONOPLE!$F$15,$M31-$A$15,BR$13)="",10^12,OFFSET(CRONOPLE!$F$15,$M31-$A$15,BR$13)))</f>
        <v>1000000000000</v>
      </c>
      <c r="BS31" s="178">
        <f ca="1">IF(OR($D31&lt;&gt;"Serviço",AND(AUTOEVENTO="Manual",$M31=$A$15)),0,
         IF(OFFSET(CRONOPLE!$F$15,$M31-$A$15,BS$13)="",10^12,OFFSET(CRONOPLE!$F$15,$M31-$A$15,BS$13)))</f>
        <v>1000000000000</v>
      </c>
      <c r="BT31" s="178">
        <f ca="1">IF(OR($D31&lt;&gt;"Serviço",AND(AUTOEVENTO="Manual",$M31=$A$15)),0,
         IF(OFFSET(CRONOPLE!$F$15,$M31-$A$15,BT$13)="",10^12,OFFSET(CRONOPLE!$F$15,$M31-$A$15,BT$13)))</f>
        <v>1000000000000</v>
      </c>
      <c r="BV31" s="179">
        <f ca="1">IF(OR($D31&lt;&gt;"Serviço",AND(AUTOEVENTO="Manual",$M31=$A$15),$M31&gt;(ROW(PLE.lastrow)-ROW(PLE.firstrow))),0,
           IF(OFFSET(PLE!$G$15,$M31-$A$15,BV$13)="",10^12,OFFSET(PLE!$G$15,$M31-$A$15,BV$13)))</f>
        <v>1000000000000</v>
      </c>
      <c r="BW31" s="179">
        <f ca="1">IF(OR($D31&lt;&gt;"Serviço",AND(AUTOEVENTO="Manual",$M31=$A$15),$M31&gt;(ROW(PLE.lastrow)-ROW(PLE.firstrow))),0,
           IF(OFFSET(PLE!$G$15,$M31-$A$15,BW$13)="",10^12,OFFSET(PLE!$G$15,$M31-$A$15,BW$13)))</f>
        <v>1000000000000</v>
      </c>
      <c r="BX31" s="179">
        <f ca="1">IF(OR($D31&lt;&gt;"Serviço",AND(AUTOEVENTO="Manual",$M31=$A$15),$M31&gt;(ROW(PLE.lastrow)-ROW(PLE.firstrow))),0,
           IF(OFFSET(PLE!$G$15,$M31-$A$15,BX$13)="",10^12,OFFSET(PLE!$G$15,$M31-$A$15,BX$13)))</f>
        <v>1000000000000</v>
      </c>
      <c r="BY31" s="179">
        <f ca="1">IF(OR($D31&lt;&gt;"Serviço",AND(AUTOEVENTO="Manual",$M31=$A$15),$M31&gt;(ROW(PLE.lastrow)-ROW(PLE.firstrow))),0,
           IF(OFFSET(PLE!$G$15,$M31-$A$15,BY$13)="",10^12,OFFSET(PLE!$G$15,$M31-$A$15,BY$13)))</f>
        <v>1000000000000</v>
      </c>
      <c r="BZ31" s="179">
        <f ca="1">IF(OR($D31&lt;&gt;"Serviço",AND(AUTOEVENTO="Manual",$M31=$A$15),$M31&gt;(ROW(PLE.lastrow)-ROW(PLE.firstrow))),0,
           IF(OFFSET(PLE!$G$15,$M31-$A$15,BZ$13)="",10^12,OFFSET(PLE!$G$15,$M31-$A$15,BZ$13)))</f>
        <v>1000000000000</v>
      </c>
      <c r="CA31" s="179">
        <f ca="1">IF(OR($D31&lt;&gt;"Serviço",AND(AUTOEVENTO="Manual",$M31=$A$15),$M31&gt;(ROW(PLE.lastrow)-ROW(PLE.firstrow))),0,
           IF(OFFSET(PLE!$G$15,$M31-$A$15,CA$13)="",10^12,OFFSET(PLE!$G$15,$M31-$A$15,CA$13)))</f>
        <v>1000000000000</v>
      </c>
      <c r="CB31" s="179">
        <f ca="1">IF(OR($D31&lt;&gt;"Serviço",AND(AUTOEVENTO="Manual",$M31=$A$15),$M31&gt;(ROW(PLE.lastrow)-ROW(PLE.firstrow))),0,
           IF(OFFSET(PLE!$G$15,$M31-$A$15,CB$13)="",10^12,OFFSET(PLE!$G$15,$M31-$A$15,CB$13)))</f>
        <v>1000000000000</v>
      </c>
      <c r="CC31" s="179">
        <f ca="1">IF(OR($D31&lt;&gt;"Serviço",AND(AUTOEVENTO="Manual",$M31=$A$15),$M31&gt;(ROW(PLE.lastrow)-ROW(PLE.firstrow))),0,
           IF(OFFSET(PLE!$G$15,$M31-$A$15,CC$13)="",10^12,OFFSET(PLE!$G$15,$M31-$A$15,CC$13)))</f>
        <v>1000000000000</v>
      </c>
      <c r="CD31" s="179">
        <f ca="1">IF(OR($D31&lt;&gt;"Serviço",AND(AUTOEVENTO="Manual",$M31=$A$15),$M31&gt;(ROW(PLE.lastrow)-ROW(PLE.firstrow))),0,
           IF(OFFSET(PLE!$G$15,$M31-$A$15,CD$13)="",10^12,OFFSET(PLE!$G$15,$M31-$A$15,CD$13)))</f>
        <v>1000000000000</v>
      </c>
      <c r="CE31" s="179">
        <f ca="1">IF(OR($D31&lt;&gt;"Serviço",AND(AUTOEVENTO="Manual",$M31=$A$15),$M31&gt;(ROW(PLE.lastrow)-ROW(PLE.firstrow))),0,
           IF(OFFSET(PLE!$G$15,$M31-$A$15,CE$13)="",10^12,OFFSET(PLE!$G$15,$M31-$A$15,CE$13)))</f>
        <v>1000000000000</v>
      </c>
      <c r="CF31" s="179">
        <f ca="1">IF(OR($D31&lt;&gt;"Serviço",AND(AUTOEVENTO="Manual",$M31=$A$15),$M31&gt;(ROW(PLE.lastrow)-ROW(PLE.firstrow))),0,
           IF(OFFSET(PLE!$G$15,$M31-$A$15,CF$13)="",10^12,OFFSET(PLE!$G$15,$M31-$A$15,CF$13)))</f>
        <v>1000000000000</v>
      </c>
      <c r="CG31" s="179">
        <f ca="1">IF(OR($D31&lt;&gt;"Serviço",AND(AUTOEVENTO="Manual",$M31=$A$15),$M31&gt;(ROW(PLE.lastrow)-ROW(PLE.firstrow))),0,
           IF(OFFSET(PLE!$G$15,$M31-$A$15,CG$13)="",10^12,OFFSET(PLE!$G$15,$M31-$A$15,CG$13)))</f>
        <v>1000000000000</v>
      </c>
      <c r="CH31" s="179">
        <f ca="1">IF(OR($D31&lt;&gt;"Serviço",AND(AUTOEVENTO="Manual",$M31=$A$15),$M31&gt;(ROW(PLE.lastrow)-ROW(PLE.firstrow))),0,
           IF(OFFSET(PLE!$G$15,$M31-$A$15,CH$13)="",10^12,OFFSET(PLE!$G$15,$M31-$A$15,CH$13)))</f>
        <v>1000000000000</v>
      </c>
      <c r="CI31" s="179">
        <f ca="1">IF(OR($D31&lt;&gt;"Serviço",AND(AUTOEVENTO="Manual",$M31=$A$15),$M31&gt;(ROW(PLE.lastrow)-ROW(PLE.firstrow))),0,
           IF(OFFSET(PLE!$G$15,$M31-$A$15,CI$13)="",10^12,OFFSET(PLE!$G$15,$M31-$A$15,CI$13)))</f>
        <v>1000000000000</v>
      </c>
      <c r="CJ31" s="179">
        <f ca="1">IF(OR($D31&lt;&gt;"Serviço",AND(AUTOEVENTO="Manual",$M31=$A$15),$M31&gt;(ROW(PLE.lastrow)-ROW(PLE.firstrow))),0,
           IF(OFFSET(PLE!$G$15,$M31-$A$15,CJ$13)="",10^12,OFFSET(PLE!$G$15,$M31-$A$15,CJ$13)))</f>
        <v>1000000000000</v>
      </c>
      <c r="CK31" s="179">
        <f ca="1">IF(OR($D31&lt;&gt;"Serviço",AND(AUTOEVENTO="Manual",$M31=$A$15),$M31&gt;(ROW(PLE.lastrow)-ROW(PLE.firstrow))),0,
           IF(OFFSET(PLE!$G$15,$M31-$A$15,CK$13)="",10^12,OFFSET(PLE!$G$15,$M31-$A$15,CK$13)))</f>
        <v>1000000000000</v>
      </c>
      <c r="CL31" s="179">
        <f ca="1">IF(OR($D31&lt;&gt;"Serviço",AND(AUTOEVENTO="Manual",$M31=$A$15),$M31&gt;(ROW(PLE.lastrow)-ROW(PLE.firstrow))),0,
           IF(OFFSET(PLE!$G$15,$M31-$A$15,CL$13)="",10^12,OFFSET(PLE!$G$15,$M31-$A$15,CL$13)))</f>
        <v>1000000000000</v>
      </c>
      <c r="CM31" s="179">
        <f ca="1">IF(OR($D31&lt;&gt;"Serviço",AND(AUTOEVENTO="Manual",$M31=$A$15),$M31&gt;(ROW(PLE.lastrow)-ROW(PLE.firstrow))),0,
           IF(OFFSET(PLE!$G$15,$M31-$A$15,CM$13)="",10^12,OFFSET(PLE!$G$15,$M31-$A$15,CM$13)))</f>
        <v>1000000000000</v>
      </c>
    </row>
    <row r="32" spans="1:91" ht="38.25" x14ac:dyDescent="0.2">
      <c r="A32" s="7" t="str">
        <f ca="1">IF(AUTOEVENTO="Manual",IF(K32&lt;&gt;"",MIN(VALUE(LEFT(K32,FIND(".",K32)-1)),COUNTA(EVENTOS.Lista)),0),IF(OR($B32&gt;AUTOEVENTO,$B32="S",$B32=0),SUBSTITUTE(OFFSET($A32,-1,0),IF($D32="Serviço",".",""),""),ROW(A32)-ROW($A$15)&amp;"."))</f>
        <v>14</v>
      </c>
      <c r="B32" s="7" t="str">
        <f ca="1">OFFSET(ORÇAMENTO!C$15,ROW(B32)-ROW(B$15),0)</f>
        <v>S</v>
      </c>
      <c r="C32" s="7" t="str">
        <f ca="1">OFFSET(ORÇAMENTO!L$15,ROW(C32)-ROW(C$15),0)</f>
        <v>F</v>
      </c>
      <c r="D32" s="118" t="str">
        <f ca="1">OFFSET(ORÇAMENTO!N$15,ROW(D32)-ROW(D$15),0)</f>
        <v>Serviço</v>
      </c>
      <c r="E32" s="119" t="str">
        <f ca="1">OFFSET(ORÇAMENTO!O$15,ROW(E32)-ROW(E$15),0)</f>
        <v>1.4.0.0.3.</v>
      </c>
      <c r="F32" s="170" t="str">
        <f ca="1">OFFSET(ORÇAMENTO!R$15,ROW(F32)-ROW(F$15),0)</f>
        <v>EXECUÇÃO DE PASSEIO (CALÇADA) OU PISO DE CONCRETO COM CONCRETO MOLDADO IN LOCO, USINADO, ACABAMENTO CONVENCIONAL, ESPESSURA 8 CM, ARMADO. AF_08/2022</v>
      </c>
      <c r="G32" s="171" t="str">
        <f ca="1">IF($D32&lt;&gt;"Serviço","",OFFSET(ORÇAMENTO!S$15,ROW(G32)-ROW(G$15),0))</f>
        <v>M2</v>
      </c>
      <c r="H32" s="124" cm="1">
        <f t="array" aca="1" ref="H32" ca="1">IF($D32&lt;&gt;"Serviço",0,IF(_xlfn.SINGLE(ACOMPANHAMENTO)="BM",ROUND(OFFSET(ORÇAMENTO!AJ$15,ROW(H32)-ROW(H$15),0),15-13*ORÇAMENTO!$AF$7),SUMPRODUCT(($Q$1:$AI$1)*ROUND($Q32:$AI32,15-13*ORÇAMENTO!$AF$7))))</f>
        <v>412.18</v>
      </c>
      <c r="I32" s="500" t="s">
        <v>1070</v>
      </c>
      <c r="J32" s="632" t="str" cm="1">
        <f t="array" aca="1" ref="J32" ca="1">IF(B32&lt;&gt;"S","",IF(AND(ACOMPANHAMENTO="PLE",AUTOEVENTO="Manual",OR(H32&gt;0,ORÇAMENTO!AC32="QUANT."),OR(K32="",M32=0,N32="")),"►",IF(AND(ACOMPANHAMENTO="PLE",ORÇAMENTO!AC32="QUANT."),"►►",IF(AND(COUNTIF($P$11:$AI$11,"▼")=0,H32&gt;0,I32=""),"◄",""))))</f>
        <v/>
      </c>
      <c r="K32" s="624"/>
      <c r="L32" s="172" t="s">
        <v>253</v>
      </c>
      <c r="M32" s="173">
        <f ca="1">IF($D32&lt;&gt;"Serviço","",
          IF(AUTOEVENTO="manual",$A32,
                IF(ISERROR(MATCH($A32,$A$15:OFFSET($A32,-1,0),0)),MAX($M$15:OFFSET(M32,-1,0))+1,
                      INDEX($M$15:OFFSET(M32,-1,0),MATCH($A32,$A$15:OFFSET($A32,-1,0),0)))))</f>
        <v>4</v>
      </c>
      <c r="N32" s="174" t="str">
        <f ca="1">IF($D32&lt;&gt;"Serviço","",
         IF(AUTOEVENTO="Manual",
                IF($A32=0,"&lt;-- defina o número do agrupador",
                       OFFSET(EVENTOS!$D$15,$A32-$A$15,0)),
                OFFSET($F$15,$A32,0)))</f>
        <v>PAVIMENTAÇÃO</v>
      </c>
      <c r="O32" s="175"/>
      <c r="Q32" s="175"/>
      <c r="R32" s="176"/>
      <c r="S32" s="176">
        <v>412.18</v>
      </c>
      <c r="T32" s="176"/>
      <c r="U32" s="176"/>
      <c r="V32" s="176"/>
      <c r="W32" s="176"/>
      <c r="X32" s="176"/>
      <c r="Y32" s="176"/>
      <c r="Z32" s="177"/>
      <c r="AA32" s="176"/>
      <c r="AB32" s="176"/>
      <c r="AC32" s="176"/>
      <c r="AD32" s="176"/>
      <c r="AE32" s="176"/>
      <c r="AF32" s="176"/>
      <c r="AG32" s="176"/>
      <c r="AH32" s="177"/>
      <c r="AJ32" s="485">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85">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L32" s="485">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52140.77</v>
      </c>
      <c r="AM32" s="485">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0</v>
      </c>
      <c r="AN32" s="485">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85">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85">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85">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85">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85">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85">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85">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85">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85">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85">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85">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85">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85">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8">
        <f ca="1">IF(OR($D32&lt;&gt;"Serviço",AND(AUTOEVENTO="Manual",$M32=$A$15)),0,
         IF(OFFSET(CRONOPLE!$F$15,$M32-$A$15,BC$13)="",10^12,OFFSET(CRONOPLE!$F$15,$M32-$A$15,BC$13)))</f>
        <v>1</v>
      </c>
      <c r="BD32" s="178">
        <f ca="1">IF(OR($D32&lt;&gt;"Serviço",AND(AUTOEVENTO="Manual",$M32=$A$15)),0,
         IF(OFFSET(CRONOPLE!$F$15,$M32-$A$15,BD$13)="",10^12,OFFSET(CRONOPLE!$F$15,$M32-$A$15,BD$13)))</f>
        <v>2</v>
      </c>
      <c r="BE32" s="178">
        <f ca="1">IF(OR($D32&lt;&gt;"Serviço",AND(AUTOEVENTO="Manual",$M32=$A$15)),0,
         IF(OFFSET(CRONOPLE!$F$15,$M32-$A$15,BE$13)="",10^12,OFFSET(CRONOPLE!$F$15,$M32-$A$15,BE$13)))</f>
        <v>3</v>
      </c>
      <c r="BF32" s="178">
        <f ca="1">IF(OR($D32&lt;&gt;"Serviço",AND(AUTOEVENTO="Manual",$M32=$A$15)),0,
         IF(OFFSET(CRONOPLE!$F$15,$M32-$A$15,BF$13)="",10^12,OFFSET(CRONOPLE!$F$15,$M32-$A$15,BF$13)))</f>
        <v>1000000000000</v>
      </c>
      <c r="BG32" s="178">
        <f ca="1">IF(OR($D32&lt;&gt;"Serviço",AND(AUTOEVENTO="Manual",$M32=$A$15)),0,
         IF(OFFSET(CRONOPLE!$F$15,$M32-$A$15,BG$13)="",10^12,OFFSET(CRONOPLE!$F$15,$M32-$A$15,BG$13)))</f>
        <v>1000000000000</v>
      </c>
      <c r="BH32" s="178">
        <f ca="1">IF(OR($D32&lt;&gt;"Serviço",AND(AUTOEVENTO="Manual",$M32=$A$15)),0,
         IF(OFFSET(CRONOPLE!$F$15,$M32-$A$15,BH$13)="",10^12,OFFSET(CRONOPLE!$F$15,$M32-$A$15,BH$13)))</f>
        <v>1000000000000</v>
      </c>
      <c r="BI32" s="178">
        <f ca="1">IF(OR($D32&lt;&gt;"Serviço",AND(AUTOEVENTO="Manual",$M32=$A$15)),0,
         IF(OFFSET(CRONOPLE!$F$15,$M32-$A$15,BI$13)="",10^12,OFFSET(CRONOPLE!$F$15,$M32-$A$15,BI$13)))</f>
        <v>7</v>
      </c>
      <c r="BJ32" s="178">
        <f ca="1">IF(OR($D32&lt;&gt;"Serviço",AND(AUTOEVENTO="Manual",$M32=$A$15)),0,
         IF(OFFSET(CRONOPLE!$F$15,$M32-$A$15,BJ$13)="",10^12,OFFSET(CRONOPLE!$F$15,$M32-$A$15,BJ$13)))</f>
        <v>1000000000000</v>
      </c>
      <c r="BK32" s="178">
        <f ca="1">IF(OR($D32&lt;&gt;"Serviço",AND(AUTOEVENTO="Manual",$M32=$A$15)),0,
         IF(OFFSET(CRONOPLE!$F$15,$M32-$A$15,BK$13)="",10^12,OFFSET(CRONOPLE!$F$15,$M32-$A$15,BK$13)))</f>
        <v>1000000000000</v>
      </c>
      <c r="BL32" s="178">
        <f ca="1">IF(OR($D32&lt;&gt;"Serviço",AND(AUTOEVENTO="Manual",$M32=$A$15)),0,
         IF(OFFSET(CRONOPLE!$F$15,$M32-$A$15,BL$13)="",10^12,OFFSET(CRONOPLE!$F$15,$M32-$A$15,BL$13)))</f>
        <v>1000000000000</v>
      </c>
      <c r="BM32" s="178">
        <f ca="1">IF(OR($D32&lt;&gt;"Serviço",AND(AUTOEVENTO="Manual",$M32=$A$15)),0,
         IF(OFFSET(CRONOPLE!$F$15,$M32-$A$15,BM$13)="",10^12,OFFSET(CRONOPLE!$F$15,$M32-$A$15,BM$13)))</f>
        <v>1000000000000</v>
      </c>
      <c r="BN32" s="178">
        <f ca="1">IF(OR($D32&lt;&gt;"Serviço",AND(AUTOEVENTO="Manual",$M32=$A$15)),0,
         IF(OFFSET(CRONOPLE!$F$15,$M32-$A$15,BN$13)="",10^12,OFFSET(CRONOPLE!$F$15,$M32-$A$15,BN$13)))</f>
        <v>1000000000000</v>
      </c>
      <c r="BO32" s="178">
        <f ca="1">IF(OR($D32&lt;&gt;"Serviço",AND(AUTOEVENTO="Manual",$M32=$A$15)),0,
         IF(OFFSET(CRONOPLE!$F$15,$M32-$A$15,BO$13)="",10^12,OFFSET(CRONOPLE!$F$15,$M32-$A$15,BO$13)))</f>
        <v>1000000000000</v>
      </c>
      <c r="BP32" s="178">
        <f ca="1">IF(OR($D32&lt;&gt;"Serviço",AND(AUTOEVENTO="Manual",$M32=$A$15)),0,
         IF(OFFSET(CRONOPLE!$F$15,$M32-$A$15,BP$13)="",10^12,OFFSET(CRONOPLE!$F$15,$M32-$A$15,BP$13)))</f>
        <v>1000000000000</v>
      </c>
      <c r="BQ32" s="178">
        <f ca="1">IF(OR($D32&lt;&gt;"Serviço",AND(AUTOEVENTO="Manual",$M32=$A$15)),0,
         IF(OFFSET(CRONOPLE!$F$15,$M32-$A$15,BQ$13)="",10^12,OFFSET(CRONOPLE!$F$15,$M32-$A$15,BQ$13)))</f>
        <v>1000000000000</v>
      </c>
      <c r="BR32" s="178">
        <f ca="1">IF(OR($D32&lt;&gt;"Serviço",AND(AUTOEVENTO="Manual",$M32=$A$15)),0,
         IF(OFFSET(CRONOPLE!$F$15,$M32-$A$15,BR$13)="",10^12,OFFSET(CRONOPLE!$F$15,$M32-$A$15,BR$13)))</f>
        <v>1000000000000</v>
      </c>
      <c r="BS32" s="178">
        <f ca="1">IF(OR($D32&lt;&gt;"Serviço",AND(AUTOEVENTO="Manual",$M32=$A$15)),0,
         IF(OFFSET(CRONOPLE!$F$15,$M32-$A$15,BS$13)="",10^12,OFFSET(CRONOPLE!$F$15,$M32-$A$15,BS$13)))</f>
        <v>1000000000000</v>
      </c>
      <c r="BT32" s="178">
        <f ca="1">IF(OR($D32&lt;&gt;"Serviço",AND(AUTOEVENTO="Manual",$M32=$A$15)),0,
         IF(OFFSET(CRONOPLE!$F$15,$M32-$A$15,BT$13)="",10^12,OFFSET(CRONOPLE!$F$15,$M32-$A$15,BT$13)))</f>
        <v>1000000000000</v>
      </c>
      <c r="BV32" s="179">
        <f ca="1">IF(OR($D32&lt;&gt;"Serviço",AND(AUTOEVENTO="Manual",$M32=$A$15),$M32&gt;(ROW(PLE.lastrow)-ROW(PLE.firstrow))),0,
           IF(OFFSET(PLE!$G$15,$M32-$A$15,BV$13)="",10^12,OFFSET(PLE!$G$15,$M32-$A$15,BV$13)))</f>
        <v>1000000000000</v>
      </c>
      <c r="BW32" s="179">
        <f ca="1">IF(OR($D32&lt;&gt;"Serviço",AND(AUTOEVENTO="Manual",$M32=$A$15),$M32&gt;(ROW(PLE.lastrow)-ROW(PLE.firstrow))),0,
           IF(OFFSET(PLE!$G$15,$M32-$A$15,BW$13)="",10^12,OFFSET(PLE!$G$15,$M32-$A$15,BW$13)))</f>
        <v>1000000000000</v>
      </c>
      <c r="BX32" s="179">
        <f ca="1">IF(OR($D32&lt;&gt;"Serviço",AND(AUTOEVENTO="Manual",$M32=$A$15),$M32&gt;(ROW(PLE.lastrow)-ROW(PLE.firstrow))),0,
           IF(OFFSET(PLE!$G$15,$M32-$A$15,BX$13)="",10^12,OFFSET(PLE!$G$15,$M32-$A$15,BX$13)))</f>
        <v>1000000000000</v>
      </c>
      <c r="BY32" s="179">
        <f ca="1">IF(OR($D32&lt;&gt;"Serviço",AND(AUTOEVENTO="Manual",$M32=$A$15),$M32&gt;(ROW(PLE.lastrow)-ROW(PLE.firstrow))),0,
           IF(OFFSET(PLE!$G$15,$M32-$A$15,BY$13)="",10^12,OFFSET(PLE!$G$15,$M32-$A$15,BY$13)))</f>
        <v>1000000000000</v>
      </c>
      <c r="BZ32" s="179">
        <f ca="1">IF(OR($D32&lt;&gt;"Serviço",AND(AUTOEVENTO="Manual",$M32=$A$15),$M32&gt;(ROW(PLE.lastrow)-ROW(PLE.firstrow))),0,
           IF(OFFSET(PLE!$G$15,$M32-$A$15,BZ$13)="",10^12,OFFSET(PLE!$G$15,$M32-$A$15,BZ$13)))</f>
        <v>1000000000000</v>
      </c>
      <c r="CA32" s="179">
        <f ca="1">IF(OR($D32&lt;&gt;"Serviço",AND(AUTOEVENTO="Manual",$M32=$A$15),$M32&gt;(ROW(PLE.lastrow)-ROW(PLE.firstrow))),0,
           IF(OFFSET(PLE!$G$15,$M32-$A$15,CA$13)="",10^12,OFFSET(PLE!$G$15,$M32-$A$15,CA$13)))</f>
        <v>1000000000000</v>
      </c>
      <c r="CB32" s="179">
        <f ca="1">IF(OR($D32&lt;&gt;"Serviço",AND(AUTOEVENTO="Manual",$M32=$A$15),$M32&gt;(ROW(PLE.lastrow)-ROW(PLE.firstrow))),0,
           IF(OFFSET(PLE!$G$15,$M32-$A$15,CB$13)="",10^12,OFFSET(PLE!$G$15,$M32-$A$15,CB$13)))</f>
        <v>1000000000000</v>
      </c>
      <c r="CC32" s="179">
        <f ca="1">IF(OR($D32&lt;&gt;"Serviço",AND(AUTOEVENTO="Manual",$M32=$A$15),$M32&gt;(ROW(PLE.lastrow)-ROW(PLE.firstrow))),0,
           IF(OFFSET(PLE!$G$15,$M32-$A$15,CC$13)="",10^12,OFFSET(PLE!$G$15,$M32-$A$15,CC$13)))</f>
        <v>1000000000000</v>
      </c>
      <c r="CD32" s="179">
        <f ca="1">IF(OR($D32&lt;&gt;"Serviço",AND(AUTOEVENTO="Manual",$M32=$A$15),$M32&gt;(ROW(PLE.lastrow)-ROW(PLE.firstrow))),0,
           IF(OFFSET(PLE!$G$15,$M32-$A$15,CD$13)="",10^12,OFFSET(PLE!$G$15,$M32-$A$15,CD$13)))</f>
        <v>1000000000000</v>
      </c>
      <c r="CE32" s="179">
        <f ca="1">IF(OR($D32&lt;&gt;"Serviço",AND(AUTOEVENTO="Manual",$M32=$A$15),$M32&gt;(ROW(PLE.lastrow)-ROW(PLE.firstrow))),0,
           IF(OFFSET(PLE!$G$15,$M32-$A$15,CE$13)="",10^12,OFFSET(PLE!$G$15,$M32-$A$15,CE$13)))</f>
        <v>1000000000000</v>
      </c>
      <c r="CF32" s="179">
        <f ca="1">IF(OR($D32&lt;&gt;"Serviço",AND(AUTOEVENTO="Manual",$M32=$A$15),$M32&gt;(ROW(PLE.lastrow)-ROW(PLE.firstrow))),0,
           IF(OFFSET(PLE!$G$15,$M32-$A$15,CF$13)="",10^12,OFFSET(PLE!$G$15,$M32-$A$15,CF$13)))</f>
        <v>1000000000000</v>
      </c>
      <c r="CG32" s="179">
        <f ca="1">IF(OR($D32&lt;&gt;"Serviço",AND(AUTOEVENTO="Manual",$M32=$A$15),$M32&gt;(ROW(PLE.lastrow)-ROW(PLE.firstrow))),0,
           IF(OFFSET(PLE!$G$15,$M32-$A$15,CG$13)="",10^12,OFFSET(PLE!$G$15,$M32-$A$15,CG$13)))</f>
        <v>1000000000000</v>
      </c>
      <c r="CH32" s="179">
        <f ca="1">IF(OR($D32&lt;&gt;"Serviço",AND(AUTOEVENTO="Manual",$M32=$A$15),$M32&gt;(ROW(PLE.lastrow)-ROW(PLE.firstrow))),0,
           IF(OFFSET(PLE!$G$15,$M32-$A$15,CH$13)="",10^12,OFFSET(PLE!$G$15,$M32-$A$15,CH$13)))</f>
        <v>1000000000000</v>
      </c>
      <c r="CI32" s="179">
        <f ca="1">IF(OR($D32&lt;&gt;"Serviço",AND(AUTOEVENTO="Manual",$M32=$A$15),$M32&gt;(ROW(PLE.lastrow)-ROW(PLE.firstrow))),0,
           IF(OFFSET(PLE!$G$15,$M32-$A$15,CI$13)="",10^12,OFFSET(PLE!$G$15,$M32-$A$15,CI$13)))</f>
        <v>1000000000000</v>
      </c>
      <c r="CJ32" s="179">
        <f ca="1">IF(OR($D32&lt;&gt;"Serviço",AND(AUTOEVENTO="Manual",$M32=$A$15),$M32&gt;(ROW(PLE.lastrow)-ROW(PLE.firstrow))),0,
           IF(OFFSET(PLE!$G$15,$M32-$A$15,CJ$13)="",10^12,OFFSET(PLE!$G$15,$M32-$A$15,CJ$13)))</f>
        <v>1000000000000</v>
      </c>
      <c r="CK32" s="179">
        <f ca="1">IF(OR($D32&lt;&gt;"Serviço",AND(AUTOEVENTO="Manual",$M32=$A$15),$M32&gt;(ROW(PLE.lastrow)-ROW(PLE.firstrow))),0,
           IF(OFFSET(PLE!$G$15,$M32-$A$15,CK$13)="",10^12,OFFSET(PLE!$G$15,$M32-$A$15,CK$13)))</f>
        <v>1000000000000</v>
      </c>
      <c r="CL32" s="179">
        <f ca="1">IF(OR($D32&lt;&gt;"Serviço",AND(AUTOEVENTO="Manual",$M32=$A$15),$M32&gt;(ROW(PLE.lastrow)-ROW(PLE.firstrow))),0,
           IF(OFFSET(PLE!$G$15,$M32-$A$15,CL$13)="",10^12,OFFSET(PLE!$G$15,$M32-$A$15,CL$13)))</f>
        <v>1000000000000</v>
      </c>
      <c r="CM32" s="179">
        <f ca="1">IF(OR($D32&lt;&gt;"Serviço",AND(AUTOEVENTO="Manual",$M32=$A$15),$M32&gt;(ROW(PLE.lastrow)-ROW(PLE.firstrow))),0,
           IF(OFFSET(PLE!$G$15,$M32-$A$15,CM$13)="",10^12,OFFSET(PLE!$G$15,$M32-$A$15,CM$13)))</f>
        <v>1000000000000</v>
      </c>
    </row>
    <row r="33" spans="1:91" ht="38.25" x14ac:dyDescent="0.2">
      <c r="A33" s="7" t="str">
        <f ca="1">IF(AUTOEVENTO="Manual",IF(K33&lt;&gt;"",MIN(VALUE(LEFT(K33,FIND(".",K33)-1)),COUNTA(EVENTOS.Lista)),0),IF(OR($B33&gt;AUTOEVENTO,$B33="S",$B33=0),SUBSTITUTE(OFFSET($A33,-1,0),IF($D33="Serviço",".",""),""),ROW(A33)-ROW($A$15)&amp;"."))</f>
        <v>14</v>
      </c>
      <c r="B33" s="7" t="str">
        <f ca="1">OFFSET(ORÇAMENTO!C$15,ROW(B33)-ROW(B$15),0)</f>
        <v>S</v>
      </c>
      <c r="C33" s="7" t="str">
        <f ca="1">OFFSET(ORÇAMENTO!L$15,ROW(C33)-ROW(C$15),0)</f>
        <v>F</v>
      </c>
      <c r="D33" s="118" t="str">
        <f ca="1">OFFSET(ORÇAMENTO!N$15,ROW(D33)-ROW(D$15),0)</f>
        <v>Serviço</v>
      </c>
      <c r="E33" s="119" t="str">
        <f ca="1">OFFSET(ORÇAMENTO!O$15,ROW(E33)-ROW(E$15),0)</f>
        <v>1.4.0.0.4.</v>
      </c>
      <c r="F33" s="170" t="str">
        <f ca="1">OFFSET(ORÇAMENTO!R$15,ROW(F33)-ROW(F$15),0)</f>
        <v>EXECUÇÃO DE PAVIMENTO EM PISO INTERTRAVADO, COM BLOCO RETANGULAR COR NATURAL DE 20 X 10 CM, ESPESSURA 8 CM. AF_10/2022</v>
      </c>
      <c r="G33" s="171" t="str">
        <f ca="1">IF($D33&lt;&gt;"Serviço","",OFFSET(ORÇAMENTO!S$15,ROW(G33)-ROW(G$15),0))</f>
        <v>M2</v>
      </c>
      <c r="H33" s="124" cm="1">
        <f t="array" aca="1" ref="H33" ca="1">IF($D33&lt;&gt;"Serviço",0,IF(_xlfn.SINGLE(ACOMPANHAMENTO)="BM",ROUND(OFFSET(ORÇAMENTO!AJ$15,ROW(H33)-ROW(H$15),0),15-13*ORÇAMENTO!$AF$7),SUMPRODUCT(($Q$1:$AI$1)*ROUND($Q33:$AI33,15-13*ORÇAMENTO!$AF$7))))</f>
        <v>56.94</v>
      </c>
      <c r="I33" s="500" t="s">
        <v>1070</v>
      </c>
      <c r="J33" s="632" t="str" cm="1">
        <f t="array" aca="1" ref="J33" ca="1">IF(B33&lt;&gt;"S","",IF(AND(ACOMPANHAMENTO="PLE",AUTOEVENTO="Manual",OR(H33&gt;0,ORÇAMENTO!AC33="QUANT."),OR(K33="",M33=0,N33="")),"►",IF(AND(ACOMPANHAMENTO="PLE",ORÇAMENTO!AC33="QUANT."),"►►",IF(AND(COUNTIF($P$11:$AI$11,"▼")=0,H33&gt;0,I33=""),"◄",""))))</f>
        <v/>
      </c>
      <c r="K33" s="624"/>
      <c r="L33" s="172" t="s">
        <v>253</v>
      </c>
      <c r="M33" s="173">
        <f ca="1">IF($D33&lt;&gt;"Serviço","",
          IF(AUTOEVENTO="manual",$A33,
                IF(ISERROR(MATCH($A33,$A$15:OFFSET($A33,-1,0),0)),MAX($M$15:OFFSET(M33,-1,0))+1,
                      INDEX($M$15:OFFSET(M33,-1,0),MATCH($A33,$A$15:OFFSET($A33,-1,0),0)))))</f>
        <v>4</v>
      </c>
      <c r="N33" s="174" t="str">
        <f ca="1">IF($D33&lt;&gt;"Serviço","",
         IF(AUTOEVENTO="Manual",
                IF($A33=0,"&lt;-- defina o número do agrupador",
                       OFFSET(EVENTOS!$D$15,$A33-$A$15,0)),
                OFFSET($F$15,$A33,0)))</f>
        <v>PAVIMENTAÇÃO</v>
      </c>
      <c r="O33" s="175"/>
      <c r="Q33" s="175"/>
      <c r="R33" s="176"/>
      <c r="S33" s="176">
        <v>56.94</v>
      </c>
      <c r="T33" s="176"/>
      <c r="U33" s="176"/>
      <c r="V33" s="176"/>
      <c r="W33" s="176"/>
      <c r="X33" s="176"/>
      <c r="Y33" s="176"/>
      <c r="Z33" s="177"/>
      <c r="AA33" s="176"/>
      <c r="AB33" s="176"/>
      <c r="AC33" s="176"/>
      <c r="AD33" s="176"/>
      <c r="AE33" s="176"/>
      <c r="AF33" s="176"/>
      <c r="AG33" s="176"/>
      <c r="AH33" s="177"/>
      <c r="AJ33" s="485">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85">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85">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5946.81</v>
      </c>
      <c r="AM33" s="485">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85">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85">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85">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85">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85">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85">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85">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85">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85">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85">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85">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85">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85">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85">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8">
        <f ca="1">IF(OR($D33&lt;&gt;"Serviço",AND(AUTOEVENTO="Manual",$M33=$A$15)),0,
         IF(OFFSET(CRONOPLE!$F$15,$M33-$A$15,BC$13)="",10^12,OFFSET(CRONOPLE!$F$15,$M33-$A$15,BC$13)))</f>
        <v>1</v>
      </c>
      <c r="BD33" s="178">
        <f ca="1">IF(OR($D33&lt;&gt;"Serviço",AND(AUTOEVENTO="Manual",$M33=$A$15)),0,
         IF(OFFSET(CRONOPLE!$F$15,$M33-$A$15,BD$13)="",10^12,OFFSET(CRONOPLE!$F$15,$M33-$A$15,BD$13)))</f>
        <v>2</v>
      </c>
      <c r="BE33" s="178">
        <f ca="1">IF(OR($D33&lt;&gt;"Serviço",AND(AUTOEVENTO="Manual",$M33=$A$15)),0,
         IF(OFFSET(CRONOPLE!$F$15,$M33-$A$15,BE$13)="",10^12,OFFSET(CRONOPLE!$F$15,$M33-$A$15,BE$13)))</f>
        <v>3</v>
      </c>
      <c r="BF33" s="178">
        <f ca="1">IF(OR($D33&lt;&gt;"Serviço",AND(AUTOEVENTO="Manual",$M33=$A$15)),0,
         IF(OFFSET(CRONOPLE!$F$15,$M33-$A$15,BF$13)="",10^12,OFFSET(CRONOPLE!$F$15,$M33-$A$15,BF$13)))</f>
        <v>1000000000000</v>
      </c>
      <c r="BG33" s="178">
        <f ca="1">IF(OR($D33&lt;&gt;"Serviço",AND(AUTOEVENTO="Manual",$M33=$A$15)),0,
         IF(OFFSET(CRONOPLE!$F$15,$M33-$A$15,BG$13)="",10^12,OFFSET(CRONOPLE!$F$15,$M33-$A$15,BG$13)))</f>
        <v>1000000000000</v>
      </c>
      <c r="BH33" s="178">
        <f ca="1">IF(OR($D33&lt;&gt;"Serviço",AND(AUTOEVENTO="Manual",$M33=$A$15)),0,
         IF(OFFSET(CRONOPLE!$F$15,$M33-$A$15,BH$13)="",10^12,OFFSET(CRONOPLE!$F$15,$M33-$A$15,BH$13)))</f>
        <v>1000000000000</v>
      </c>
      <c r="BI33" s="178">
        <f ca="1">IF(OR($D33&lt;&gt;"Serviço",AND(AUTOEVENTO="Manual",$M33=$A$15)),0,
         IF(OFFSET(CRONOPLE!$F$15,$M33-$A$15,BI$13)="",10^12,OFFSET(CRONOPLE!$F$15,$M33-$A$15,BI$13)))</f>
        <v>7</v>
      </c>
      <c r="BJ33" s="178">
        <f ca="1">IF(OR($D33&lt;&gt;"Serviço",AND(AUTOEVENTO="Manual",$M33=$A$15)),0,
         IF(OFFSET(CRONOPLE!$F$15,$M33-$A$15,BJ$13)="",10^12,OFFSET(CRONOPLE!$F$15,$M33-$A$15,BJ$13)))</f>
        <v>1000000000000</v>
      </c>
      <c r="BK33" s="178">
        <f ca="1">IF(OR($D33&lt;&gt;"Serviço",AND(AUTOEVENTO="Manual",$M33=$A$15)),0,
         IF(OFFSET(CRONOPLE!$F$15,$M33-$A$15,BK$13)="",10^12,OFFSET(CRONOPLE!$F$15,$M33-$A$15,BK$13)))</f>
        <v>1000000000000</v>
      </c>
      <c r="BL33" s="178">
        <f ca="1">IF(OR($D33&lt;&gt;"Serviço",AND(AUTOEVENTO="Manual",$M33=$A$15)),0,
         IF(OFFSET(CRONOPLE!$F$15,$M33-$A$15,BL$13)="",10^12,OFFSET(CRONOPLE!$F$15,$M33-$A$15,BL$13)))</f>
        <v>1000000000000</v>
      </c>
      <c r="BM33" s="178">
        <f ca="1">IF(OR($D33&lt;&gt;"Serviço",AND(AUTOEVENTO="Manual",$M33=$A$15)),0,
         IF(OFFSET(CRONOPLE!$F$15,$M33-$A$15,BM$13)="",10^12,OFFSET(CRONOPLE!$F$15,$M33-$A$15,BM$13)))</f>
        <v>1000000000000</v>
      </c>
      <c r="BN33" s="178">
        <f ca="1">IF(OR($D33&lt;&gt;"Serviço",AND(AUTOEVENTO="Manual",$M33=$A$15)),0,
         IF(OFFSET(CRONOPLE!$F$15,$M33-$A$15,BN$13)="",10^12,OFFSET(CRONOPLE!$F$15,$M33-$A$15,BN$13)))</f>
        <v>1000000000000</v>
      </c>
      <c r="BO33" s="178">
        <f ca="1">IF(OR($D33&lt;&gt;"Serviço",AND(AUTOEVENTO="Manual",$M33=$A$15)),0,
         IF(OFFSET(CRONOPLE!$F$15,$M33-$A$15,BO$13)="",10^12,OFFSET(CRONOPLE!$F$15,$M33-$A$15,BO$13)))</f>
        <v>1000000000000</v>
      </c>
      <c r="BP33" s="178">
        <f ca="1">IF(OR($D33&lt;&gt;"Serviço",AND(AUTOEVENTO="Manual",$M33=$A$15)),0,
         IF(OFFSET(CRONOPLE!$F$15,$M33-$A$15,BP$13)="",10^12,OFFSET(CRONOPLE!$F$15,$M33-$A$15,BP$13)))</f>
        <v>1000000000000</v>
      </c>
      <c r="BQ33" s="178">
        <f ca="1">IF(OR($D33&lt;&gt;"Serviço",AND(AUTOEVENTO="Manual",$M33=$A$15)),0,
         IF(OFFSET(CRONOPLE!$F$15,$M33-$A$15,BQ$13)="",10^12,OFFSET(CRONOPLE!$F$15,$M33-$A$15,BQ$13)))</f>
        <v>1000000000000</v>
      </c>
      <c r="BR33" s="178">
        <f ca="1">IF(OR($D33&lt;&gt;"Serviço",AND(AUTOEVENTO="Manual",$M33=$A$15)),0,
         IF(OFFSET(CRONOPLE!$F$15,$M33-$A$15,BR$13)="",10^12,OFFSET(CRONOPLE!$F$15,$M33-$A$15,BR$13)))</f>
        <v>1000000000000</v>
      </c>
      <c r="BS33" s="178">
        <f ca="1">IF(OR($D33&lt;&gt;"Serviço",AND(AUTOEVENTO="Manual",$M33=$A$15)),0,
         IF(OFFSET(CRONOPLE!$F$15,$M33-$A$15,BS$13)="",10^12,OFFSET(CRONOPLE!$F$15,$M33-$A$15,BS$13)))</f>
        <v>1000000000000</v>
      </c>
      <c r="BT33" s="178">
        <f ca="1">IF(OR($D33&lt;&gt;"Serviço",AND(AUTOEVENTO="Manual",$M33=$A$15)),0,
         IF(OFFSET(CRONOPLE!$F$15,$M33-$A$15,BT$13)="",10^12,OFFSET(CRONOPLE!$F$15,$M33-$A$15,BT$13)))</f>
        <v>1000000000000</v>
      </c>
      <c r="BV33" s="179">
        <f ca="1">IF(OR($D33&lt;&gt;"Serviço",AND(AUTOEVENTO="Manual",$M33=$A$15),$M33&gt;(ROW(PLE.lastrow)-ROW(PLE.firstrow))),0,
           IF(OFFSET(PLE!$G$15,$M33-$A$15,BV$13)="",10^12,OFFSET(PLE!$G$15,$M33-$A$15,BV$13)))</f>
        <v>1000000000000</v>
      </c>
      <c r="BW33" s="179">
        <f ca="1">IF(OR($D33&lt;&gt;"Serviço",AND(AUTOEVENTO="Manual",$M33=$A$15),$M33&gt;(ROW(PLE.lastrow)-ROW(PLE.firstrow))),0,
           IF(OFFSET(PLE!$G$15,$M33-$A$15,BW$13)="",10^12,OFFSET(PLE!$G$15,$M33-$A$15,BW$13)))</f>
        <v>1000000000000</v>
      </c>
      <c r="BX33" s="179">
        <f ca="1">IF(OR($D33&lt;&gt;"Serviço",AND(AUTOEVENTO="Manual",$M33=$A$15),$M33&gt;(ROW(PLE.lastrow)-ROW(PLE.firstrow))),0,
           IF(OFFSET(PLE!$G$15,$M33-$A$15,BX$13)="",10^12,OFFSET(PLE!$G$15,$M33-$A$15,BX$13)))</f>
        <v>1000000000000</v>
      </c>
      <c r="BY33" s="179">
        <f ca="1">IF(OR($D33&lt;&gt;"Serviço",AND(AUTOEVENTO="Manual",$M33=$A$15),$M33&gt;(ROW(PLE.lastrow)-ROW(PLE.firstrow))),0,
           IF(OFFSET(PLE!$G$15,$M33-$A$15,BY$13)="",10^12,OFFSET(PLE!$G$15,$M33-$A$15,BY$13)))</f>
        <v>1000000000000</v>
      </c>
      <c r="BZ33" s="179">
        <f ca="1">IF(OR($D33&lt;&gt;"Serviço",AND(AUTOEVENTO="Manual",$M33=$A$15),$M33&gt;(ROW(PLE.lastrow)-ROW(PLE.firstrow))),0,
           IF(OFFSET(PLE!$G$15,$M33-$A$15,BZ$13)="",10^12,OFFSET(PLE!$G$15,$M33-$A$15,BZ$13)))</f>
        <v>1000000000000</v>
      </c>
      <c r="CA33" s="179">
        <f ca="1">IF(OR($D33&lt;&gt;"Serviço",AND(AUTOEVENTO="Manual",$M33=$A$15),$M33&gt;(ROW(PLE.lastrow)-ROW(PLE.firstrow))),0,
           IF(OFFSET(PLE!$G$15,$M33-$A$15,CA$13)="",10^12,OFFSET(PLE!$G$15,$M33-$A$15,CA$13)))</f>
        <v>1000000000000</v>
      </c>
      <c r="CB33" s="179">
        <f ca="1">IF(OR($D33&lt;&gt;"Serviço",AND(AUTOEVENTO="Manual",$M33=$A$15),$M33&gt;(ROW(PLE.lastrow)-ROW(PLE.firstrow))),0,
           IF(OFFSET(PLE!$G$15,$M33-$A$15,CB$13)="",10^12,OFFSET(PLE!$G$15,$M33-$A$15,CB$13)))</f>
        <v>1000000000000</v>
      </c>
      <c r="CC33" s="179">
        <f ca="1">IF(OR($D33&lt;&gt;"Serviço",AND(AUTOEVENTO="Manual",$M33=$A$15),$M33&gt;(ROW(PLE.lastrow)-ROW(PLE.firstrow))),0,
           IF(OFFSET(PLE!$G$15,$M33-$A$15,CC$13)="",10^12,OFFSET(PLE!$G$15,$M33-$A$15,CC$13)))</f>
        <v>1000000000000</v>
      </c>
      <c r="CD33" s="179">
        <f ca="1">IF(OR($D33&lt;&gt;"Serviço",AND(AUTOEVENTO="Manual",$M33=$A$15),$M33&gt;(ROW(PLE.lastrow)-ROW(PLE.firstrow))),0,
           IF(OFFSET(PLE!$G$15,$M33-$A$15,CD$13)="",10^12,OFFSET(PLE!$G$15,$M33-$A$15,CD$13)))</f>
        <v>1000000000000</v>
      </c>
      <c r="CE33" s="179">
        <f ca="1">IF(OR($D33&lt;&gt;"Serviço",AND(AUTOEVENTO="Manual",$M33=$A$15),$M33&gt;(ROW(PLE.lastrow)-ROW(PLE.firstrow))),0,
           IF(OFFSET(PLE!$G$15,$M33-$A$15,CE$13)="",10^12,OFFSET(PLE!$G$15,$M33-$A$15,CE$13)))</f>
        <v>1000000000000</v>
      </c>
      <c r="CF33" s="179">
        <f ca="1">IF(OR($D33&lt;&gt;"Serviço",AND(AUTOEVENTO="Manual",$M33=$A$15),$M33&gt;(ROW(PLE.lastrow)-ROW(PLE.firstrow))),0,
           IF(OFFSET(PLE!$G$15,$M33-$A$15,CF$13)="",10^12,OFFSET(PLE!$G$15,$M33-$A$15,CF$13)))</f>
        <v>1000000000000</v>
      </c>
      <c r="CG33" s="179">
        <f ca="1">IF(OR($D33&lt;&gt;"Serviço",AND(AUTOEVENTO="Manual",$M33=$A$15),$M33&gt;(ROW(PLE.lastrow)-ROW(PLE.firstrow))),0,
           IF(OFFSET(PLE!$G$15,$M33-$A$15,CG$13)="",10^12,OFFSET(PLE!$G$15,$M33-$A$15,CG$13)))</f>
        <v>1000000000000</v>
      </c>
      <c r="CH33" s="179">
        <f ca="1">IF(OR($D33&lt;&gt;"Serviço",AND(AUTOEVENTO="Manual",$M33=$A$15),$M33&gt;(ROW(PLE.lastrow)-ROW(PLE.firstrow))),0,
           IF(OFFSET(PLE!$G$15,$M33-$A$15,CH$13)="",10^12,OFFSET(PLE!$G$15,$M33-$A$15,CH$13)))</f>
        <v>1000000000000</v>
      </c>
      <c r="CI33" s="179">
        <f ca="1">IF(OR($D33&lt;&gt;"Serviço",AND(AUTOEVENTO="Manual",$M33=$A$15),$M33&gt;(ROW(PLE.lastrow)-ROW(PLE.firstrow))),0,
           IF(OFFSET(PLE!$G$15,$M33-$A$15,CI$13)="",10^12,OFFSET(PLE!$G$15,$M33-$A$15,CI$13)))</f>
        <v>1000000000000</v>
      </c>
      <c r="CJ33" s="179">
        <f ca="1">IF(OR($D33&lt;&gt;"Serviço",AND(AUTOEVENTO="Manual",$M33=$A$15),$M33&gt;(ROW(PLE.lastrow)-ROW(PLE.firstrow))),0,
           IF(OFFSET(PLE!$G$15,$M33-$A$15,CJ$13)="",10^12,OFFSET(PLE!$G$15,$M33-$A$15,CJ$13)))</f>
        <v>1000000000000</v>
      </c>
      <c r="CK33" s="179">
        <f ca="1">IF(OR($D33&lt;&gt;"Serviço",AND(AUTOEVENTO="Manual",$M33=$A$15),$M33&gt;(ROW(PLE.lastrow)-ROW(PLE.firstrow))),0,
           IF(OFFSET(PLE!$G$15,$M33-$A$15,CK$13)="",10^12,OFFSET(PLE!$G$15,$M33-$A$15,CK$13)))</f>
        <v>1000000000000</v>
      </c>
      <c r="CL33" s="179">
        <f ca="1">IF(OR($D33&lt;&gt;"Serviço",AND(AUTOEVENTO="Manual",$M33=$A$15),$M33&gt;(ROW(PLE.lastrow)-ROW(PLE.firstrow))),0,
           IF(OFFSET(PLE!$G$15,$M33-$A$15,CL$13)="",10^12,OFFSET(PLE!$G$15,$M33-$A$15,CL$13)))</f>
        <v>1000000000000</v>
      </c>
      <c r="CM33" s="179">
        <f ca="1">IF(OR($D33&lt;&gt;"Serviço",AND(AUTOEVENTO="Manual",$M33=$A$15),$M33&gt;(ROW(PLE.lastrow)-ROW(PLE.firstrow))),0,
           IF(OFFSET(PLE!$G$15,$M33-$A$15,CM$13)="",10^12,OFFSET(PLE!$G$15,$M33-$A$15,CM$13)))</f>
        <v>1000000000000</v>
      </c>
    </row>
    <row r="34" spans="1:91" ht="25.5" x14ac:dyDescent="0.2">
      <c r="A34" s="7" t="str">
        <f ca="1">IF(AUTOEVENTO="Manual",IF(K34&lt;&gt;"",MIN(VALUE(LEFT(K34,FIND(".",K34)-1)),COUNTA(EVENTOS.Lista)),0),IF(OR($B34&gt;AUTOEVENTO,$B34="S",$B34=0),SUBSTITUTE(OFFSET($A34,-1,0),IF($D34="Serviço",".",""),""),ROW(A34)-ROW($A$15)&amp;"."))</f>
        <v>19.</v>
      </c>
      <c r="B34" s="7">
        <f ca="1">OFFSET(ORÇAMENTO!C$15,ROW(B34)-ROW(B$15),0)</f>
        <v>2</v>
      </c>
      <c r="C34" s="7" t="str">
        <f ca="1">OFFSET(ORÇAMENTO!L$15,ROW(C34)-ROW(C$15),0)</f>
        <v>F</v>
      </c>
      <c r="D34" s="118" t="str">
        <f ca="1">OFFSET(ORÇAMENTO!N$15,ROW(D34)-ROW(D$15),0)</f>
        <v>Nível 2</v>
      </c>
      <c r="E34" s="119" t="str">
        <f ca="1">OFFSET(ORÇAMENTO!O$15,ROW(E34)-ROW(E$15),0)</f>
        <v>1.5.</v>
      </c>
      <c r="F34" s="170" t="str">
        <f ca="1">OFFSET(ORÇAMENTO!R$15,ROW(F34)-ROW(F$15),0)</f>
        <v>ESTRUTURA E FUNDAÇÕES - PROJETO E ORÇAMENTO TERCERIZADO - AZEVEDO ENGENHARIA (AZ ENG)</v>
      </c>
      <c r="G34" s="171" t="str">
        <f ca="1">IF($D34&lt;&gt;"Serviço","",OFFSET(ORÇAMENTO!S$15,ROW(G34)-ROW(G$15),0))</f>
        <v/>
      </c>
      <c r="H34" s="124" cm="1">
        <f t="array" aca="1" ref="H34" ca="1">IF($D34&lt;&gt;"Serviço",0,IF(_xlfn.SINGLE(ACOMPANHAMENTO)="BM",ROUND(OFFSET(ORÇAMENTO!AJ$15,ROW(H34)-ROW(H$15),0),15-13*ORÇAMENTO!$AF$7),SUMPRODUCT(($Q$1:$AI$1)*ROUND($Q34:$AI34,15-13*ORÇAMENTO!$AF$7))))</f>
        <v>0</v>
      </c>
      <c r="I34" s="500"/>
      <c r="J34" s="632" t="str" cm="1">
        <f t="array" aca="1" ref="J34" ca="1">IF(B34&lt;&gt;"S","",IF(AND(ACOMPANHAMENTO="PLE",AUTOEVENTO="Manual",OR(H34&gt;0,ORÇAMENTO!AC34="QUANT."),OR(K34="",M34=0,N34="")),"►",IF(AND(ACOMPANHAMENTO="PLE",ORÇAMENTO!AC34="QUANT."),"►►",IF(AND(COUNTIF($P$11:$AI$11,"▼")=0,H34&gt;0,I34=""),"◄",""))))</f>
        <v/>
      </c>
      <c r="K34" s="624"/>
      <c r="L34" s="172" t="s">
        <v>253</v>
      </c>
      <c r="M34" s="173" t="str">
        <f ca="1">IF($D34&lt;&gt;"Serviço","",
          IF(AUTOEVENTO="manual",$A34,
                IF(ISERROR(MATCH($A34,$A$15:OFFSET($A34,-1,0),0)),MAX($M$15:OFFSET(M34,-1,0))+1,
                      INDEX($M$15:OFFSET(M34,-1,0),MATCH($A34,$A$15:OFFSET($A34,-1,0),0)))))</f>
        <v/>
      </c>
      <c r="N34" s="174" t="str">
        <f ca="1">IF($D34&lt;&gt;"Serviço","",
         IF(AUTOEVENTO="Manual",
                IF($A34=0,"&lt;-- defina o número do agrupador",
                       OFFSET(EVENTOS!$D$15,$A34-$A$15,0)),
                OFFSET($F$15,$A34,0)))</f>
        <v/>
      </c>
      <c r="O34" s="175"/>
      <c r="Q34" s="175"/>
      <c r="R34" s="176"/>
      <c r="S34" s="176"/>
      <c r="T34" s="176"/>
      <c r="U34" s="176"/>
      <c r="V34" s="176"/>
      <c r="W34" s="176"/>
      <c r="X34" s="176"/>
      <c r="Y34" s="176"/>
      <c r="Z34" s="177"/>
      <c r="AA34" s="176"/>
      <c r="AB34" s="176"/>
      <c r="AC34" s="176"/>
      <c r="AD34" s="176"/>
      <c r="AE34" s="176"/>
      <c r="AF34" s="176"/>
      <c r="AG34" s="176"/>
      <c r="AH34" s="177"/>
      <c r="AJ34" s="485">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85">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L34" s="485">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0</v>
      </c>
      <c r="AM34" s="485">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0</v>
      </c>
      <c r="AN34" s="485">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85">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85">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85">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85">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85">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85">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85">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85">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85">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85">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85">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85">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85">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8">
        <f ca="1">IF(OR($D34&lt;&gt;"Serviço",AND(AUTOEVENTO="Manual",$M34=$A$15)),0,
         IF(OFFSET(CRONOPLE!$F$15,$M34-$A$15,BC$13)="",10^12,OFFSET(CRONOPLE!$F$15,$M34-$A$15,BC$13)))</f>
        <v>0</v>
      </c>
      <c r="BD34" s="178">
        <f ca="1">IF(OR($D34&lt;&gt;"Serviço",AND(AUTOEVENTO="Manual",$M34=$A$15)),0,
         IF(OFFSET(CRONOPLE!$F$15,$M34-$A$15,BD$13)="",10^12,OFFSET(CRONOPLE!$F$15,$M34-$A$15,BD$13)))</f>
        <v>0</v>
      </c>
      <c r="BE34" s="178">
        <f ca="1">IF(OR($D34&lt;&gt;"Serviço",AND(AUTOEVENTO="Manual",$M34=$A$15)),0,
         IF(OFFSET(CRONOPLE!$F$15,$M34-$A$15,BE$13)="",10^12,OFFSET(CRONOPLE!$F$15,$M34-$A$15,BE$13)))</f>
        <v>0</v>
      </c>
      <c r="BF34" s="178">
        <f ca="1">IF(OR($D34&lt;&gt;"Serviço",AND(AUTOEVENTO="Manual",$M34=$A$15)),0,
         IF(OFFSET(CRONOPLE!$F$15,$M34-$A$15,BF$13)="",10^12,OFFSET(CRONOPLE!$F$15,$M34-$A$15,BF$13)))</f>
        <v>0</v>
      </c>
      <c r="BG34" s="178">
        <f ca="1">IF(OR($D34&lt;&gt;"Serviço",AND(AUTOEVENTO="Manual",$M34=$A$15)),0,
         IF(OFFSET(CRONOPLE!$F$15,$M34-$A$15,BG$13)="",10^12,OFFSET(CRONOPLE!$F$15,$M34-$A$15,BG$13)))</f>
        <v>0</v>
      </c>
      <c r="BH34" s="178">
        <f ca="1">IF(OR($D34&lt;&gt;"Serviço",AND(AUTOEVENTO="Manual",$M34=$A$15)),0,
         IF(OFFSET(CRONOPLE!$F$15,$M34-$A$15,BH$13)="",10^12,OFFSET(CRONOPLE!$F$15,$M34-$A$15,BH$13)))</f>
        <v>0</v>
      </c>
      <c r="BI34" s="178">
        <f ca="1">IF(OR($D34&lt;&gt;"Serviço",AND(AUTOEVENTO="Manual",$M34=$A$15)),0,
         IF(OFFSET(CRONOPLE!$F$15,$M34-$A$15,BI$13)="",10^12,OFFSET(CRONOPLE!$F$15,$M34-$A$15,BI$13)))</f>
        <v>0</v>
      </c>
      <c r="BJ34" s="178">
        <f ca="1">IF(OR($D34&lt;&gt;"Serviço",AND(AUTOEVENTO="Manual",$M34=$A$15)),0,
         IF(OFFSET(CRONOPLE!$F$15,$M34-$A$15,BJ$13)="",10^12,OFFSET(CRONOPLE!$F$15,$M34-$A$15,BJ$13)))</f>
        <v>0</v>
      </c>
      <c r="BK34" s="178">
        <f ca="1">IF(OR($D34&lt;&gt;"Serviço",AND(AUTOEVENTO="Manual",$M34=$A$15)),0,
         IF(OFFSET(CRONOPLE!$F$15,$M34-$A$15,BK$13)="",10^12,OFFSET(CRONOPLE!$F$15,$M34-$A$15,BK$13)))</f>
        <v>0</v>
      </c>
      <c r="BL34" s="178">
        <f ca="1">IF(OR($D34&lt;&gt;"Serviço",AND(AUTOEVENTO="Manual",$M34=$A$15)),0,
         IF(OFFSET(CRONOPLE!$F$15,$M34-$A$15,BL$13)="",10^12,OFFSET(CRONOPLE!$F$15,$M34-$A$15,BL$13)))</f>
        <v>0</v>
      </c>
      <c r="BM34" s="178">
        <f ca="1">IF(OR($D34&lt;&gt;"Serviço",AND(AUTOEVENTO="Manual",$M34=$A$15)),0,
         IF(OFFSET(CRONOPLE!$F$15,$M34-$A$15,BM$13)="",10^12,OFFSET(CRONOPLE!$F$15,$M34-$A$15,BM$13)))</f>
        <v>0</v>
      </c>
      <c r="BN34" s="178">
        <f ca="1">IF(OR($D34&lt;&gt;"Serviço",AND(AUTOEVENTO="Manual",$M34=$A$15)),0,
         IF(OFFSET(CRONOPLE!$F$15,$M34-$A$15,BN$13)="",10^12,OFFSET(CRONOPLE!$F$15,$M34-$A$15,BN$13)))</f>
        <v>0</v>
      </c>
      <c r="BO34" s="178">
        <f ca="1">IF(OR($D34&lt;&gt;"Serviço",AND(AUTOEVENTO="Manual",$M34=$A$15)),0,
         IF(OFFSET(CRONOPLE!$F$15,$M34-$A$15,BO$13)="",10^12,OFFSET(CRONOPLE!$F$15,$M34-$A$15,BO$13)))</f>
        <v>0</v>
      </c>
      <c r="BP34" s="178">
        <f ca="1">IF(OR($D34&lt;&gt;"Serviço",AND(AUTOEVENTO="Manual",$M34=$A$15)),0,
         IF(OFFSET(CRONOPLE!$F$15,$M34-$A$15,BP$13)="",10^12,OFFSET(CRONOPLE!$F$15,$M34-$A$15,BP$13)))</f>
        <v>0</v>
      </c>
      <c r="BQ34" s="178">
        <f ca="1">IF(OR($D34&lt;&gt;"Serviço",AND(AUTOEVENTO="Manual",$M34=$A$15)),0,
         IF(OFFSET(CRONOPLE!$F$15,$M34-$A$15,BQ$13)="",10^12,OFFSET(CRONOPLE!$F$15,$M34-$A$15,BQ$13)))</f>
        <v>0</v>
      </c>
      <c r="BR34" s="178">
        <f ca="1">IF(OR($D34&lt;&gt;"Serviço",AND(AUTOEVENTO="Manual",$M34=$A$15)),0,
         IF(OFFSET(CRONOPLE!$F$15,$M34-$A$15,BR$13)="",10^12,OFFSET(CRONOPLE!$F$15,$M34-$A$15,BR$13)))</f>
        <v>0</v>
      </c>
      <c r="BS34" s="178">
        <f ca="1">IF(OR($D34&lt;&gt;"Serviço",AND(AUTOEVENTO="Manual",$M34=$A$15)),0,
         IF(OFFSET(CRONOPLE!$F$15,$M34-$A$15,BS$13)="",10^12,OFFSET(CRONOPLE!$F$15,$M34-$A$15,BS$13)))</f>
        <v>0</v>
      </c>
      <c r="BT34" s="178">
        <f ca="1">IF(OR($D34&lt;&gt;"Serviço",AND(AUTOEVENTO="Manual",$M34=$A$15)),0,
         IF(OFFSET(CRONOPLE!$F$15,$M34-$A$15,BT$13)="",10^12,OFFSET(CRONOPLE!$F$15,$M34-$A$15,BT$13)))</f>
        <v>0</v>
      </c>
      <c r="BV34" s="179">
        <f ca="1">IF(OR($D34&lt;&gt;"Serviço",AND(AUTOEVENTO="Manual",$M34=$A$15),$M34&gt;(ROW(PLE.lastrow)-ROW(PLE.firstrow))),0,
           IF(OFFSET(PLE!$G$15,$M34-$A$15,BV$13)="",10^12,OFFSET(PLE!$G$15,$M34-$A$15,BV$13)))</f>
        <v>0</v>
      </c>
      <c r="BW34" s="179">
        <f ca="1">IF(OR($D34&lt;&gt;"Serviço",AND(AUTOEVENTO="Manual",$M34=$A$15),$M34&gt;(ROW(PLE.lastrow)-ROW(PLE.firstrow))),0,
           IF(OFFSET(PLE!$G$15,$M34-$A$15,BW$13)="",10^12,OFFSET(PLE!$G$15,$M34-$A$15,BW$13)))</f>
        <v>0</v>
      </c>
      <c r="BX34" s="179">
        <f ca="1">IF(OR($D34&lt;&gt;"Serviço",AND(AUTOEVENTO="Manual",$M34=$A$15),$M34&gt;(ROW(PLE.lastrow)-ROW(PLE.firstrow))),0,
           IF(OFFSET(PLE!$G$15,$M34-$A$15,BX$13)="",10^12,OFFSET(PLE!$G$15,$M34-$A$15,BX$13)))</f>
        <v>0</v>
      </c>
      <c r="BY34" s="179">
        <f ca="1">IF(OR($D34&lt;&gt;"Serviço",AND(AUTOEVENTO="Manual",$M34=$A$15),$M34&gt;(ROW(PLE.lastrow)-ROW(PLE.firstrow))),0,
           IF(OFFSET(PLE!$G$15,$M34-$A$15,BY$13)="",10^12,OFFSET(PLE!$G$15,$M34-$A$15,BY$13)))</f>
        <v>0</v>
      </c>
      <c r="BZ34" s="179">
        <f ca="1">IF(OR($D34&lt;&gt;"Serviço",AND(AUTOEVENTO="Manual",$M34=$A$15),$M34&gt;(ROW(PLE.lastrow)-ROW(PLE.firstrow))),0,
           IF(OFFSET(PLE!$G$15,$M34-$A$15,BZ$13)="",10^12,OFFSET(PLE!$G$15,$M34-$A$15,BZ$13)))</f>
        <v>0</v>
      </c>
      <c r="CA34" s="179">
        <f ca="1">IF(OR($D34&lt;&gt;"Serviço",AND(AUTOEVENTO="Manual",$M34=$A$15),$M34&gt;(ROW(PLE.lastrow)-ROW(PLE.firstrow))),0,
           IF(OFFSET(PLE!$G$15,$M34-$A$15,CA$13)="",10^12,OFFSET(PLE!$G$15,$M34-$A$15,CA$13)))</f>
        <v>0</v>
      </c>
      <c r="CB34" s="179">
        <f ca="1">IF(OR($D34&lt;&gt;"Serviço",AND(AUTOEVENTO="Manual",$M34=$A$15),$M34&gt;(ROW(PLE.lastrow)-ROW(PLE.firstrow))),0,
           IF(OFFSET(PLE!$G$15,$M34-$A$15,CB$13)="",10^12,OFFSET(PLE!$G$15,$M34-$A$15,CB$13)))</f>
        <v>0</v>
      </c>
      <c r="CC34" s="179">
        <f ca="1">IF(OR($D34&lt;&gt;"Serviço",AND(AUTOEVENTO="Manual",$M34=$A$15),$M34&gt;(ROW(PLE.lastrow)-ROW(PLE.firstrow))),0,
           IF(OFFSET(PLE!$G$15,$M34-$A$15,CC$13)="",10^12,OFFSET(PLE!$G$15,$M34-$A$15,CC$13)))</f>
        <v>0</v>
      </c>
      <c r="CD34" s="179">
        <f ca="1">IF(OR($D34&lt;&gt;"Serviço",AND(AUTOEVENTO="Manual",$M34=$A$15),$M34&gt;(ROW(PLE.lastrow)-ROW(PLE.firstrow))),0,
           IF(OFFSET(PLE!$G$15,$M34-$A$15,CD$13)="",10^12,OFFSET(PLE!$G$15,$M34-$A$15,CD$13)))</f>
        <v>0</v>
      </c>
      <c r="CE34" s="179">
        <f ca="1">IF(OR($D34&lt;&gt;"Serviço",AND(AUTOEVENTO="Manual",$M34=$A$15),$M34&gt;(ROW(PLE.lastrow)-ROW(PLE.firstrow))),0,
           IF(OFFSET(PLE!$G$15,$M34-$A$15,CE$13)="",10^12,OFFSET(PLE!$G$15,$M34-$A$15,CE$13)))</f>
        <v>0</v>
      </c>
      <c r="CF34" s="179">
        <f ca="1">IF(OR($D34&lt;&gt;"Serviço",AND(AUTOEVENTO="Manual",$M34=$A$15),$M34&gt;(ROW(PLE.lastrow)-ROW(PLE.firstrow))),0,
           IF(OFFSET(PLE!$G$15,$M34-$A$15,CF$13)="",10^12,OFFSET(PLE!$G$15,$M34-$A$15,CF$13)))</f>
        <v>0</v>
      </c>
      <c r="CG34" s="179">
        <f ca="1">IF(OR($D34&lt;&gt;"Serviço",AND(AUTOEVENTO="Manual",$M34=$A$15),$M34&gt;(ROW(PLE.lastrow)-ROW(PLE.firstrow))),0,
           IF(OFFSET(PLE!$G$15,$M34-$A$15,CG$13)="",10^12,OFFSET(PLE!$G$15,$M34-$A$15,CG$13)))</f>
        <v>0</v>
      </c>
      <c r="CH34" s="179">
        <f ca="1">IF(OR($D34&lt;&gt;"Serviço",AND(AUTOEVENTO="Manual",$M34=$A$15),$M34&gt;(ROW(PLE.lastrow)-ROW(PLE.firstrow))),0,
           IF(OFFSET(PLE!$G$15,$M34-$A$15,CH$13)="",10^12,OFFSET(PLE!$G$15,$M34-$A$15,CH$13)))</f>
        <v>0</v>
      </c>
      <c r="CI34" s="179">
        <f ca="1">IF(OR($D34&lt;&gt;"Serviço",AND(AUTOEVENTO="Manual",$M34=$A$15),$M34&gt;(ROW(PLE.lastrow)-ROW(PLE.firstrow))),0,
           IF(OFFSET(PLE!$G$15,$M34-$A$15,CI$13)="",10^12,OFFSET(PLE!$G$15,$M34-$A$15,CI$13)))</f>
        <v>0</v>
      </c>
      <c r="CJ34" s="179">
        <f ca="1">IF(OR($D34&lt;&gt;"Serviço",AND(AUTOEVENTO="Manual",$M34=$A$15),$M34&gt;(ROW(PLE.lastrow)-ROW(PLE.firstrow))),0,
           IF(OFFSET(PLE!$G$15,$M34-$A$15,CJ$13)="",10^12,OFFSET(PLE!$G$15,$M34-$A$15,CJ$13)))</f>
        <v>0</v>
      </c>
      <c r="CK34" s="179">
        <f ca="1">IF(OR($D34&lt;&gt;"Serviço",AND(AUTOEVENTO="Manual",$M34=$A$15),$M34&gt;(ROW(PLE.lastrow)-ROW(PLE.firstrow))),0,
           IF(OFFSET(PLE!$G$15,$M34-$A$15,CK$13)="",10^12,OFFSET(PLE!$G$15,$M34-$A$15,CK$13)))</f>
        <v>0</v>
      </c>
      <c r="CL34" s="179">
        <f ca="1">IF(OR($D34&lt;&gt;"Serviço",AND(AUTOEVENTO="Manual",$M34=$A$15),$M34&gt;(ROW(PLE.lastrow)-ROW(PLE.firstrow))),0,
           IF(OFFSET(PLE!$G$15,$M34-$A$15,CL$13)="",10^12,OFFSET(PLE!$G$15,$M34-$A$15,CL$13)))</f>
        <v>0</v>
      </c>
      <c r="CM34" s="179">
        <f ca="1">IF(OR($D34&lt;&gt;"Serviço",AND(AUTOEVENTO="Manual",$M34=$A$15),$M34&gt;(ROW(PLE.lastrow)-ROW(PLE.firstrow))),0,
           IF(OFFSET(PLE!$G$15,$M34-$A$15,CM$13)="",10^12,OFFSET(PLE!$G$15,$M34-$A$15,CM$13)))</f>
        <v>0</v>
      </c>
    </row>
    <row r="35" spans="1:91" ht="12.75" x14ac:dyDescent="0.2">
      <c r="A35" s="7" t="str">
        <f ca="1">IF(AUTOEVENTO="Manual",IF(K35&lt;&gt;"",MIN(VALUE(LEFT(K35,FIND(".",K35)-1)),COUNTA(EVENTOS.Lista)),0),IF(OR($B35&gt;AUTOEVENTO,$B35="S",$B35=0),SUBSTITUTE(OFFSET($A35,-1,0),IF($D35="Serviço",".",""),""),ROW(A35)-ROW($A$15)&amp;"."))</f>
        <v>19.</v>
      </c>
      <c r="B35" s="7">
        <f ca="1">OFFSET(ORÇAMENTO!C$15,ROW(B35)-ROW(B$15),0)</f>
        <v>3</v>
      </c>
      <c r="C35" s="7" t="str">
        <f ca="1">OFFSET(ORÇAMENTO!L$15,ROW(C35)-ROW(C$15),0)</f>
        <v>F</v>
      </c>
      <c r="D35" s="118" t="str">
        <f ca="1">OFFSET(ORÇAMENTO!N$15,ROW(D35)-ROW(D$15),0)</f>
        <v>Nível 3</v>
      </c>
      <c r="E35" s="119" t="str">
        <f ca="1">OFFSET(ORÇAMENTO!O$15,ROW(E35)-ROW(E$15),0)</f>
        <v>1.5.1.</v>
      </c>
      <c r="F35" s="170" t="str">
        <f ca="1">OFFSET(ORÇAMENTO!R$15,ROW(F35)-ROW(F$15),0)</f>
        <v>ESCAVAÇÃO E REATERRO</v>
      </c>
      <c r="G35" s="171" t="str">
        <f ca="1">IF($D35&lt;&gt;"Serviço","",OFFSET(ORÇAMENTO!S$15,ROW(G35)-ROW(G$15),0))</f>
        <v/>
      </c>
      <c r="H35" s="124" cm="1">
        <f t="array" aca="1" ref="H35" ca="1">IF($D35&lt;&gt;"Serviço",0,IF(_xlfn.SINGLE(ACOMPANHAMENTO)="BM",ROUND(OFFSET(ORÇAMENTO!AJ$15,ROW(H35)-ROW(H$15),0),15-13*ORÇAMENTO!$AF$7),SUMPRODUCT(($Q$1:$AI$1)*ROUND($Q35:$AI35,15-13*ORÇAMENTO!$AF$7))))</f>
        <v>0</v>
      </c>
      <c r="I35" s="500"/>
      <c r="J35" s="632" t="str" cm="1">
        <f t="array" aca="1" ref="J35" ca="1">IF(B35&lt;&gt;"S","",IF(AND(ACOMPANHAMENTO="PLE",AUTOEVENTO="Manual",OR(H35&gt;0,ORÇAMENTO!AC35="QUANT."),OR(K35="",M35=0,N35="")),"►",IF(AND(ACOMPANHAMENTO="PLE",ORÇAMENTO!AC35="QUANT."),"►►",IF(AND(COUNTIF($P$11:$AI$11,"▼")=0,H35&gt;0,I35=""),"◄",""))))</f>
        <v/>
      </c>
      <c r="K35" s="624"/>
      <c r="L35" s="172" t="s">
        <v>253</v>
      </c>
      <c r="M35" s="173" t="str">
        <f ca="1">IF($D35&lt;&gt;"Serviço","",
          IF(AUTOEVENTO="manual",$A35,
                IF(ISERROR(MATCH($A35,$A$15:OFFSET($A35,-1,0),0)),MAX($M$15:OFFSET(M35,-1,0))+1,
                      INDEX($M$15:OFFSET(M35,-1,0),MATCH($A35,$A$15:OFFSET($A35,-1,0),0)))))</f>
        <v/>
      </c>
      <c r="N35" s="174" t="str">
        <f ca="1">IF($D35&lt;&gt;"Serviço","",
         IF(AUTOEVENTO="Manual",
                IF($A35=0,"&lt;-- defina o número do agrupador",
                       OFFSET(EVENTOS!$D$15,$A35-$A$15,0)),
                OFFSET($F$15,$A35,0)))</f>
        <v/>
      </c>
      <c r="O35" s="175"/>
      <c r="Q35" s="175"/>
      <c r="R35" s="176"/>
      <c r="S35" s="176"/>
      <c r="T35" s="176"/>
      <c r="U35" s="176"/>
      <c r="V35" s="176"/>
      <c r="W35" s="176"/>
      <c r="X35" s="176"/>
      <c r="Y35" s="176"/>
      <c r="Z35" s="177"/>
      <c r="AA35" s="176"/>
      <c r="AB35" s="176"/>
      <c r="AC35" s="176"/>
      <c r="AD35" s="176"/>
      <c r="AE35" s="176"/>
      <c r="AF35" s="176"/>
      <c r="AG35" s="176"/>
      <c r="AH35" s="177"/>
      <c r="AJ35" s="485">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85">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L35" s="485">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0</v>
      </c>
      <c r="AM35" s="485">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0</v>
      </c>
      <c r="AN35" s="485">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85">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85">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85">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85">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85">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85">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85">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85">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85">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85">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85">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85">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85">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8">
        <f ca="1">IF(OR($D35&lt;&gt;"Serviço",AND(AUTOEVENTO="Manual",$M35=$A$15)),0,
         IF(OFFSET(CRONOPLE!$F$15,$M35-$A$15,BC$13)="",10^12,OFFSET(CRONOPLE!$F$15,$M35-$A$15,BC$13)))</f>
        <v>0</v>
      </c>
      <c r="BD35" s="178">
        <f ca="1">IF(OR($D35&lt;&gt;"Serviço",AND(AUTOEVENTO="Manual",$M35=$A$15)),0,
         IF(OFFSET(CRONOPLE!$F$15,$M35-$A$15,BD$13)="",10^12,OFFSET(CRONOPLE!$F$15,$M35-$A$15,BD$13)))</f>
        <v>0</v>
      </c>
      <c r="BE35" s="178">
        <f ca="1">IF(OR($D35&lt;&gt;"Serviço",AND(AUTOEVENTO="Manual",$M35=$A$15)),0,
         IF(OFFSET(CRONOPLE!$F$15,$M35-$A$15,BE$13)="",10^12,OFFSET(CRONOPLE!$F$15,$M35-$A$15,BE$13)))</f>
        <v>0</v>
      </c>
      <c r="BF35" s="178">
        <f ca="1">IF(OR($D35&lt;&gt;"Serviço",AND(AUTOEVENTO="Manual",$M35=$A$15)),0,
         IF(OFFSET(CRONOPLE!$F$15,$M35-$A$15,BF$13)="",10^12,OFFSET(CRONOPLE!$F$15,$M35-$A$15,BF$13)))</f>
        <v>0</v>
      </c>
      <c r="BG35" s="178">
        <f ca="1">IF(OR($D35&lt;&gt;"Serviço",AND(AUTOEVENTO="Manual",$M35=$A$15)),0,
         IF(OFFSET(CRONOPLE!$F$15,$M35-$A$15,BG$13)="",10^12,OFFSET(CRONOPLE!$F$15,$M35-$A$15,BG$13)))</f>
        <v>0</v>
      </c>
      <c r="BH35" s="178">
        <f ca="1">IF(OR($D35&lt;&gt;"Serviço",AND(AUTOEVENTO="Manual",$M35=$A$15)),0,
         IF(OFFSET(CRONOPLE!$F$15,$M35-$A$15,BH$13)="",10^12,OFFSET(CRONOPLE!$F$15,$M35-$A$15,BH$13)))</f>
        <v>0</v>
      </c>
      <c r="BI35" s="178">
        <f ca="1">IF(OR($D35&lt;&gt;"Serviço",AND(AUTOEVENTO="Manual",$M35=$A$15)),0,
         IF(OFFSET(CRONOPLE!$F$15,$M35-$A$15,BI$13)="",10^12,OFFSET(CRONOPLE!$F$15,$M35-$A$15,BI$13)))</f>
        <v>0</v>
      </c>
      <c r="BJ35" s="178">
        <f ca="1">IF(OR($D35&lt;&gt;"Serviço",AND(AUTOEVENTO="Manual",$M35=$A$15)),0,
         IF(OFFSET(CRONOPLE!$F$15,$M35-$A$15,BJ$13)="",10^12,OFFSET(CRONOPLE!$F$15,$M35-$A$15,BJ$13)))</f>
        <v>0</v>
      </c>
      <c r="BK35" s="178">
        <f ca="1">IF(OR($D35&lt;&gt;"Serviço",AND(AUTOEVENTO="Manual",$M35=$A$15)),0,
         IF(OFFSET(CRONOPLE!$F$15,$M35-$A$15,BK$13)="",10^12,OFFSET(CRONOPLE!$F$15,$M35-$A$15,BK$13)))</f>
        <v>0</v>
      </c>
      <c r="BL35" s="178">
        <f ca="1">IF(OR($D35&lt;&gt;"Serviço",AND(AUTOEVENTO="Manual",$M35=$A$15)),0,
         IF(OFFSET(CRONOPLE!$F$15,$M35-$A$15,BL$13)="",10^12,OFFSET(CRONOPLE!$F$15,$M35-$A$15,BL$13)))</f>
        <v>0</v>
      </c>
      <c r="BM35" s="178">
        <f ca="1">IF(OR($D35&lt;&gt;"Serviço",AND(AUTOEVENTO="Manual",$M35=$A$15)),0,
         IF(OFFSET(CRONOPLE!$F$15,$M35-$A$15,BM$13)="",10^12,OFFSET(CRONOPLE!$F$15,$M35-$A$15,BM$13)))</f>
        <v>0</v>
      </c>
      <c r="BN35" s="178">
        <f ca="1">IF(OR($D35&lt;&gt;"Serviço",AND(AUTOEVENTO="Manual",$M35=$A$15)),0,
         IF(OFFSET(CRONOPLE!$F$15,$M35-$A$15,BN$13)="",10^12,OFFSET(CRONOPLE!$F$15,$M35-$A$15,BN$13)))</f>
        <v>0</v>
      </c>
      <c r="BO35" s="178">
        <f ca="1">IF(OR($D35&lt;&gt;"Serviço",AND(AUTOEVENTO="Manual",$M35=$A$15)),0,
         IF(OFFSET(CRONOPLE!$F$15,$M35-$A$15,BO$13)="",10^12,OFFSET(CRONOPLE!$F$15,$M35-$A$15,BO$13)))</f>
        <v>0</v>
      </c>
      <c r="BP35" s="178">
        <f ca="1">IF(OR($D35&lt;&gt;"Serviço",AND(AUTOEVENTO="Manual",$M35=$A$15)),0,
         IF(OFFSET(CRONOPLE!$F$15,$M35-$A$15,BP$13)="",10^12,OFFSET(CRONOPLE!$F$15,$M35-$A$15,BP$13)))</f>
        <v>0</v>
      </c>
      <c r="BQ35" s="178">
        <f ca="1">IF(OR($D35&lt;&gt;"Serviço",AND(AUTOEVENTO="Manual",$M35=$A$15)),0,
         IF(OFFSET(CRONOPLE!$F$15,$M35-$A$15,BQ$13)="",10^12,OFFSET(CRONOPLE!$F$15,$M35-$A$15,BQ$13)))</f>
        <v>0</v>
      </c>
      <c r="BR35" s="178">
        <f ca="1">IF(OR($D35&lt;&gt;"Serviço",AND(AUTOEVENTO="Manual",$M35=$A$15)),0,
         IF(OFFSET(CRONOPLE!$F$15,$M35-$A$15,BR$13)="",10^12,OFFSET(CRONOPLE!$F$15,$M35-$A$15,BR$13)))</f>
        <v>0</v>
      </c>
      <c r="BS35" s="178">
        <f ca="1">IF(OR($D35&lt;&gt;"Serviço",AND(AUTOEVENTO="Manual",$M35=$A$15)),0,
         IF(OFFSET(CRONOPLE!$F$15,$M35-$A$15,BS$13)="",10^12,OFFSET(CRONOPLE!$F$15,$M35-$A$15,BS$13)))</f>
        <v>0</v>
      </c>
      <c r="BT35" s="178">
        <f ca="1">IF(OR($D35&lt;&gt;"Serviço",AND(AUTOEVENTO="Manual",$M35=$A$15)),0,
         IF(OFFSET(CRONOPLE!$F$15,$M35-$A$15,BT$13)="",10^12,OFFSET(CRONOPLE!$F$15,$M35-$A$15,BT$13)))</f>
        <v>0</v>
      </c>
      <c r="BV35" s="179">
        <f ca="1">IF(OR($D35&lt;&gt;"Serviço",AND(AUTOEVENTO="Manual",$M35=$A$15),$M35&gt;(ROW(PLE.lastrow)-ROW(PLE.firstrow))),0,
           IF(OFFSET(PLE!$G$15,$M35-$A$15,BV$13)="",10^12,OFFSET(PLE!$G$15,$M35-$A$15,BV$13)))</f>
        <v>0</v>
      </c>
      <c r="BW35" s="179">
        <f ca="1">IF(OR($D35&lt;&gt;"Serviço",AND(AUTOEVENTO="Manual",$M35=$A$15),$M35&gt;(ROW(PLE.lastrow)-ROW(PLE.firstrow))),0,
           IF(OFFSET(PLE!$G$15,$M35-$A$15,BW$13)="",10^12,OFFSET(PLE!$G$15,$M35-$A$15,BW$13)))</f>
        <v>0</v>
      </c>
      <c r="BX35" s="179">
        <f ca="1">IF(OR($D35&lt;&gt;"Serviço",AND(AUTOEVENTO="Manual",$M35=$A$15),$M35&gt;(ROW(PLE.lastrow)-ROW(PLE.firstrow))),0,
           IF(OFFSET(PLE!$G$15,$M35-$A$15,BX$13)="",10^12,OFFSET(PLE!$G$15,$M35-$A$15,BX$13)))</f>
        <v>0</v>
      </c>
      <c r="BY35" s="179">
        <f ca="1">IF(OR($D35&lt;&gt;"Serviço",AND(AUTOEVENTO="Manual",$M35=$A$15),$M35&gt;(ROW(PLE.lastrow)-ROW(PLE.firstrow))),0,
           IF(OFFSET(PLE!$G$15,$M35-$A$15,BY$13)="",10^12,OFFSET(PLE!$G$15,$M35-$A$15,BY$13)))</f>
        <v>0</v>
      </c>
      <c r="BZ35" s="179">
        <f ca="1">IF(OR($D35&lt;&gt;"Serviço",AND(AUTOEVENTO="Manual",$M35=$A$15),$M35&gt;(ROW(PLE.lastrow)-ROW(PLE.firstrow))),0,
           IF(OFFSET(PLE!$G$15,$M35-$A$15,BZ$13)="",10^12,OFFSET(PLE!$G$15,$M35-$A$15,BZ$13)))</f>
        <v>0</v>
      </c>
      <c r="CA35" s="179">
        <f ca="1">IF(OR($D35&lt;&gt;"Serviço",AND(AUTOEVENTO="Manual",$M35=$A$15),$M35&gt;(ROW(PLE.lastrow)-ROW(PLE.firstrow))),0,
           IF(OFFSET(PLE!$G$15,$M35-$A$15,CA$13)="",10^12,OFFSET(PLE!$G$15,$M35-$A$15,CA$13)))</f>
        <v>0</v>
      </c>
      <c r="CB35" s="179">
        <f ca="1">IF(OR($D35&lt;&gt;"Serviço",AND(AUTOEVENTO="Manual",$M35=$A$15),$M35&gt;(ROW(PLE.lastrow)-ROW(PLE.firstrow))),0,
           IF(OFFSET(PLE!$G$15,$M35-$A$15,CB$13)="",10^12,OFFSET(PLE!$G$15,$M35-$A$15,CB$13)))</f>
        <v>0</v>
      </c>
      <c r="CC35" s="179">
        <f ca="1">IF(OR($D35&lt;&gt;"Serviço",AND(AUTOEVENTO="Manual",$M35=$A$15),$M35&gt;(ROW(PLE.lastrow)-ROW(PLE.firstrow))),0,
           IF(OFFSET(PLE!$G$15,$M35-$A$15,CC$13)="",10^12,OFFSET(PLE!$G$15,$M35-$A$15,CC$13)))</f>
        <v>0</v>
      </c>
      <c r="CD35" s="179">
        <f ca="1">IF(OR($D35&lt;&gt;"Serviço",AND(AUTOEVENTO="Manual",$M35=$A$15),$M35&gt;(ROW(PLE.lastrow)-ROW(PLE.firstrow))),0,
           IF(OFFSET(PLE!$G$15,$M35-$A$15,CD$13)="",10^12,OFFSET(PLE!$G$15,$M35-$A$15,CD$13)))</f>
        <v>0</v>
      </c>
      <c r="CE35" s="179">
        <f ca="1">IF(OR($D35&lt;&gt;"Serviço",AND(AUTOEVENTO="Manual",$M35=$A$15),$M35&gt;(ROW(PLE.lastrow)-ROW(PLE.firstrow))),0,
           IF(OFFSET(PLE!$G$15,$M35-$A$15,CE$13)="",10^12,OFFSET(PLE!$G$15,$M35-$A$15,CE$13)))</f>
        <v>0</v>
      </c>
      <c r="CF35" s="179">
        <f ca="1">IF(OR($D35&lt;&gt;"Serviço",AND(AUTOEVENTO="Manual",$M35=$A$15),$M35&gt;(ROW(PLE.lastrow)-ROW(PLE.firstrow))),0,
           IF(OFFSET(PLE!$G$15,$M35-$A$15,CF$13)="",10^12,OFFSET(PLE!$G$15,$M35-$A$15,CF$13)))</f>
        <v>0</v>
      </c>
      <c r="CG35" s="179">
        <f ca="1">IF(OR($D35&lt;&gt;"Serviço",AND(AUTOEVENTO="Manual",$M35=$A$15),$M35&gt;(ROW(PLE.lastrow)-ROW(PLE.firstrow))),0,
           IF(OFFSET(PLE!$G$15,$M35-$A$15,CG$13)="",10^12,OFFSET(PLE!$G$15,$M35-$A$15,CG$13)))</f>
        <v>0</v>
      </c>
      <c r="CH35" s="179">
        <f ca="1">IF(OR($D35&lt;&gt;"Serviço",AND(AUTOEVENTO="Manual",$M35=$A$15),$M35&gt;(ROW(PLE.lastrow)-ROW(PLE.firstrow))),0,
           IF(OFFSET(PLE!$G$15,$M35-$A$15,CH$13)="",10^12,OFFSET(PLE!$G$15,$M35-$A$15,CH$13)))</f>
        <v>0</v>
      </c>
      <c r="CI35" s="179">
        <f ca="1">IF(OR($D35&lt;&gt;"Serviço",AND(AUTOEVENTO="Manual",$M35=$A$15),$M35&gt;(ROW(PLE.lastrow)-ROW(PLE.firstrow))),0,
           IF(OFFSET(PLE!$G$15,$M35-$A$15,CI$13)="",10^12,OFFSET(PLE!$G$15,$M35-$A$15,CI$13)))</f>
        <v>0</v>
      </c>
      <c r="CJ35" s="179">
        <f ca="1">IF(OR($D35&lt;&gt;"Serviço",AND(AUTOEVENTO="Manual",$M35=$A$15),$M35&gt;(ROW(PLE.lastrow)-ROW(PLE.firstrow))),0,
           IF(OFFSET(PLE!$G$15,$M35-$A$15,CJ$13)="",10^12,OFFSET(PLE!$G$15,$M35-$A$15,CJ$13)))</f>
        <v>0</v>
      </c>
      <c r="CK35" s="179">
        <f ca="1">IF(OR($D35&lt;&gt;"Serviço",AND(AUTOEVENTO="Manual",$M35=$A$15),$M35&gt;(ROW(PLE.lastrow)-ROW(PLE.firstrow))),0,
           IF(OFFSET(PLE!$G$15,$M35-$A$15,CK$13)="",10^12,OFFSET(PLE!$G$15,$M35-$A$15,CK$13)))</f>
        <v>0</v>
      </c>
      <c r="CL35" s="179">
        <f ca="1">IF(OR($D35&lt;&gt;"Serviço",AND(AUTOEVENTO="Manual",$M35=$A$15),$M35&gt;(ROW(PLE.lastrow)-ROW(PLE.firstrow))),0,
           IF(OFFSET(PLE!$G$15,$M35-$A$15,CL$13)="",10^12,OFFSET(PLE!$G$15,$M35-$A$15,CL$13)))</f>
        <v>0</v>
      </c>
      <c r="CM35" s="179">
        <f ca="1">IF(OR($D35&lt;&gt;"Serviço",AND(AUTOEVENTO="Manual",$M35=$A$15),$M35&gt;(ROW(PLE.lastrow)-ROW(PLE.firstrow))),0,
           IF(OFFSET(PLE!$G$15,$M35-$A$15,CM$13)="",10^12,OFFSET(PLE!$G$15,$M35-$A$15,CM$13)))</f>
        <v>0</v>
      </c>
    </row>
    <row r="36" spans="1:91" ht="63.75" x14ac:dyDescent="0.2">
      <c r="A36" s="7" t="str">
        <f ca="1">IF(AUTOEVENTO="Manual",IF(K36&lt;&gt;"",MIN(VALUE(LEFT(K36,FIND(".",K36)-1)),COUNTA(EVENTOS.Lista)),0),IF(OR($B36&gt;AUTOEVENTO,$B36="S",$B36=0),SUBSTITUTE(OFFSET($A36,-1,0),IF($D36="Serviço",".",""),""),ROW(A36)-ROW($A$15)&amp;"."))</f>
        <v>19</v>
      </c>
      <c r="B36" s="7" t="str">
        <f ca="1">OFFSET(ORÇAMENTO!C$15,ROW(B36)-ROW(B$15),0)</f>
        <v>S</v>
      </c>
      <c r="C36" s="7" t="str">
        <f ca="1">OFFSET(ORÇAMENTO!L$15,ROW(C36)-ROW(C$15),0)</f>
        <v>F</v>
      </c>
      <c r="D36" s="118" t="str">
        <f ca="1">OFFSET(ORÇAMENTO!N$15,ROW(D36)-ROW(D$15),0)</f>
        <v>Serviço</v>
      </c>
      <c r="E36" s="119" t="str">
        <f ca="1">OFFSET(ORÇAMENTO!O$15,ROW(E36)-ROW(E$15),0)</f>
        <v>1.5.1.0.1.</v>
      </c>
      <c r="F36" s="170" t="str">
        <f ca="1">OFFSET(ORÇAMENTO!R$15,ROW(F36)-ROW(F$15),0)</f>
        <v>ESCAVAÇÃO MECANIZADA DE VALA COM PROF. MAIOR QUE 1,5 M ATÉ 3,0 M (MÉDIA MONTANTE E JUSANTE/UMA COMPOSIÇÃO POR TRECHO), RETROESCAV. (0,26 M3), LARG. DE 0,8 M A 1,5 M, EM SOLO DE 2A CATEGORIA, EM LOCAIS COM BAIXO NÍVEL DE INTERFERÊNCIA. AF_09/2024</v>
      </c>
      <c r="G36" s="171" t="str">
        <f ca="1">IF($D36&lt;&gt;"Serviço","",OFFSET(ORÇAMENTO!S$15,ROW(G36)-ROW(G$15),0))</f>
        <v>M3</v>
      </c>
      <c r="H36" s="124" cm="1">
        <f t="array" aca="1" ref="H36" ca="1">IF($D36&lt;&gt;"Serviço",0,IF(_xlfn.SINGLE(ACOMPANHAMENTO)="BM",ROUND(OFFSET(ORÇAMENTO!AJ$15,ROW(H36)-ROW(H$15),0),15-13*ORÇAMENTO!$AF$7),SUMPRODUCT(($Q$1:$AI$1)*ROUND($Q36:$AI36,15-13*ORÇAMENTO!$AF$7))))</f>
        <v>281.60000000000002</v>
      </c>
      <c r="I36" s="500" t="s">
        <v>1055</v>
      </c>
      <c r="J36" s="632" t="str" cm="1">
        <f t="array" aca="1" ref="J36" ca="1">IF(B36&lt;&gt;"S","",IF(AND(ACOMPANHAMENTO="PLE",AUTOEVENTO="Manual",OR(H36&gt;0,ORÇAMENTO!AC36="QUANT."),OR(K36="",M36=0,N36="")),"►",IF(AND(ACOMPANHAMENTO="PLE",ORÇAMENTO!AC36="QUANT."),"►►",IF(AND(COUNTIF($P$11:$AI$11,"▼")=0,H36&gt;0,I36=""),"◄",""))))</f>
        <v/>
      </c>
      <c r="K36" s="624"/>
      <c r="L36" s="172" t="s">
        <v>253</v>
      </c>
      <c r="M36" s="173">
        <f ca="1">IF($D36&lt;&gt;"Serviço","",
          IF(AUTOEVENTO="manual",$A36,
                IF(ISERROR(MATCH($A36,$A$15:OFFSET($A36,-1,0),0)),MAX($M$15:OFFSET(M36,-1,0))+1,
                      INDEX($M$15:OFFSET(M36,-1,0),MATCH($A36,$A$15:OFFSET($A36,-1,0),0)))))</f>
        <v>5</v>
      </c>
      <c r="N36" s="174" t="str">
        <f ca="1">IF($D36&lt;&gt;"Serviço","",
         IF(AUTOEVENTO="Manual",
                IF($A36=0,"&lt;-- defina o número do agrupador",
                       OFFSET(EVENTOS!$D$15,$A36-$A$15,0)),
                OFFSET($F$15,$A36,0)))</f>
        <v>ESTRUTURA E FUNDAÇÕES - PROJETO E ORÇAMENTO TERCERIZADO - AZEVEDO ENGENHARIA (AZ ENG)</v>
      </c>
      <c r="O36" s="175"/>
      <c r="Q36" s="175">
        <v>281.60000000000002</v>
      </c>
      <c r="R36" s="176"/>
      <c r="S36" s="176"/>
      <c r="T36" s="176"/>
      <c r="U36" s="176"/>
      <c r="V36" s="176"/>
      <c r="W36" s="176"/>
      <c r="X36" s="176"/>
      <c r="Y36" s="176"/>
      <c r="Z36" s="177"/>
      <c r="AA36" s="176"/>
      <c r="AB36" s="176"/>
      <c r="AC36" s="176"/>
      <c r="AD36" s="176"/>
      <c r="AE36" s="176"/>
      <c r="AF36" s="176"/>
      <c r="AG36" s="176"/>
      <c r="AH36" s="177"/>
      <c r="AJ36" s="485">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3598.85</v>
      </c>
      <c r="AK36" s="485">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L36" s="485">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0</v>
      </c>
      <c r="AM36" s="485">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0</v>
      </c>
      <c r="AN36" s="485">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85">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85">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85">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85">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85">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85">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85">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85">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85">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85">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85">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85">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85">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8">
        <f ca="1">IF(OR($D36&lt;&gt;"Serviço",AND(AUTOEVENTO="Manual",$M36=$A$15)),0,
         IF(OFFSET(CRONOPLE!$F$15,$M36-$A$15,BC$13)="",10^12,OFFSET(CRONOPLE!$F$15,$M36-$A$15,BC$13)))</f>
        <v>1</v>
      </c>
      <c r="BD36" s="178">
        <f ca="1">IF(OR($D36&lt;&gt;"Serviço",AND(AUTOEVENTO="Manual",$M36=$A$15)),0,
         IF(OFFSET(CRONOPLE!$F$15,$M36-$A$15,BD$13)="",10^12,OFFSET(CRONOPLE!$F$15,$M36-$A$15,BD$13)))</f>
        <v>2</v>
      </c>
      <c r="BE36" s="178">
        <f ca="1">IF(OR($D36&lt;&gt;"Serviço",AND(AUTOEVENTO="Manual",$M36=$A$15)),0,
         IF(OFFSET(CRONOPLE!$F$15,$M36-$A$15,BE$13)="",10^12,OFFSET(CRONOPLE!$F$15,$M36-$A$15,BE$13)))</f>
        <v>3</v>
      </c>
      <c r="BF36" s="178">
        <f ca="1">IF(OR($D36&lt;&gt;"Serviço",AND(AUTOEVENTO="Manual",$M36=$A$15)),0,
         IF(OFFSET(CRONOPLE!$F$15,$M36-$A$15,BF$13)="",10^12,OFFSET(CRONOPLE!$F$15,$M36-$A$15,BF$13)))</f>
        <v>4</v>
      </c>
      <c r="BG36" s="178">
        <f ca="1">IF(OR($D36&lt;&gt;"Serviço",AND(AUTOEVENTO="Manual",$M36=$A$15)),0,
         IF(OFFSET(CRONOPLE!$F$15,$M36-$A$15,BG$13)="",10^12,OFFSET(CRONOPLE!$F$15,$M36-$A$15,BG$13)))</f>
        <v>5</v>
      </c>
      <c r="BH36" s="178">
        <f ca="1">IF(OR($D36&lt;&gt;"Serviço",AND(AUTOEVENTO="Manual",$M36=$A$15)),0,
         IF(OFFSET(CRONOPLE!$F$15,$M36-$A$15,BH$13)="",10^12,OFFSET(CRONOPLE!$F$15,$M36-$A$15,BH$13)))</f>
        <v>6</v>
      </c>
      <c r="BI36" s="178">
        <f ca="1">IF(OR($D36&lt;&gt;"Serviço",AND(AUTOEVENTO="Manual",$M36=$A$15)),0,
         IF(OFFSET(CRONOPLE!$F$15,$M36-$A$15,BI$13)="",10^12,OFFSET(CRONOPLE!$F$15,$M36-$A$15,BI$13)))</f>
        <v>7</v>
      </c>
      <c r="BJ36" s="178">
        <f ca="1">IF(OR($D36&lt;&gt;"Serviço",AND(AUTOEVENTO="Manual",$M36=$A$15)),0,
         IF(OFFSET(CRONOPLE!$F$15,$M36-$A$15,BJ$13)="",10^12,OFFSET(CRONOPLE!$F$15,$M36-$A$15,BJ$13)))</f>
        <v>1000000000000</v>
      </c>
      <c r="BK36" s="178">
        <f ca="1">IF(OR($D36&lt;&gt;"Serviço",AND(AUTOEVENTO="Manual",$M36=$A$15)),0,
         IF(OFFSET(CRONOPLE!$F$15,$M36-$A$15,BK$13)="",10^12,OFFSET(CRONOPLE!$F$15,$M36-$A$15,BK$13)))</f>
        <v>1000000000000</v>
      </c>
      <c r="BL36" s="178">
        <f ca="1">IF(OR($D36&lt;&gt;"Serviço",AND(AUTOEVENTO="Manual",$M36=$A$15)),0,
         IF(OFFSET(CRONOPLE!$F$15,$M36-$A$15,BL$13)="",10^12,OFFSET(CRONOPLE!$F$15,$M36-$A$15,BL$13)))</f>
        <v>1000000000000</v>
      </c>
      <c r="BM36" s="178">
        <f ca="1">IF(OR($D36&lt;&gt;"Serviço",AND(AUTOEVENTO="Manual",$M36=$A$15)),0,
         IF(OFFSET(CRONOPLE!$F$15,$M36-$A$15,BM$13)="",10^12,OFFSET(CRONOPLE!$F$15,$M36-$A$15,BM$13)))</f>
        <v>1000000000000</v>
      </c>
      <c r="BN36" s="178">
        <f ca="1">IF(OR($D36&lt;&gt;"Serviço",AND(AUTOEVENTO="Manual",$M36=$A$15)),0,
         IF(OFFSET(CRONOPLE!$F$15,$M36-$A$15,BN$13)="",10^12,OFFSET(CRONOPLE!$F$15,$M36-$A$15,BN$13)))</f>
        <v>1000000000000</v>
      </c>
      <c r="BO36" s="178">
        <f ca="1">IF(OR($D36&lt;&gt;"Serviço",AND(AUTOEVENTO="Manual",$M36=$A$15)),0,
         IF(OFFSET(CRONOPLE!$F$15,$M36-$A$15,BO$13)="",10^12,OFFSET(CRONOPLE!$F$15,$M36-$A$15,BO$13)))</f>
        <v>1000000000000</v>
      </c>
      <c r="BP36" s="178">
        <f ca="1">IF(OR($D36&lt;&gt;"Serviço",AND(AUTOEVENTO="Manual",$M36=$A$15)),0,
         IF(OFFSET(CRONOPLE!$F$15,$M36-$A$15,BP$13)="",10^12,OFFSET(CRONOPLE!$F$15,$M36-$A$15,BP$13)))</f>
        <v>1000000000000</v>
      </c>
      <c r="BQ36" s="178">
        <f ca="1">IF(OR($D36&lt;&gt;"Serviço",AND(AUTOEVENTO="Manual",$M36=$A$15)),0,
         IF(OFFSET(CRONOPLE!$F$15,$M36-$A$15,BQ$13)="",10^12,OFFSET(CRONOPLE!$F$15,$M36-$A$15,BQ$13)))</f>
        <v>1000000000000</v>
      </c>
      <c r="BR36" s="178">
        <f ca="1">IF(OR($D36&lt;&gt;"Serviço",AND(AUTOEVENTO="Manual",$M36=$A$15)),0,
         IF(OFFSET(CRONOPLE!$F$15,$M36-$A$15,BR$13)="",10^12,OFFSET(CRONOPLE!$F$15,$M36-$A$15,BR$13)))</f>
        <v>1000000000000</v>
      </c>
      <c r="BS36" s="178">
        <f ca="1">IF(OR($D36&lt;&gt;"Serviço",AND(AUTOEVENTO="Manual",$M36=$A$15)),0,
         IF(OFFSET(CRONOPLE!$F$15,$M36-$A$15,BS$13)="",10^12,OFFSET(CRONOPLE!$F$15,$M36-$A$15,BS$13)))</f>
        <v>1000000000000</v>
      </c>
      <c r="BT36" s="178">
        <f ca="1">IF(OR($D36&lt;&gt;"Serviço",AND(AUTOEVENTO="Manual",$M36=$A$15)),0,
         IF(OFFSET(CRONOPLE!$F$15,$M36-$A$15,BT$13)="",10^12,OFFSET(CRONOPLE!$F$15,$M36-$A$15,BT$13)))</f>
        <v>1000000000000</v>
      </c>
      <c r="BV36" s="179">
        <f ca="1">IF(OR($D36&lt;&gt;"Serviço",AND(AUTOEVENTO="Manual",$M36=$A$15),$M36&gt;(ROW(PLE.lastrow)-ROW(PLE.firstrow))),0,
           IF(OFFSET(PLE!$G$15,$M36-$A$15,BV$13)="",10^12,OFFSET(PLE!$G$15,$M36-$A$15,BV$13)))</f>
        <v>1000000000000</v>
      </c>
      <c r="BW36" s="179">
        <f ca="1">IF(OR($D36&lt;&gt;"Serviço",AND(AUTOEVENTO="Manual",$M36=$A$15),$M36&gt;(ROW(PLE.lastrow)-ROW(PLE.firstrow))),0,
           IF(OFFSET(PLE!$G$15,$M36-$A$15,BW$13)="",10^12,OFFSET(PLE!$G$15,$M36-$A$15,BW$13)))</f>
        <v>1000000000000</v>
      </c>
      <c r="BX36" s="179">
        <f ca="1">IF(OR($D36&lt;&gt;"Serviço",AND(AUTOEVENTO="Manual",$M36=$A$15),$M36&gt;(ROW(PLE.lastrow)-ROW(PLE.firstrow))),0,
           IF(OFFSET(PLE!$G$15,$M36-$A$15,BX$13)="",10^12,OFFSET(PLE!$G$15,$M36-$A$15,BX$13)))</f>
        <v>1000000000000</v>
      </c>
      <c r="BY36" s="179">
        <f ca="1">IF(OR($D36&lt;&gt;"Serviço",AND(AUTOEVENTO="Manual",$M36=$A$15),$M36&gt;(ROW(PLE.lastrow)-ROW(PLE.firstrow))),0,
           IF(OFFSET(PLE!$G$15,$M36-$A$15,BY$13)="",10^12,OFFSET(PLE!$G$15,$M36-$A$15,BY$13)))</f>
        <v>1000000000000</v>
      </c>
      <c r="BZ36" s="179">
        <f ca="1">IF(OR($D36&lt;&gt;"Serviço",AND(AUTOEVENTO="Manual",$M36=$A$15),$M36&gt;(ROW(PLE.lastrow)-ROW(PLE.firstrow))),0,
           IF(OFFSET(PLE!$G$15,$M36-$A$15,BZ$13)="",10^12,OFFSET(PLE!$G$15,$M36-$A$15,BZ$13)))</f>
        <v>1000000000000</v>
      </c>
      <c r="CA36" s="179">
        <f ca="1">IF(OR($D36&lt;&gt;"Serviço",AND(AUTOEVENTO="Manual",$M36=$A$15),$M36&gt;(ROW(PLE.lastrow)-ROW(PLE.firstrow))),0,
           IF(OFFSET(PLE!$G$15,$M36-$A$15,CA$13)="",10^12,OFFSET(PLE!$G$15,$M36-$A$15,CA$13)))</f>
        <v>1000000000000</v>
      </c>
      <c r="CB36" s="179">
        <f ca="1">IF(OR($D36&lt;&gt;"Serviço",AND(AUTOEVENTO="Manual",$M36=$A$15),$M36&gt;(ROW(PLE.lastrow)-ROW(PLE.firstrow))),0,
           IF(OFFSET(PLE!$G$15,$M36-$A$15,CB$13)="",10^12,OFFSET(PLE!$G$15,$M36-$A$15,CB$13)))</f>
        <v>1000000000000</v>
      </c>
      <c r="CC36" s="179">
        <f ca="1">IF(OR($D36&lt;&gt;"Serviço",AND(AUTOEVENTO="Manual",$M36=$A$15),$M36&gt;(ROW(PLE.lastrow)-ROW(PLE.firstrow))),0,
           IF(OFFSET(PLE!$G$15,$M36-$A$15,CC$13)="",10^12,OFFSET(PLE!$G$15,$M36-$A$15,CC$13)))</f>
        <v>1000000000000</v>
      </c>
      <c r="CD36" s="179">
        <f ca="1">IF(OR($D36&lt;&gt;"Serviço",AND(AUTOEVENTO="Manual",$M36=$A$15),$M36&gt;(ROW(PLE.lastrow)-ROW(PLE.firstrow))),0,
           IF(OFFSET(PLE!$G$15,$M36-$A$15,CD$13)="",10^12,OFFSET(PLE!$G$15,$M36-$A$15,CD$13)))</f>
        <v>1000000000000</v>
      </c>
      <c r="CE36" s="179">
        <f ca="1">IF(OR($D36&lt;&gt;"Serviço",AND(AUTOEVENTO="Manual",$M36=$A$15),$M36&gt;(ROW(PLE.lastrow)-ROW(PLE.firstrow))),0,
           IF(OFFSET(PLE!$G$15,$M36-$A$15,CE$13)="",10^12,OFFSET(PLE!$G$15,$M36-$A$15,CE$13)))</f>
        <v>1000000000000</v>
      </c>
      <c r="CF36" s="179">
        <f ca="1">IF(OR($D36&lt;&gt;"Serviço",AND(AUTOEVENTO="Manual",$M36=$A$15),$M36&gt;(ROW(PLE.lastrow)-ROW(PLE.firstrow))),0,
           IF(OFFSET(PLE!$G$15,$M36-$A$15,CF$13)="",10^12,OFFSET(PLE!$G$15,$M36-$A$15,CF$13)))</f>
        <v>1000000000000</v>
      </c>
      <c r="CG36" s="179">
        <f ca="1">IF(OR($D36&lt;&gt;"Serviço",AND(AUTOEVENTO="Manual",$M36=$A$15),$M36&gt;(ROW(PLE.lastrow)-ROW(PLE.firstrow))),0,
           IF(OFFSET(PLE!$G$15,$M36-$A$15,CG$13)="",10^12,OFFSET(PLE!$G$15,$M36-$A$15,CG$13)))</f>
        <v>1000000000000</v>
      </c>
      <c r="CH36" s="179">
        <f ca="1">IF(OR($D36&lt;&gt;"Serviço",AND(AUTOEVENTO="Manual",$M36=$A$15),$M36&gt;(ROW(PLE.lastrow)-ROW(PLE.firstrow))),0,
           IF(OFFSET(PLE!$G$15,$M36-$A$15,CH$13)="",10^12,OFFSET(PLE!$G$15,$M36-$A$15,CH$13)))</f>
        <v>1000000000000</v>
      </c>
      <c r="CI36" s="179">
        <f ca="1">IF(OR($D36&lt;&gt;"Serviço",AND(AUTOEVENTO="Manual",$M36=$A$15),$M36&gt;(ROW(PLE.lastrow)-ROW(PLE.firstrow))),0,
           IF(OFFSET(PLE!$G$15,$M36-$A$15,CI$13)="",10^12,OFFSET(PLE!$G$15,$M36-$A$15,CI$13)))</f>
        <v>1000000000000</v>
      </c>
      <c r="CJ36" s="179">
        <f ca="1">IF(OR($D36&lt;&gt;"Serviço",AND(AUTOEVENTO="Manual",$M36=$A$15),$M36&gt;(ROW(PLE.lastrow)-ROW(PLE.firstrow))),0,
           IF(OFFSET(PLE!$G$15,$M36-$A$15,CJ$13)="",10^12,OFFSET(PLE!$G$15,$M36-$A$15,CJ$13)))</f>
        <v>1000000000000</v>
      </c>
      <c r="CK36" s="179">
        <f ca="1">IF(OR($D36&lt;&gt;"Serviço",AND(AUTOEVENTO="Manual",$M36=$A$15),$M36&gt;(ROW(PLE.lastrow)-ROW(PLE.firstrow))),0,
           IF(OFFSET(PLE!$G$15,$M36-$A$15,CK$13)="",10^12,OFFSET(PLE!$G$15,$M36-$A$15,CK$13)))</f>
        <v>1000000000000</v>
      </c>
      <c r="CL36" s="179">
        <f ca="1">IF(OR($D36&lt;&gt;"Serviço",AND(AUTOEVENTO="Manual",$M36=$A$15),$M36&gt;(ROW(PLE.lastrow)-ROW(PLE.firstrow))),0,
           IF(OFFSET(PLE!$G$15,$M36-$A$15,CL$13)="",10^12,OFFSET(PLE!$G$15,$M36-$A$15,CL$13)))</f>
        <v>1000000000000</v>
      </c>
      <c r="CM36" s="179">
        <f ca="1">IF(OR($D36&lt;&gt;"Serviço",AND(AUTOEVENTO="Manual",$M36=$A$15),$M36&gt;(ROW(PLE.lastrow)-ROW(PLE.firstrow))),0,
           IF(OFFSET(PLE!$G$15,$M36-$A$15,CM$13)="",10^12,OFFSET(PLE!$G$15,$M36-$A$15,CM$13)))</f>
        <v>1000000000000</v>
      </c>
    </row>
    <row r="37" spans="1:91" ht="63.75" x14ac:dyDescent="0.2">
      <c r="A37" s="7" t="str">
        <f ca="1">IF(AUTOEVENTO="Manual",IF(K37&lt;&gt;"",MIN(VALUE(LEFT(K37,FIND(".",K37)-1)),COUNTA(EVENTOS.Lista)),0),IF(OR($B37&gt;AUTOEVENTO,$B37="S",$B37=0),SUBSTITUTE(OFFSET($A37,-1,0),IF($D37="Serviço",".",""),""),ROW(A37)-ROW($A$15)&amp;"."))</f>
        <v>19</v>
      </c>
      <c r="B37" s="7" t="str">
        <f ca="1">OFFSET(ORÇAMENTO!C$15,ROW(B37)-ROW(B$15),0)</f>
        <v>S</v>
      </c>
      <c r="C37" s="7" t="str">
        <f ca="1">OFFSET(ORÇAMENTO!L$15,ROW(C37)-ROW(C$15),0)</f>
        <v>F</v>
      </c>
      <c r="D37" s="118" t="str">
        <f ca="1">OFFSET(ORÇAMENTO!N$15,ROW(D37)-ROW(D$15),0)</f>
        <v>Serviço</v>
      </c>
      <c r="E37" s="119" t="str">
        <f ca="1">OFFSET(ORÇAMENTO!O$15,ROW(E37)-ROW(E$15),0)</f>
        <v>1.5.1.0.2.</v>
      </c>
      <c r="F37" s="170" t="str">
        <f ca="1">OFFSET(ORÇAMENTO!R$15,ROW(F37)-ROW(F$15),0)</f>
        <v>REATERRO MECANIZADO DE VALA COM ESCAVADEIRA HIDRÁULICA (CAPACIDADE DA CAÇAMBA: 0,8 M³/POTÊNCIA: 111 HP), LARGURA 1,5 A 2,5 M, PROFUNDIDADE 1,5 A 3,0 M, COM SOLO (SEM SUBSTITUIÇÃO) DE 1ª CATEGORIA, COM COMPACTADOR DE SOLOS DE PERCUSSÃO. AF_08/2023</v>
      </c>
      <c r="G37" s="171" t="str">
        <f ca="1">IF($D37&lt;&gt;"Serviço","",OFFSET(ORÇAMENTO!S$15,ROW(G37)-ROW(G$15),0))</f>
        <v>M3</v>
      </c>
      <c r="H37" s="124" cm="1">
        <f t="array" aca="1" ref="H37" ca="1">IF($D37&lt;&gt;"Serviço",0,IF(_xlfn.SINGLE(ACOMPANHAMENTO)="BM",ROUND(OFFSET(ORÇAMENTO!AJ$15,ROW(H37)-ROW(H$15),0),15-13*ORÇAMENTO!$AF$7),SUMPRODUCT(($Q$1:$AI$1)*ROUND($Q37:$AI37,15-13*ORÇAMENTO!$AF$7))))</f>
        <v>230.9</v>
      </c>
      <c r="I37" s="500" t="s">
        <v>1055</v>
      </c>
      <c r="J37" s="632" t="str" cm="1">
        <f t="array" aca="1" ref="J37" ca="1">IF(B37&lt;&gt;"S","",IF(AND(ACOMPANHAMENTO="PLE",AUTOEVENTO="Manual",OR(H37&gt;0,ORÇAMENTO!AC37="QUANT."),OR(K37="",M37=0,N37="")),"►",IF(AND(ACOMPANHAMENTO="PLE",ORÇAMENTO!AC37="QUANT."),"►►",IF(AND(COUNTIF($P$11:$AI$11,"▼")=0,H37&gt;0,I37=""),"◄",""))))</f>
        <v/>
      </c>
      <c r="K37" s="624"/>
      <c r="L37" s="172" t="s">
        <v>253</v>
      </c>
      <c r="M37" s="173">
        <f ca="1">IF($D37&lt;&gt;"Serviço","",
          IF(AUTOEVENTO="manual",$A37,
                IF(ISERROR(MATCH($A37,$A$15:OFFSET($A37,-1,0),0)),MAX($M$15:OFFSET(M37,-1,0))+1,
                      INDEX($M$15:OFFSET(M37,-1,0),MATCH($A37,$A$15:OFFSET($A37,-1,0),0)))))</f>
        <v>5</v>
      </c>
      <c r="N37" s="174" t="str">
        <f ca="1">IF($D37&lt;&gt;"Serviço","",
         IF(AUTOEVENTO="Manual",
                IF($A37=0,"&lt;-- defina o número do agrupador",
                       OFFSET(EVENTOS!$D$15,$A37-$A$15,0)),
                OFFSET($F$15,$A37,0)))</f>
        <v>ESTRUTURA E FUNDAÇÕES - PROJETO E ORÇAMENTO TERCERIZADO - AZEVEDO ENGENHARIA (AZ ENG)</v>
      </c>
      <c r="O37" s="175"/>
      <c r="Q37" s="175">
        <v>230.9</v>
      </c>
      <c r="R37" s="176"/>
      <c r="S37" s="176"/>
      <c r="T37" s="176"/>
      <c r="U37" s="176"/>
      <c r="V37" s="176"/>
      <c r="W37" s="176"/>
      <c r="X37" s="176"/>
      <c r="Y37" s="176"/>
      <c r="Z37" s="177"/>
      <c r="AA37" s="176"/>
      <c r="AB37" s="176"/>
      <c r="AC37" s="176"/>
      <c r="AD37" s="176"/>
      <c r="AE37" s="176"/>
      <c r="AF37" s="176"/>
      <c r="AG37" s="176"/>
      <c r="AH37" s="177"/>
      <c r="AJ37" s="485">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5583.16</v>
      </c>
      <c r="AK37" s="485">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L37" s="485">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0</v>
      </c>
      <c r="AM37" s="485">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0</v>
      </c>
      <c r="AN37" s="485">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85">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85">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85">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85">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85">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85">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85">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85">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85">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85">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85">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85">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85">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8">
        <f ca="1">IF(OR($D37&lt;&gt;"Serviço",AND(AUTOEVENTO="Manual",$M37=$A$15)),0,
         IF(OFFSET(CRONOPLE!$F$15,$M37-$A$15,BC$13)="",10^12,OFFSET(CRONOPLE!$F$15,$M37-$A$15,BC$13)))</f>
        <v>1</v>
      </c>
      <c r="BD37" s="178">
        <f ca="1">IF(OR($D37&lt;&gt;"Serviço",AND(AUTOEVENTO="Manual",$M37=$A$15)),0,
         IF(OFFSET(CRONOPLE!$F$15,$M37-$A$15,BD$13)="",10^12,OFFSET(CRONOPLE!$F$15,$M37-$A$15,BD$13)))</f>
        <v>2</v>
      </c>
      <c r="BE37" s="178">
        <f ca="1">IF(OR($D37&lt;&gt;"Serviço",AND(AUTOEVENTO="Manual",$M37=$A$15)),0,
         IF(OFFSET(CRONOPLE!$F$15,$M37-$A$15,BE$13)="",10^12,OFFSET(CRONOPLE!$F$15,$M37-$A$15,BE$13)))</f>
        <v>3</v>
      </c>
      <c r="BF37" s="178">
        <f ca="1">IF(OR($D37&lt;&gt;"Serviço",AND(AUTOEVENTO="Manual",$M37=$A$15)),0,
         IF(OFFSET(CRONOPLE!$F$15,$M37-$A$15,BF$13)="",10^12,OFFSET(CRONOPLE!$F$15,$M37-$A$15,BF$13)))</f>
        <v>4</v>
      </c>
      <c r="BG37" s="178">
        <f ca="1">IF(OR($D37&lt;&gt;"Serviço",AND(AUTOEVENTO="Manual",$M37=$A$15)),0,
         IF(OFFSET(CRONOPLE!$F$15,$M37-$A$15,BG$13)="",10^12,OFFSET(CRONOPLE!$F$15,$M37-$A$15,BG$13)))</f>
        <v>5</v>
      </c>
      <c r="BH37" s="178">
        <f ca="1">IF(OR($D37&lt;&gt;"Serviço",AND(AUTOEVENTO="Manual",$M37=$A$15)),0,
         IF(OFFSET(CRONOPLE!$F$15,$M37-$A$15,BH$13)="",10^12,OFFSET(CRONOPLE!$F$15,$M37-$A$15,BH$13)))</f>
        <v>6</v>
      </c>
      <c r="BI37" s="178">
        <f ca="1">IF(OR($D37&lt;&gt;"Serviço",AND(AUTOEVENTO="Manual",$M37=$A$15)),0,
         IF(OFFSET(CRONOPLE!$F$15,$M37-$A$15,BI$13)="",10^12,OFFSET(CRONOPLE!$F$15,$M37-$A$15,BI$13)))</f>
        <v>7</v>
      </c>
      <c r="BJ37" s="178">
        <f ca="1">IF(OR($D37&lt;&gt;"Serviço",AND(AUTOEVENTO="Manual",$M37=$A$15)),0,
         IF(OFFSET(CRONOPLE!$F$15,$M37-$A$15,BJ$13)="",10^12,OFFSET(CRONOPLE!$F$15,$M37-$A$15,BJ$13)))</f>
        <v>1000000000000</v>
      </c>
      <c r="BK37" s="178">
        <f ca="1">IF(OR($D37&lt;&gt;"Serviço",AND(AUTOEVENTO="Manual",$M37=$A$15)),0,
         IF(OFFSET(CRONOPLE!$F$15,$M37-$A$15,BK$13)="",10^12,OFFSET(CRONOPLE!$F$15,$M37-$A$15,BK$13)))</f>
        <v>1000000000000</v>
      </c>
      <c r="BL37" s="178">
        <f ca="1">IF(OR($D37&lt;&gt;"Serviço",AND(AUTOEVENTO="Manual",$M37=$A$15)),0,
         IF(OFFSET(CRONOPLE!$F$15,$M37-$A$15,BL$13)="",10^12,OFFSET(CRONOPLE!$F$15,$M37-$A$15,BL$13)))</f>
        <v>1000000000000</v>
      </c>
      <c r="BM37" s="178">
        <f ca="1">IF(OR($D37&lt;&gt;"Serviço",AND(AUTOEVENTO="Manual",$M37=$A$15)),0,
         IF(OFFSET(CRONOPLE!$F$15,$M37-$A$15,BM$13)="",10^12,OFFSET(CRONOPLE!$F$15,$M37-$A$15,BM$13)))</f>
        <v>1000000000000</v>
      </c>
      <c r="BN37" s="178">
        <f ca="1">IF(OR($D37&lt;&gt;"Serviço",AND(AUTOEVENTO="Manual",$M37=$A$15)),0,
         IF(OFFSET(CRONOPLE!$F$15,$M37-$A$15,BN$13)="",10^12,OFFSET(CRONOPLE!$F$15,$M37-$A$15,BN$13)))</f>
        <v>1000000000000</v>
      </c>
      <c r="BO37" s="178">
        <f ca="1">IF(OR($D37&lt;&gt;"Serviço",AND(AUTOEVENTO="Manual",$M37=$A$15)),0,
         IF(OFFSET(CRONOPLE!$F$15,$M37-$A$15,BO$13)="",10^12,OFFSET(CRONOPLE!$F$15,$M37-$A$15,BO$13)))</f>
        <v>1000000000000</v>
      </c>
      <c r="BP37" s="178">
        <f ca="1">IF(OR($D37&lt;&gt;"Serviço",AND(AUTOEVENTO="Manual",$M37=$A$15)),0,
         IF(OFFSET(CRONOPLE!$F$15,$M37-$A$15,BP$13)="",10^12,OFFSET(CRONOPLE!$F$15,$M37-$A$15,BP$13)))</f>
        <v>1000000000000</v>
      </c>
      <c r="BQ37" s="178">
        <f ca="1">IF(OR($D37&lt;&gt;"Serviço",AND(AUTOEVENTO="Manual",$M37=$A$15)),0,
         IF(OFFSET(CRONOPLE!$F$15,$M37-$A$15,BQ$13)="",10^12,OFFSET(CRONOPLE!$F$15,$M37-$A$15,BQ$13)))</f>
        <v>1000000000000</v>
      </c>
      <c r="BR37" s="178">
        <f ca="1">IF(OR($D37&lt;&gt;"Serviço",AND(AUTOEVENTO="Manual",$M37=$A$15)),0,
         IF(OFFSET(CRONOPLE!$F$15,$M37-$A$15,BR$13)="",10^12,OFFSET(CRONOPLE!$F$15,$M37-$A$15,BR$13)))</f>
        <v>1000000000000</v>
      </c>
      <c r="BS37" s="178">
        <f ca="1">IF(OR($D37&lt;&gt;"Serviço",AND(AUTOEVENTO="Manual",$M37=$A$15)),0,
         IF(OFFSET(CRONOPLE!$F$15,$M37-$A$15,BS$13)="",10^12,OFFSET(CRONOPLE!$F$15,$M37-$A$15,BS$13)))</f>
        <v>1000000000000</v>
      </c>
      <c r="BT37" s="178">
        <f ca="1">IF(OR($D37&lt;&gt;"Serviço",AND(AUTOEVENTO="Manual",$M37=$A$15)),0,
         IF(OFFSET(CRONOPLE!$F$15,$M37-$A$15,BT$13)="",10^12,OFFSET(CRONOPLE!$F$15,$M37-$A$15,BT$13)))</f>
        <v>1000000000000</v>
      </c>
      <c r="BV37" s="179">
        <f ca="1">IF(OR($D37&lt;&gt;"Serviço",AND(AUTOEVENTO="Manual",$M37=$A$15),$M37&gt;(ROW(PLE.lastrow)-ROW(PLE.firstrow))),0,
           IF(OFFSET(PLE!$G$15,$M37-$A$15,BV$13)="",10^12,OFFSET(PLE!$G$15,$M37-$A$15,BV$13)))</f>
        <v>1000000000000</v>
      </c>
      <c r="BW37" s="179">
        <f ca="1">IF(OR($D37&lt;&gt;"Serviço",AND(AUTOEVENTO="Manual",$M37=$A$15),$M37&gt;(ROW(PLE.lastrow)-ROW(PLE.firstrow))),0,
           IF(OFFSET(PLE!$G$15,$M37-$A$15,BW$13)="",10^12,OFFSET(PLE!$G$15,$M37-$A$15,BW$13)))</f>
        <v>1000000000000</v>
      </c>
      <c r="BX37" s="179">
        <f ca="1">IF(OR($D37&lt;&gt;"Serviço",AND(AUTOEVENTO="Manual",$M37=$A$15),$M37&gt;(ROW(PLE.lastrow)-ROW(PLE.firstrow))),0,
           IF(OFFSET(PLE!$G$15,$M37-$A$15,BX$13)="",10^12,OFFSET(PLE!$G$15,$M37-$A$15,BX$13)))</f>
        <v>1000000000000</v>
      </c>
      <c r="BY37" s="179">
        <f ca="1">IF(OR($D37&lt;&gt;"Serviço",AND(AUTOEVENTO="Manual",$M37=$A$15),$M37&gt;(ROW(PLE.lastrow)-ROW(PLE.firstrow))),0,
           IF(OFFSET(PLE!$G$15,$M37-$A$15,BY$13)="",10^12,OFFSET(PLE!$G$15,$M37-$A$15,BY$13)))</f>
        <v>1000000000000</v>
      </c>
      <c r="BZ37" s="179">
        <f ca="1">IF(OR($D37&lt;&gt;"Serviço",AND(AUTOEVENTO="Manual",$M37=$A$15),$M37&gt;(ROW(PLE.lastrow)-ROW(PLE.firstrow))),0,
           IF(OFFSET(PLE!$G$15,$M37-$A$15,BZ$13)="",10^12,OFFSET(PLE!$G$15,$M37-$A$15,BZ$13)))</f>
        <v>1000000000000</v>
      </c>
      <c r="CA37" s="179">
        <f ca="1">IF(OR($D37&lt;&gt;"Serviço",AND(AUTOEVENTO="Manual",$M37=$A$15),$M37&gt;(ROW(PLE.lastrow)-ROW(PLE.firstrow))),0,
           IF(OFFSET(PLE!$G$15,$M37-$A$15,CA$13)="",10^12,OFFSET(PLE!$G$15,$M37-$A$15,CA$13)))</f>
        <v>1000000000000</v>
      </c>
      <c r="CB37" s="179">
        <f ca="1">IF(OR($D37&lt;&gt;"Serviço",AND(AUTOEVENTO="Manual",$M37=$A$15),$M37&gt;(ROW(PLE.lastrow)-ROW(PLE.firstrow))),0,
           IF(OFFSET(PLE!$G$15,$M37-$A$15,CB$13)="",10^12,OFFSET(PLE!$G$15,$M37-$A$15,CB$13)))</f>
        <v>1000000000000</v>
      </c>
      <c r="CC37" s="179">
        <f ca="1">IF(OR($D37&lt;&gt;"Serviço",AND(AUTOEVENTO="Manual",$M37=$A$15),$M37&gt;(ROW(PLE.lastrow)-ROW(PLE.firstrow))),0,
           IF(OFFSET(PLE!$G$15,$M37-$A$15,CC$13)="",10^12,OFFSET(PLE!$G$15,$M37-$A$15,CC$13)))</f>
        <v>1000000000000</v>
      </c>
      <c r="CD37" s="179">
        <f ca="1">IF(OR($D37&lt;&gt;"Serviço",AND(AUTOEVENTO="Manual",$M37=$A$15),$M37&gt;(ROW(PLE.lastrow)-ROW(PLE.firstrow))),0,
           IF(OFFSET(PLE!$G$15,$M37-$A$15,CD$13)="",10^12,OFFSET(PLE!$G$15,$M37-$A$15,CD$13)))</f>
        <v>1000000000000</v>
      </c>
      <c r="CE37" s="179">
        <f ca="1">IF(OR($D37&lt;&gt;"Serviço",AND(AUTOEVENTO="Manual",$M37=$A$15),$M37&gt;(ROW(PLE.lastrow)-ROW(PLE.firstrow))),0,
           IF(OFFSET(PLE!$G$15,$M37-$A$15,CE$13)="",10^12,OFFSET(PLE!$G$15,$M37-$A$15,CE$13)))</f>
        <v>1000000000000</v>
      </c>
      <c r="CF37" s="179">
        <f ca="1">IF(OR($D37&lt;&gt;"Serviço",AND(AUTOEVENTO="Manual",$M37=$A$15),$M37&gt;(ROW(PLE.lastrow)-ROW(PLE.firstrow))),0,
           IF(OFFSET(PLE!$G$15,$M37-$A$15,CF$13)="",10^12,OFFSET(PLE!$G$15,$M37-$A$15,CF$13)))</f>
        <v>1000000000000</v>
      </c>
      <c r="CG37" s="179">
        <f ca="1">IF(OR($D37&lt;&gt;"Serviço",AND(AUTOEVENTO="Manual",$M37=$A$15),$M37&gt;(ROW(PLE.lastrow)-ROW(PLE.firstrow))),0,
           IF(OFFSET(PLE!$G$15,$M37-$A$15,CG$13)="",10^12,OFFSET(PLE!$G$15,$M37-$A$15,CG$13)))</f>
        <v>1000000000000</v>
      </c>
      <c r="CH37" s="179">
        <f ca="1">IF(OR($D37&lt;&gt;"Serviço",AND(AUTOEVENTO="Manual",$M37=$A$15),$M37&gt;(ROW(PLE.lastrow)-ROW(PLE.firstrow))),0,
           IF(OFFSET(PLE!$G$15,$M37-$A$15,CH$13)="",10^12,OFFSET(PLE!$G$15,$M37-$A$15,CH$13)))</f>
        <v>1000000000000</v>
      </c>
      <c r="CI37" s="179">
        <f ca="1">IF(OR($D37&lt;&gt;"Serviço",AND(AUTOEVENTO="Manual",$M37=$A$15),$M37&gt;(ROW(PLE.lastrow)-ROW(PLE.firstrow))),0,
           IF(OFFSET(PLE!$G$15,$M37-$A$15,CI$13)="",10^12,OFFSET(PLE!$G$15,$M37-$A$15,CI$13)))</f>
        <v>1000000000000</v>
      </c>
      <c r="CJ37" s="179">
        <f ca="1">IF(OR($D37&lt;&gt;"Serviço",AND(AUTOEVENTO="Manual",$M37=$A$15),$M37&gt;(ROW(PLE.lastrow)-ROW(PLE.firstrow))),0,
           IF(OFFSET(PLE!$G$15,$M37-$A$15,CJ$13)="",10^12,OFFSET(PLE!$G$15,$M37-$A$15,CJ$13)))</f>
        <v>1000000000000</v>
      </c>
      <c r="CK37" s="179">
        <f ca="1">IF(OR($D37&lt;&gt;"Serviço",AND(AUTOEVENTO="Manual",$M37=$A$15),$M37&gt;(ROW(PLE.lastrow)-ROW(PLE.firstrow))),0,
           IF(OFFSET(PLE!$G$15,$M37-$A$15,CK$13)="",10^12,OFFSET(PLE!$G$15,$M37-$A$15,CK$13)))</f>
        <v>1000000000000</v>
      </c>
      <c r="CL37" s="179">
        <f ca="1">IF(OR($D37&lt;&gt;"Serviço",AND(AUTOEVENTO="Manual",$M37=$A$15),$M37&gt;(ROW(PLE.lastrow)-ROW(PLE.firstrow))),0,
           IF(OFFSET(PLE!$G$15,$M37-$A$15,CL$13)="",10^12,OFFSET(PLE!$G$15,$M37-$A$15,CL$13)))</f>
        <v>1000000000000</v>
      </c>
      <c r="CM37" s="179">
        <f ca="1">IF(OR($D37&lt;&gt;"Serviço",AND(AUTOEVENTO="Manual",$M37=$A$15),$M37&gt;(ROW(PLE.lastrow)-ROW(PLE.firstrow))),0,
           IF(OFFSET(PLE!$G$15,$M37-$A$15,CM$13)="",10^12,OFFSET(PLE!$G$15,$M37-$A$15,CM$13)))</f>
        <v>1000000000000</v>
      </c>
    </row>
    <row r="38" spans="1:91" ht="12.75" x14ac:dyDescent="0.2">
      <c r="A38" s="7" t="str">
        <f ca="1">IF(AUTOEVENTO="Manual",IF(K38&lt;&gt;"",MIN(VALUE(LEFT(K38,FIND(".",K38)-1)),COUNTA(EVENTOS.Lista)),0),IF(OR($B38&gt;AUTOEVENTO,$B38="S",$B38=0),SUBSTITUTE(OFFSET($A38,-1,0),IF($D38="Serviço",".",""),""),ROW(A38)-ROW($A$15)&amp;"."))</f>
        <v>19</v>
      </c>
      <c r="B38" s="7">
        <f ca="1">OFFSET(ORÇAMENTO!C$15,ROW(B38)-ROW(B$15),0)</f>
        <v>3</v>
      </c>
      <c r="C38" s="7" t="str">
        <f ca="1">OFFSET(ORÇAMENTO!L$15,ROW(C38)-ROW(C$15),0)</f>
        <v>F</v>
      </c>
      <c r="D38" s="118" t="str">
        <f ca="1">OFFSET(ORÇAMENTO!N$15,ROW(D38)-ROW(D$15),0)</f>
        <v>Nível 3</v>
      </c>
      <c r="E38" s="119" t="str">
        <f ca="1">OFFSET(ORÇAMENTO!O$15,ROW(E38)-ROW(E$15),0)</f>
        <v>1.5.2.</v>
      </c>
      <c r="F38" s="170" t="str">
        <f ca="1">OFFSET(ORÇAMENTO!R$15,ROW(F38)-ROW(F$15),0)</f>
        <v>FUNDAÇÃO EM CONCRETO</v>
      </c>
      <c r="G38" s="171" t="str">
        <f ca="1">IF($D38&lt;&gt;"Serviço","",OFFSET(ORÇAMENTO!S$15,ROW(G38)-ROW(G$15),0))</f>
        <v/>
      </c>
      <c r="H38" s="124" cm="1">
        <f t="array" aca="1" ref="H38" ca="1">IF($D38&lt;&gt;"Serviço",0,IF(_xlfn.SINGLE(ACOMPANHAMENTO)="BM",ROUND(OFFSET(ORÇAMENTO!AJ$15,ROW(H38)-ROW(H$15),0),15-13*ORÇAMENTO!$AF$7),SUMPRODUCT(($Q$1:$AI$1)*ROUND($Q38:$AI38,15-13*ORÇAMENTO!$AF$7))))</f>
        <v>0</v>
      </c>
      <c r="I38" s="500" t="s">
        <v>1055</v>
      </c>
      <c r="J38" s="632" t="str" cm="1">
        <f t="array" aca="1" ref="J38" ca="1">IF(B38&lt;&gt;"S","",IF(AND(ACOMPANHAMENTO="PLE",AUTOEVENTO="Manual",OR(H38&gt;0,ORÇAMENTO!AC38="QUANT."),OR(K38="",M38=0,N38="")),"►",IF(AND(ACOMPANHAMENTO="PLE",ORÇAMENTO!AC38="QUANT."),"►►",IF(AND(COUNTIF($P$11:$AI$11,"▼")=0,H38&gt;0,I38=""),"◄",""))))</f>
        <v/>
      </c>
      <c r="K38" s="624"/>
      <c r="L38" s="172" t="s">
        <v>253</v>
      </c>
      <c r="M38" s="173" t="str">
        <f ca="1">IF($D38&lt;&gt;"Serviço","",
          IF(AUTOEVENTO="manual",$A38,
                IF(ISERROR(MATCH($A38,$A$15:OFFSET($A38,-1,0),0)),MAX($M$15:OFFSET(M38,-1,0))+1,
                      INDEX($M$15:OFFSET(M38,-1,0),MATCH($A38,$A$15:OFFSET($A38,-1,0),0)))))</f>
        <v/>
      </c>
      <c r="N38" s="174" t="str">
        <f ca="1">IF($D38&lt;&gt;"Serviço","",
         IF(AUTOEVENTO="Manual",
                IF($A38=0,"&lt;-- defina o número do agrupador",
                       OFFSET(EVENTOS!$D$15,$A38-$A$15,0)),
                OFFSET($F$15,$A38,0)))</f>
        <v/>
      </c>
      <c r="O38" s="175"/>
      <c r="Q38" s="175"/>
      <c r="R38" s="176"/>
      <c r="S38" s="176"/>
      <c r="T38" s="176"/>
      <c r="U38" s="176"/>
      <c r="V38" s="176"/>
      <c r="W38" s="176"/>
      <c r="X38" s="176"/>
      <c r="Y38" s="176"/>
      <c r="Z38" s="177"/>
      <c r="AA38" s="176"/>
      <c r="AB38" s="176"/>
      <c r="AC38" s="176"/>
      <c r="AD38" s="176"/>
      <c r="AE38" s="176"/>
      <c r="AF38" s="176"/>
      <c r="AG38" s="176"/>
      <c r="AH38" s="177"/>
      <c r="AJ38" s="485">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85">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L38" s="485">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0</v>
      </c>
      <c r="AM38" s="485">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0</v>
      </c>
      <c r="AN38" s="485">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85">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85">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85">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85">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85">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85">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85">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85">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85">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85">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85">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85">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85">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8">
        <f ca="1">IF(OR($D38&lt;&gt;"Serviço",AND(AUTOEVENTO="Manual",$M38=$A$15)),0,
         IF(OFFSET(CRONOPLE!$F$15,$M38-$A$15,BC$13)="",10^12,OFFSET(CRONOPLE!$F$15,$M38-$A$15,BC$13)))</f>
        <v>0</v>
      </c>
      <c r="BD38" s="178">
        <f ca="1">IF(OR($D38&lt;&gt;"Serviço",AND(AUTOEVENTO="Manual",$M38=$A$15)),0,
         IF(OFFSET(CRONOPLE!$F$15,$M38-$A$15,BD$13)="",10^12,OFFSET(CRONOPLE!$F$15,$M38-$A$15,BD$13)))</f>
        <v>0</v>
      </c>
      <c r="BE38" s="178">
        <f ca="1">IF(OR($D38&lt;&gt;"Serviço",AND(AUTOEVENTO="Manual",$M38=$A$15)),0,
         IF(OFFSET(CRONOPLE!$F$15,$M38-$A$15,BE$13)="",10^12,OFFSET(CRONOPLE!$F$15,$M38-$A$15,BE$13)))</f>
        <v>0</v>
      </c>
      <c r="BF38" s="178">
        <f ca="1">IF(OR($D38&lt;&gt;"Serviço",AND(AUTOEVENTO="Manual",$M38=$A$15)),0,
         IF(OFFSET(CRONOPLE!$F$15,$M38-$A$15,BF$13)="",10^12,OFFSET(CRONOPLE!$F$15,$M38-$A$15,BF$13)))</f>
        <v>0</v>
      </c>
      <c r="BG38" s="178">
        <f ca="1">IF(OR($D38&lt;&gt;"Serviço",AND(AUTOEVENTO="Manual",$M38=$A$15)),0,
         IF(OFFSET(CRONOPLE!$F$15,$M38-$A$15,BG$13)="",10^12,OFFSET(CRONOPLE!$F$15,$M38-$A$15,BG$13)))</f>
        <v>0</v>
      </c>
      <c r="BH38" s="178">
        <f ca="1">IF(OR($D38&lt;&gt;"Serviço",AND(AUTOEVENTO="Manual",$M38=$A$15)),0,
         IF(OFFSET(CRONOPLE!$F$15,$M38-$A$15,BH$13)="",10^12,OFFSET(CRONOPLE!$F$15,$M38-$A$15,BH$13)))</f>
        <v>0</v>
      </c>
      <c r="BI38" s="178">
        <f ca="1">IF(OR($D38&lt;&gt;"Serviço",AND(AUTOEVENTO="Manual",$M38=$A$15)),0,
         IF(OFFSET(CRONOPLE!$F$15,$M38-$A$15,BI$13)="",10^12,OFFSET(CRONOPLE!$F$15,$M38-$A$15,BI$13)))</f>
        <v>0</v>
      </c>
      <c r="BJ38" s="178">
        <f ca="1">IF(OR($D38&lt;&gt;"Serviço",AND(AUTOEVENTO="Manual",$M38=$A$15)),0,
         IF(OFFSET(CRONOPLE!$F$15,$M38-$A$15,BJ$13)="",10^12,OFFSET(CRONOPLE!$F$15,$M38-$A$15,BJ$13)))</f>
        <v>0</v>
      </c>
      <c r="BK38" s="178">
        <f ca="1">IF(OR($D38&lt;&gt;"Serviço",AND(AUTOEVENTO="Manual",$M38=$A$15)),0,
         IF(OFFSET(CRONOPLE!$F$15,$M38-$A$15,BK$13)="",10^12,OFFSET(CRONOPLE!$F$15,$M38-$A$15,BK$13)))</f>
        <v>0</v>
      </c>
      <c r="BL38" s="178">
        <f ca="1">IF(OR($D38&lt;&gt;"Serviço",AND(AUTOEVENTO="Manual",$M38=$A$15)),0,
         IF(OFFSET(CRONOPLE!$F$15,$M38-$A$15,BL$13)="",10^12,OFFSET(CRONOPLE!$F$15,$M38-$A$15,BL$13)))</f>
        <v>0</v>
      </c>
      <c r="BM38" s="178">
        <f ca="1">IF(OR($D38&lt;&gt;"Serviço",AND(AUTOEVENTO="Manual",$M38=$A$15)),0,
         IF(OFFSET(CRONOPLE!$F$15,$M38-$A$15,BM$13)="",10^12,OFFSET(CRONOPLE!$F$15,$M38-$A$15,BM$13)))</f>
        <v>0</v>
      </c>
      <c r="BN38" s="178">
        <f ca="1">IF(OR($D38&lt;&gt;"Serviço",AND(AUTOEVENTO="Manual",$M38=$A$15)),0,
         IF(OFFSET(CRONOPLE!$F$15,$M38-$A$15,BN$13)="",10^12,OFFSET(CRONOPLE!$F$15,$M38-$A$15,BN$13)))</f>
        <v>0</v>
      </c>
      <c r="BO38" s="178">
        <f ca="1">IF(OR($D38&lt;&gt;"Serviço",AND(AUTOEVENTO="Manual",$M38=$A$15)),0,
         IF(OFFSET(CRONOPLE!$F$15,$M38-$A$15,BO$13)="",10^12,OFFSET(CRONOPLE!$F$15,$M38-$A$15,BO$13)))</f>
        <v>0</v>
      </c>
      <c r="BP38" s="178">
        <f ca="1">IF(OR($D38&lt;&gt;"Serviço",AND(AUTOEVENTO="Manual",$M38=$A$15)),0,
         IF(OFFSET(CRONOPLE!$F$15,$M38-$A$15,BP$13)="",10^12,OFFSET(CRONOPLE!$F$15,$M38-$A$15,BP$13)))</f>
        <v>0</v>
      </c>
      <c r="BQ38" s="178">
        <f ca="1">IF(OR($D38&lt;&gt;"Serviço",AND(AUTOEVENTO="Manual",$M38=$A$15)),0,
         IF(OFFSET(CRONOPLE!$F$15,$M38-$A$15,BQ$13)="",10^12,OFFSET(CRONOPLE!$F$15,$M38-$A$15,BQ$13)))</f>
        <v>0</v>
      </c>
      <c r="BR38" s="178">
        <f ca="1">IF(OR($D38&lt;&gt;"Serviço",AND(AUTOEVENTO="Manual",$M38=$A$15)),0,
         IF(OFFSET(CRONOPLE!$F$15,$M38-$A$15,BR$13)="",10^12,OFFSET(CRONOPLE!$F$15,$M38-$A$15,BR$13)))</f>
        <v>0</v>
      </c>
      <c r="BS38" s="178">
        <f ca="1">IF(OR($D38&lt;&gt;"Serviço",AND(AUTOEVENTO="Manual",$M38=$A$15)),0,
         IF(OFFSET(CRONOPLE!$F$15,$M38-$A$15,BS$13)="",10^12,OFFSET(CRONOPLE!$F$15,$M38-$A$15,BS$13)))</f>
        <v>0</v>
      </c>
      <c r="BT38" s="178">
        <f ca="1">IF(OR($D38&lt;&gt;"Serviço",AND(AUTOEVENTO="Manual",$M38=$A$15)),0,
         IF(OFFSET(CRONOPLE!$F$15,$M38-$A$15,BT$13)="",10^12,OFFSET(CRONOPLE!$F$15,$M38-$A$15,BT$13)))</f>
        <v>0</v>
      </c>
      <c r="BV38" s="179">
        <f ca="1">IF(OR($D38&lt;&gt;"Serviço",AND(AUTOEVENTO="Manual",$M38=$A$15),$M38&gt;(ROW(PLE.lastrow)-ROW(PLE.firstrow))),0,
           IF(OFFSET(PLE!$G$15,$M38-$A$15,BV$13)="",10^12,OFFSET(PLE!$G$15,$M38-$A$15,BV$13)))</f>
        <v>0</v>
      </c>
      <c r="BW38" s="179">
        <f ca="1">IF(OR($D38&lt;&gt;"Serviço",AND(AUTOEVENTO="Manual",$M38=$A$15),$M38&gt;(ROW(PLE.lastrow)-ROW(PLE.firstrow))),0,
           IF(OFFSET(PLE!$G$15,$M38-$A$15,BW$13)="",10^12,OFFSET(PLE!$G$15,$M38-$A$15,BW$13)))</f>
        <v>0</v>
      </c>
      <c r="BX38" s="179">
        <f ca="1">IF(OR($D38&lt;&gt;"Serviço",AND(AUTOEVENTO="Manual",$M38=$A$15),$M38&gt;(ROW(PLE.lastrow)-ROW(PLE.firstrow))),0,
           IF(OFFSET(PLE!$G$15,$M38-$A$15,BX$13)="",10^12,OFFSET(PLE!$G$15,$M38-$A$15,BX$13)))</f>
        <v>0</v>
      </c>
      <c r="BY38" s="179">
        <f ca="1">IF(OR($D38&lt;&gt;"Serviço",AND(AUTOEVENTO="Manual",$M38=$A$15),$M38&gt;(ROW(PLE.lastrow)-ROW(PLE.firstrow))),0,
           IF(OFFSET(PLE!$G$15,$M38-$A$15,BY$13)="",10^12,OFFSET(PLE!$G$15,$M38-$A$15,BY$13)))</f>
        <v>0</v>
      </c>
      <c r="BZ38" s="179">
        <f ca="1">IF(OR($D38&lt;&gt;"Serviço",AND(AUTOEVENTO="Manual",$M38=$A$15),$M38&gt;(ROW(PLE.lastrow)-ROW(PLE.firstrow))),0,
           IF(OFFSET(PLE!$G$15,$M38-$A$15,BZ$13)="",10^12,OFFSET(PLE!$G$15,$M38-$A$15,BZ$13)))</f>
        <v>0</v>
      </c>
      <c r="CA38" s="179">
        <f ca="1">IF(OR($D38&lt;&gt;"Serviço",AND(AUTOEVENTO="Manual",$M38=$A$15),$M38&gt;(ROW(PLE.lastrow)-ROW(PLE.firstrow))),0,
           IF(OFFSET(PLE!$G$15,$M38-$A$15,CA$13)="",10^12,OFFSET(PLE!$G$15,$M38-$A$15,CA$13)))</f>
        <v>0</v>
      </c>
      <c r="CB38" s="179">
        <f ca="1">IF(OR($D38&lt;&gt;"Serviço",AND(AUTOEVENTO="Manual",$M38=$A$15),$M38&gt;(ROW(PLE.lastrow)-ROW(PLE.firstrow))),0,
           IF(OFFSET(PLE!$G$15,$M38-$A$15,CB$13)="",10^12,OFFSET(PLE!$G$15,$M38-$A$15,CB$13)))</f>
        <v>0</v>
      </c>
      <c r="CC38" s="179">
        <f ca="1">IF(OR($D38&lt;&gt;"Serviço",AND(AUTOEVENTO="Manual",$M38=$A$15),$M38&gt;(ROW(PLE.lastrow)-ROW(PLE.firstrow))),0,
           IF(OFFSET(PLE!$G$15,$M38-$A$15,CC$13)="",10^12,OFFSET(PLE!$G$15,$M38-$A$15,CC$13)))</f>
        <v>0</v>
      </c>
      <c r="CD38" s="179">
        <f ca="1">IF(OR($D38&lt;&gt;"Serviço",AND(AUTOEVENTO="Manual",$M38=$A$15),$M38&gt;(ROW(PLE.lastrow)-ROW(PLE.firstrow))),0,
           IF(OFFSET(PLE!$G$15,$M38-$A$15,CD$13)="",10^12,OFFSET(PLE!$G$15,$M38-$A$15,CD$13)))</f>
        <v>0</v>
      </c>
      <c r="CE38" s="179">
        <f ca="1">IF(OR($D38&lt;&gt;"Serviço",AND(AUTOEVENTO="Manual",$M38=$A$15),$M38&gt;(ROW(PLE.lastrow)-ROW(PLE.firstrow))),0,
           IF(OFFSET(PLE!$G$15,$M38-$A$15,CE$13)="",10^12,OFFSET(PLE!$G$15,$M38-$A$15,CE$13)))</f>
        <v>0</v>
      </c>
      <c r="CF38" s="179">
        <f ca="1">IF(OR($D38&lt;&gt;"Serviço",AND(AUTOEVENTO="Manual",$M38=$A$15),$M38&gt;(ROW(PLE.lastrow)-ROW(PLE.firstrow))),0,
           IF(OFFSET(PLE!$G$15,$M38-$A$15,CF$13)="",10^12,OFFSET(PLE!$G$15,$M38-$A$15,CF$13)))</f>
        <v>0</v>
      </c>
      <c r="CG38" s="179">
        <f ca="1">IF(OR($D38&lt;&gt;"Serviço",AND(AUTOEVENTO="Manual",$M38=$A$15),$M38&gt;(ROW(PLE.lastrow)-ROW(PLE.firstrow))),0,
           IF(OFFSET(PLE!$G$15,$M38-$A$15,CG$13)="",10^12,OFFSET(PLE!$G$15,$M38-$A$15,CG$13)))</f>
        <v>0</v>
      </c>
      <c r="CH38" s="179">
        <f ca="1">IF(OR($D38&lt;&gt;"Serviço",AND(AUTOEVENTO="Manual",$M38=$A$15),$M38&gt;(ROW(PLE.lastrow)-ROW(PLE.firstrow))),0,
           IF(OFFSET(PLE!$G$15,$M38-$A$15,CH$13)="",10^12,OFFSET(PLE!$G$15,$M38-$A$15,CH$13)))</f>
        <v>0</v>
      </c>
      <c r="CI38" s="179">
        <f ca="1">IF(OR($D38&lt;&gt;"Serviço",AND(AUTOEVENTO="Manual",$M38=$A$15),$M38&gt;(ROW(PLE.lastrow)-ROW(PLE.firstrow))),0,
           IF(OFFSET(PLE!$G$15,$M38-$A$15,CI$13)="",10^12,OFFSET(PLE!$G$15,$M38-$A$15,CI$13)))</f>
        <v>0</v>
      </c>
      <c r="CJ38" s="179">
        <f ca="1">IF(OR($D38&lt;&gt;"Serviço",AND(AUTOEVENTO="Manual",$M38=$A$15),$M38&gt;(ROW(PLE.lastrow)-ROW(PLE.firstrow))),0,
           IF(OFFSET(PLE!$G$15,$M38-$A$15,CJ$13)="",10^12,OFFSET(PLE!$G$15,$M38-$A$15,CJ$13)))</f>
        <v>0</v>
      </c>
      <c r="CK38" s="179">
        <f ca="1">IF(OR($D38&lt;&gt;"Serviço",AND(AUTOEVENTO="Manual",$M38=$A$15),$M38&gt;(ROW(PLE.lastrow)-ROW(PLE.firstrow))),0,
           IF(OFFSET(PLE!$G$15,$M38-$A$15,CK$13)="",10^12,OFFSET(PLE!$G$15,$M38-$A$15,CK$13)))</f>
        <v>0</v>
      </c>
      <c r="CL38" s="179">
        <f ca="1">IF(OR($D38&lt;&gt;"Serviço",AND(AUTOEVENTO="Manual",$M38=$A$15),$M38&gt;(ROW(PLE.lastrow)-ROW(PLE.firstrow))),0,
           IF(OFFSET(PLE!$G$15,$M38-$A$15,CL$13)="",10^12,OFFSET(PLE!$G$15,$M38-$A$15,CL$13)))</f>
        <v>0</v>
      </c>
      <c r="CM38" s="179">
        <f ca="1">IF(OR($D38&lt;&gt;"Serviço",AND(AUTOEVENTO="Manual",$M38=$A$15),$M38&gt;(ROW(PLE.lastrow)-ROW(PLE.firstrow))),0,
           IF(OFFSET(PLE!$G$15,$M38-$A$15,CM$13)="",10^12,OFFSET(PLE!$G$15,$M38-$A$15,CM$13)))</f>
        <v>0</v>
      </c>
    </row>
    <row r="39" spans="1:91" ht="12.75" x14ac:dyDescent="0.2">
      <c r="A39" s="7" t="str">
        <f ca="1">IF(AUTOEVENTO="Manual",IF(K39&lt;&gt;"",MIN(VALUE(LEFT(K39,FIND(".",K39)-1)),COUNTA(EVENTOS.Lista)),0),IF(OR($B39&gt;AUTOEVENTO,$B39="S",$B39=0),SUBSTITUTE(OFFSET($A39,-1,0),IF($D39="Serviço",".",""),""),ROW(A39)-ROW($A$15)&amp;"."))</f>
        <v>19</v>
      </c>
      <c r="B39" s="7">
        <f ca="1">OFFSET(ORÇAMENTO!C$15,ROW(B39)-ROW(B$15),0)</f>
        <v>4</v>
      </c>
      <c r="C39" s="7" t="str">
        <f ca="1">OFFSET(ORÇAMENTO!L$15,ROW(C39)-ROW(C$15),0)</f>
        <v>F</v>
      </c>
      <c r="D39" s="118" t="str">
        <f ca="1">OFFSET(ORÇAMENTO!N$15,ROW(D39)-ROW(D$15),0)</f>
        <v>Nível 4</v>
      </c>
      <c r="E39" s="119" t="str">
        <f ca="1">OFFSET(ORÇAMENTO!O$15,ROW(E39)-ROW(E$15),0)</f>
        <v>1.5.2.1.</v>
      </c>
      <c r="F39" s="170" t="str">
        <f ca="1">OFFSET(ORÇAMENTO!R$15,ROW(F39)-ROW(F$15),0)</f>
        <v>ESTACAS DE CONCRETO</v>
      </c>
      <c r="G39" s="171" t="str">
        <f ca="1">IF($D39&lt;&gt;"Serviço","",OFFSET(ORÇAMENTO!S$15,ROW(G39)-ROW(G$15),0))</f>
        <v/>
      </c>
      <c r="H39" s="124" cm="1">
        <f t="array" aca="1" ref="H39" ca="1">IF($D39&lt;&gt;"Serviço",0,IF(_xlfn.SINGLE(ACOMPANHAMENTO)="BM",ROUND(OFFSET(ORÇAMENTO!AJ$15,ROW(H39)-ROW(H$15),0),15-13*ORÇAMENTO!$AF$7),SUMPRODUCT(($Q$1:$AI$1)*ROUND($Q39:$AI39,15-13*ORÇAMENTO!$AF$7))))</f>
        <v>0</v>
      </c>
      <c r="I39" s="500"/>
      <c r="J39" s="632" t="str" cm="1">
        <f t="array" aca="1" ref="J39" ca="1">IF(B39&lt;&gt;"S","",IF(AND(ACOMPANHAMENTO="PLE",AUTOEVENTO="Manual",OR(H39&gt;0,ORÇAMENTO!AC39="QUANT."),OR(K39="",M39=0,N39="")),"►",IF(AND(ACOMPANHAMENTO="PLE",ORÇAMENTO!AC39="QUANT."),"►►",IF(AND(COUNTIF($P$11:$AI$11,"▼")=0,H39&gt;0,I39=""),"◄",""))))</f>
        <v/>
      </c>
      <c r="K39" s="624"/>
      <c r="L39" s="172" t="s">
        <v>253</v>
      </c>
      <c r="M39" s="173" t="str">
        <f ca="1">IF($D39&lt;&gt;"Serviço","",
          IF(AUTOEVENTO="manual",$A39,
                IF(ISERROR(MATCH($A39,$A$15:OFFSET($A39,-1,0),0)),MAX($M$15:OFFSET(M39,-1,0))+1,
                      INDEX($M$15:OFFSET(M39,-1,0),MATCH($A39,$A$15:OFFSET($A39,-1,0),0)))))</f>
        <v/>
      </c>
      <c r="N39" s="174" t="str">
        <f ca="1">IF($D39&lt;&gt;"Serviço","",
         IF(AUTOEVENTO="Manual",
                IF($A39=0,"&lt;-- defina o número do agrupador",
                       OFFSET(EVENTOS!$D$15,$A39-$A$15,0)),
                OFFSET($F$15,$A39,0)))</f>
        <v/>
      </c>
      <c r="O39" s="175"/>
      <c r="Q39" s="175"/>
      <c r="R39" s="176"/>
      <c r="S39" s="176"/>
      <c r="T39" s="176"/>
      <c r="U39" s="176"/>
      <c r="V39" s="176"/>
      <c r="W39" s="176"/>
      <c r="X39" s="176"/>
      <c r="Y39" s="176"/>
      <c r="Z39" s="177"/>
      <c r="AA39" s="176"/>
      <c r="AB39" s="176"/>
      <c r="AC39" s="176"/>
      <c r="AD39" s="176"/>
      <c r="AE39" s="176"/>
      <c r="AF39" s="176"/>
      <c r="AG39" s="176"/>
      <c r="AH39" s="177"/>
      <c r="AJ39" s="485">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85">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L39" s="485">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0</v>
      </c>
      <c r="AM39" s="485">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0</v>
      </c>
      <c r="AN39" s="485">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85">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85">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85">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85">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85">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85">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85">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85">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85">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85">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85">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85">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85">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8">
        <f ca="1">IF(OR($D39&lt;&gt;"Serviço",AND(AUTOEVENTO="Manual",$M39=$A$15)),0,
         IF(OFFSET(CRONOPLE!$F$15,$M39-$A$15,BC$13)="",10^12,OFFSET(CRONOPLE!$F$15,$M39-$A$15,BC$13)))</f>
        <v>0</v>
      </c>
      <c r="BD39" s="178">
        <f ca="1">IF(OR($D39&lt;&gt;"Serviço",AND(AUTOEVENTO="Manual",$M39=$A$15)),0,
         IF(OFFSET(CRONOPLE!$F$15,$M39-$A$15,BD$13)="",10^12,OFFSET(CRONOPLE!$F$15,$M39-$A$15,BD$13)))</f>
        <v>0</v>
      </c>
      <c r="BE39" s="178">
        <f ca="1">IF(OR($D39&lt;&gt;"Serviço",AND(AUTOEVENTO="Manual",$M39=$A$15)),0,
         IF(OFFSET(CRONOPLE!$F$15,$M39-$A$15,BE$13)="",10^12,OFFSET(CRONOPLE!$F$15,$M39-$A$15,BE$13)))</f>
        <v>0</v>
      </c>
      <c r="BF39" s="178">
        <f ca="1">IF(OR($D39&lt;&gt;"Serviço",AND(AUTOEVENTO="Manual",$M39=$A$15)),0,
         IF(OFFSET(CRONOPLE!$F$15,$M39-$A$15,BF$13)="",10^12,OFFSET(CRONOPLE!$F$15,$M39-$A$15,BF$13)))</f>
        <v>0</v>
      </c>
      <c r="BG39" s="178">
        <f ca="1">IF(OR($D39&lt;&gt;"Serviço",AND(AUTOEVENTO="Manual",$M39=$A$15)),0,
         IF(OFFSET(CRONOPLE!$F$15,$M39-$A$15,BG$13)="",10^12,OFFSET(CRONOPLE!$F$15,$M39-$A$15,BG$13)))</f>
        <v>0</v>
      </c>
      <c r="BH39" s="178">
        <f ca="1">IF(OR($D39&lt;&gt;"Serviço",AND(AUTOEVENTO="Manual",$M39=$A$15)),0,
         IF(OFFSET(CRONOPLE!$F$15,$M39-$A$15,BH$13)="",10^12,OFFSET(CRONOPLE!$F$15,$M39-$A$15,BH$13)))</f>
        <v>0</v>
      </c>
      <c r="BI39" s="178">
        <f ca="1">IF(OR($D39&lt;&gt;"Serviço",AND(AUTOEVENTO="Manual",$M39=$A$15)),0,
         IF(OFFSET(CRONOPLE!$F$15,$M39-$A$15,BI$13)="",10^12,OFFSET(CRONOPLE!$F$15,$M39-$A$15,BI$13)))</f>
        <v>0</v>
      </c>
      <c r="BJ39" s="178">
        <f ca="1">IF(OR($D39&lt;&gt;"Serviço",AND(AUTOEVENTO="Manual",$M39=$A$15)),0,
         IF(OFFSET(CRONOPLE!$F$15,$M39-$A$15,BJ$13)="",10^12,OFFSET(CRONOPLE!$F$15,$M39-$A$15,BJ$13)))</f>
        <v>0</v>
      </c>
      <c r="BK39" s="178">
        <f ca="1">IF(OR($D39&lt;&gt;"Serviço",AND(AUTOEVENTO="Manual",$M39=$A$15)),0,
         IF(OFFSET(CRONOPLE!$F$15,$M39-$A$15,BK$13)="",10^12,OFFSET(CRONOPLE!$F$15,$M39-$A$15,BK$13)))</f>
        <v>0</v>
      </c>
      <c r="BL39" s="178">
        <f ca="1">IF(OR($D39&lt;&gt;"Serviço",AND(AUTOEVENTO="Manual",$M39=$A$15)),0,
         IF(OFFSET(CRONOPLE!$F$15,$M39-$A$15,BL$13)="",10^12,OFFSET(CRONOPLE!$F$15,$M39-$A$15,BL$13)))</f>
        <v>0</v>
      </c>
      <c r="BM39" s="178">
        <f ca="1">IF(OR($D39&lt;&gt;"Serviço",AND(AUTOEVENTO="Manual",$M39=$A$15)),0,
         IF(OFFSET(CRONOPLE!$F$15,$M39-$A$15,BM$13)="",10^12,OFFSET(CRONOPLE!$F$15,$M39-$A$15,BM$13)))</f>
        <v>0</v>
      </c>
      <c r="BN39" s="178">
        <f ca="1">IF(OR($D39&lt;&gt;"Serviço",AND(AUTOEVENTO="Manual",$M39=$A$15)),0,
         IF(OFFSET(CRONOPLE!$F$15,$M39-$A$15,BN$13)="",10^12,OFFSET(CRONOPLE!$F$15,$M39-$A$15,BN$13)))</f>
        <v>0</v>
      </c>
      <c r="BO39" s="178">
        <f ca="1">IF(OR($D39&lt;&gt;"Serviço",AND(AUTOEVENTO="Manual",$M39=$A$15)),0,
         IF(OFFSET(CRONOPLE!$F$15,$M39-$A$15,BO$13)="",10^12,OFFSET(CRONOPLE!$F$15,$M39-$A$15,BO$13)))</f>
        <v>0</v>
      </c>
      <c r="BP39" s="178">
        <f ca="1">IF(OR($D39&lt;&gt;"Serviço",AND(AUTOEVENTO="Manual",$M39=$A$15)),0,
         IF(OFFSET(CRONOPLE!$F$15,$M39-$A$15,BP$13)="",10^12,OFFSET(CRONOPLE!$F$15,$M39-$A$15,BP$13)))</f>
        <v>0</v>
      </c>
      <c r="BQ39" s="178">
        <f ca="1">IF(OR($D39&lt;&gt;"Serviço",AND(AUTOEVENTO="Manual",$M39=$A$15)),0,
         IF(OFFSET(CRONOPLE!$F$15,$M39-$A$15,BQ$13)="",10^12,OFFSET(CRONOPLE!$F$15,$M39-$A$15,BQ$13)))</f>
        <v>0</v>
      </c>
      <c r="BR39" s="178">
        <f ca="1">IF(OR($D39&lt;&gt;"Serviço",AND(AUTOEVENTO="Manual",$M39=$A$15)),0,
         IF(OFFSET(CRONOPLE!$F$15,$M39-$A$15,BR$13)="",10^12,OFFSET(CRONOPLE!$F$15,$M39-$A$15,BR$13)))</f>
        <v>0</v>
      </c>
      <c r="BS39" s="178">
        <f ca="1">IF(OR($D39&lt;&gt;"Serviço",AND(AUTOEVENTO="Manual",$M39=$A$15)),0,
         IF(OFFSET(CRONOPLE!$F$15,$M39-$A$15,BS$13)="",10^12,OFFSET(CRONOPLE!$F$15,$M39-$A$15,BS$13)))</f>
        <v>0</v>
      </c>
      <c r="BT39" s="178">
        <f ca="1">IF(OR($D39&lt;&gt;"Serviço",AND(AUTOEVENTO="Manual",$M39=$A$15)),0,
         IF(OFFSET(CRONOPLE!$F$15,$M39-$A$15,BT$13)="",10^12,OFFSET(CRONOPLE!$F$15,$M39-$A$15,BT$13)))</f>
        <v>0</v>
      </c>
      <c r="BV39" s="179">
        <f ca="1">IF(OR($D39&lt;&gt;"Serviço",AND(AUTOEVENTO="Manual",$M39=$A$15),$M39&gt;(ROW(PLE.lastrow)-ROW(PLE.firstrow))),0,
           IF(OFFSET(PLE!$G$15,$M39-$A$15,BV$13)="",10^12,OFFSET(PLE!$G$15,$M39-$A$15,BV$13)))</f>
        <v>0</v>
      </c>
      <c r="BW39" s="179">
        <f ca="1">IF(OR($D39&lt;&gt;"Serviço",AND(AUTOEVENTO="Manual",$M39=$A$15),$M39&gt;(ROW(PLE.lastrow)-ROW(PLE.firstrow))),0,
           IF(OFFSET(PLE!$G$15,$M39-$A$15,BW$13)="",10^12,OFFSET(PLE!$G$15,$M39-$A$15,BW$13)))</f>
        <v>0</v>
      </c>
      <c r="BX39" s="179">
        <f ca="1">IF(OR($D39&lt;&gt;"Serviço",AND(AUTOEVENTO="Manual",$M39=$A$15),$M39&gt;(ROW(PLE.lastrow)-ROW(PLE.firstrow))),0,
           IF(OFFSET(PLE!$G$15,$M39-$A$15,BX$13)="",10^12,OFFSET(PLE!$G$15,$M39-$A$15,BX$13)))</f>
        <v>0</v>
      </c>
      <c r="BY39" s="179">
        <f ca="1">IF(OR($D39&lt;&gt;"Serviço",AND(AUTOEVENTO="Manual",$M39=$A$15),$M39&gt;(ROW(PLE.lastrow)-ROW(PLE.firstrow))),0,
           IF(OFFSET(PLE!$G$15,$M39-$A$15,BY$13)="",10^12,OFFSET(PLE!$G$15,$M39-$A$15,BY$13)))</f>
        <v>0</v>
      </c>
      <c r="BZ39" s="179">
        <f ca="1">IF(OR($D39&lt;&gt;"Serviço",AND(AUTOEVENTO="Manual",$M39=$A$15),$M39&gt;(ROW(PLE.lastrow)-ROW(PLE.firstrow))),0,
           IF(OFFSET(PLE!$G$15,$M39-$A$15,BZ$13)="",10^12,OFFSET(PLE!$G$15,$M39-$A$15,BZ$13)))</f>
        <v>0</v>
      </c>
      <c r="CA39" s="179">
        <f ca="1">IF(OR($D39&lt;&gt;"Serviço",AND(AUTOEVENTO="Manual",$M39=$A$15),$M39&gt;(ROW(PLE.lastrow)-ROW(PLE.firstrow))),0,
           IF(OFFSET(PLE!$G$15,$M39-$A$15,CA$13)="",10^12,OFFSET(PLE!$G$15,$M39-$A$15,CA$13)))</f>
        <v>0</v>
      </c>
      <c r="CB39" s="179">
        <f ca="1">IF(OR($D39&lt;&gt;"Serviço",AND(AUTOEVENTO="Manual",$M39=$A$15),$M39&gt;(ROW(PLE.lastrow)-ROW(PLE.firstrow))),0,
           IF(OFFSET(PLE!$G$15,$M39-$A$15,CB$13)="",10^12,OFFSET(PLE!$G$15,$M39-$A$15,CB$13)))</f>
        <v>0</v>
      </c>
      <c r="CC39" s="179">
        <f ca="1">IF(OR($D39&lt;&gt;"Serviço",AND(AUTOEVENTO="Manual",$M39=$A$15),$M39&gt;(ROW(PLE.lastrow)-ROW(PLE.firstrow))),0,
           IF(OFFSET(PLE!$G$15,$M39-$A$15,CC$13)="",10^12,OFFSET(PLE!$G$15,$M39-$A$15,CC$13)))</f>
        <v>0</v>
      </c>
      <c r="CD39" s="179">
        <f ca="1">IF(OR($D39&lt;&gt;"Serviço",AND(AUTOEVENTO="Manual",$M39=$A$15),$M39&gt;(ROW(PLE.lastrow)-ROW(PLE.firstrow))),0,
           IF(OFFSET(PLE!$G$15,$M39-$A$15,CD$13)="",10^12,OFFSET(PLE!$G$15,$M39-$A$15,CD$13)))</f>
        <v>0</v>
      </c>
      <c r="CE39" s="179">
        <f ca="1">IF(OR($D39&lt;&gt;"Serviço",AND(AUTOEVENTO="Manual",$M39=$A$15),$M39&gt;(ROW(PLE.lastrow)-ROW(PLE.firstrow))),0,
           IF(OFFSET(PLE!$G$15,$M39-$A$15,CE$13)="",10^12,OFFSET(PLE!$G$15,$M39-$A$15,CE$13)))</f>
        <v>0</v>
      </c>
      <c r="CF39" s="179">
        <f ca="1">IF(OR($D39&lt;&gt;"Serviço",AND(AUTOEVENTO="Manual",$M39=$A$15),$M39&gt;(ROW(PLE.lastrow)-ROW(PLE.firstrow))),0,
           IF(OFFSET(PLE!$G$15,$M39-$A$15,CF$13)="",10^12,OFFSET(PLE!$G$15,$M39-$A$15,CF$13)))</f>
        <v>0</v>
      </c>
      <c r="CG39" s="179">
        <f ca="1">IF(OR($D39&lt;&gt;"Serviço",AND(AUTOEVENTO="Manual",$M39=$A$15),$M39&gt;(ROW(PLE.lastrow)-ROW(PLE.firstrow))),0,
           IF(OFFSET(PLE!$G$15,$M39-$A$15,CG$13)="",10^12,OFFSET(PLE!$G$15,$M39-$A$15,CG$13)))</f>
        <v>0</v>
      </c>
      <c r="CH39" s="179">
        <f ca="1">IF(OR($D39&lt;&gt;"Serviço",AND(AUTOEVENTO="Manual",$M39=$A$15),$M39&gt;(ROW(PLE.lastrow)-ROW(PLE.firstrow))),0,
           IF(OFFSET(PLE!$G$15,$M39-$A$15,CH$13)="",10^12,OFFSET(PLE!$G$15,$M39-$A$15,CH$13)))</f>
        <v>0</v>
      </c>
      <c r="CI39" s="179">
        <f ca="1">IF(OR($D39&lt;&gt;"Serviço",AND(AUTOEVENTO="Manual",$M39=$A$15),$M39&gt;(ROW(PLE.lastrow)-ROW(PLE.firstrow))),0,
           IF(OFFSET(PLE!$G$15,$M39-$A$15,CI$13)="",10^12,OFFSET(PLE!$G$15,$M39-$A$15,CI$13)))</f>
        <v>0</v>
      </c>
      <c r="CJ39" s="179">
        <f ca="1">IF(OR($D39&lt;&gt;"Serviço",AND(AUTOEVENTO="Manual",$M39=$A$15),$M39&gt;(ROW(PLE.lastrow)-ROW(PLE.firstrow))),0,
           IF(OFFSET(PLE!$G$15,$M39-$A$15,CJ$13)="",10^12,OFFSET(PLE!$G$15,$M39-$A$15,CJ$13)))</f>
        <v>0</v>
      </c>
      <c r="CK39" s="179">
        <f ca="1">IF(OR($D39&lt;&gt;"Serviço",AND(AUTOEVENTO="Manual",$M39=$A$15),$M39&gt;(ROW(PLE.lastrow)-ROW(PLE.firstrow))),0,
           IF(OFFSET(PLE!$G$15,$M39-$A$15,CK$13)="",10^12,OFFSET(PLE!$G$15,$M39-$A$15,CK$13)))</f>
        <v>0</v>
      </c>
      <c r="CL39" s="179">
        <f ca="1">IF(OR($D39&lt;&gt;"Serviço",AND(AUTOEVENTO="Manual",$M39=$A$15),$M39&gt;(ROW(PLE.lastrow)-ROW(PLE.firstrow))),0,
           IF(OFFSET(PLE!$G$15,$M39-$A$15,CL$13)="",10^12,OFFSET(PLE!$G$15,$M39-$A$15,CL$13)))</f>
        <v>0</v>
      </c>
      <c r="CM39" s="179">
        <f ca="1">IF(OR($D39&lt;&gt;"Serviço",AND(AUTOEVENTO="Manual",$M39=$A$15),$M39&gt;(ROW(PLE.lastrow)-ROW(PLE.firstrow))),0,
           IF(OFFSET(PLE!$G$15,$M39-$A$15,CM$13)="",10^12,OFFSET(PLE!$G$15,$M39-$A$15,CM$13)))</f>
        <v>0</v>
      </c>
    </row>
    <row r="40" spans="1:91" ht="12.75" x14ac:dyDescent="0.2">
      <c r="A40" s="7" t="str">
        <f ca="1">IF(AUTOEVENTO="Manual",IF(K40&lt;&gt;"",MIN(VALUE(LEFT(K40,FIND(".",K40)-1)),COUNTA(EVENTOS.Lista)),0),IF(OR($B40&gt;AUTOEVENTO,$B40="S",$B40=0),SUBSTITUTE(OFFSET($A40,-1,0),IF($D40="Serviço",".",""),""),ROW(A40)-ROW($A$15)&amp;"."))</f>
        <v>19</v>
      </c>
      <c r="B40" s="7" t="str">
        <f ca="1">OFFSET(ORÇAMENTO!C$15,ROW(B40)-ROW(B$15),0)</f>
        <v>S</v>
      </c>
      <c r="C40" s="7" t="str">
        <f ca="1">OFFSET(ORÇAMENTO!L$15,ROW(C40)-ROW(C$15),0)</f>
        <v>F</v>
      </c>
      <c r="D40" s="118" t="str">
        <f ca="1">OFFSET(ORÇAMENTO!N$15,ROW(D40)-ROW(D$15),0)</f>
        <v>Serviço</v>
      </c>
      <c r="E40" s="119" t="str">
        <f ca="1">OFFSET(ORÇAMENTO!O$15,ROW(E40)-ROW(E$15),0)</f>
        <v>1.5.2.1.1.</v>
      </c>
      <c r="F40" s="170" t="str">
        <f ca="1">OFFSET(ORÇAMENTO!R$15,ROW(F40)-ROW(F$15),0)</f>
        <v>COM-34700947 ESTACA ESCAVADA MECANICAMENTE, SEM FLUIDO ESTABILIZANTE, COM 30CM DE DIÂMETRO, CONCRETO LANÇADO POR
CAMINHÃO BETONEIRA - FORNECIMENTO E INSTALAÇÃO (M)</v>
      </c>
      <c r="G40" s="171" t="str">
        <f ca="1">IF($D40&lt;&gt;"Serviço","",OFFSET(ORÇAMENTO!S$15,ROW(G40)-ROW(G$15),0))</f>
        <v>M</v>
      </c>
      <c r="H40" s="124" cm="1">
        <f t="array" aca="1" ref="H40" ca="1">IF($D40&lt;&gt;"Serviço",0,IF(_xlfn.SINGLE(ACOMPANHAMENTO)="BM",ROUND(OFFSET(ORÇAMENTO!AJ$15,ROW(H40)-ROW(H$15),0),15-13*ORÇAMENTO!$AF$7),SUMPRODUCT(($Q$1:$AI$1)*ROUND($Q40:$AI40,15-13*ORÇAMENTO!$AF$7))))</f>
        <v>52</v>
      </c>
      <c r="I40" s="500" t="s">
        <v>1055</v>
      </c>
      <c r="J40" s="632" t="str" cm="1">
        <f t="array" aca="1" ref="J40" ca="1">IF(B40&lt;&gt;"S","",IF(AND(ACOMPANHAMENTO="PLE",AUTOEVENTO="Manual",OR(H40&gt;0,ORÇAMENTO!AC40="QUANT."),OR(K40="",M40=0,N40="")),"►",IF(AND(ACOMPANHAMENTO="PLE",ORÇAMENTO!AC40="QUANT."),"►►",IF(AND(COUNTIF($P$11:$AI$11,"▼")=0,H40&gt;0,I40=""),"◄",""))))</f>
        <v/>
      </c>
      <c r="K40" s="624"/>
      <c r="L40" s="172" t="s">
        <v>253</v>
      </c>
      <c r="M40" s="173">
        <f ca="1">IF($D40&lt;&gt;"Serviço","",
          IF(AUTOEVENTO="manual",$A40,
                IF(ISERROR(MATCH($A40,$A$15:OFFSET($A40,-1,0),0)),MAX($M$15:OFFSET(M40,-1,0))+1,
                      INDEX($M$15:OFFSET(M40,-1,0),MATCH($A40,$A$15:OFFSET($A40,-1,0),0)))))</f>
        <v>5</v>
      </c>
      <c r="N40" s="174" t="str">
        <f ca="1">IF($D40&lt;&gt;"Serviço","",
         IF(AUTOEVENTO="Manual",
                IF($A40=0,"&lt;-- defina o número do agrupador",
                       OFFSET(EVENTOS!$D$15,$A40-$A$15,0)),
                OFFSET($F$15,$A40,0)))</f>
        <v>ESTRUTURA E FUNDAÇÕES - PROJETO E ORÇAMENTO TERCERIZADO - AZEVEDO ENGENHARIA (AZ ENG)</v>
      </c>
      <c r="O40" s="175"/>
      <c r="Q40" s="175">
        <v>52</v>
      </c>
      <c r="R40" s="176"/>
      <c r="S40" s="176"/>
      <c r="T40" s="176"/>
      <c r="U40" s="176"/>
      <c r="V40" s="176"/>
      <c r="W40" s="176"/>
      <c r="X40" s="176"/>
      <c r="Y40" s="176"/>
      <c r="Z40" s="177"/>
      <c r="AA40" s="176"/>
      <c r="AB40" s="176"/>
      <c r="AC40" s="176"/>
      <c r="AD40" s="176"/>
      <c r="AE40" s="176"/>
      <c r="AF40" s="176"/>
      <c r="AG40" s="176"/>
      <c r="AH40" s="177"/>
      <c r="AJ40" s="485">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7557.68</v>
      </c>
      <c r="AK40" s="485">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L40" s="485">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0</v>
      </c>
      <c r="AM40" s="485">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0</v>
      </c>
      <c r="AN40" s="485">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85">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85">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85">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85">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85">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85">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85">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85">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85">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85">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85">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85">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85">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8">
        <f ca="1">IF(OR($D40&lt;&gt;"Serviço",AND(AUTOEVENTO="Manual",$M40=$A$15)),0,
         IF(OFFSET(CRONOPLE!$F$15,$M40-$A$15,BC$13)="",10^12,OFFSET(CRONOPLE!$F$15,$M40-$A$15,BC$13)))</f>
        <v>1</v>
      </c>
      <c r="BD40" s="178">
        <f ca="1">IF(OR($D40&lt;&gt;"Serviço",AND(AUTOEVENTO="Manual",$M40=$A$15)),0,
         IF(OFFSET(CRONOPLE!$F$15,$M40-$A$15,BD$13)="",10^12,OFFSET(CRONOPLE!$F$15,$M40-$A$15,BD$13)))</f>
        <v>2</v>
      </c>
      <c r="BE40" s="178">
        <f ca="1">IF(OR($D40&lt;&gt;"Serviço",AND(AUTOEVENTO="Manual",$M40=$A$15)),0,
         IF(OFFSET(CRONOPLE!$F$15,$M40-$A$15,BE$13)="",10^12,OFFSET(CRONOPLE!$F$15,$M40-$A$15,BE$13)))</f>
        <v>3</v>
      </c>
      <c r="BF40" s="178">
        <f ca="1">IF(OR($D40&lt;&gt;"Serviço",AND(AUTOEVENTO="Manual",$M40=$A$15)),0,
         IF(OFFSET(CRONOPLE!$F$15,$M40-$A$15,BF$13)="",10^12,OFFSET(CRONOPLE!$F$15,$M40-$A$15,BF$13)))</f>
        <v>4</v>
      </c>
      <c r="BG40" s="178">
        <f ca="1">IF(OR($D40&lt;&gt;"Serviço",AND(AUTOEVENTO="Manual",$M40=$A$15)),0,
         IF(OFFSET(CRONOPLE!$F$15,$M40-$A$15,BG$13)="",10^12,OFFSET(CRONOPLE!$F$15,$M40-$A$15,BG$13)))</f>
        <v>5</v>
      </c>
      <c r="BH40" s="178">
        <f ca="1">IF(OR($D40&lt;&gt;"Serviço",AND(AUTOEVENTO="Manual",$M40=$A$15)),0,
         IF(OFFSET(CRONOPLE!$F$15,$M40-$A$15,BH$13)="",10^12,OFFSET(CRONOPLE!$F$15,$M40-$A$15,BH$13)))</f>
        <v>6</v>
      </c>
      <c r="BI40" s="178">
        <f ca="1">IF(OR($D40&lt;&gt;"Serviço",AND(AUTOEVENTO="Manual",$M40=$A$15)),0,
         IF(OFFSET(CRONOPLE!$F$15,$M40-$A$15,BI$13)="",10^12,OFFSET(CRONOPLE!$F$15,$M40-$A$15,BI$13)))</f>
        <v>7</v>
      </c>
      <c r="BJ40" s="178">
        <f ca="1">IF(OR($D40&lt;&gt;"Serviço",AND(AUTOEVENTO="Manual",$M40=$A$15)),0,
         IF(OFFSET(CRONOPLE!$F$15,$M40-$A$15,BJ$13)="",10^12,OFFSET(CRONOPLE!$F$15,$M40-$A$15,BJ$13)))</f>
        <v>1000000000000</v>
      </c>
      <c r="BK40" s="178">
        <f ca="1">IF(OR($D40&lt;&gt;"Serviço",AND(AUTOEVENTO="Manual",$M40=$A$15)),0,
         IF(OFFSET(CRONOPLE!$F$15,$M40-$A$15,BK$13)="",10^12,OFFSET(CRONOPLE!$F$15,$M40-$A$15,BK$13)))</f>
        <v>1000000000000</v>
      </c>
      <c r="BL40" s="178">
        <f ca="1">IF(OR($D40&lt;&gt;"Serviço",AND(AUTOEVENTO="Manual",$M40=$A$15)),0,
         IF(OFFSET(CRONOPLE!$F$15,$M40-$A$15,BL$13)="",10^12,OFFSET(CRONOPLE!$F$15,$M40-$A$15,BL$13)))</f>
        <v>1000000000000</v>
      </c>
      <c r="BM40" s="178">
        <f ca="1">IF(OR($D40&lt;&gt;"Serviço",AND(AUTOEVENTO="Manual",$M40=$A$15)),0,
         IF(OFFSET(CRONOPLE!$F$15,$M40-$A$15,BM$13)="",10^12,OFFSET(CRONOPLE!$F$15,$M40-$A$15,BM$13)))</f>
        <v>1000000000000</v>
      </c>
      <c r="BN40" s="178">
        <f ca="1">IF(OR($D40&lt;&gt;"Serviço",AND(AUTOEVENTO="Manual",$M40=$A$15)),0,
         IF(OFFSET(CRONOPLE!$F$15,$M40-$A$15,BN$13)="",10^12,OFFSET(CRONOPLE!$F$15,$M40-$A$15,BN$13)))</f>
        <v>1000000000000</v>
      </c>
      <c r="BO40" s="178">
        <f ca="1">IF(OR($D40&lt;&gt;"Serviço",AND(AUTOEVENTO="Manual",$M40=$A$15)),0,
         IF(OFFSET(CRONOPLE!$F$15,$M40-$A$15,BO$13)="",10^12,OFFSET(CRONOPLE!$F$15,$M40-$A$15,BO$13)))</f>
        <v>1000000000000</v>
      </c>
      <c r="BP40" s="178">
        <f ca="1">IF(OR($D40&lt;&gt;"Serviço",AND(AUTOEVENTO="Manual",$M40=$A$15)),0,
         IF(OFFSET(CRONOPLE!$F$15,$M40-$A$15,BP$13)="",10^12,OFFSET(CRONOPLE!$F$15,$M40-$A$15,BP$13)))</f>
        <v>1000000000000</v>
      </c>
      <c r="BQ40" s="178">
        <f ca="1">IF(OR($D40&lt;&gt;"Serviço",AND(AUTOEVENTO="Manual",$M40=$A$15)),0,
         IF(OFFSET(CRONOPLE!$F$15,$M40-$A$15,BQ$13)="",10^12,OFFSET(CRONOPLE!$F$15,$M40-$A$15,BQ$13)))</f>
        <v>1000000000000</v>
      </c>
      <c r="BR40" s="178">
        <f ca="1">IF(OR($D40&lt;&gt;"Serviço",AND(AUTOEVENTO="Manual",$M40=$A$15)),0,
         IF(OFFSET(CRONOPLE!$F$15,$M40-$A$15,BR$13)="",10^12,OFFSET(CRONOPLE!$F$15,$M40-$A$15,BR$13)))</f>
        <v>1000000000000</v>
      </c>
      <c r="BS40" s="178">
        <f ca="1">IF(OR($D40&lt;&gt;"Serviço",AND(AUTOEVENTO="Manual",$M40=$A$15)),0,
         IF(OFFSET(CRONOPLE!$F$15,$M40-$A$15,BS$13)="",10^12,OFFSET(CRONOPLE!$F$15,$M40-$A$15,BS$13)))</f>
        <v>1000000000000</v>
      </c>
      <c r="BT40" s="178">
        <f ca="1">IF(OR($D40&lt;&gt;"Serviço",AND(AUTOEVENTO="Manual",$M40=$A$15)),0,
         IF(OFFSET(CRONOPLE!$F$15,$M40-$A$15,BT$13)="",10^12,OFFSET(CRONOPLE!$F$15,$M40-$A$15,BT$13)))</f>
        <v>1000000000000</v>
      </c>
      <c r="BV40" s="179">
        <f ca="1">IF(OR($D40&lt;&gt;"Serviço",AND(AUTOEVENTO="Manual",$M40=$A$15),$M40&gt;(ROW(PLE.lastrow)-ROW(PLE.firstrow))),0,
           IF(OFFSET(PLE!$G$15,$M40-$A$15,BV$13)="",10^12,OFFSET(PLE!$G$15,$M40-$A$15,BV$13)))</f>
        <v>1000000000000</v>
      </c>
      <c r="BW40" s="179">
        <f ca="1">IF(OR($D40&lt;&gt;"Serviço",AND(AUTOEVENTO="Manual",$M40=$A$15),$M40&gt;(ROW(PLE.lastrow)-ROW(PLE.firstrow))),0,
           IF(OFFSET(PLE!$G$15,$M40-$A$15,BW$13)="",10^12,OFFSET(PLE!$G$15,$M40-$A$15,BW$13)))</f>
        <v>1000000000000</v>
      </c>
      <c r="BX40" s="179">
        <f ca="1">IF(OR($D40&lt;&gt;"Serviço",AND(AUTOEVENTO="Manual",$M40=$A$15),$M40&gt;(ROW(PLE.lastrow)-ROW(PLE.firstrow))),0,
           IF(OFFSET(PLE!$G$15,$M40-$A$15,BX$13)="",10^12,OFFSET(PLE!$G$15,$M40-$A$15,BX$13)))</f>
        <v>1000000000000</v>
      </c>
      <c r="BY40" s="179">
        <f ca="1">IF(OR($D40&lt;&gt;"Serviço",AND(AUTOEVENTO="Manual",$M40=$A$15),$M40&gt;(ROW(PLE.lastrow)-ROW(PLE.firstrow))),0,
           IF(OFFSET(PLE!$G$15,$M40-$A$15,BY$13)="",10^12,OFFSET(PLE!$G$15,$M40-$A$15,BY$13)))</f>
        <v>1000000000000</v>
      </c>
      <c r="BZ40" s="179">
        <f ca="1">IF(OR($D40&lt;&gt;"Serviço",AND(AUTOEVENTO="Manual",$M40=$A$15),$M40&gt;(ROW(PLE.lastrow)-ROW(PLE.firstrow))),0,
           IF(OFFSET(PLE!$G$15,$M40-$A$15,BZ$13)="",10^12,OFFSET(PLE!$G$15,$M40-$A$15,BZ$13)))</f>
        <v>1000000000000</v>
      </c>
      <c r="CA40" s="179">
        <f ca="1">IF(OR($D40&lt;&gt;"Serviço",AND(AUTOEVENTO="Manual",$M40=$A$15),$M40&gt;(ROW(PLE.lastrow)-ROW(PLE.firstrow))),0,
           IF(OFFSET(PLE!$G$15,$M40-$A$15,CA$13)="",10^12,OFFSET(PLE!$G$15,$M40-$A$15,CA$13)))</f>
        <v>1000000000000</v>
      </c>
      <c r="CB40" s="179">
        <f ca="1">IF(OR($D40&lt;&gt;"Serviço",AND(AUTOEVENTO="Manual",$M40=$A$15),$M40&gt;(ROW(PLE.lastrow)-ROW(PLE.firstrow))),0,
           IF(OFFSET(PLE!$G$15,$M40-$A$15,CB$13)="",10^12,OFFSET(PLE!$G$15,$M40-$A$15,CB$13)))</f>
        <v>1000000000000</v>
      </c>
      <c r="CC40" s="179">
        <f ca="1">IF(OR($D40&lt;&gt;"Serviço",AND(AUTOEVENTO="Manual",$M40=$A$15),$M40&gt;(ROW(PLE.lastrow)-ROW(PLE.firstrow))),0,
           IF(OFFSET(PLE!$G$15,$M40-$A$15,CC$13)="",10^12,OFFSET(PLE!$G$15,$M40-$A$15,CC$13)))</f>
        <v>1000000000000</v>
      </c>
      <c r="CD40" s="179">
        <f ca="1">IF(OR($D40&lt;&gt;"Serviço",AND(AUTOEVENTO="Manual",$M40=$A$15),$M40&gt;(ROW(PLE.lastrow)-ROW(PLE.firstrow))),0,
           IF(OFFSET(PLE!$G$15,$M40-$A$15,CD$13)="",10^12,OFFSET(PLE!$G$15,$M40-$A$15,CD$13)))</f>
        <v>1000000000000</v>
      </c>
      <c r="CE40" s="179">
        <f ca="1">IF(OR($D40&lt;&gt;"Serviço",AND(AUTOEVENTO="Manual",$M40=$A$15),$M40&gt;(ROW(PLE.lastrow)-ROW(PLE.firstrow))),0,
           IF(OFFSET(PLE!$G$15,$M40-$A$15,CE$13)="",10^12,OFFSET(PLE!$G$15,$M40-$A$15,CE$13)))</f>
        <v>1000000000000</v>
      </c>
      <c r="CF40" s="179">
        <f ca="1">IF(OR($D40&lt;&gt;"Serviço",AND(AUTOEVENTO="Manual",$M40=$A$15),$M40&gt;(ROW(PLE.lastrow)-ROW(PLE.firstrow))),0,
           IF(OFFSET(PLE!$G$15,$M40-$A$15,CF$13)="",10^12,OFFSET(PLE!$G$15,$M40-$A$15,CF$13)))</f>
        <v>1000000000000</v>
      </c>
      <c r="CG40" s="179">
        <f ca="1">IF(OR($D40&lt;&gt;"Serviço",AND(AUTOEVENTO="Manual",$M40=$A$15),$M40&gt;(ROW(PLE.lastrow)-ROW(PLE.firstrow))),0,
           IF(OFFSET(PLE!$G$15,$M40-$A$15,CG$13)="",10^12,OFFSET(PLE!$G$15,$M40-$A$15,CG$13)))</f>
        <v>1000000000000</v>
      </c>
      <c r="CH40" s="179">
        <f ca="1">IF(OR($D40&lt;&gt;"Serviço",AND(AUTOEVENTO="Manual",$M40=$A$15),$M40&gt;(ROW(PLE.lastrow)-ROW(PLE.firstrow))),0,
           IF(OFFSET(PLE!$G$15,$M40-$A$15,CH$13)="",10^12,OFFSET(PLE!$G$15,$M40-$A$15,CH$13)))</f>
        <v>1000000000000</v>
      </c>
      <c r="CI40" s="179">
        <f ca="1">IF(OR($D40&lt;&gt;"Serviço",AND(AUTOEVENTO="Manual",$M40=$A$15),$M40&gt;(ROW(PLE.lastrow)-ROW(PLE.firstrow))),0,
           IF(OFFSET(PLE!$G$15,$M40-$A$15,CI$13)="",10^12,OFFSET(PLE!$G$15,$M40-$A$15,CI$13)))</f>
        <v>1000000000000</v>
      </c>
      <c r="CJ40" s="179">
        <f ca="1">IF(OR($D40&lt;&gt;"Serviço",AND(AUTOEVENTO="Manual",$M40=$A$15),$M40&gt;(ROW(PLE.lastrow)-ROW(PLE.firstrow))),0,
           IF(OFFSET(PLE!$G$15,$M40-$A$15,CJ$13)="",10^12,OFFSET(PLE!$G$15,$M40-$A$15,CJ$13)))</f>
        <v>1000000000000</v>
      </c>
      <c r="CK40" s="179">
        <f ca="1">IF(OR($D40&lt;&gt;"Serviço",AND(AUTOEVENTO="Manual",$M40=$A$15),$M40&gt;(ROW(PLE.lastrow)-ROW(PLE.firstrow))),0,
           IF(OFFSET(PLE!$G$15,$M40-$A$15,CK$13)="",10^12,OFFSET(PLE!$G$15,$M40-$A$15,CK$13)))</f>
        <v>1000000000000</v>
      </c>
      <c r="CL40" s="179">
        <f ca="1">IF(OR($D40&lt;&gt;"Serviço",AND(AUTOEVENTO="Manual",$M40=$A$15),$M40&gt;(ROW(PLE.lastrow)-ROW(PLE.firstrow))),0,
           IF(OFFSET(PLE!$G$15,$M40-$A$15,CL$13)="",10^12,OFFSET(PLE!$G$15,$M40-$A$15,CL$13)))</f>
        <v>1000000000000</v>
      </c>
      <c r="CM40" s="179">
        <f ca="1">IF(OR($D40&lt;&gt;"Serviço",AND(AUTOEVENTO="Manual",$M40=$A$15),$M40&gt;(ROW(PLE.lastrow)-ROW(PLE.firstrow))),0,
           IF(OFFSET(PLE!$G$15,$M40-$A$15,CM$13)="",10^12,OFFSET(PLE!$G$15,$M40-$A$15,CM$13)))</f>
        <v>1000000000000</v>
      </c>
    </row>
    <row r="41" spans="1:91" ht="12.75" x14ac:dyDescent="0.2">
      <c r="A41" s="7" t="str">
        <f ca="1">IF(AUTOEVENTO="Manual",IF(K41&lt;&gt;"",MIN(VALUE(LEFT(K41,FIND(".",K41)-1)),COUNTA(EVENTOS.Lista)),0),IF(OR($B41&gt;AUTOEVENTO,$B41="S",$B41=0),SUBSTITUTE(OFFSET($A41,-1,0),IF($D41="Serviço",".",""),""),ROW(A41)-ROW($A$15)&amp;"."))</f>
        <v>19</v>
      </c>
      <c r="B41" s="7">
        <f ca="1">OFFSET(ORÇAMENTO!C$15,ROW(B41)-ROW(B$15),0)</f>
        <v>4</v>
      </c>
      <c r="C41" s="7" t="str">
        <f ca="1">OFFSET(ORÇAMENTO!L$15,ROW(C41)-ROW(C$15),0)</f>
        <v>F</v>
      </c>
      <c r="D41" s="118" t="str">
        <f ca="1">OFFSET(ORÇAMENTO!N$15,ROW(D41)-ROW(D$15),0)</f>
        <v>Nível 4</v>
      </c>
      <c r="E41" s="119" t="str">
        <f ca="1">OFFSET(ORÇAMENTO!O$15,ROW(E41)-ROW(E$15),0)</f>
        <v>1.5.2.2.</v>
      </c>
      <c r="F41" s="170" t="str">
        <f ca="1">OFFSET(ORÇAMENTO!R$15,ROW(F41)-ROW(F$15),0)</f>
        <v>SAPATAS E BLOCOS DE CONCRETO</v>
      </c>
      <c r="G41" s="171" t="str">
        <f ca="1">IF($D41&lt;&gt;"Serviço","",OFFSET(ORÇAMENTO!S$15,ROW(G41)-ROW(G$15),0))</f>
        <v/>
      </c>
      <c r="H41" s="124" cm="1">
        <f t="array" aca="1" ref="H41" ca="1">IF($D41&lt;&gt;"Serviço",0,IF(_xlfn.SINGLE(ACOMPANHAMENTO)="BM",ROUND(OFFSET(ORÇAMENTO!AJ$15,ROW(H41)-ROW(H$15),0),15-13*ORÇAMENTO!$AF$7),SUMPRODUCT(($Q$1:$AI$1)*ROUND($Q41:$AI41,15-13*ORÇAMENTO!$AF$7))))</f>
        <v>0</v>
      </c>
      <c r="I41" s="500" t="s">
        <v>1055</v>
      </c>
      <c r="J41" s="632" t="str" cm="1">
        <f t="array" aca="1" ref="J41" ca="1">IF(B41&lt;&gt;"S","",IF(AND(ACOMPANHAMENTO="PLE",AUTOEVENTO="Manual",OR(H41&gt;0,ORÇAMENTO!AC41="QUANT."),OR(K41="",M41=0,N41="")),"►",IF(AND(ACOMPANHAMENTO="PLE",ORÇAMENTO!AC41="QUANT."),"►►",IF(AND(COUNTIF($P$11:$AI$11,"▼")=0,H41&gt;0,I41=""),"◄",""))))</f>
        <v/>
      </c>
      <c r="K41" s="624"/>
      <c r="L41" s="172" t="s">
        <v>253</v>
      </c>
      <c r="M41" s="173" t="str">
        <f ca="1">IF($D41&lt;&gt;"Serviço","",
          IF(AUTOEVENTO="manual",$A41,
                IF(ISERROR(MATCH($A41,$A$15:OFFSET($A41,-1,0),0)),MAX($M$15:OFFSET(M41,-1,0))+1,
                      INDEX($M$15:OFFSET(M41,-1,0),MATCH($A41,$A$15:OFFSET($A41,-1,0),0)))))</f>
        <v/>
      </c>
      <c r="N41" s="174" t="str">
        <f ca="1">IF($D41&lt;&gt;"Serviço","",
         IF(AUTOEVENTO="Manual",
                IF($A41=0,"&lt;-- defina o número do agrupador",
                       OFFSET(EVENTOS!$D$15,$A41-$A$15,0)),
                OFFSET($F$15,$A41,0)))</f>
        <v/>
      </c>
      <c r="O41" s="175"/>
      <c r="Q41" s="175"/>
      <c r="R41" s="176"/>
      <c r="S41" s="176"/>
      <c r="T41" s="176"/>
      <c r="U41" s="176"/>
      <c r="V41" s="176"/>
      <c r="W41" s="176"/>
      <c r="X41" s="176"/>
      <c r="Y41" s="176"/>
      <c r="Z41" s="177"/>
      <c r="AA41" s="176"/>
      <c r="AB41" s="176"/>
      <c r="AC41" s="176"/>
      <c r="AD41" s="176"/>
      <c r="AE41" s="176"/>
      <c r="AF41" s="176"/>
      <c r="AG41" s="176"/>
      <c r="AH41" s="177"/>
      <c r="AJ41" s="485">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85">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L41" s="485">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0</v>
      </c>
      <c r="AM41" s="485">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0</v>
      </c>
      <c r="AN41" s="485">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85">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85">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85">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85">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85">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85">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85">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85">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85">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85">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85">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85">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85">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8">
        <f ca="1">IF(OR($D41&lt;&gt;"Serviço",AND(AUTOEVENTO="Manual",$M41=$A$15)),0,
         IF(OFFSET(CRONOPLE!$F$15,$M41-$A$15,BC$13)="",10^12,OFFSET(CRONOPLE!$F$15,$M41-$A$15,BC$13)))</f>
        <v>0</v>
      </c>
      <c r="BD41" s="178">
        <f ca="1">IF(OR($D41&lt;&gt;"Serviço",AND(AUTOEVENTO="Manual",$M41=$A$15)),0,
         IF(OFFSET(CRONOPLE!$F$15,$M41-$A$15,BD$13)="",10^12,OFFSET(CRONOPLE!$F$15,$M41-$A$15,BD$13)))</f>
        <v>0</v>
      </c>
      <c r="BE41" s="178">
        <f ca="1">IF(OR($D41&lt;&gt;"Serviço",AND(AUTOEVENTO="Manual",$M41=$A$15)),0,
         IF(OFFSET(CRONOPLE!$F$15,$M41-$A$15,BE$13)="",10^12,OFFSET(CRONOPLE!$F$15,$M41-$A$15,BE$13)))</f>
        <v>0</v>
      </c>
      <c r="BF41" s="178">
        <f ca="1">IF(OR($D41&lt;&gt;"Serviço",AND(AUTOEVENTO="Manual",$M41=$A$15)),0,
         IF(OFFSET(CRONOPLE!$F$15,$M41-$A$15,BF$13)="",10^12,OFFSET(CRONOPLE!$F$15,$M41-$A$15,BF$13)))</f>
        <v>0</v>
      </c>
      <c r="BG41" s="178">
        <f ca="1">IF(OR($D41&lt;&gt;"Serviço",AND(AUTOEVENTO="Manual",$M41=$A$15)),0,
         IF(OFFSET(CRONOPLE!$F$15,$M41-$A$15,BG$13)="",10^12,OFFSET(CRONOPLE!$F$15,$M41-$A$15,BG$13)))</f>
        <v>0</v>
      </c>
      <c r="BH41" s="178">
        <f ca="1">IF(OR($D41&lt;&gt;"Serviço",AND(AUTOEVENTO="Manual",$M41=$A$15)),0,
         IF(OFFSET(CRONOPLE!$F$15,$M41-$A$15,BH$13)="",10^12,OFFSET(CRONOPLE!$F$15,$M41-$A$15,BH$13)))</f>
        <v>0</v>
      </c>
      <c r="BI41" s="178">
        <f ca="1">IF(OR($D41&lt;&gt;"Serviço",AND(AUTOEVENTO="Manual",$M41=$A$15)),0,
         IF(OFFSET(CRONOPLE!$F$15,$M41-$A$15,BI$13)="",10^12,OFFSET(CRONOPLE!$F$15,$M41-$A$15,BI$13)))</f>
        <v>0</v>
      </c>
      <c r="BJ41" s="178">
        <f ca="1">IF(OR($D41&lt;&gt;"Serviço",AND(AUTOEVENTO="Manual",$M41=$A$15)),0,
         IF(OFFSET(CRONOPLE!$F$15,$M41-$A$15,BJ$13)="",10^12,OFFSET(CRONOPLE!$F$15,$M41-$A$15,BJ$13)))</f>
        <v>0</v>
      </c>
      <c r="BK41" s="178">
        <f ca="1">IF(OR($D41&lt;&gt;"Serviço",AND(AUTOEVENTO="Manual",$M41=$A$15)),0,
         IF(OFFSET(CRONOPLE!$F$15,$M41-$A$15,BK$13)="",10^12,OFFSET(CRONOPLE!$F$15,$M41-$A$15,BK$13)))</f>
        <v>0</v>
      </c>
      <c r="BL41" s="178">
        <f ca="1">IF(OR($D41&lt;&gt;"Serviço",AND(AUTOEVENTO="Manual",$M41=$A$15)),0,
         IF(OFFSET(CRONOPLE!$F$15,$M41-$A$15,BL$13)="",10^12,OFFSET(CRONOPLE!$F$15,$M41-$A$15,BL$13)))</f>
        <v>0</v>
      </c>
      <c r="BM41" s="178">
        <f ca="1">IF(OR($D41&lt;&gt;"Serviço",AND(AUTOEVENTO="Manual",$M41=$A$15)),0,
         IF(OFFSET(CRONOPLE!$F$15,$M41-$A$15,BM$13)="",10^12,OFFSET(CRONOPLE!$F$15,$M41-$A$15,BM$13)))</f>
        <v>0</v>
      </c>
      <c r="BN41" s="178">
        <f ca="1">IF(OR($D41&lt;&gt;"Serviço",AND(AUTOEVENTO="Manual",$M41=$A$15)),0,
         IF(OFFSET(CRONOPLE!$F$15,$M41-$A$15,BN$13)="",10^12,OFFSET(CRONOPLE!$F$15,$M41-$A$15,BN$13)))</f>
        <v>0</v>
      </c>
      <c r="BO41" s="178">
        <f ca="1">IF(OR($D41&lt;&gt;"Serviço",AND(AUTOEVENTO="Manual",$M41=$A$15)),0,
         IF(OFFSET(CRONOPLE!$F$15,$M41-$A$15,BO$13)="",10^12,OFFSET(CRONOPLE!$F$15,$M41-$A$15,BO$13)))</f>
        <v>0</v>
      </c>
      <c r="BP41" s="178">
        <f ca="1">IF(OR($D41&lt;&gt;"Serviço",AND(AUTOEVENTO="Manual",$M41=$A$15)),0,
         IF(OFFSET(CRONOPLE!$F$15,$M41-$A$15,BP$13)="",10^12,OFFSET(CRONOPLE!$F$15,$M41-$A$15,BP$13)))</f>
        <v>0</v>
      </c>
      <c r="BQ41" s="178">
        <f ca="1">IF(OR($D41&lt;&gt;"Serviço",AND(AUTOEVENTO="Manual",$M41=$A$15)),0,
         IF(OFFSET(CRONOPLE!$F$15,$M41-$A$15,BQ$13)="",10^12,OFFSET(CRONOPLE!$F$15,$M41-$A$15,BQ$13)))</f>
        <v>0</v>
      </c>
      <c r="BR41" s="178">
        <f ca="1">IF(OR($D41&lt;&gt;"Serviço",AND(AUTOEVENTO="Manual",$M41=$A$15)),0,
         IF(OFFSET(CRONOPLE!$F$15,$M41-$A$15,BR$13)="",10^12,OFFSET(CRONOPLE!$F$15,$M41-$A$15,BR$13)))</f>
        <v>0</v>
      </c>
      <c r="BS41" s="178">
        <f ca="1">IF(OR($D41&lt;&gt;"Serviço",AND(AUTOEVENTO="Manual",$M41=$A$15)),0,
         IF(OFFSET(CRONOPLE!$F$15,$M41-$A$15,BS$13)="",10^12,OFFSET(CRONOPLE!$F$15,$M41-$A$15,BS$13)))</f>
        <v>0</v>
      </c>
      <c r="BT41" s="178">
        <f ca="1">IF(OR($D41&lt;&gt;"Serviço",AND(AUTOEVENTO="Manual",$M41=$A$15)),0,
         IF(OFFSET(CRONOPLE!$F$15,$M41-$A$15,BT$13)="",10^12,OFFSET(CRONOPLE!$F$15,$M41-$A$15,BT$13)))</f>
        <v>0</v>
      </c>
      <c r="BV41" s="179">
        <f ca="1">IF(OR($D41&lt;&gt;"Serviço",AND(AUTOEVENTO="Manual",$M41=$A$15),$M41&gt;(ROW(PLE.lastrow)-ROW(PLE.firstrow))),0,
           IF(OFFSET(PLE!$G$15,$M41-$A$15,BV$13)="",10^12,OFFSET(PLE!$G$15,$M41-$A$15,BV$13)))</f>
        <v>0</v>
      </c>
      <c r="BW41" s="179">
        <f ca="1">IF(OR($D41&lt;&gt;"Serviço",AND(AUTOEVENTO="Manual",$M41=$A$15),$M41&gt;(ROW(PLE.lastrow)-ROW(PLE.firstrow))),0,
           IF(OFFSET(PLE!$G$15,$M41-$A$15,BW$13)="",10^12,OFFSET(PLE!$G$15,$M41-$A$15,BW$13)))</f>
        <v>0</v>
      </c>
      <c r="BX41" s="179">
        <f ca="1">IF(OR($D41&lt;&gt;"Serviço",AND(AUTOEVENTO="Manual",$M41=$A$15),$M41&gt;(ROW(PLE.lastrow)-ROW(PLE.firstrow))),0,
           IF(OFFSET(PLE!$G$15,$M41-$A$15,BX$13)="",10^12,OFFSET(PLE!$G$15,$M41-$A$15,BX$13)))</f>
        <v>0</v>
      </c>
      <c r="BY41" s="179">
        <f ca="1">IF(OR($D41&lt;&gt;"Serviço",AND(AUTOEVENTO="Manual",$M41=$A$15),$M41&gt;(ROW(PLE.lastrow)-ROW(PLE.firstrow))),0,
           IF(OFFSET(PLE!$G$15,$M41-$A$15,BY$13)="",10^12,OFFSET(PLE!$G$15,$M41-$A$15,BY$13)))</f>
        <v>0</v>
      </c>
      <c r="BZ41" s="179">
        <f ca="1">IF(OR($D41&lt;&gt;"Serviço",AND(AUTOEVENTO="Manual",$M41=$A$15),$M41&gt;(ROW(PLE.lastrow)-ROW(PLE.firstrow))),0,
           IF(OFFSET(PLE!$G$15,$M41-$A$15,BZ$13)="",10^12,OFFSET(PLE!$G$15,$M41-$A$15,BZ$13)))</f>
        <v>0</v>
      </c>
      <c r="CA41" s="179">
        <f ca="1">IF(OR($D41&lt;&gt;"Serviço",AND(AUTOEVENTO="Manual",$M41=$A$15),$M41&gt;(ROW(PLE.lastrow)-ROW(PLE.firstrow))),0,
           IF(OFFSET(PLE!$G$15,$M41-$A$15,CA$13)="",10^12,OFFSET(PLE!$G$15,$M41-$A$15,CA$13)))</f>
        <v>0</v>
      </c>
      <c r="CB41" s="179">
        <f ca="1">IF(OR($D41&lt;&gt;"Serviço",AND(AUTOEVENTO="Manual",$M41=$A$15),$M41&gt;(ROW(PLE.lastrow)-ROW(PLE.firstrow))),0,
           IF(OFFSET(PLE!$G$15,$M41-$A$15,CB$13)="",10^12,OFFSET(PLE!$G$15,$M41-$A$15,CB$13)))</f>
        <v>0</v>
      </c>
      <c r="CC41" s="179">
        <f ca="1">IF(OR($D41&lt;&gt;"Serviço",AND(AUTOEVENTO="Manual",$M41=$A$15),$M41&gt;(ROW(PLE.lastrow)-ROW(PLE.firstrow))),0,
           IF(OFFSET(PLE!$G$15,$M41-$A$15,CC$13)="",10^12,OFFSET(PLE!$G$15,$M41-$A$15,CC$13)))</f>
        <v>0</v>
      </c>
      <c r="CD41" s="179">
        <f ca="1">IF(OR($D41&lt;&gt;"Serviço",AND(AUTOEVENTO="Manual",$M41=$A$15),$M41&gt;(ROW(PLE.lastrow)-ROW(PLE.firstrow))),0,
           IF(OFFSET(PLE!$G$15,$M41-$A$15,CD$13)="",10^12,OFFSET(PLE!$G$15,$M41-$A$15,CD$13)))</f>
        <v>0</v>
      </c>
      <c r="CE41" s="179">
        <f ca="1">IF(OR($D41&lt;&gt;"Serviço",AND(AUTOEVENTO="Manual",$M41=$A$15),$M41&gt;(ROW(PLE.lastrow)-ROW(PLE.firstrow))),0,
           IF(OFFSET(PLE!$G$15,$M41-$A$15,CE$13)="",10^12,OFFSET(PLE!$G$15,$M41-$A$15,CE$13)))</f>
        <v>0</v>
      </c>
      <c r="CF41" s="179">
        <f ca="1">IF(OR($D41&lt;&gt;"Serviço",AND(AUTOEVENTO="Manual",$M41=$A$15),$M41&gt;(ROW(PLE.lastrow)-ROW(PLE.firstrow))),0,
           IF(OFFSET(PLE!$G$15,$M41-$A$15,CF$13)="",10^12,OFFSET(PLE!$G$15,$M41-$A$15,CF$13)))</f>
        <v>0</v>
      </c>
      <c r="CG41" s="179">
        <f ca="1">IF(OR($D41&lt;&gt;"Serviço",AND(AUTOEVENTO="Manual",$M41=$A$15),$M41&gt;(ROW(PLE.lastrow)-ROW(PLE.firstrow))),0,
           IF(OFFSET(PLE!$G$15,$M41-$A$15,CG$13)="",10^12,OFFSET(PLE!$G$15,$M41-$A$15,CG$13)))</f>
        <v>0</v>
      </c>
      <c r="CH41" s="179">
        <f ca="1">IF(OR($D41&lt;&gt;"Serviço",AND(AUTOEVENTO="Manual",$M41=$A$15),$M41&gt;(ROW(PLE.lastrow)-ROW(PLE.firstrow))),0,
           IF(OFFSET(PLE!$G$15,$M41-$A$15,CH$13)="",10^12,OFFSET(PLE!$G$15,$M41-$A$15,CH$13)))</f>
        <v>0</v>
      </c>
      <c r="CI41" s="179">
        <f ca="1">IF(OR($D41&lt;&gt;"Serviço",AND(AUTOEVENTO="Manual",$M41=$A$15),$M41&gt;(ROW(PLE.lastrow)-ROW(PLE.firstrow))),0,
           IF(OFFSET(PLE!$G$15,$M41-$A$15,CI$13)="",10^12,OFFSET(PLE!$G$15,$M41-$A$15,CI$13)))</f>
        <v>0</v>
      </c>
      <c r="CJ41" s="179">
        <f ca="1">IF(OR($D41&lt;&gt;"Serviço",AND(AUTOEVENTO="Manual",$M41=$A$15),$M41&gt;(ROW(PLE.lastrow)-ROW(PLE.firstrow))),0,
           IF(OFFSET(PLE!$G$15,$M41-$A$15,CJ$13)="",10^12,OFFSET(PLE!$G$15,$M41-$A$15,CJ$13)))</f>
        <v>0</v>
      </c>
      <c r="CK41" s="179">
        <f ca="1">IF(OR($D41&lt;&gt;"Serviço",AND(AUTOEVENTO="Manual",$M41=$A$15),$M41&gt;(ROW(PLE.lastrow)-ROW(PLE.firstrow))),0,
           IF(OFFSET(PLE!$G$15,$M41-$A$15,CK$13)="",10^12,OFFSET(PLE!$G$15,$M41-$A$15,CK$13)))</f>
        <v>0</v>
      </c>
      <c r="CL41" s="179">
        <f ca="1">IF(OR($D41&lt;&gt;"Serviço",AND(AUTOEVENTO="Manual",$M41=$A$15),$M41&gt;(ROW(PLE.lastrow)-ROW(PLE.firstrow))),0,
           IF(OFFSET(PLE!$G$15,$M41-$A$15,CL$13)="",10^12,OFFSET(PLE!$G$15,$M41-$A$15,CL$13)))</f>
        <v>0</v>
      </c>
      <c r="CM41" s="179">
        <f ca="1">IF(OR($D41&lt;&gt;"Serviço",AND(AUTOEVENTO="Manual",$M41=$A$15),$M41&gt;(ROW(PLE.lastrow)-ROW(PLE.firstrow))),0,
           IF(OFFSET(PLE!$G$15,$M41-$A$15,CM$13)="",10^12,OFFSET(PLE!$G$15,$M41-$A$15,CM$13)))</f>
        <v>0</v>
      </c>
    </row>
    <row r="42" spans="1:91" ht="51" x14ac:dyDescent="0.2">
      <c r="A42" s="7" t="str">
        <f ca="1">IF(AUTOEVENTO="Manual",IF(K42&lt;&gt;"",MIN(VALUE(LEFT(K42,FIND(".",K42)-1)),COUNTA(EVENTOS.Lista)),0),IF(OR($B42&gt;AUTOEVENTO,$B42="S",$B42=0),SUBSTITUTE(OFFSET($A42,-1,0),IF($D42="Serviço",".",""),""),ROW(A42)-ROW($A$15)&amp;"."))</f>
        <v>19</v>
      </c>
      <c r="B42" s="7" t="str">
        <f ca="1">OFFSET(ORÇAMENTO!C$15,ROW(B42)-ROW(B$15),0)</f>
        <v>S</v>
      </c>
      <c r="C42" s="7" t="str">
        <f ca="1">OFFSET(ORÇAMENTO!L$15,ROW(C42)-ROW(C$15),0)</f>
        <v>F</v>
      </c>
      <c r="D42" s="118" t="str">
        <f ca="1">OFFSET(ORÇAMENTO!N$15,ROW(D42)-ROW(D$15),0)</f>
        <v>Serviço</v>
      </c>
      <c r="E42" s="119" t="str">
        <f ca="1">OFFSET(ORÇAMENTO!O$15,ROW(E42)-ROW(E$15),0)</f>
        <v>1.5.2.2.1.</v>
      </c>
      <c r="F42" s="170" t="str">
        <f ca="1">OFFSET(ORÇAMENTO!R$15,ROW(F42)-ROW(F$15),0)</f>
        <v>FABRICAÇÃO, MONTAGEM E DESMONTAGEM DE FÔRMA PARA BLOCO DE COROAMENTO, EM MADEIRA SERRADA, E=25 MM, 2 UTILIZAÇÕES. AF_01/2024</v>
      </c>
      <c r="G42" s="171" t="str">
        <f ca="1">IF($D42&lt;&gt;"Serviço","",OFFSET(ORÇAMENTO!S$15,ROW(G42)-ROW(G$15),0))</f>
        <v>M2</v>
      </c>
      <c r="H42" s="124" cm="1">
        <f t="array" aca="1" ref="H42" ca="1">IF($D42&lt;&gt;"Serviço",0,IF(_xlfn.SINGLE(ACOMPANHAMENTO)="BM",ROUND(OFFSET(ORÇAMENTO!AJ$15,ROW(H42)-ROW(H$15),0),15-13*ORÇAMENTO!$AF$7),SUMPRODUCT(($Q$1:$AI$1)*ROUND($Q42:$AI42,15-13*ORÇAMENTO!$AF$7))))</f>
        <v>75.459999999999994</v>
      </c>
      <c r="I42" s="500" t="s">
        <v>1055</v>
      </c>
      <c r="J42" s="632" t="str" cm="1">
        <f t="array" aca="1" ref="J42" ca="1">IF(B42&lt;&gt;"S","",IF(AND(ACOMPANHAMENTO="PLE",AUTOEVENTO="Manual",OR(H42&gt;0,ORÇAMENTO!AC42="QUANT."),OR(K42="",M42=0,N42="")),"►",IF(AND(ACOMPANHAMENTO="PLE",ORÇAMENTO!AC42="QUANT."),"►►",IF(AND(COUNTIF($P$11:$AI$11,"▼")=0,H42&gt;0,I42=""),"◄",""))))</f>
        <v/>
      </c>
      <c r="K42" s="624"/>
      <c r="L42" s="172" t="s">
        <v>253</v>
      </c>
      <c r="M42" s="173">
        <f ca="1">IF($D42&lt;&gt;"Serviço","",
          IF(AUTOEVENTO="manual",$A42,
                IF(ISERROR(MATCH($A42,$A$15:OFFSET($A42,-1,0),0)),MAX($M$15:OFFSET(M42,-1,0))+1,
                      INDEX($M$15:OFFSET(M42,-1,0),MATCH($A42,$A$15:OFFSET($A42,-1,0),0)))))</f>
        <v>5</v>
      </c>
      <c r="N42" s="174" t="str">
        <f ca="1">IF($D42&lt;&gt;"Serviço","",
         IF(AUTOEVENTO="Manual",
                IF($A42=0,"&lt;-- defina o número do agrupador",
                       OFFSET(EVENTOS!$D$15,$A42-$A$15,0)),
                OFFSET($F$15,$A42,0)))</f>
        <v>ESTRUTURA E FUNDAÇÕES - PROJETO E ORÇAMENTO TERCERIZADO - AZEVEDO ENGENHARIA (AZ ENG)</v>
      </c>
      <c r="O42" s="175"/>
      <c r="Q42" s="175"/>
      <c r="R42" s="176">
        <v>75.459999999999994</v>
      </c>
      <c r="S42" s="176"/>
      <c r="T42" s="176"/>
      <c r="U42" s="176"/>
      <c r="V42" s="176"/>
      <c r="W42" s="176"/>
      <c r="X42" s="176"/>
      <c r="Y42" s="176"/>
      <c r="Z42" s="177"/>
      <c r="AA42" s="176"/>
      <c r="AB42" s="176"/>
      <c r="AC42" s="176"/>
      <c r="AD42" s="176"/>
      <c r="AE42" s="176"/>
      <c r="AF42" s="176"/>
      <c r="AG42" s="176"/>
      <c r="AH42" s="177"/>
      <c r="AJ42" s="485">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85">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10792.29</v>
      </c>
      <c r="AL42" s="485">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0</v>
      </c>
      <c r="AM42" s="485">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85">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85">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85">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85">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85">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85">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85">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85">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85">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85">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85">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85">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85">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85">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8">
        <f ca="1">IF(OR($D42&lt;&gt;"Serviço",AND(AUTOEVENTO="Manual",$M42=$A$15)),0,
         IF(OFFSET(CRONOPLE!$F$15,$M42-$A$15,BC$13)="",10^12,OFFSET(CRONOPLE!$F$15,$M42-$A$15,BC$13)))</f>
        <v>1</v>
      </c>
      <c r="BD42" s="178">
        <f ca="1">IF(OR($D42&lt;&gt;"Serviço",AND(AUTOEVENTO="Manual",$M42=$A$15)),0,
         IF(OFFSET(CRONOPLE!$F$15,$M42-$A$15,BD$13)="",10^12,OFFSET(CRONOPLE!$F$15,$M42-$A$15,BD$13)))</f>
        <v>2</v>
      </c>
      <c r="BE42" s="178">
        <f ca="1">IF(OR($D42&lt;&gt;"Serviço",AND(AUTOEVENTO="Manual",$M42=$A$15)),0,
         IF(OFFSET(CRONOPLE!$F$15,$M42-$A$15,BE$13)="",10^12,OFFSET(CRONOPLE!$F$15,$M42-$A$15,BE$13)))</f>
        <v>3</v>
      </c>
      <c r="BF42" s="178">
        <f ca="1">IF(OR($D42&lt;&gt;"Serviço",AND(AUTOEVENTO="Manual",$M42=$A$15)),0,
         IF(OFFSET(CRONOPLE!$F$15,$M42-$A$15,BF$13)="",10^12,OFFSET(CRONOPLE!$F$15,$M42-$A$15,BF$13)))</f>
        <v>4</v>
      </c>
      <c r="BG42" s="178">
        <f ca="1">IF(OR($D42&lt;&gt;"Serviço",AND(AUTOEVENTO="Manual",$M42=$A$15)),0,
         IF(OFFSET(CRONOPLE!$F$15,$M42-$A$15,BG$13)="",10^12,OFFSET(CRONOPLE!$F$15,$M42-$A$15,BG$13)))</f>
        <v>5</v>
      </c>
      <c r="BH42" s="178">
        <f ca="1">IF(OR($D42&lt;&gt;"Serviço",AND(AUTOEVENTO="Manual",$M42=$A$15)),0,
         IF(OFFSET(CRONOPLE!$F$15,$M42-$A$15,BH$13)="",10^12,OFFSET(CRONOPLE!$F$15,$M42-$A$15,BH$13)))</f>
        <v>6</v>
      </c>
      <c r="BI42" s="178">
        <f ca="1">IF(OR($D42&lt;&gt;"Serviço",AND(AUTOEVENTO="Manual",$M42=$A$15)),0,
         IF(OFFSET(CRONOPLE!$F$15,$M42-$A$15,BI$13)="",10^12,OFFSET(CRONOPLE!$F$15,$M42-$A$15,BI$13)))</f>
        <v>7</v>
      </c>
      <c r="BJ42" s="178">
        <f ca="1">IF(OR($D42&lt;&gt;"Serviço",AND(AUTOEVENTO="Manual",$M42=$A$15)),0,
         IF(OFFSET(CRONOPLE!$F$15,$M42-$A$15,BJ$13)="",10^12,OFFSET(CRONOPLE!$F$15,$M42-$A$15,BJ$13)))</f>
        <v>1000000000000</v>
      </c>
      <c r="BK42" s="178">
        <f ca="1">IF(OR($D42&lt;&gt;"Serviço",AND(AUTOEVENTO="Manual",$M42=$A$15)),0,
         IF(OFFSET(CRONOPLE!$F$15,$M42-$A$15,BK$13)="",10^12,OFFSET(CRONOPLE!$F$15,$M42-$A$15,BK$13)))</f>
        <v>1000000000000</v>
      </c>
      <c r="BL42" s="178">
        <f ca="1">IF(OR($D42&lt;&gt;"Serviço",AND(AUTOEVENTO="Manual",$M42=$A$15)),0,
         IF(OFFSET(CRONOPLE!$F$15,$M42-$A$15,BL$13)="",10^12,OFFSET(CRONOPLE!$F$15,$M42-$A$15,BL$13)))</f>
        <v>1000000000000</v>
      </c>
      <c r="BM42" s="178">
        <f ca="1">IF(OR($D42&lt;&gt;"Serviço",AND(AUTOEVENTO="Manual",$M42=$A$15)),0,
         IF(OFFSET(CRONOPLE!$F$15,$M42-$A$15,BM$13)="",10^12,OFFSET(CRONOPLE!$F$15,$M42-$A$15,BM$13)))</f>
        <v>1000000000000</v>
      </c>
      <c r="BN42" s="178">
        <f ca="1">IF(OR($D42&lt;&gt;"Serviço",AND(AUTOEVENTO="Manual",$M42=$A$15)),0,
         IF(OFFSET(CRONOPLE!$F$15,$M42-$A$15,BN$13)="",10^12,OFFSET(CRONOPLE!$F$15,$M42-$A$15,BN$13)))</f>
        <v>1000000000000</v>
      </c>
      <c r="BO42" s="178">
        <f ca="1">IF(OR($D42&lt;&gt;"Serviço",AND(AUTOEVENTO="Manual",$M42=$A$15)),0,
         IF(OFFSET(CRONOPLE!$F$15,$M42-$A$15,BO$13)="",10^12,OFFSET(CRONOPLE!$F$15,$M42-$A$15,BO$13)))</f>
        <v>1000000000000</v>
      </c>
      <c r="BP42" s="178">
        <f ca="1">IF(OR($D42&lt;&gt;"Serviço",AND(AUTOEVENTO="Manual",$M42=$A$15)),0,
         IF(OFFSET(CRONOPLE!$F$15,$M42-$A$15,BP$13)="",10^12,OFFSET(CRONOPLE!$F$15,$M42-$A$15,BP$13)))</f>
        <v>1000000000000</v>
      </c>
      <c r="BQ42" s="178">
        <f ca="1">IF(OR($D42&lt;&gt;"Serviço",AND(AUTOEVENTO="Manual",$M42=$A$15)),0,
         IF(OFFSET(CRONOPLE!$F$15,$M42-$A$15,BQ$13)="",10^12,OFFSET(CRONOPLE!$F$15,$M42-$A$15,BQ$13)))</f>
        <v>1000000000000</v>
      </c>
      <c r="BR42" s="178">
        <f ca="1">IF(OR($D42&lt;&gt;"Serviço",AND(AUTOEVENTO="Manual",$M42=$A$15)),0,
         IF(OFFSET(CRONOPLE!$F$15,$M42-$A$15,BR$13)="",10^12,OFFSET(CRONOPLE!$F$15,$M42-$A$15,BR$13)))</f>
        <v>1000000000000</v>
      </c>
      <c r="BS42" s="178">
        <f ca="1">IF(OR($D42&lt;&gt;"Serviço",AND(AUTOEVENTO="Manual",$M42=$A$15)),0,
         IF(OFFSET(CRONOPLE!$F$15,$M42-$A$15,BS$13)="",10^12,OFFSET(CRONOPLE!$F$15,$M42-$A$15,BS$13)))</f>
        <v>1000000000000</v>
      </c>
      <c r="BT42" s="178">
        <f ca="1">IF(OR($D42&lt;&gt;"Serviço",AND(AUTOEVENTO="Manual",$M42=$A$15)),0,
         IF(OFFSET(CRONOPLE!$F$15,$M42-$A$15,BT$13)="",10^12,OFFSET(CRONOPLE!$F$15,$M42-$A$15,BT$13)))</f>
        <v>1000000000000</v>
      </c>
      <c r="BV42" s="179">
        <f ca="1">IF(OR($D42&lt;&gt;"Serviço",AND(AUTOEVENTO="Manual",$M42=$A$15),$M42&gt;(ROW(PLE.lastrow)-ROW(PLE.firstrow))),0,
           IF(OFFSET(PLE!$G$15,$M42-$A$15,BV$13)="",10^12,OFFSET(PLE!$G$15,$M42-$A$15,BV$13)))</f>
        <v>1000000000000</v>
      </c>
      <c r="BW42" s="179">
        <f ca="1">IF(OR($D42&lt;&gt;"Serviço",AND(AUTOEVENTO="Manual",$M42=$A$15),$M42&gt;(ROW(PLE.lastrow)-ROW(PLE.firstrow))),0,
           IF(OFFSET(PLE!$G$15,$M42-$A$15,BW$13)="",10^12,OFFSET(PLE!$G$15,$M42-$A$15,BW$13)))</f>
        <v>1000000000000</v>
      </c>
      <c r="BX42" s="179">
        <f ca="1">IF(OR($D42&lt;&gt;"Serviço",AND(AUTOEVENTO="Manual",$M42=$A$15),$M42&gt;(ROW(PLE.lastrow)-ROW(PLE.firstrow))),0,
           IF(OFFSET(PLE!$G$15,$M42-$A$15,BX$13)="",10^12,OFFSET(PLE!$G$15,$M42-$A$15,BX$13)))</f>
        <v>1000000000000</v>
      </c>
      <c r="BY42" s="179">
        <f ca="1">IF(OR($D42&lt;&gt;"Serviço",AND(AUTOEVENTO="Manual",$M42=$A$15),$M42&gt;(ROW(PLE.lastrow)-ROW(PLE.firstrow))),0,
           IF(OFFSET(PLE!$G$15,$M42-$A$15,BY$13)="",10^12,OFFSET(PLE!$G$15,$M42-$A$15,BY$13)))</f>
        <v>1000000000000</v>
      </c>
      <c r="BZ42" s="179">
        <f ca="1">IF(OR($D42&lt;&gt;"Serviço",AND(AUTOEVENTO="Manual",$M42=$A$15),$M42&gt;(ROW(PLE.lastrow)-ROW(PLE.firstrow))),0,
           IF(OFFSET(PLE!$G$15,$M42-$A$15,BZ$13)="",10^12,OFFSET(PLE!$G$15,$M42-$A$15,BZ$13)))</f>
        <v>1000000000000</v>
      </c>
      <c r="CA42" s="179">
        <f ca="1">IF(OR($D42&lt;&gt;"Serviço",AND(AUTOEVENTO="Manual",$M42=$A$15),$M42&gt;(ROW(PLE.lastrow)-ROW(PLE.firstrow))),0,
           IF(OFFSET(PLE!$G$15,$M42-$A$15,CA$13)="",10^12,OFFSET(PLE!$G$15,$M42-$A$15,CA$13)))</f>
        <v>1000000000000</v>
      </c>
      <c r="CB42" s="179">
        <f ca="1">IF(OR($D42&lt;&gt;"Serviço",AND(AUTOEVENTO="Manual",$M42=$A$15),$M42&gt;(ROW(PLE.lastrow)-ROW(PLE.firstrow))),0,
           IF(OFFSET(PLE!$G$15,$M42-$A$15,CB$13)="",10^12,OFFSET(PLE!$G$15,$M42-$A$15,CB$13)))</f>
        <v>1000000000000</v>
      </c>
      <c r="CC42" s="179">
        <f ca="1">IF(OR($D42&lt;&gt;"Serviço",AND(AUTOEVENTO="Manual",$M42=$A$15),$M42&gt;(ROW(PLE.lastrow)-ROW(PLE.firstrow))),0,
           IF(OFFSET(PLE!$G$15,$M42-$A$15,CC$13)="",10^12,OFFSET(PLE!$G$15,$M42-$A$15,CC$13)))</f>
        <v>1000000000000</v>
      </c>
      <c r="CD42" s="179">
        <f ca="1">IF(OR($D42&lt;&gt;"Serviço",AND(AUTOEVENTO="Manual",$M42=$A$15),$M42&gt;(ROW(PLE.lastrow)-ROW(PLE.firstrow))),0,
           IF(OFFSET(PLE!$G$15,$M42-$A$15,CD$13)="",10^12,OFFSET(PLE!$G$15,$M42-$A$15,CD$13)))</f>
        <v>1000000000000</v>
      </c>
      <c r="CE42" s="179">
        <f ca="1">IF(OR($D42&lt;&gt;"Serviço",AND(AUTOEVENTO="Manual",$M42=$A$15),$M42&gt;(ROW(PLE.lastrow)-ROW(PLE.firstrow))),0,
           IF(OFFSET(PLE!$G$15,$M42-$A$15,CE$13)="",10^12,OFFSET(PLE!$G$15,$M42-$A$15,CE$13)))</f>
        <v>1000000000000</v>
      </c>
      <c r="CF42" s="179">
        <f ca="1">IF(OR($D42&lt;&gt;"Serviço",AND(AUTOEVENTO="Manual",$M42=$A$15),$M42&gt;(ROW(PLE.lastrow)-ROW(PLE.firstrow))),0,
           IF(OFFSET(PLE!$G$15,$M42-$A$15,CF$13)="",10^12,OFFSET(PLE!$G$15,$M42-$A$15,CF$13)))</f>
        <v>1000000000000</v>
      </c>
      <c r="CG42" s="179">
        <f ca="1">IF(OR($D42&lt;&gt;"Serviço",AND(AUTOEVENTO="Manual",$M42=$A$15),$M42&gt;(ROW(PLE.lastrow)-ROW(PLE.firstrow))),0,
           IF(OFFSET(PLE!$G$15,$M42-$A$15,CG$13)="",10^12,OFFSET(PLE!$G$15,$M42-$A$15,CG$13)))</f>
        <v>1000000000000</v>
      </c>
      <c r="CH42" s="179">
        <f ca="1">IF(OR($D42&lt;&gt;"Serviço",AND(AUTOEVENTO="Manual",$M42=$A$15),$M42&gt;(ROW(PLE.lastrow)-ROW(PLE.firstrow))),0,
           IF(OFFSET(PLE!$G$15,$M42-$A$15,CH$13)="",10^12,OFFSET(PLE!$G$15,$M42-$A$15,CH$13)))</f>
        <v>1000000000000</v>
      </c>
      <c r="CI42" s="179">
        <f ca="1">IF(OR($D42&lt;&gt;"Serviço",AND(AUTOEVENTO="Manual",$M42=$A$15),$M42&gt;(ROW(PLE.lastrow)-ROW(PLE.firstrow))),0,
           IF(OFFSET(PLE!$G$15,$M42-$A$15,CI$13)="",10^12,OFFSET(PLE!$G$15,$M42-$A$15,CI$13)))</f>
        <v>1000000000000</v>
      </c>
      <c r="CJ42" s="179">
        <f ca="1">IF(OR($D42&lt;&gt;"Serviço",AND(AUTOEVENTO="Manual",$M42=$A$15),$M42&gt;(ROW(PLE.lastrow)-ROW(PLE.firstrow))),0,
           IF(OFFSET(PLE!$G$15,$M42-$A$15,CJ$13)="",10^12,OFFSET(PLE!$G$15,$M42-$A$15,CJ$13)))</f>
        <v>1000000000000</v>
      </c>
      <c r="CK42" s="179">
        <f ca="1">IF(OR($D42&lt;&gt;"Serviço",AND(AUTOEVENTO="Manual",$M42=$A$15),$M42&gt;(ROW(PLE.lastrow)-ROW(PLE.firstrow))),0,
           IF(OFFSET(PLE!$G$15,$M42-$A$15,CK$13)="",10^12,OFFSET(PLE!$G$15,$M42-$A$15,CK$13)))</f>
        <v>1000000000000</v>
      </c>
      <c r="CL42" s="179">
        <f ca="1">IF(OR($D42&lt;&gt;"Serviço",AND(AUTOEVENTO="Manual",$M42=$A$15),$M42&gt;(ROW(PLE.lastrow)-ROW(PLE.firstrow))),0,
           IF(OFFSET(PLE!$G$15,$M42-$A$15,CL$13)="",10^12,OFFSET(PLE!$G$15,$M42-$A$15,CL$13)))</f>
        <v>1000000000000</v>
      </c>
      <c r="CM42" s="179">
        <f ca="1">IF(OR($D42&lt;&gt;"Serviço",AND(AUTOEVENTO="Manual",$M42=$A$15),$M42&gt;(ROW(PLE.lastrow)-ROW(PLE.firstrow))),0,
           IF(OFFSET(PLE!$G$15,$M42-$A$15,CM$13)="",10^12,OFFSET(PLE!$G$15,$M42-$A$15,CM$13)))</f>
        <v>1000000000000</v>
      </c>
    </row>
    <row r="43" spans="1:91" ht="51" x14ac:dyDescent="0.2">
      <c r="A43" s="7" t="str">
        <f ca="1">IF(AUTOEVENTO="Manual",IF(K43&lt;&gt;"",MIN(VALUE(LEFT(K43,FIND(".",K43)-1)),COUNTA(EVENTOS.Lista)),0),IF(OR($B43&gt;AUTOEVENTO,$B43="S",$B43=0),SUBSTITUTE(OFFSET($A43,-1,0),IF($D43="Serviço",".",""),""),ROW(A43)-ROW($A$15)&amp;"."))</f>
        <v>19</v>
      </c>
      <c r="B43" s="7" t="str">
        <f ca="1">OFFSET(ORÇAMENTO!C$15,ROW(B43)-ROW(B$15),0)</f>
        <v>S</v>
      </c>
      <c r="C43" s="7" t="str">
        <f ca="1">OFFSET(ORÇAMENTO!L$15,ROW(C43)-ROW(C$15),0)</f>
        <v>F</v>
      </c>
      <c r="D43" s="118" t="str">
        <f ca="1">OFFSET(ORÇAMENTO!N$15,ROW(D43)-ROW(D$15),0)</f>
        <v>Serviço</v>
      </c>
      <c r="E43" s="119" t="str">
        <f ca="1">OFFSET(ORÇAMENTO!O$15,ROW(E43)-ROW(E$15),0)</f>
        <v>1.5.2.2.2.</v>
      </c>
      <c r="F43" s="170" t="str">
        <f ca="1">OFFSET(ORÇAMENTO!R$15,ROW(F43)-ROW(F$15),0)</f>
        <v>ARMAÇÃO DE SAPATA ISOLADA, VIGA BALDRAME E SAPATA CORRIDA UTILIZANDO AÇO CA-60 DE 5 MM - MONTAGEM. AF_01/2024</v>
      </c>
      <c r="G43" s="171" t="str">
        <f ca="1">IF($D43&lt;&gt;"Serviço","",OFFSET(ORÇAMENTO!S$15,ROW(G43)-ROW(G$15),0))</f>
        <v>KG</v>
      </c>
      <c r="H43" s="124" cm="1">
        <f t="array" aca="1" ref="H43" ca="1">IF($D43&lt;&gt;"Serviço",0,IF(_xlfn.SINGLE(ACOMPANHAMENTO)="BM",ROUND(OFFSET(ORÇAMENTO!AJ$15,ROW(H43)-ROW(H$15),0),15-13*ORÇAMENTO!$AF$7),SUMPRODUCT(($Q$1:$AI$1)*ROUND($Q43:$AI43,15-13*ORÇAMENTO!$AF$7))))</f>
        <v>133.5</v>
      </c>
      <c r="I43" s="500" t="s">
        <v>1055</v>
      </c>
      <c r="J43" s="632" t="str" cm="1">
        <f t="array" aca="1" ref="J43" ca="1">IF(B43&lt;&gt;"S","",IF(AND(ACOMPANHAMENTO="PLE",AUTOEVENTO="Manual",OR(H43&gt;0,ORÇAMENTO!AC43="QUANT."),OR(K43="",M43=0,N43="")),"►",IF(AND(ACOMPANHAMENTO="PLE",ORÇAMENTO!AC43="QUANT."),"►►",IF(AND(COUNTIF($P$11:$AI$11,"▼")=0,H43&gt;0,I43=""),"◄",""))))</f>
        <v/>
      </c>
      <c r="K43" s="624"/>
      <c r="L43" s="172" t="s">
        <v>253</v>
      </c>
      <c r="M43" s="173">
        <f ca="1">IF($D43&lt;&gt;"Serviço","",
          IF(AUTOEVENTO="manual",$A43,
                IF(ISERROR(MATCH($A43,$A$15:OFFSET($A43,-1,0),0)),MAX($M$15:OFFSET(M43,-1,0))+1,
                      INDEX($M$15:OFFSET(M43,-1,0),MATCH($A43,$A$15:OFFSET($A43,-1,0),0)))))</f>
        <v>5</v>
      </c>
      <c r="N43" s="174" t="str">
        <f ca="1">IF($D43&lt;&gt;"Serviço","",
         IF(AUTOEVENTO="Manual",
                IF($A43=0,"&lt;-- defina o número do agrupador",
                       OFFSET(EVENTOS!$D$15,$A43-$A$15,0)),
                OFFSET($F$15,$A43,0)))</f>
        <v>ESTRUTURA E FUNDAÇÕES - PROJETO E ORÇAMENTO TERCERIZADO - AZEVEDO ENGENHARIA (AZ ENG)</v>
      </c>
      <c r="O43" s="175"/>
      <c r="Q43" s="175"/>
      <c r="R43" s="176">
        <v>133.5</v>
      </c>
      <c r="S43" s="176"/>
      <c r="T43" s="176"/>
      <c r="U43" s="176"/>
      <c r="V43" s="176"/>
      <c r="W43" s="176"/>
      <c r="X43" s="176"/>
      <c r="Y43" s="176"/>
      <c r="Z43" s="177"/>
      <c r="AA43" s="176"/>
      <c r="AB43" s="176"/>
      <c r="AC43" s="176"/>
      <c r="AD43" s="176"/>
      <c r="AE43" s="176"/>
      <c r="AF43" s="176"/>
      <c r="AG43" s="176"/>
      <c r="AH43" s="177"/>
      <c r="AJ43" s="485">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85">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2928.99</v>
      </c>
      <c r="AL43" s="485">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0</v>
      </c>
      <c r="AM43" s="485">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0</v>
      </c>
      <c r="AN43" s="485">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85">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85">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85">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85">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85">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85">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85">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85">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85">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85">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85">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85">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85">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8">
        <f ca="1">IF(OR($D43&lt;&gt;"Serviço",AND(AUTOEVENTO="Manual",$M43=$A$15)),0,
         IF(OFFSET(CRONOPLE!$F$15,$M43-$A$15,BC$13)="",10^12,OFFSET(CRONOPLE!$F$15,$M43-$A$15,BC$13)))</f>
        <v>1</v>
      </c>
      <c r="BD43" s="178">
        <f ca="1">IF(OR($D43&lt;&gt;"Serviço",AND(AUTOEVENTO="Manual",$M43=$A$15)),0,
         IF(OFFSET(CRONOPLE!$F$15,$M43-$A$15,BD$13)="",10^12,OFFSET(CRONOPLE!$F$15,$M43-$A$15,BD$13)))</f>
        <v>2</v>
      </c>
      <c r="BE43" s="178">
        <f ca="1">IF(OR($D43&lt;&gt;"Serviço",AND(AUTOEVENTO="Manual",$M43=$A$15)),0,
         IF(OFFSET(CRONOPLE!$F$15,$M43-$A$15,BE$13)="",10^12,OFFSET(CRONOPLE!$F$15,$M43-$A$15,BE$13)))</f>
        <v>3</v>
      </c>
      <c r="BF43" s="178">
        <f ca="1">IF(OR($D43&lt;&gt;"Serviço",AND(AUTOEVENTO="Manual",$M43=$A$15)),0,
         IF(OFFSET(CRONOPLE!$F$15,$M43-$A$15,BF$13)="",10^12,OFFSET(CRONOPLE!$F$15,$M43-$A$15,BF$13)))</f>
        <v>4</v>
      </c>
      <c r="BG43" s="178">
        <f ca="1">IF(OR($D43&lt;&gt;"Serviço",AND(AUTOEVENTO="Manual",$M43=$A$15)),0,
         IF(OFFSET(CRONOPLE!$F$15,$M43-$A$15,BG$13)="",10^12,OFFSET(CRONOPLE!$F$15,$M43-$A$15,BG$13)))</f>
        <v>5</v>
      </c>
      <c r="BH43" s="178">
        <f ca="1">IF(OR($D43&lt;&gt;"Serviço",AND(AUTOEVENTO="Manual",$M43=$A$15)),0,
         IF(OFFSET(CRONOPLE!$F$15,$M43-$A$15,BH$13)="",10^12,OFFSET(CRONOPLE!$F$15,$M43-$A$15,BH$13)))</f>
        <v>6</v>
      </c>
      <c r="BI43" s="178">
        <f ca="1">IF(OR($D43&lt;&gt;"Serviço",AND(AUTOEVENTO="Manual",$M43=$A$15)),0,
         IF(OFFSET(CRONOPLE!$F$15,$M43-$A$15,BI$13)="",10^12,OFFSET(CRONOPLE!$F$15,$M43-$A$15,BI$13)))</f>
        <v>7</v>
      </c>
      <c r="BJ43" s="178">
        <f ca="1">IF(OR($D43&lt;&gt;"Serviço",AND(AUTOEVENTO="Manual",$M43=$A$15)),0,
         IF(OFFSET(CRONOPLE!$F$15,$M43-$A$15,BJ$13)="",10^12,OFFSET(CRONOPLE!$F$15,$M43-$A$15,BJ$13)))</f>
        <v>1000000000000</v>
      </c>
      <c r="BK43" s="178">
        <f ca="1">IF(OR($D43&lt;&gt;"Serviço",AND(AUTOEVENTO="Manual",$M43=$A$15)),0,
         IF(OFFSET(CRONOPLE!$F$15,$M43-$A$15,BK$13)="",10^12,OFFSET(CRONOPLE!$F$15,$M43-$A$15,BK$13)))</f>
        <v>1000000000000</v>
      </c>
      <c r="BL43" s="178">
        <f ca="1">IF(OR($D43&lt;&gt;"Serviço",AND(AUTOEVENTO="Manual",$M43=$A$15)),0,
         IF(OFFSET(CRONOPLE!$F$15,$M43-$A$15,BL$13)="",10^12,OFFSET(CRONOPLE!$F$15,$M43-$A$15,BL$13)))</f>
        <v>1000000000000</v>
      </c>
      <c r="BM43" s="178">
        <f ca="1">IF(OR($D43&lt;&gt;"Serviço",AND(AUTOEVENTO="Manual",$M43=$A$15)),0,
         IF(OFFSET(CRONOPLE!$F$15,$M43-$A$15,BM$13)="",10^12,OFFSET(CRONOPLE!$F$15,$M43-$A$15,BM$13)))</f>
        <v>1000000000000</v>
      </c>
      <c r="BN43" s="178">
        <f ca="1">IF(OR($D43&lt;&gt;"Serviço",AND(AUTOEVENTO="Manual",$M43=$A$15)),0,
         IF(OFFSET(CRONOPLE!$F$15,$M43-$A$15,BN$13)="",10^12,OFFSET(CRONOPLE!$F$15,$M43-$A$15,BN$13)))</f>
        <v>1000000000000</v>
      </c>
      <c r="BO43" s="178">
        <f ca="1">IF(OR($D43&lt;&gt;"Serviço",AND(AUTOEVENTO="Manual",$M43=$A$15)),0,
         IF(OFFSET(CRONOPLE!$F$15,$M43-$A$15,BO$13)="",10^12,OFFSET(CRONOPLE!$F$15,$M43-$A$15,BO$13)))</f>
        <v>1000000000000</v>
      </c>
      <c r="BP43" s="178">
        <f ca="1">IF(OR($D43&lt;&gt;"Serviço",AND(AUTOEVENTO="Manual",$M43=$A$15)),0,
         IF(OFFSET(CRONOPLE!$F$15,$M43-$A$15,BP$13)="",10^12,OFFSET(CRONOPLE!$F$15,$M43-$A$15,BP$13)))</f>
        <v>1000000000000</v>
      </c>
      <c r="BQ43" s="178">
        <f ca="1">IF(OR($D43&lt;&gt;"Serviço",AND(AUTOEVENTO="Manual",$M43=$A$15)),0,
         IF(OFFSET(CRONOPLE!$F$15,$M43-$A$15,BQ$13)="",10^12,OFFSET(CRONOPLE!$F$15,$M43-$A$15,BQ$13)))</f>
        <v>1000000000000</v>
      </c>
      <c r="BR43" s="178">
        <f ca="1">IF(OR($D43&lt;&gt;"Serviço",AND(AUTOEVENTO="Manual",$M43=$A$15)),0,
         IF(OFFSET(CRONOPLE!$F$15,$M43-$A$15,BR$13)="",10^12,OFFSET(CRONOPLE!$F$15,$M43-$A$15,BR$13)))</f>
        <v>1000000000000</v>
      </c>
      <c r="BS43" s="178">
        <f ca="1">IF(OR($D43&lt;&gt;"Serviço",AND(AUTOEVENTO="Manual",$M43=$A$15)),0,
         IF(OFFSET(CRONOPLE!$F$15,$M43-$A$15,BS$13)="",10^12,OFFSET(CRONOPLE!$F$15,$M43-$A$15,BS$13)))</f>
        <v>1000000000000</v>
      </c>
      <c r="BT43" s="178">
        <f ca="1">IF(OR($D43&lt;&gt;"Serviço",AND(AUTOEVENTO="Manual",$M43=$A$15)),0,
         IF(OFFSET(CRONOPLE!$F$15,$M43-$A$15,BT$13)="",10^12,OFFSET(CRONOPLE!$F$15,$M43-$A$15,BT$13)))</f>
        <v>1000000000000</v>
      </c>
      <c r="BV43" s="179">
        <f ca="1">IF(OR($D43&lt;&gt;"Serviço",AND(AUTOEVENTO="Manual",$M43=$A$15),$M43&gt;(ROW(PLE.lastrow)-ROW(PLE.firstrow))),0,
           IF(OFFSET(PLE!$G$15,$M43-$A$15,BV$13)="",10^12,OFFSET(PLE!$G$15,$M43-$A$15,BV$13)))</f>
        <v>1000000000000</v>
      </c>
      <c r="BW43" s="179">
        <f ca="1">IF(OR($D43&lt;&gt;"Serviço",AND(AUTOEVENTO="Manual",$M43=$A$15),$M43&gt;(ROW(PLE.lastrow)-ROW(PLE.firstrow))),0,
           IF(OFFSET(PLE!$G$15,$M43-$A$15,BW$13)="",10^12,OFFSET(PLE!$G$15,$M43-$A$15,BW$13)))</f>
        <v>1000000000000</v>
      </c>
      <c r="BX43" s="179">
        <f ca="1">IF(OR($D43&lt;&gt;"Serviço",AND(AUTOEVENTO="Manual",$M43=$A$15),$M43&gt;(ROW(PLE.lastrow)-ROW(PLE.firstrow))),0,
           IF(OFFSET(PLE!$G$15,$M43-$A$15,BX$13)="",10^12,OFFSET(PLE!$G$15,$M43-$A$15,BX$13)))</f>
        <v>1000000000000</v>
      </c>
      <c r="BY43" s="179">
        <f ca="1">IF(OR($D43&lt;&gt;"Serviço",AND(AUTOEVENTO="Manual",$M43=$A$15),$M43&gt;(ROW(PLE.lastrow)-ROW(PLE.firstrow))),0,
           IF(OFFSET(PLE!$G$15,$M43-$A$15,BY$13)="",10^12,OFFSET(PLE!$G$15,$M43-$A$15,BY$13)))</f>
        <v>1000000000000</v>
      </c>
      <c r="BZ43" s="179">
        <f ca="1">IF(OR($D43&lt;&gt;"Serviço",AND(AUTOEVENTO="Manual",$M43=$A$15),$M43&gt;(ROW(PLE.lastrow)-ROW(PLE.firstrow))),0,
           IF(OFFSET(PLE!$G$15,$M43-$A$15,BZ$13)="",10^12,OFFSET(PLE!$G$15,$M43-$A$15,BZ$13)))</f>
        <v>1000000000000</v>
      </c>
      <c r="CA43" s="179">
        <f ca="1">IF(OR($D43&lt;&gt;"Serviço",AND(AUTOEVENTO="Manual",$M43=$A$15),$M43&gt;(ROW(PLE.lastrow)-ROW(PLE.firstrow))),0,
           IF(OFFSET(PLE!$G$15,$M43-$A$15,CA$13)="",10^12,OFFSET(PLE!$G$15,$M43-$A$15,CA$13)))</f>
        <v>1000000000000</v>
      </c>
      <c r="CB43" s="179">
        <f ca="1">IF(OR($D43&lt;&gt;"Serviço",AND(AUTOEVENTO="Manual",$M43=$A$15),$M43&gt;(ROW(PLE.lastrow)-ROW(PLE.firstrow))),0,
           IF(OFFSET(PLE!$G$15,$M43-$A$15,CB$13)="",10^12,OFFSET(PLE!$G$15,$M43-$A$15,CB$13)))</f>
        <v>1000000000000</v>
      </c>
      <c r="CC43" s="179">
        <f ca="1">IF(OR($D43&lt;&gt;"Serviço",AND(AUTOEVENTO="Manual",$M43=$A$15),$M43&gt;(ROW(PLE.lastrow)-ROW(PLE.firstrow))),0,
           IF(OFFSET(PLE!$G$15,$M43-$A$15,CC$13)="",10^12,OFFSET(PLE!$G$15,$M43-$A$15,CC$13)))</f>
        <v>1000000000000</v>
      </c>
      <c r="CD43" s="179">
        <f ca="1">IF(OR($D43&lt;&gt;"Serviço",AND(AUTOEVENTO="Manual",$M43=$A$15),$M43&gt;(ROW(PLE.lastrow)-ROW(PLE.firstrow))),0,
           IF(OFFSET(PLE!$G$15,$M43-$A$15,CD$13)="",10^12,OFFSET(PLE!$G$15,$M43-$A$15,CD$13)))</f>
        <v>1000000000000</v>
      </c>
      <c r="CE43" s="179">
        <f ca="1">IF(OR($D43&lt;&gt;"Serviço",AND(AUTOEVENTO="Manual",$M43=$A$15),$M43&gt;(ROW(PLE.lastrow)-ROW(PLE.firstrow))),0,
           IF(OFFSET(PLE!$G$15,$M43-$A$15,CE$13)="",10^12,OFFSET(PLE!$G$15,$M43-$A$15,CE$13)))</f>
        <v>1000000000000</v>
      </c>
      <c r="CF43" s="179">
        <f ca="1">IF(OR($D43&lt;&gt;"Serviço",AND(AUTOEVENTO="Manual",$M43=$A$15),$M43&gt;(ROW(PLE.lastrow)-ROW(PLE.firstrow))),0,
           IF(OFFSET(PLE!$G$15,$M43-$A$15,CF$13)="",10^12,OFFSET(PLE!$G$15,$M43-$A$15,CF$13)))</f>
        <v>1000000000000</v>
      </c>
      <c r="CG43" s="179">
        <f ca="1">IF(OR($D43&lt;&gt;"Serviço",AND(AUTOEVENTO="Manual",$M43=$A$15),$M43&gt;(ROW(PLE.lastrow)-ROW(PLE.firstrow))),0,
           IF(OFFSET(PLE!$G$15,$M43-$A$15,CG$13)="",10^12,OFFSET(PLE!$G$15,$M43-$A$15,CG$13)))</f>
        <v>1000000000000</v>
      </c>
      <c r="CH43" s="179">
        <f ca="1">IF(OR($D43&lt;&gt;"Serviço",AND(AUTOEVENTO="Manual",$M43=$A$15),$M43&gt;(ROW(PLE.lastrow)-ROW(PLE.firstrow))),0,
           IF(OFFSET(PLE!$G$15,$M43-$A$15,CH$13)="",10^12,OFFSET(PLE!$G$15,$M43-$A$15,CH$13)))</f>
        <v>1000000000000</v>
      </c>
      <c r="CI43" s="179">
        <f ca="1">IF(OR($D43&lt;&gt;"Serviço",AND(AUTOEVENTO="Manual",$M43=$A$15),$M43&gt;(ROW(PLE.lastrow)-ROW(PLE.firstrow))),0,
           IF(OFFSET(PLE!$G$15,$M43-$A$15,CI$13)="",10^12,OFFSET(PLE!$G$15,$M43-$A$15,CI$13)))</f>
        <v>1000000000000</v>
      </c>
      <c r="CJ43" s="179">
        <f ca="1">IF(OR($D43&lt;&gt;"Serviço",AND(AUTOEVENTO="Manual",$M43=$A$15),$M43&gt;(ROW(PLE.lastrow)-ROW(PLE.firstrow))),0,
           IF(OFFSET(PLE!$G$15,$M43-$A$15,CJ$13)="",10^12,OFFSET(PLE!$G$15,$M43-$A$15,CJ$13)))</f>
        <v>1000000000000</v>
      </c>
      <c r="CK43" s="179">
        <f ca="1">IF(OR($D43&lt;&gt;"Serviço",AND(AUTOEVENTO="Manual",$M43=$A$15),$M43&gt;(ROW(PLE.lastrow)-ROW(PLE.firstrow))),0,
           IF(OFFSET(PLE!$G$15,$M43-$A$15,CK$13)="",10^12,OFFSET(PLE!$G$15,$M43-$A$15,CK$13)))</f>
        <v>1000000000000</v>
      </c>
      <c r="CL43" s="179">
        <f ca="1">IF(OR($D43&lt;&gt;"Serviço",AND(AUTOEVENTO="Manual",$M43=$A$15),$M43&gt;(ROW(PLE.lastrow)-ROW(PLE.firstrow))),0,
           IF(OFFSET(PLE!$G$15,$M43-$A$15,CL$13)="",10^12,OFFSET(PLE!$G$15,$M43-$A$15,CL$13)))</f>
        <v>1000000000000</v>
      </c>
      <c r="CM43" s="179">
        <f ca="1">IF(OR($D43&lt;&gt;"Serviço",AND(AUTOEVENTO="Manual",$M43=$A$15),$M43&gt;(ROW(PLE.lastrow)-ROW(PLE.firstrow))),0,
           IF(OFFSET(PLE!$G$15,$M43-$A$15,CM$13)="",10^12,OFFSET(PLE!$G$15,$M43-$A$15,CM$13)))</f>
        <v>1000000000000</v>
      </c>
    </row>
    <row r="44" spans="1:91" ht="51" x14ac:dyDescent="0.2">
      <c r="A44" s="7" t="str">
        <f ca="1">IF(AUTOEVENTO="Manual",IF(K44&lt;&gt;"",MIN(VALUE(LEFT(K44,FIND(".",K44)-1)),COUNTA(EVENTOS.Lista)),0),IF(OR($B44&gt;AUTOEVENTO,$B44="S",$B44=0),SUBSTITUTE(OFFSET($A44,-1,0),IF($D44="Serviço",".",""),""),ROW(A44)-ROW($A$15)&amp;"."))</f>
        <v>19</v>
      </c>
      <c r="B44" s="7" t="str">
        <f ca="1">OFFSET(ORÇAMENTO!C$15,ROW(B44)-ROW(B$15),0)</f>
        <v>S</v>
      </c>
      <c r="C44" s="7" t="str">
        <f ca="1">OFFSET(ORÇAMENTO!L$15,ROW(C44)-ROW(C$15),0)</f>
        <v>F</v>
      </c>
      <c r="D44" s="118" t="str">
        <f ca="1">OFFSET(ORÇAMENTO!N$15,ROW(D44)-ROW(D$15),0)</f>
        <v>Serviço</v>
      </c>
      <c r="E44" s="119" t="str">
        <f ca="1">OFFSET(ORÇAMENTO!O$15,ROW(E44)-ROW(E$15),0)</f>
        <v>1.5.2.2.3.</v>
      </c>
      <c r="F44" s="170" t="str">
        <f ca="1">OFFSET(ORÇAMENTO!R$15,ROW(F44)-ROW(F$15),0)</f>
        <v>ARMAÇÃO DE SAPATA ISOLADA, VIGA BALDRAME E SAPATA CORRIDA UTILIZANDO AÇO CA-50 DE 8 MM - MONTAGEM. AF_01/2024</v>
      </c>
      <c r="G44" s="171" t="str">
        <f ca="1">IF($D44&lt;&gt;"Serviço","",OFFSET(ORÇAMENTO!S$15,ROW(G44)-ROW(G$15),0))</f>
        <v>KG</v>
      </c>
      <c r="H44" s="124" cm="1">
        <f t="array" aca="1" ref="H44" ca="1">IF($D44&lt;&gt;"Serviço",0,IF(_xlfn.SINGLE(ACOMPANHAMENTO)="BM",ROUND(OFFSET(ORÇAMENTO!AJ$15,ROW(H44)-ROW(H$15),0),15-13*ORÇAMENTO!$AF$7),SUMPRODUCT(($Q$1:$AI$1)*ROUND($Q44:$AI44,15-13*ORÇAMENTO!$AF$7))))</f>
        <v>240.1</v>
      </c>
      <c r="I44" s="500" t="s">
        <v>1055</v>
      </c>
      <c r="J44" s="632" t="str" cm="1">
        <f t="array" aca="1" ref="J44" ca="1">IF(B44&lt;&gt;"S","",IF(AND(ACOMPANHAMENTO="PLE",AUTOEVENTO="Manual",OR(H44&gt;0,ORÇAMENTO!AC44="QUANT."),OR(K44="",M44=0,N44="")),"►",IF(AND(ACOMPANHAMENTO="PLE",ORÇAMENTO!AC44="QUANT."),"►►",IF(AND(COUNTIF($P$11:$AI$11,"▼")=0,H44&gt;0,I44=""),"◄",""))))</f>
        <v/>
      </c>
      <c r="K44" s="624"/>
      <c r="L44" s="172" t="s">
        <v>253</v>
      </c>
      <c r="M44" s="173">
        <f ca="1">IF($D44&lt;&gt;"Serviço","",
          IF(AUTOEVENTO="manual",$A44,
                IF(ISERROR(MATCH($A44,$A$15:OFFSET($A44,-1,0),0)),MAX($M$15:OFFSET(M44,-1,0))+1,
                      INDEX($M$15:OFFSET(M44,-1,0),MATCH($A44,$A$15:OFFSET($A44,-1,0),0)))))</f>
        <v>5</v>
      </c>
      <c r="N44" s="174" t="str">
        <f ca="1">IF($D44&lt;&gt;"Serviço","",
         IF(AUTOEVENTO="Manual",
                IF($A44=0,"&lt;-- defina o número do agrupador",
                       OFFSET(EVENTOS!$D$15,$A44-$A$15,0)),
                OFFSET($F$15,$A44,0)))</f>
        <v>ESTRUTURA E FUNDAÇÕES - PROJETO E ORÇAMENTO TERCERIZADO - AZEVEDO ENGENHARIA (AZ ENG)</v>
      </c>
      <c r="O44" s="175"/>
      <c r="Q44" s="175"/>
      <c r="R44" s="176">
        <v>240.1</v>
      </c>
      <c r="S44" s="176"/>
      <c r="T44" s="176"/>
      <c r="U44" s="176"/>
      <c r="V44" s="176"/>
      <c r="W44" s="176"/>
      <c r="X44" s="176"/>
      <c r="Y44" s="176"/>
      <c r="Z44" s="177"/>
      <c r="AA44" s="176"/>
      <c r="AB44" s="176"/>
      <c r="AC44" s="176"/>
      <c r="AD44" s="176"/>
      <c r="AE44" s="176"/>
      <c r="AF44" s="176"/>
      <c r="AG44" s="176"/>
      <c r="AH44" s="177"/>
      <c r="AJ44" s="485">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85">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4290.59</v>
      </c>
      <c r="AL44" s="485">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0</v>
      </c>
      <c r="AM44" s="485">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0</v>
      </c>
      <c r="AN44" s="485">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85">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85">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85">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85">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85">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85">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85">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85">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85">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85">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85">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85">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85">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8">
        <f ca="1">IF(OR($D44&lt;&gt;"Serviço",AND(AUTOEVENTO="Manual",$M44=$A$15)),0,
         IF(OFFSET(CRONOPLE!$F$15,$M44-$A$15,BC$13)="",10^12,OFFSET(CRONOPLE!$F$15,$M44-$A$15,BC$13)))</f>
        <v>1</v>
      </c>
      <c r="BD44" s="178">
        <f ca="1">IF(OR($D44&lt;&gt;"Serviço",AND(AUTOEVENTO="Manual",$M44=$A$15)),0,
         IF(OFFSET(CRONOPLE!$F$15,$M44-$A$15,BD$13)="",10^12,OFFSET(CRONOPLE!$F$15,$M44-$A$15,BD$13)))</f>
        <v>2</v>
      </c>
      <c r="BE44" s="178">
        <f ca="1">IF(OR($D44&lt;&gt;"Serviço",AND(AUTOEVENTO="Manual",$M44=$A$15)),0,
         IF(OFFSET(CRONOPLE!$F$15,$M44-$A$15,BE$13)="",10^12,OFFSET(CRONOPLE!$F$15,$M44-$A$15,BE$13)))</f>
        <v>3</v>
      </c>
      <c r="BF44" s="178">
        <f ca="1">IF(OR($D44&lt;&gt;"Serviço",AND(AUTOEVENTO="Manual",$M44=$A$15)),0,
         IF(OFFSET(CRONOPLE!$F$15,$M44-$A$15,BF$13)="",10^12,OFFSET(CRONOPLE!$F$15,$M44-$A$15,BF$13)))</f>
        <v>4</v>
      </c>
      <c r="BG44" s="178">
        <f ca="1">IF(OR($D44&lt;&gt;"Serviço",AND(AUTOEVENTO="Manual",$M44=$A$15)),0,
         IF(OFFSET(CRONOPLE!$F$15,$M44-$A$15,BG$13)="",10^12,OFFSET(CRONOPLE!$F$15,$M44-$A$15,BG$13)))</f>
        <v>5</v>
      </c>
      <c r="BH44" s="178">
        <f ca="1">IF(OR($D44&lt;&gt;"Serviço",AND(AUTOEVENTO="Manual",$M44=$A$15)),0,
         IF(OFFSET(CRONOPLE!$F$15,$M44-$A$15,BH$13)="",10^12,OFFSET(CRONOPLE!$F$15,$M44-$A$15,BH$13)))</f>
        <v>6</v>
      </c>
      <c r="BI44" s="178">
        <f ca="1">IF(OR($D44&lt;&gt;"Serviço",AND(AUTOEVENTO="Manual",$M44=$A$15)),0,
         IF(OFFSET(CRONOPLE!$F$15,$M44-$A$15,BI$13)="",10^12,OFFSET(CRONOPLE!$F$15,$M44-$A$15,BI$13)))</f>
        <v>7</v>
      </c>
      <c r="BJ44" s="178">
        <f ca="1">IF(OR($D44&lt;&gt;"Serviço",AND(AUTOEVENTO="Manual",$M44=$A$15)),0,
         IF(OFFSET(CRONOPLE!$F$15,$M44-$A$15,BJ$13)="",10^12,OFFSET(CRONOPLE!$F$15,$M44-$A$15,BJ$13)))</f>
        <v>1000000000000</v>
      </c>
      <c r="BK44" s="178">
        <f ca="1">IF(OR($D44&lt;&gt;"Serviço",AND(AUTOEVENTO="Manual",$M44=$A$15)),0,
         IF(OFFSET(CRONOPLE!$F$15,$M44-$A$15,BK$13)="",10^12,OFFSET(CRONOPLE!$F$15,$M44-$A$15,BK$13)))</f>
        <v>1000000000000</v>
      </c>
      <c r="BL44" s="178">
        <f ca="1">IF(OR($D44&lt;&gt;"Serviço",AND(AUTOEVENTO="Manual",$M44=$A$15)),0,
         IF(OFFSET(CRONOPLE!$F$15,$M44-$A$15,BL$13)="",10^12,OFFSET(CRONOPLE!$F$15,$M44-$A$15,BL$13)))</f>
        <v>1000000000000</v>
      </c>
      <c r="BM44" s="178">
        <f ca="1">IF(OR($D44&lt;&gt;"Serviço",AND(AUTOEVENTO="Manual",$M44=$A$15)),0,
         IF(OFFSET(CRONOPLE!$F$15,$M44-$A$15,BM$13)="",10^12,OFFSET(CRONOPLE!$F$15,$M44-$A$15,BM$13)))</f>
        <v>1000000000000</v>
      </c>
      <c r="BN44" s="178">
        <f ca="1">IF(OR($D44&lt;&gt;"Serviço",AND(AUTOEVENTO="Manual",$M44=$A$15)),0,
         IF(OFFSET(CRONOPLE!$F$15,$M44-$A$15,BN$13)="",10^12,OFFSET(CRONOPLE!$F$15,$M44-$A$15,BN$13)))</f>
        <v>1000000000000</v>
      </c>
      <c r="BO44" s="178">
        <f ca="1">IF(OR($D44&lt;&gt;"Serviço",AND(AUTOEVENTO="Manual",$M44=$A$15)),0,
         IF(OFFSET(CRONOPLE!$F$15,$M44-$A$15,BO$13)="",10^12,OFFSET(CRONOPLE!$F$15,$M44-$A$15,BO$13)))</f>
        <v>1000000000000</v>
      </c>
      <c r="BP44" s="178">
        <f ca="1">IF(OR($D44&lt;&gt;"Serviço",AND(AUTOEVENTO="Manual",$M44=$A$15)),0,
         IF(OFFSET(CRONOPLE!$F$15,$M44-$A$15,BP$13)="",10^12,OFFSET(CRONOPLE!$F$15,$M44-$A$15,BP$13)))</f>
        <v>1000000000000</v>
      </c>
      <c r="BQ44" s="178">
        <f ca="1">IF(OR($D44&lt;&gt;"Serviço",AND(AUTOEVENTO="Manual",$M44=$A$15)),0,
         IF(OFFSET(CRONOPLE!$F$15,$M44-$A$15,BQ$13)="",10^12,OFFSET(CRONOPLE!$F$15,$M44-$A$15,BQ$13)))</f>
        <v>1000000000000</v>
      </c>
      <c r="BR44" s="178">
        <f ca="1">IF(OR($D44&lt;&gt;"Serviço",AND(AUTOEVENTO="Manual",$M44=$A$15)),0,
         IF(OFFSET(CRONOPLE!$F$15,$M44-$A$15,BR$13)="",10^12,OFFSET(CRONOPLE!$F$15,$M44-$A$15,BR$13)))</f>
        <v>1000000000000</v>
      </c>
      <c r="BS44" s="178">
        <f ca="1">IF(OR($D44&lt;&gt;"Serviço",AND(AUTOEVENTO="Manual",$M44=$A$15)),0,
         IF(OFFSET(CRONOPLE!$F$15,$M44-$A$15,BS$13)="",10^12,OFFSET(CRONOPLE!$F$15,$M44-$A$15,BS$13)))</f>
        <v>1000000000000</v>
      </c>
      <c r="BT44" s="178">
        <f ca="1">IF(OR($D44&lt;&gt;"Serviço",AND(AUTOEVENTO="Manual",$M44=$A$15)),0,
         IF(OFFSET(CRONOPLE!$F$15,$M44-$A$15,BT$13)="",10^12,OFFSET(CRONOPLE!$F$15,$M44-$A$15,BT$13)))</f>
        <v>1000000000000</v>
      </c>
      <c r="BV44" s="179">
        <f ca="1">IF(OR($D44&lt;&gt;"Serviço",AND(AUTOEVENTO="Manual",$M44=$A$15),$M44&gt;(ROW(PLE.lastrow)-ROW(PLE.firstrow))),0,
           IF(OFFSET(PLE!$G$15,$M44-$A$15,BV$13)="",10^12,OFFSET(PLE!$G$15,$M44-$A$15,BV$13)))</f>
        <v>1000000000000</v>
      </c>
      <c r="BW44" s="179">
        <f ca="1">IF(OR($D44&lt;&gt;"Serviço",AND(AUTOEVENTO="Manual",$M44=$A$15),$M44&gt;(ROW(PLE.lastrow)-ROW(PLE.firstrow))),0,
           IF(OFFSET(PLE!$G$15,$M44-$A$15,BW$13)="",10^12,OFFSET(PLE!$G$15,$M44-$A$15,BW$13)))</f>
        <v>1000000000000</v>
      </c>
      <c r="BX44" s="179">
        <f ca="1">IF(OR($D44&lt;&gt;"Serviço",AND(AUTOEVENTO="Manual",$M44=$A$15),$M44&gt;(ROW(PLE.lastrow)-ROW(PLE.firstrow))),0,
           IF(OFFSET(PLE!$G$15,$M44-$A$15,BX$13)="",10^12,OFFSET(PLE!$G$15,$M44-$A$15,BX$13)))</f>
        <v>1000000000000</v>
      </c>
      <c r="BY44" s="179">
        <f ca="1">IF(OR($D44&lt;&gt;"Serviço",AND(AUTOEVENTO="Manual",$M44=$A$15),$M44&gt;(ROW(PLE.lastrow)-ROW(PLE.firstrow))),0,
           IF(OFFSET(PLE!$G$15,$M44-$A$15,BY$13)="",10^12,OFFSET(PLE!$G$15,$M44-$A$15,BY$13)))</f>
        <v>1000000000000</v>
      </c>
      <c r="BZ44" s="179">
        <f ca="1">IF(OR($D44&lt;&gt;"Serviço",AND(AUTOEVENTO="Manual",$M44=$A$15),$M44&gt;(ROW(PLE.lastrow)-ROW(PLE.firstrow))),0,
           IF(OFFSET(PLE!$G$15,$M44-$A$15,BZ$13)="",10^12,OFFSET(PLE!$G$15,$M44-$A$15,BZ$13)))</f>
        <v>1000000000000</v>
      </c>
      <c r="CA44" s="179">
        <f ca="1">IF(OR($D44&lt;&gt;"Serviço",AND(AUTOEVENTO="Manual",$M44=$A$15),$M44&gt;(ROW(PLE.lastrow)-ROW(PLE.firstrow))),0,
           IF(OFFSET(PLE!$G$15,$M44-$A$15,CA$13)="",10^12,OFFSET(PLE!$G$15,$M44-$A$15,CA$13)))</f>
        <v>1000000000000</v>
      </c>
      <c r="CB44" s="179">
        <f ca="1">IF(OR($D44&lt;&gt;"Serviço",AND(AUTOEVENTO="Manual",$M44=$A$15),$M44&gt;(ROW(PLE.lastrow)-ROW(PLE.firstrow))),0,
           IF(OFFSET(PLE!$G$15,$M44-$A$15,CB$13)="",10^12,OFFSET(PLE!$G$15,$M44-$A$15,CB$13)))</f>
        <v>1000000000000</v>
      </c>
      <c r="CC44" s="179">
        <f ca="1">IF(OR($D44&lt;&gt;"Serviço",AND(AUTOEVENTO="Manual",$M44=$A$15),$M44&gt;(ROW(PLE.lastrow)-ROW(PLE.firstrow))),0,
           IF(OFFSET(PLE!$G$15,$M44-$A$15,CC$13)="",10^12,OFFSET(PLE!$G$15,$M44-$A$15,CC$13)))</f>
        <v>1000000000000</v>
      </c>
      <c r="CD44" s="179">
        <f ca="1">IF(OR($D44&lt;&gt;"Serviço",AND(AUTOEVENTO="Manual",$M44=$A$15),$M44&gt;(ROW(PLE.lastrow)-ROW(PLE.firstrow))),0,
           IF(OFFSET(PLE!$G$15,$M44-$A$15,CD$13)="",10^12,OFFSET(PLE!$G$15,$M44-$A$15,CD$13)))</f>
        <v>1000000000000</v>
      </c>
      <c r="CE44" s="179">
        <f ca="1">IF(OR($D44&lt;&gt;"Serviço",AND(AUTOEVENTO="Manual",$M44=$A$15),$M44&gt;(ROW(PLE.lastrow)-ROW(PLE.firstrow))),0,
           IF(OFFSET(PLE!$G$15,$M44-$A$15,CE$13)="",10^12,OFFSET(PLE!$G$15,$M44-$A$15,CE$13)))</f>
        <v>1000000000000</v>
      </c>
      <c r="CF44" s="179">
        <f ca="1">IF(OR($D44&lt;&gt;"Serviço",AND(AUTOEVENTO="Manual",$M44=$A$15),$M44&gt;(ROW(PLE.lastrow)-ROW(PLE.firstrow))),0,
           IF(OFFSET(PLE!$G$15,$M44-$A$15,CF$13)="",10^12,OFFSET(PLE!$G$15,$M44-$A$15,CF$13)))</f>
        <v>1000000000000</v>
      </c>
      <c r="CG44" s="179">
        <f ca="1">IF(OR($D44&lt;&gt;"Serviço",AND(AUTOEVENTO="Manual",$M44=$A$15),$M44&gt;(ROW(PLE.lastrow)-ROW(PLE.firstrow))),0,
           IF(OFFSET(PLE!$G$15,$M44-$A$15,CG$13)="",10^12,OFFSET(PLE!$G$15,$M44-$A$15,CG$13)))</f>
        <v>1000000000000</v>
      </c>
      <c r="CH44" s="179">
        <f ca="1">IF(OR($D44&lt;&gt;"Serviço",AND(AUTOEVENTO="Manual",$M44=$A$15),$M44&gt;(ROW(PLE.lastrow)-ROW(PLE.firstrow))),0,
           IF(OFFSET(PLE!$G$15,$M44-$A$15,CH$13)="",10^12,OFFSET(PLE!$G$15,$M44-$A$15,CH$13)))</f>
        <v>1000000000000</v>
      </c>
      <c r="CI44" s="179">
        <f ca="1">IF(OR($D44&lt;&gt;"Serviço",AND(AUTOEVENTO="Manual",$M44=$A$15),$M44&gt;(ROW(PLE.lastrow)-ROW(PLE.firstrow))),0,
           IF(OFFSET(PLE!$G$15,$M44-$A$15,CI$13)="",10^12,OFFSET(PLE!$G$15,$M44-$A$15,CI$13)))</f>
        <v>1000000000000</v>
      </c>
      <c r="CJ44" s="179">
        <f ca="1">IF(OR($D44&lt;&gt;"Serviço",AND(AUTOEVENTO="Manual",$M44=$A$15),$M44&gt;(ROW(PLE.lastrow)-ROW(PLE.firstrow))),0,
           IF(OFFSET(PLE!$G$15,$M44-$A$15,CJ$13)="",10^12,OFFSET(PLE!$G$15,$M44-$A$15,CJ$13)))</f>
        <v>1000000000000</v>
      </c>
      <c r="CK44" s="179">
        <f ca="1">IF(OR($D44&lt;&gt;"Serviço",AND(AUTOEVENTO="Manual",$M44=$A$15),$M44&gt;(ROW(PLE.lastrow)-ROW(PLE.firstrow))),0,
           IF(OFFSET(PLE!$G$15,$M44-$A$15,CK$13)="",10^12,OFFSET(PLE!$G$15,$M44-$A$15,CK$13)))</f>
        <v>1000000000000</v>
      </c>
      <c r="CL44" s="179">
        <f ca="1">IF(OR($D44&lt;&gt;"Serviço",AND(AUTOEVENTO="Manual",$M44=$A$15),$M44&gt;(ROW(PLE.lastrow)-ROW(PLE.firstrow))),0,
           IF(OFFSET(PLE!$G$15,$M44-$A$15,CL$13)="",10^12,OFFSET(PLE!$G$15,$M44-$A$15,CL$13)))</f>
        <v>1000000000000</v>
      </c>
      <c r="CM44" s="179">
        <f ca="1">IF(OR($D44&lt;&gt;"Serviço",AND(AUTOEVENTO="Manual",$M44=$A$15),$M44&gt;(ROW(PLE.lastrow)-ROW(PLE.firstrow))),0,
           IF(OFFSET(PLE!$G$15,$M44-$A$15,CM$13)="",10^12,OFFSET(PLE!$G$15,$M44-$A$15,CM$13)))</f>
        <v>1000000000000</v>
      </c>
    </row>
    <row r="45" spans="1:91" ht="51" x14ac:dyDescent="0.2">
      <c r="A45" s="7" t="str">
        <f ca="1">IF(AUTOEVENTO="Manual",IF(K45&lt;&gt;"",MIN(VALUE(LEFT(K45,FIND(".",K45)-1)),COUNTA(EVENTOS.Lista)),0),IF(OR($B45&gt;AUTOEVENTO,$B45="S",$B45=0),SUBSTITUTE(OFFSET($A45,-1,0),IF($D45="Serviço",".",""),""),ROW(A45)-ROW($A$15)&amp;"."))</f>
        <v>19</v>
      </c>
      <c r="B45" s="7" t="str">
        <f ca="1">OFFSET(ORÇAMENTO!C$15,ROW(B45)-ROW(B$15),0)</f>
        <v>S</v>
      </c>
      <c r="C45" s="7" t="str">
        <f ca="1">OFFSET(ORÇAMENTO!L$15,ROW(C45)-ROW(C$15),0)</f>
        <v>F</v>
      </c>
      <c r="D45" s="118" t="str">
        <f ca="1">OFFSET(ORÇAMENTO!N$15,ROW(D45)-ROW(D$15),0)</f>
        <v>Serviço</v>
      </c>
      <c r="E45" s="119" t="str">
        <f ca="1">OFFSET(ORÇAMENTO!O$15,ROW(E45)-ROW(E$15),0)</f>
        <v>1.5.2.2.4.</v>
      </c>
      <c r="F45" s="170" t="str">
        <f ca="1">OFFSET(ORÇAMENTO!R$15,ROW(F45)-ROW(F$15),0)</f>
        <v>ARMAÇÃO DE SAPATA ISOLADA, VIGA BALDRAME E SAPATA CORRIDA UTILIZANDO AÇO CA-50 DE 10 MM - MONTAGEM. AF_01/2024</v>
      </c>
      <c r="G45" s="171" t="str">
        <f ca="1">IF($D45&lt;&gt;"Serviço","",OFFSET(ORÇAMENTO!S$15,ROW(G45)-ROW(G$15),0))</f>
        <v>KG</v>
      </c>
      <c r="H45" s="124" cm="1">
        <f t="array" aca="1" ref="H45" ca="1">IF($D45&lt;&gt;"Serviço",0,IF(_xlfn.SINGLE(ACOMPANHAMENTO)="BM",ROUND(OFFSET(ORÇAMENTO!AJ$15,ROW(H45)-ROW(H$15),0),15-13*ORÇAMENTO!$AF$7),SUMPRODUCT(($Q$1:$AI$1)*ROUND($Q45:$AI45,15-13*ORÇAMENTO!$AF$7))))</f>
        <v>262.39999999999998</v>
      </c>
      <c r="I45" s="500" t="s">
        <v>1055</v>
      </c>
      <c r="J45" s="632" t="str" cm="1">
        <f t="array" aca="1" ref="J45" ca="1">IF(B45&lt;&gt;"S","",IF(AND(ACOMPANHAMENTO="PLE",AUTOEVENTO="Manual",OR(H45&gt;0,ORÇAMENTO!AC45="QUANT."),OR(K45="",M45=0,N45="")),"►",IF(AND(ACOMPANHAMENTO="PLE",ORÇAMENTO!AC45="QUANT."),"►►",IF(AND(COUNTIF($P$11:$AI$11,"▼")=0,H45&gt;0,I45=""),"◄",""))))</f>
        <v/>
      </c>
      <c r="K45" s="624"/>
      <c r="L45" s="172" t="s">
        <v>253</v>
      </c>
      <c r="M45" s="173">
        <f ca="1">IF($D45&lt;&gt;"Serviço","",
          IF(AUTOEVENTO="manual",$A45,
                IF(ISERROR(MATCH($A45,$A$15:OFFSET($A45,-1,0),0)),MAX($M$15:OFFSET(M45,-1,0))+1,
                      INDEX($M$15:OFFSET(M45,-1,0),MATCH($A45,$A$15:OFFSET($A45,-1,0),0)))))</f>
        <v>5</v>
      </c>
      <c r="N45" s="174" t="str">
        <f ca="1">IF($D45&lt;&gt;"Serviço","",
         IF(AUTOEVENTO="Manual",
                IF($A45=0,"&lt;-- defina o número do agrupador",
                       OFFSET(EVENTOS!$D$15,$A45-$A$15,0)),
                OFFSET($F$15,$A45,0)))</f>
        <v>ESTRUTURA E FUNDAÇÕES - PROJETO E ORÇAMENTO TERCERIZADO - AZEVEDO ENGENHARIA (AZ ENG)</v>
      </c>
      <c r="O45" s="175"/>
      <c r="Q45" s="175"/>
      <c r="R45" s="176">
        <v>262.39999999999998</v>
      </c>
      <c r="S45" s="176"/>
      <c r="T45" s="176"/>
      <c r="U45" s="176"/>
      <c r="V45" s="176"/>
      <c r="W45" s="176"/>
      <c r="X45" s="176"/>
      <c r="Y45" s="176"/>
      <c r="Z45" s="177"/>
      <c r="AA45" s="176"/>
      <c r="AB45" s="176"/>
      <c r="AC45" s="176"/>
      <c r="AD45" s="176"/>
      <c r="AE45" s="176"/>
      <c r="AF45" s="176"/>
      <c r="AG45" s="176"/>
      <c r="AH45" s="177"/>
      <c r="AJ45" s="485">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85">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4130.18</v>
      </c>
      <c r="AL45" s="485">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0</v>
      </c>
      <c r="AM45" s="485">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0</v>
      </c>
      <c r="AN45" s="485">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85">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85">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85">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85">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85">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85">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85">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85">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85">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85">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85">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85">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85">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8">
        <f ca="1">IF(OR($D45&lt;&gt;"Serviço",AND(AUTOEVENTO="Manual",$M45=$A$15)),0,
         IF(OFFSET(CRONOPLE!$F$15,$M45-$A$15,BC$13)="",10^12,OFFSET(CRONOPLE!$F$15,$M45-$A$15,BC$13)))</f>
        <v>1</v>
      </c>
      <c r="BD45" s="178">
        <f ca="1">IF(OR($D45&lt;&gt;"Serviço",AND(AUTOEVENTO="Manual",$M45=$A$15)),0,
         IF(OFFSET(CRONOPLE!$F$15,$M45-$A$15,BD$13)="",10^12,OFFSET(CRONOPLE!$F$15,$M45-$A$15,BD$13)))</f>
        <v>2</v>
      </c>
      <c r="BE45" s="178">
        <f ca="1">IF(OR($D45&lt;&gt;"Serviço",AND(AUTOEVENTO="Manual",$M45=$A$15)),0,
         IF(OFFSET(CRONOPLE!$F$15,$M45-$A$15,BE$13)="",10^12,OFFSET(CRONOPLE!$F$15,$M45-$A$15,BE$13)))</f>
        <v>3</v>
      </c>
      <c r="BF45" s="178">
        <f ca="1">IF(OR($D45&lt;&gt;"Serviço",AND(AUTOEVENTO="Manual",$M45=$A$15)),0,
         IF(OFFSET(CRONOPLE!$F$15,$M45-$A$15,BF$13)="",10^12,OFFSET(CRONOPLE!$F$15,$M45-$A$15,BF$13)))</f>
        <v>4</v>
      </c>
      <c r="BG45" s="178">
        <f ca="1">IF(OR($D45&lt;&gt;"Serviço",AND(AUTOEVENTO="Manual",$M45=$A$15)),0,
         IF(OFFSET(CRONOPLE!$F$15,$M45-$A$15,BG$13)="",10^12,OFFSET(CRONOPLE!$F$15,$M45-$A$15,BG$13)))</f>
        <v>5</v>
      </c>
      <c r="BH45" s="178">
        <f ca="1">IF(OR($D45&lt;&gt;"Serviço",AND(AUTOEVENTO="Manual",$M45=$A$15)),0,
         IF(OFFSET(CRONOPLE!$F$15,$M45-$A$15,BH$13)="",10^12,OFFSET(CRONOPLE!$F$15,$M45-$A$15,BH$13)))</f>
        <v>6</v>
      </c>
      <c r="BI45" s="178">
        <f ca="1">IF(OR($D45&lt;&gt;"Serviço",AND(AUTOEVENTO="Manual",$M45=$A$15)),0,
         IF(OFFSET(CRONOPLE!$F$15,$M45-$A$15,BI$13)="",10^12,OFFSET(CRONOPLE!$F$15,$M45-$A$15,BI$13)))</f>
        <v>7</v>
      </c>
      <c r="BJ45" s="178">
        <f ca="1">IF(OR($D45&lt;&gt;"Serviço",AND(AUTOEVENTO="Manual",$M45=$A$15)),0,
         IF(OFFSET(CRONOPLE!$F$15,$M45-$A$15,BJ$13)="",10^12,OFFSET(CRONOPLE!$F$15,$M45-$A$15,BJ$13)))</f>
        <v>1000000000000</v>
      </c>
      <c r="BK45" s="178">
        <f ca="1">IF(OR($D45&lt;&gt;"Serviço",AND(AUTOEVENTO="Manual",$M45=$A$15)),0,
         IF(OFFSET(CRONOPLE!$F$15,$M45-$A$15,BK$13)="",10^12,OFFSET(CRONOPLE!$F$15,$M45-$A$15,BK$13)))</f>
        <v>1000000000000</v>
      </c>
      <c r="BL45" s="178">
        <f ca="1">IF(OR($D45&lt;&gt;"Serviço",AND(AUTOEVENTO="Manual",$M45=$A$15)),0,
         IF(OFFSET(CRONOPLE!$F$15,$M45-$A$15,BL$13)="",10^12,OFFSET(CRONOPLE!$F$15,$M45-$A$15,BL$13)))</f>
        <v>1000000000000</v>
      </c>
      <c r="BM45" s="178">
        <f ca="1">IF(OR($D45&lt;&gt;"Serviço",AND(AUTOEVENTO="Manual",$M45=$A$15)),0,
         IF(OFFSET(CRONOPLE!$F$15,$M45-$A$15,BM$13)="",10^12,OFFSET(CRONOPLE!$F$15,$M45-$A$15,BM$13)))</f>
        <v>1000000000000</v>
      </c>
      <c r="BN45" s="178">
        <f ca="1">IF(OR($D45&lt;&gt;"Serviço",AND(AUTOEVENTO="Manual",$M45=$A$15)),0,
         IF(OFFSET(CRONOPLE!$F$15,$M45-$A$15,BN$13)="",10^12,OFFSET(CRONOPLE!$F$15,$M45-$A$15,BN$13)))</f>
        <v>1000000000000</v>
      </c>
      <c r="BO45" s="178">
        <f ca="1">IF(OR($D45&lt;&gt;"Serviço",AND(AUTOEVENTO="Manual",$M45=$A$15)),0,
         IF(OFFSET(CRONOPLE!$F$15,$M45-$A$15,BO$13)="",10^12,OFFSET(CRONOPLE!$F$15,$M45-$A$15,BO$13)))</f>
        <v>1000000000000</v>
      </c>
      <c r="BP45" s="178">
        <f ca="1">IF(OR($D45&lt;&gt;"Serviço",AND(AUTOEVENTO="Manual",$M45=$A$15)),0,
         IF(OFFSET(CRONOPLE!$F$15,$M45-$A$15,BP$13)="",10^12,OFFSET(CRONOPLE!$F$15,$M45-$A$15,BP$13)))</f>
        <v>1000000000000</v>
      </c>
      <c r="BQ45" s="178">
        <f ca="1">IF(OR($D45&lt;&gt;"Serviço",AND(AUTOEVENTO="Manual",$M45=$A$15)),0,
         IF(OFFSET(CRONOPLE!$F$15,$M45-$A$15,BQ$13)="",10^12,OFFSET(CRONOPLE!$F$15,$M45-$A$15,BQ$13)))</f>
        <v>1000000000000</v>
      </c>
      <c r="BR45" s="178">
        <f ca="1">IF(OR($D45&lt;&gt;"Serviço",AND(AUTOEVENTO="Manual",$M45=$A$15)),0,
         IF(OFFSET(CRONOPLE!$F$15,$M45-$A$15,BR$13)="",10^12,OFFSET(CRONOPLE!$F$15,$M45-$A$15,BR$13)))</f>
        <v>1000000000000</v>
      </c>
      <c r="BS45" s="178">
        <f ca="1">IF(OR($D45&lt;&gt;"Serviço",AND(AUTOEVENTO="Manual",$M45=$A$15)),0,
         IF(OFFSET(CRONOPLE!$F$15,$M45-$A$15,BS$13)="",10^12,OFFSET(CRONOPLE!$F$15,$M45-$A$15,BS$13)))</f>
        <v>1000000000000</v>
      </c>
      <c r="BT45" s="178">
        <f ca="1">IF(OR($D45&lt;&gt;"Serviço",AND(AUTOEVENTO="Manual",$M45=$A$15)),0,
         IF(OFFSET(CRONOPLE!$F$15,$M45-$A$15,BT$13)="",10^12,OFFSET(CRONOPLE!$F$15,$M45-$A$15,BT$13)))</f>
        <v>1000000000000</v>
      </c>
      <c r="BV45" s="179">
        <f ca="1">IF(OR($D45&lt;&gt;"Serviço",AND(AUTOEVENTO="Manual",$M45=$A$15),$M45&gt;(ROW(PLE.lastrow)-ROW(PLE.firstrow))),0,
           IF(OFFSET(PLE!$G$15,$M45-$A$15,BV$13)="",10^12,OFFSET(PLE!$G$15,$M45-$A$15,BV$13)))</f>
        <v>1000000000000</v>
      </c>
      <c r="BW45" s="179">
        <f ca="1">IF(OR($D45&lt;&gt;"Serviço",AND(AUTOEVENTO="Manual",$M45=$A$15),$M45&gt;(ROW(PLE.lastrow)-ROW(PLE.firstrow))),0,
           IF(OFFSET(PLE!$G$15,$M45-$A$15,BW$13)="",10^12,OFFSET(PLE!$G$15,$M45-$A$15,BW$13)))</f>
        <v>1000000000000</v>
      </c>
      <c r="BX45" s="179">
        <f ca="1">IF(OR($D45&lt;&gt;"Serviço",AND(AUTOEVENTO="Manual",$M45=$A$15),$M45&gt;(ROW(PLE.lastrow)-ROW(PLE.firstrow))),0,
           IF(OFFSET(PLE!$G$15,$M45-$A$15,BX$13)="",10^12,OFFSET(PLE!$G$15,$M45-$A$15,BX$13)))</f>
        <v>1000000000000</v>
      </c>
      <c r="BY45" s="179">
        <f ca="1">IF(OR($D45&lt;&gt;"Serviço",AND(AUTOEVENTO="Manual",$M45=$A$15),$M45&gt;(ROW(PLE.lastrow)-ROW(PLE.firstrow))),0,
           IF(OFFSET(PLE!$G$15,$M45-$A$15,BY$13)="",10^12,OFFSET(PLE!$G$15,$M45-$A$15,BY$13)))</f>
        <v>1000000000000</v>
      </c>
      <c r="BZ45" s="179">
        <f ca="1">IF(OR($D45&lt;&gt;"Serviço",AND(AUTOEVENTO="Manual",$M45=$A$15),$M45&gt;(ROW(PLE.lastrow)-ROW(PLE.firstrow))),0,
           IF(OFFSET(PLE!$G$15,$M45-$A$15,BZ$13)="",10^12,OFFSET(PLE!$G$15,$M45-$A$15,BZ$13)))</f>
        <v>1000000000000</v>
      </c>
      <c r="CA45" s="179">
        <f ca="1">IF(OR($D45&lt;&gt;"Serviço",AND(AUTOEVENTO="Manual",$M45=$A$15),$M45&gt;(ROW(PLE.lastrow)-ROW(PLE.firstrow))),0,
           IF(OFFSET(PLE!$G$15,$M45-$A$15,CA$13)="",10^12,OFFSET(PLE!$G$15,$M45-$A$15,CA$13)))</f>
        <v>1000000000000</v>
      </c>
      <c r="CB45" s="179">
        <f ca="1">IF(OR($D45&lt;&gt;"Serviço",AND(AUTOEVENTO="Manual",$M45=$A$15),$M45&gt;(ROW(PLE.lastrow)-ROW(PLE.firstrow))),0,
           IF(OFFSET(PLE!$G$15,$M45-$A$15,CB$13)="",10^12,OFFSET(PLE!$G$15,$M45-$A$15,CB$13)))</f>
        <v>1000000000000</v>
      </c>
      <c r="CC45" s="179">
        <f ca="1">IF(OR($D45&lt;&gt;"Serviço",AND(AUTOEVENTO="Manual",$M45=$A$15),$M45&gt;(ROW(PLE.lastrow)-ROW(PLE.firstrow))),0,
           IF(OFFSET(PLE!$G$15,$M45-$A$15,CC$13)="",10^12,OFFSET(PLE!$G$15,$M45-$A$15,CC$13)))</f>
        <v>1000000000000</v>
      </c>
      <c r="CD45" s="179">
        <f ca="1">IF(OR($D45&lt;&gt;"Serviço",AND(AUTOEVENTO="Manual",$M45=$A$15),$M45&gt;(ROW(PLE.lastrow)-ROW(PLE.firstrow))),0,
           IF(OFFSET(PLE!$G$15,$M45-$A$15,CD$13)="",10^12,OFFSET(PLE!$G$15,$M45-$A$15,CD$13)))</f>
        <v>1000000000000</v>
      </c>
      <c r="CE45" s="179">
        <f ca="1">IF(OR($D45&lt;&gt;"Serviço",AND(AUTOEVENTO="Manual",$M45=$A$15),$M45&gt;(ROW(PLE.lastrow)-ROW(PLE.firstrow))),0,
           IF(OFFSET(PLE!$G$15,$M45-$A$15,CE$13)="",10^12,OFFSET(PLE!$G$15,$M45-$A$15,CE$13)))</f>
        <v>1000000000000</v>
      </c>
      <c r="CF45" s="179">
        <f ca="1">IF(OR($D45&lt;&gt;"Serviço",AND(AUTOEVENTO="Manual",$M45=$A$15),$M45&gt;(ROW(PLE.lastrow)-ROW(PLE.firstrow))),0,
           IF(OFFSET(PLE!$G$15,$M45-$A$15,CF$13)="",10^12,OFFSET(PLE!$G$15,$M45-$A$15,CF$13)))</f>
        <v>1000000000000</v>
      </c>
      <c r="CG45" s="179">
        <f ca="1">IF(OR($D45&lt;&gt;"Serviço",AND(AUTOEVENTO="Manual",$M45=$A$15),$M45&gt;(ROW(PLE.lastrow)-ROW(PLE.firstrow))),0,
           IF(OFFSET(PLE!$G$15,$M45-$A$15,CG$13)="",10^12,OFFSET(PLE!$G$15,$M45-$A$15,CG$13)))</f>
        <v>1000000000000</v>
      </c>
      <c r="CH45" s="179">
        <f ca="1">IF(OR($D45&lt;&gt;"Serviço",AND(AUTOEVENTO="Manual",$M45=$A$15),$M45&gt;(ROW(PLE.lastrow)-ROW(PLE.firstrow))),0,
           IF(OFFSET(PLE!$G$15,$M45-$A$15,CH$13)="",10^12,OFFSET(PLE!$G$15,$M45-$A$15,CH$13)))</f>
        <v>1000000000000</v>
      </c>
      <c r="CI45" s="179">
        <f ca="1">IF(OR($D45&lt;&gt;"Serviço",AND(AUTOEVENTO="Manual",$M45=$A$15),$M45&gt;(ROW(PLE.lastrow)-ROW(PLE.firstrow))),0,
           IF(OFFSET(PLE!$G$15,$M45-$A$15,CI$13)="",10^12,OFFSET(PLE!$G$15,$M45-$A$15,CI$13)))</f>
        <v>1000000000000</v>
      </c>
      <c r="CJ45" s="179">
        <f ca="1">IF(OR($D45&lt;&gt;"Serviço",AND(AUTOEVENTO="Manual",$M45=$A$15),$M45&gt;(ROW(PLE.lastrow)-ROW(PLE.firstrow))),0,
           IF(OFFSET(PLE!$G$15,$M45-$A$15,CJ$13)="",10^12,OFFSET(PLE!$G$15,$M45-$A$15,CJ$13)))</f>
        <v>1000000000000</v>
      </c>
      <c r="CK45" s="179">
        <f ca="1">IF(OR($D45&lt;&gt;"Serviço",AND(AUTOEVENTO="Manual",$M45=$A$15),$M45&gt;(ROW(PLE.lastrow)-ROW(PLE.firstrow))),0,
           IF(OFFSET(PLE!$G$15,$M45-$A$15,CK$13)="",10^12,OFFSET(PLE!$G$15,$M45-$A$15,CK$13)))</f>
        <v>1000000000000</v>
      </c>
      <c r="CL45" s="179">
        <f ca="1">IF(OR($D45&lt;&gt;"Serviço",AND(AUTOEVENTO="Manual",$M45=$A$15),$M45&gt;(ROW(PLE.lastrow)-ROW(PLE.firstrow))),0,
           IF(OFFSET(PLE!$G$15,$M45-$A$15,CL$13)="",10^12,OFFSET(PLE!$G$15,$M45-$A$15,CL$13)))</f>
        <v>1000000000000</v>
      </c>
      <c r="CM45" s="179">
        <f ca="1">IF(OR($D45&lt;&gt;"Serviço",AND(AUTOEVENTO="Manual",$M45=$A$15),$M45&gt;(ROW(PLE.lastrow)-ROW(PLE.firstrow))),0,
           IF(OFFSET(PLE!$G$15,$M45-$A$15,CM$13)="",10^12,OFFSET(PLE!$G$15,$M45-$A$15,CM$13)))</f>
        <v>1000000000000</v>
      </c>
    </row>
    <row r="46" spans="1:91" ht="51" x14ac:dyDescent="0.2">
      <c r="A46" s="7" t="str">
        <f ca="1">IF(AUTOEVENTO="Manual",IF(K46&lt;&gt;"",MIN(VALUE(LEFT(K46,FIND(".",K46)-1)),COUNTA(EVENTOS.Lista)),0),IF(OR($B46&gt;AUTOEVENTO,$B46="S",$B46=0),SUBSTITUTE(OFFSET($A46,-1,0),IF($D46="Serviço",".",""),""),ROW(A46)-ROW($A$15)&amp;"."))</f>
        <v>19</v>
      </c>
      <c r="B46" s="7" t="str">
        <f ca="1">OFFSET(ORÇAMENTO!C$15,ROW(B46)-ROW(B$15),0)</f>
        <v>S</v>
      </c>
      <c r="C46" s="7" t="str">
        <f ca="1">OFFSET(ORÇAMENTO!L$15,ROW(C46)-ROW(C$15),0)</f>
        <v>F</v>
      </c>
      <c r="D46" s="118" t="str">
        <f ca="1">OFFSET(ORÇAMENTO!N$15,ROW(D46)-ROW(D$15),0)</f>
        <v>Serviço</v>
      </c>
      <c r="E46" s="119" t="str">
        <f ca="1">OFFSET(ORÇAMENTO!O$15,ROW(E46)-ROW(E$15),0)</f>
        <v>1.5.2.2.5.</v>
      </c>
      <c r="F46" s="170" t="str">
        <f ca="1">OFFSET(ORÇAMENTO!R$15,ROW(F46)-ROW(F$15),0)</f>
        <v>ARMAÇÃO DE BLOCO, SAPATA ISOLADA, VIGA BALDRAME E SAPATA CORRIDA UTILIZANDO AÇO CA-50 DE 12,5 MM - MONTAGEM. AF_01/2024</v>
      </c>
      <c r="G46" s="171" t="str">
        <f ca="1">IF($D46&lt;&gt;"Serviço","",OFFSET(ORÇAMENTO!S$15,ROW(G46)-ROW(G$15),0))</f>
        <v>KG</v>
      </c>
      <c r="H46" s="124" cm="1">
        <f t="array" aca="1" ref="H46" ca="1">IF($D46&lt;&gt;"Serviço",0,IF(_xlfn.SINGLE(ACOMPANHAMENTO)="BM",ROUND(OFFSET(ORÇAMENTO!AJ$15,ROW(H46)-ROW(H$15),0),15-13*ORÇAMENTO!$AF$7),SUMPRODUCT(($Q$1:$AI$1)*ROUND($Q46:$AI46,15-13*ORÇAMENTO!$AF$7))))</f>
        <v>184.6</v>
      </c>
      <c r="I46" s="500" t="s">
        <v>1055</v>
      </c>
      <c r="J46" s="632" t="str" cm="1">
        <f t="array" aca="1" ref="J46" ca="1">IF(B46&lt;&gt;"S","",IF(AND(ACOMPANHAMENTO="PLE",AUTOEVENTO="Manual",OR(H46&gt;0,ORÇAMENTO!AC46="QUANT."),OR(K46="",M46=0,N46="")),"►",IF(AND(ACOMPANHAMENTO="PLE",ORÇAMENTO!AC46="QUANT."),"►►",IF(AND(COUNTIF($P$11:$AI$11,"▼")=0,H46&gt;0,I46=""),"◄",""))))</f>
        <v/>
      </c>
      <c r="K46" s="624"/>
      <c r="L46" s="172" t="s">
        <v>253</v>
      </c>
      <c r="M46" s="173">
        <f ca="1">IF($D46&lt;&gt;"Serviço","",
          IF(AUTOEVENTO="manual",$A46,
                IF(ISERROR(MATCH($A46,$A$15:OFFSET($A46,-1,0),0)),MAX($M$15:OFFSET(M46,-1,0))+1,
                      INDEX($M$15:OFFSET(M46,-1,0),MATCH($A46,$A$15:OFFSET($A46,-1,0),0)))))</f>
        <v>5</v>
      </c>
      <c r="N46" s="174" t="str">
        <f ca="1">IF($D46&lt;&gt;"Serviço","",
         IF(AUTOEVENTO="Manual",
                IF($A46=0,"&lt;-- defina o número do agrupador",
                       OFFSET(EVENTOS!$D$15,$A46-$A$15,0)),
                OFFSET($F$15,$A46,0)))</f>
        <v>ESTRUTURA E FUNDAÇÕES - PROJETO E ORÇAMENTO TERCERIZADO - AZEVEDO ENGENHARIA (AZ ENG)</v>
      </c>
      <c r="O46" s="175"/>
      <c r="Q46" s="175"/>
      <c r="R46" s="176">
        <v>184.6</v>
      </c>
      <c r="S46" s="176"/>
      <c r="T46" s="176"/>
      <c r="U46" s="176"/>
      <c r="V46" s="176"/>
      <c r="W46" s="176"/>
      <c r="X46" s="176"/>
      <c r="Y46" s="176"/>
      <c r="Z46" s="177"/>
      <c r="AA46" s="176"/>
      <c r="AB46" s="176"/>
      <c r="AC46" s="176"/>
      <c r="AD46" s="176"/>
      <c r="AE46" s="176"/>
      <c r="AF46" s="176"/>
      <c r="AG46" s="176"/>
      <c r="AH46" s="177"/>
      <c r="AJ46" s="485">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85">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2453.33</v>
      </c>
      <c r="AL46" s="485">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0</v>
      </c>
      <c r="AM46" s="485">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0</v>
      </c>
      <c r="AN46" s="485">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85">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85">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85">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85">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85">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85">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85">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85">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85">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85">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85">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85">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85">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8">
        <f ca="1">IF(OR($D46&lt;&gt;"Serviço",AND(AUTOEVENTO="Manual",$M46=$A$15)),0,
         IF(OFFSET(CRONOPLE!$F$15,$M46-$A$15,BC$13)="",10^12,OFFSET(CRONOPLE!$F$15,$M46-$A$15,BC$13)))</f>
        <v>1</v>
      </c>
      <c r="BD46" s="178">
        <f ca="1">IF(OR($D46&lt;&gt;"Serviço",AND(AUTOEVENTO="Manual",$M46=$A$15)),0,
         IF(OFFSET(CRONOPLE!$F$15,$M46-$A$15,BD$13)="",10^12,OFFSET(CRONOPLE!$F$15,$M46-$A$15,BD$13)))</f>
        <v>2</v>
      </c>
      <c r="BE46" s="178">
        <f ca="1">IF(OR($D46&lt;&gt;"Serviço",AND(AUTOEVENTO="Manual",$M46=$A$15)),0,
         IF(OFFSET(CRONOPLE!$F$15,$M46-$A$15,BE$13)="",10^12,OFFSET(CRONOPLE!$F$15,$M46-$A$15,BE$13)))</f>
        <v>3</v>
      </c>
      <c r="BF46" s="178">
        <f ca="1">IF(OR($D46&lt;&gt;"Serviço",AND(AUTOEVENTO="Manual",$M46=$A$15)),0,
         IF(OFFSET(CRONOPLE!$F$15,$M46-$A$15,BF$13)="",10^12,OFFSET(CRONOPLE!$F$15,$M46-$A$15,BF$13)))</f>
        <v>4</v>
      </c>
      <c r="BG46" s="178">
        <f ca="1">IF(OR($D46&lt;&gt;"Serviço",AND(AUTOEVENTO="Manual",$M46=$A$15)),0,
         IF(OFFSET(CRONOPLE!$F$15,$M46-$A$15,BG$13)="",10^12,OFFSET(CRONOPLE!$F$15,$M46-$A$15,BG$13)))</f>
        <v>5</v>
      </c>
      <c r="BH46" s="178">
        <f ca="1">IF(OR($D46&lt;&gt;"Serviço",AND(AUTOEVENTO="Manual",$M46=$A$15)),0,
         IF(OFFSET(CRONOPLE!$F$15,$M46-$A$15,BH$13)="",10^12,OFFSET(CRONOPLE!$F$15,$M46-$A$15,BH$13)))</f>
        <v>6</v>
      </c>
      <c r="BI46" s="178">
        <f ca="1">IF(OR($D46&lt;&gt;"Serviço",AND(AUTOEVENTO="Manual",$M46=$A$15)),0,
         IF(OFFSET(CRONOPLE!$F$15,$M46-$A$15,BI$13)="",10^12,OFFSET(CRONOPLE!$F$15,$M46-$A$15,BI$13)))</f>
        <v>7</v>
      </c>
      <c r="BJ46" s="178">
        <f ca="1">IF(OR($D46&lt;&gt;"Serviço",AND(AUTOEVENTO="Manual",$M46=$A$15)),0,
         IF(OFFSET(CRONOPLE!$F$15,$M46-$A$15,BJ$13)="",10^12,OFFSET(CRONOPLE!$F$15,$M46-$A$15,BJ$13)))</f>
        <v>1000000000000</v>
      </c>
      <c r="BK46" s="178">
        <f ca="1">IF(OR($D46&lt;&gt;"Serviço",AND(AUTOEVENTO="Manual",$M46=$A$15)),0,
         IF(OFFSET(CRONOPLE!$F$15,$M46-$A$15,BK$13)="",10^12,OFFSET(CRONOPLE!$F$15,$M46-$A$15,BK$13)))</f>
        <v>1000000000000</v>
      </c>
      <c r="BL46" s="178">
        <f ca="1">IF(OR($D46&lt;&gt;"Serviço",AND(AUTOEVENTO="Manual",$M46=$A$15)),0,
         IF(OFFSET(CRONOPLE!$F$15,$M46-$A$15,BL$13)="",10^12,OFFSET(CRONOPLE!$F$15,$M46-$A$15,BL$13)))</f>
        <v>1000000000000</v>
      </c>
      <c r="BM46" s="178">
        <f ca="1">IF(OR($D46&lt;&gt;"Serviço",AND(AUTOEVENTO="Manual",$M46=$A$15)),0,
         IF(OFFSET(CRONOPLE!$F$15,$M46-$A$15,BM$13)="",10^12,OFFSET(CRONOPLE!$F$15,$M46-$A$15,BM$13)))</f>
        <v>1000000000000</v>
      </c>
      <c r="BN46" s="178">
        <f ca="1">IF(OR($D46&lt;&gt;"Serviço",AND(AUTOEVENTO="Manual",$M46=$A$15)),0,
         IF(OFFSET(CRONOPLE!$F$15,$M46-$A$15,BN$13)="",10^12,OFFSET(CRONOPLE!$F$15,$M46-$A$15,BN$13)))</f>
        <v>1000000000000</v>
      </c>
      <c r="BO46" s="178">
        <f ca="1">IF(OR($D46&lt;&gt;"Serviço",AND(AUTOEVENTO="Manual",$M46=$A$15)),0,
         IF(OFFSET(CRONOPLE!$F$15,$M46-$A$15,BO$13)="",10^12,OFFSET(CRONOPLE!$F$15,$M46-$A$15,BO$13)))</f>
        <v>1000000000000</v>
      </c>
      <c r="BP46" s="178">
        <f ca="1">IF(OR($D46&lt;&gt;"Serviço",AND(AUTOEVENTO="Manual",$M46=$A$15)),0,
         IF(OFFSET(CRONOPLE!$F$15,$M46-$A$15,BP$13)="",10^12,OFFSET(CRONOPLE!$F$15,$M46-$A$15,BP$13)))</f>
        <v>1000000000000</v>
      </c>
      <c r="BQ46" s="178">
        <f ca="1">IF(OR($D46&lt;&gt;"Serviço",AND(AUTOEVENTO="Manual",$M46=$A$15)),0,
         IF(OFFSET(CRONOPLE!$F$15,$M46-$A$15,BQ$13)="",10^12,OFFSET(CRONOPLE!$F$15,$M46-$A$15,BQ$13)))</f>
        <v>1000000000000</v>
      </c>
      <c r="BR46" s="178">
        <f ca="1">IF(OR($D46&lt;&gt;"Serviço",AND(AUTOEVENTO="Manual",$M46=$A$15)),0,
         IF(OFFSET(CRONOPLE!$F$15,$M46-$A$15,BR$13)="",10^12,OFFSET(CRONOPLE!$F$15,$M46-$A$15,BR$13)))</f>
        <v>1000000000000</v>
      </c>
      <c r="BS46" s="178">
        <f ca="1">IF(OR($D46&lt;&gt;"Serviço",AND(AUTOEVENTO="Manual",$M46=$A$15)),0,
         IF(OFFSET(CRONOPLE!$F$15,$M46-$A$15,BS$13)="",10^12,OFFSET(CRONOPLE!$F$15,$M46-$A$15,BS$13)))</f>
        <v>1000000000000</v>
      </c>
      <c r="BT46" s="178">
        <f ca="1">IF(OR($D46&lt;&gt;"Serviço",AND(AUTOEVENTO="Manual",$M46=$A$15)),0,
         IF(OFFSET(CRONOPLE!$F$15,$M46-$A$15,BT$13)="",10^12,OFFSET(CRONOPLE!$F$15,$M46-$A$15,BT$13)))</f>
        <v>1000000000000</v>
      </c>
      <c r="BV46" s="179">
        <f ca="1">IF(OR($D46&lt;&gt;"Serviço",AND(AUTOEVENTO="Manual",$M46=$A$15),$M46&gt;(ROW(PLE.lastrow)-ROW(PLE.firstrow))),0,
           IF(OFFSET(PLE!$G$15,$M46-$A$15,BV$13)="",10^12,OFFSET(PLE!$G$15,$M46-$A$15,BV$13)))</f>
        <v>1000000000000</v>
      </c>
      <c r="BW46" s="179">
        <f ca="1">IF(OR($D46&lt;&gt;"Serviço",AND(AUTOEVENTO="Manual",$M46=$A$15),$M46&gt;(ROW(PLE.lastrow)-ROW(PLE.firstrow))),0,
           IF(OFFSET(PLE!$G$15,$M46-$A$15,BW$13)="",10^12,OFFSET(PLE!$G$15,$M46-$A$15,BW$13)))</f>
        <v>1000000000000</v>
      </c>
      <c r="BX46" s="179">
        <f ca="1">IF(OR($D46&lt;&gt;"Serviço",AND(AUTOEVENTO="Manual",$M46=$A$15),$M46&gt;(ROW(PLE.lastrow)-ROW(PLE.firstrow))),0,
           IF(OFFSET(PLE!$G$15,$M46-$A$15,BX$13)="",10^12,OFFSET(PLE!$G$15,$M46-$A$15,BX$13)))</f>
        <v>1000000000000</v>
      </c>
      <c r="BY46" s="179">
        <f ca="1">IF(OR($D46&lt;&gt;"Serviço",AND(AUTOEVENTO="Manual",$M46=$A$15),$M46&gt;(ROW(PLE.lastrow)-ROW(PLE.firstrow))),0,
           IF(OFFSET(PLE!$G$15,$M46-$A$15,BY$13)="",10^12,OFFSET(PLE!$G$15,$M46-$A$15,BY$13)))</f>
        <v>1000000000000</v>
      </c>
      <c r="BZ46" s="179">
        <f ca="1">IF(OR($D46&lt;&gt;"Serviço",AND(AUTOEVENTO="Manual",$M46=$A$15),$M46&gt;(ROW(PLE.lastrow)-ROW(PLE.firstrow))),0,
           IF(OFFSET(PLE!$G$15,$M46-$A$15,BZ$13)="",10^12,OFFSET(PLE!$G$15,$M46-$A$15,BZ$13)))</f>
        <v>1000000000000</v>
      </c>
      <c r="CA46" s="179">
        <f ca="1">IF(OR($D46&lt;&gt;"Serviço",AND(AUTOEVENTO="Manual",$M46=$A$15),$M46&gt;(ROW(PLE.lastrow)-ROW(PLE.firstrow))),0,
           IF(OFFSET(PLE!$G$15,$M46-$A$15,CA$13)="",10^12,OFFSET(PLE!$G$15,$M46-$A$15,CA$13)))</f>
        <v>1000000000000</v>
      </c>
      <c r="CB46" s="179">
        <f ca="1">IF(OR($D46&lt;&gt;"Serviço",AND(AUTOEVENTO="Manual",$M46=$A$15),$M46&gt;(ROW(PLE.lastrow)-ROW(PLE.firstrow))),0,
           IF(OFFSET(PLE!$G$15,$M46-$A$15,CB$13)="",10^12,OFFSET(PLE!$G$15,$M46-$A$15,CB$13)))</f>
        <v>1000000000000</v>
      </c>
      <c r="CC46" s="179">
        <f ca="1">IF(OR($D46&lt;&gt;"Serviço",AND(AUTOEVENTO="Manual",$M46=$A$15),$M46&gt;(ROW(PLE.lastrow)-ROW(PLE.firstrow))),0,
           IF(OFFSET(PLE!$G$15,$M46-$A$15,CC$13)="",10^12,OFFSET(PLE!$G$15,$M46-$A$15,CC$13)))</f>
        <v>1000000000000</v>
      </c>
      <c r="CD46" s="179">
        <f ca="1">IF(OR($D46&lt;&gt;"Serviço",AND(AUTOEVENTO="Manual",$M46=$A$15),$M46&gt;(ROW(PLE.lastrow)-ROW(PLE.firstrow))),0,
           IF(OFFSET(PLE!$G$15,$M46-$A$15,CD$13)="",10^12,OFFSET(PLE!$G$15,$M46-$A$15,CD$13)))</f>
        <v>1000000000000</v>
      </c>
      <c r="CE46" s="179">
        <f ca="1">IF(OR($D46&lt;&gt;"Serviço",AND(AUTOEVENTO="Manual",$M46=$A$15),$M46&gt;(ROW(PLE.lastrow)-ROW(PLE.firstrow))),0,
           IF(OFFSET(PLE!$G$15,$M46-$A$15,CE$13)="",10^12,OFFSET(PLE!$G$15,$M46-$A$15,CE$13)))</f>
        <v>1000000000000</v>
      </c>
      <c r="CF46" s="179">
        <f ca="1">IF(OR($D46&lt;&gt;"Serviço",AND(AUTOEVENTO="Manual",$M46=$A$15),$M46&gt;(ROW(PLE.lastrow)-ROW(PLE.firstrow))),0,
           IF(OFFSET(PLE!$G$15,$M46-$A$15,CF$13)="",10^12,OFFSET(PLE!$G$15,$M46-$A$15,CF$13)))</f>
        <v>1000000000000</v>
      </c>
      <c r="CG46" s="179">
        <f ca="1">IF(OR($D46&lt;&gt;"Serviço",AND(AUTOEVENTO="Manual",$M46=$A$15),$M46&gt;(ROW(PLE.lastrow)-ROW(PLE.firstrow))),0,
           IF(OFFSET(PLE!$G$15,$M46-$A$15,CG$13)="",10^12,OFFSET(PLE!$G$15,$M46-$A$15,CG$13)))</f>
        <v>1000000000000</v>
      </c>
      <c r="CH46" s="179">
        <f ca="1">IF(OR($D46&lt;&gt;"Serviço",AND(AUTOEVENTO="Manual",$M46=$A$15),$M46&gt;(ROW(PLE.lastrow)-ROW(PLE.firstrow))),0,
           IF(OFFSET(PLE!$G$15,$M46-$A$15,CH$13)="",10^12,OFFSET(PLE!$G$15,$M46-$A$15,CH$13)))</f>
        <v>1000000000000</v>
      </c>
      <c r="CI46" s="179">
        <f ca="1">IF(OR($D46&lt;&gt;"Serviço",AND(AUTOEVENTO="Manual",$M46=$A$15),$M46&gt;(ROW(PLE.lastrow)-ROW(PLE.firstrow))),0,
           IF(OFFSET(PLE!$G$15,$M46-$A$15,CI$13)="",10^12,OFFSET(PLE!$G$15,$M46-$A$15,CI$13)))</f>
        <v>1000000000000</v>
      </c>
      <c r="CJ46" s="179">
        <f ca="1">IF(OR($D46&lt;&gt;"Serviço",AND(AUTOEVENTO="Manual",$M46=$A$15),$M46&gt;(ROW(PLE.lastrow)-ROW(PLE.firstrow))),0,
           IF(OFFSET(PLE!$G$15,$M46-$A$15,CJ$13)="",10^12,OFFSET(PLE!$G$15,$M46-$A$15,CJ$13)))</f>
        <v>1000000000000</v>
      </c>
      <c r="CK46" s="179">
        <f ca="1">IF(OR($D46&lt;&gt;"Serviço",AND(AUTOEVENTO="Manual",$M46=$A$15),$M46&gt;(ROW(PLE.lastrow)-ROW(PLE.firstrow))),0,
           IF(OFFSET(PLE!$G$15,$M46-$A$15,CK$13)="",10^12,OFFSET(PLE!$G$15,$M46-$A$15,CK$13)))</f>
        <v>1000000000000</v>
      </c>
      <c r="CL46" s="179">
        <f ca="1">IF(OR($D46&lt;&gt;"Serviço",AND(AUTOEVENTO="Manual",$M46=$A$15),$M46&gt;(ROW(PLE.lastrow)-ROW(PLE.firstrow))),0,
           IF(OFFSET(PLE!$G$15,$M46-$A$15,CL$13)="",10^12,OFFSET(PLE!$G$15,$M46-$A$15,CL$13)))</f>
        <v>1000000000000</v>
      </c>
      <c r="CM46" s="179">
        <f ca="1">IF(OR($D46&lt;&gt;"Serviço",AND(AUTOEVENTO="Manual",$M46=$A$15),$M46&gt;(ROW(PLE.lastrow)-ROW(PLE.firstrow))),0,
           IF(OFFSET(PLE!$G$15,$M46-$A$15,CM$13)="",10^12,OFFSET(PLE!$G$15,$M46-$A$15,CM$13)))</f>
        <v>1000000000000</v>
      </c>
    </row>
    <row r="47" spans="1:91" ht="51" x14ac:dyDescent="0.2">
      <c r="A47" s="7" t="str">
        <f ca="1">IF(AUTOEVENTO="Manual",IF(K47&lt;&gt;"",MIN(VALUE(LEFT(K47,FIND(".",K47)-1)),COUNTA(EVENTOS.Lista)),0),IF(OR($B47&gt;AUTOEVENTO,$B47="S",$B47=0),SUBSTITUTE(OFFSET($A47,-1,0),IF($D47="Serviço",".",""),""),ROW(A47)-ROW($A$15)&amp;"."))</f>
        <v>19</v>
      </c>
      <c r="B47" s="7" t="str">
        <f ca="1">OFFSET(ORÇAMENTO!C$15,ROW(B47)-ROW(B$15),0)</f>
        <v>S</v>
      </c>
      <c r="C47" s="7" t="str">
        <f ca="1">OFFSET(ORÇAMENTO!L$15,ROW(C47)-ROW(C$15),0)</f>
        <v>F</v>
      </c>
      <c r="D47" s="118" t="str">
        <f ca="1">OFFSET(ORÇAMENTO!N$15,ROW(D47)-ROW(D$15),0)</f>
        <v>Serviço</v>
      </c>
      <c r="E47" s="119" t="str">
        <f ca="1">OFFSET(ORÇAMENTO!O$15,ROW(E47)-ROW(E$15),0)</f>
        <v>1.5.2.2.6.</v>
      </c>
      <c r="F47" s="170" t="str">
        <f ca="1">OFFSET(ORÇAMENTO!R$15,ROW(F47)-ROW(F$15),0)</f>
        <v>CONCRETAGEM DE BLOCO DE COROAMENTO OU VIGA BALDRAME, FCK 30 MPA, COM USO DE BOMBA - LANÇAMENTO, ADENSAMENTO E ACABAMENTO. AF_01/2024</v>
      </c>
      <c r="G47" s="171" t="str">
        <f ca="1">IF($D47&lt;&gt;"Serviço","",OFFSET(ORÇAMENTO!S$15,ROW(G47)-ROW(G$15),0))</f>
        <v>M3</v>
      </c>
      <c r="H47" s="124" cm="1">
        <f t="array" aca="1" ref="H47" ca="1">IF($D47&lt;&gt;"Serviço",0,IF(_xlfn.SINGLE(ACOMPANHAMENTO)="BM",ROUND(OFFSET(ORÇAMENTO!AJ$15,ROW(H47)-ROW(H$15),0),15-13*ORÇAMENTO!$AF$7),SUMPRODUCT(($Q$1:$AI$1)*ROUND($Q47:$AI47,15-13*ORÇAMENTO!$AF$7))))</f>
        <v>23.62</v>
      </c>
      <c r="I47" s="500" t="s">
        <v>1055</v>
      </c>
      <c r="J47" s="632" t="str" cm="1">
        <f t="array" aca="1" ref="J47" ca="1">IF(B47&lt;&gt;"S","",IF(AND(ACOMPANHAMENTO="PLE",AUTOEVENTO="Manual",OR(H47&gt;0,ORÇAMENTO!AC47="QUANT."),OR(K47="",M47=0,N47="")),"►",IF(AND(ACOMPANHAMENTO="PLE",ORÇAMENTO!AC47="QUANT."),"►►",IF(AND(COUNTIF($P$11:$AI$11,"▼")=0,H47&gt;0,I47=""),"◄",""))))</f>
        <v/>
      </c>
      <c r="K47" s="624"/>
      <c r="L47" s="172" t="s">
        <v>253</v>
      </c>
      <c r="M47" s="173">
        <f ca="1">IF($D47&lt;&gt;"Serviço","",
          IF(AUTOEVENTO="manual",$A47,
                IF(ISERROR(MATCH($A47,$A$15:OFFSET($A47,-1,0),0)),MAX($M$15:OFFSET(M47,-1,0))+1,
                      INDEX($M$15:OFFSET(M47,-1,0),MATCH($A47,$A$15:OFFSET($A47,-1,0),0)))))</f>
        <v>5</v>
      </c>
      <c r="N47" s="174" t="str">
        <f ca="1">IF($D47&lt;&gt;"Serviço","",
         IF(AUTOEVENTO="Manual",
                IF($A47=0,"&lt;-- defina o número do agrupador",
                       OFFSET(EVENTOS!$D$15,$A47-$A$15,0)),
                OFFSET($F$15,$A47,0)))</f>
        <v>ESTRUTURA E FUNDAÇÕES - PROJETO E ORÇAMENTO TERCERIZADO - AZEVEDO ENGENHARIA (AZ ENG)</v>
      </c>
      <c r="O47" s="175"/>
      <c r="Q47" s="175"/>
      <c r="R47" s="176">
        <v>23.62</v>
      </c>
      <c r="S47" s="176"/>
      <c r="T47" s="176"/>
      <c r="U47" s="176"/>
      <c r="V47" s="176"/>
      <c r="W47" s="176"/>
      <c r="X47" s="176"/>
      <c r="Y47" s="176"/>
      <c r="Z47" s="177"/>
      <c r="AA47" s="176"/>
      <c r="AB47" s="176"/>
      <c r="AC47" s="176"/>
      <c r="AD47" s="176"/>
      <c r="AE47" s="176"/>
      <c r="AF47" s="176"/>
      <c r="AG47" s="176"/>
      <c r="AH47" s="177"/>
      <c r="AJ47" s="485">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85">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26201.67</v>
      </c>
      <c r="AL47" s="485">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0</v>
      </c>
      <c r="AM47" s="485">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0</v>
      </c>
      <c r="AN47" s="485">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85">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85">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85">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85">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85">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85">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85">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85">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85">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85">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85">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85">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85">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8">
        <f ca="1">IF(OR($D47&lt;&gt;"Serviço",AND(AUTOEVENTO="Manual",$M47=$A$15)),0,
         IF(OFFSET(CRONOPLE!$F$15,$M47-$A$15,BC$13)="",10^12,OFFSET(CRONOPLE!$F$15,$M47-$A$15,BC$13)))</f>
        <v>1</v>
      </c>
      <c r="BD47" s="178">
        <f ca="1">IF(OR($D47&lt;&gt;"Serviço",AND(AUTOEVENTO="Manual",$M47=$A$15)),0,
         IF(OFFSET(CRONOPLE!$F$15,$M47-$A$15,BD$13)="",10^12,OFFSET(CRONOPLE!$F$15,$M47-$A$15,BD$13)))</f>
        <v>2</v>
      </c>
      <c r="BE47" s="178">
        <f ca="1">IF(OR($D47&lt;&gt;"Serviço",AND(AUTOEVENTO="Manual",$M47=$A$15)),0,
         IF(OFFSET(CRONOPLE!$F$15,$M47-$A$15,BE$13)="",10^12,OFFSET(CRONOPLE!$F$15,$M47-$A$15,BE$13)))</f>
        <v>3</v>
      </c>
      <c r="BF47" s="178">
        <f ca="1">IF(OR($D47&lt;&gt;"Serviço",AND(AUTOEVENTO="Manual",$M47=$A$15)),0,
         IF(OFFSET(CRONOPLE!$F$15,$M47-$A$15,BF$13)="",10^12,OFFSET(CRONOPLE!$F$15,$M47-$A$15,BF$13)))</f>
        <v>4</v>
      </c>
      <c r="BG47" s="178">
        <f ca="1">IF(OR($D47&lt;&gt;"Serviço",AND(AUTOEVENTO="Manual",$M47=$A$15)),0,
         IF(OFFSET(CRONOPLE!$F$15,$M47-$A$15,BG$13)="",10^12,OFFSET(CRONOPLE!$F$15,$M47-$A$15,BG$13)))</f>
        <v>5</v>
      </c>
      <c r="BH47" s="178">
        <f ca="1">IF(OR($D47&lt;&gt;"Serviço",AND(AUTOEVENTO="Manual",$M47=$A$15)),0,
         IF(OFFSET(CRONOPLE!$F$15,$M47-$A$15,BH$13)="",10^12,OFFSET(CRONOPLE!$F$15,$M47-$A$15,BH$13)))</f>
        <v>6</v>
      </c>
      <c r="BI47" s="178">
        <f ca="1">IF(OR($D47&lt;&gt;"Serviço",AND(AUTOEVENTO="Manual",$M47=$A$15)),0,
         IF(OFFSET(CRONOPLE!$F$15,$M47-$A$15,BI$13)="",10^12,OFFSET(CRONOPLE!$F$15,$M47-$A$15,BI$13)))</f>
        <v>7</v>
      </c>
      <c r="BJ47" s="178">
        <f ca="1">IF(OR($D47&lt;&gt;"Serviço",AND(AUTOEVENTO="Manual",$M47=$A$15)),0,
         IF(OFFSET(CRONOPLE!$F$15,$M47-$A$15,BJ$13)="",10^12,OFFSET(CRONOPLE!$F$15,$M47-$A$15,BJ$13)))</f>
        <v>1000000000000</v>
      </c>
      <c r="BK47" s="178">
        <f ca="1">IF(OR($D47&lt;&gt;"Serviço",AND(AUTOEVENTO="Manual",$M47=$A$15)),0,
         IF(OFFSET(CRONOPLE!$F$15,$M47-$A$15,BK$13)="",10^12,OFFSET(CRONOPLE!$F$15,$M47-$A$15,BK$13)))</f>
        <v>1000000000000</v>
      </c>
      <c r="BL47" s="178">
        <f ca="1">IF(OR($D47&lt;&gt;"Serviço",AND(AUTOEVENTO="Manual",$M47=$A$15)),0,
         IF(OFFSET(CRONOPLE!$F$15,$M47-$A$15,BL$13)="",10^12,OFFSET(CRONOPLE!$F$15,$M47-$A$15,BL$13)))</f>
        <v>1000000000000</v>
      </c>
      <c r="BM47" s="178">
        <f ca="1">IF(OR($D47&lt;&gt;"Serviço",AND(AUTOEVENTO="Manual",$M47=$A$15)),0,
         IF(OFFSET(CRONOPLE!$F$15,$M47-$A$15,BM$13)="",10^12,OFFSET(CRONOPLE!$F$15,$M47-$A$15,BM$13)))</f>
        <v>1000000000000</v>
      </c>
      <c r="BN47" s="178">
        <f ca="1">IF(OR($D47&lt;&gt;"Serviço",AND(AUTOEVENTO="Manual",$M47=$A$15)),0,
         IF(OFFSET(CRONOPLE!$F$15,$M47-$A$15,BN$13)="",10^12,OFFSET(CRONOPLE!$F$15,$M47-$A$15,BN$13)))</f>
        <v>1000000000000</v>
      </c>
      <c r="BO47" s="178">
        <f ca="1">IF(OR($D47&lt;&gt;"Serviço",AND(AUTOEVENTO="Manual",$M47=$A$15)),0,
         IF(OFFSET(CRONOPLE!$F$15,$M47-$A$15,BO$13)="",10^12,OFFSET(CRONOPLE!$F$15,$M47-$A$15,BO$13)))</f>
        <v>1000000000000</v>
      </c>
      <c r="BP47" s="178">
        <f ca="1">IF(OR($D47&lt;&gt;"Serviço",AND(AUTOEVENTO="Manual",$M47=$A$15)),0,
         IF(OFFSET(CRONOPLE!$F$15,$M47-$A$15,BP$13)="",10^12,OFFSET(CRONOPLE!$F$15,$M47-$A$15,BP$13)))</f>
        <v>1000000000000</v>
      </c>
      <c r="BQ47" s="178">
        <f ca="1">IF(OR($D47&lt;&gt;"Serviço",AND(AUTOEVENTO="Manual",$M47=$A$15)),0,
         IF(OFFSET(CRONOPLE!$F$15,$M47-$A$15,BQ$13)="",10^12,OFFSET(CRONOPLE!$F$15,$M47-$A$15,BQ$13)))</f>
        <v>1000000000000</v>
      </c>
      <c r="BR47" s="178">
        <f ca="1">IF(OR($D47&lt;&gt;"Serviço",AND(AUTOEVENTO="Manual",$M47=$A$15)),0,
         IF(OFFSET(CRONOPLE!$F$15,$M47-$A$15,BR$13)="",10^12,OFFSET(CRONOPLE!$F$15,$M47-$A$15,BR$13)))</f>
        <v>1000000000000</v>
      </c>
      <c r="BS47" s="178">
        <f ca="1">IF(OR($D47&lt;&gt;"Serviço",AND(AUTOEVENTO="Manual",$M47=$A$15)),0,
         IF(OFFSET(CRONOPLE!$F$15,$M47-$A$15,BS$13)="",10^12,OFFSET(CRONOPLE!$F$15,$M47-$A$15,BS$13)))</f>
        <v>1000000000000</v>
      </c>
      <c r="BT47" s="178">
        <f ca="1">IF(OR($D47&lt;&gt;"Serviço",AND(AUTOEVENTO="Manual",$M47=$A$15)),0,
         IF(OFFSET(CRONOPLE!$F$15,$M47-$A$15,BT$13)="",10^12,OFFSET(CRONOPLE!$F$15,$M47-$A$15,BT$13)))</f>
        <v>1000000000000</v>
      </c>
      <c r="BV47" s="179">
        <f ca="1">IF(OR($D47&lt;&gt;"Serviço",AND(AUTOEVENTO="Manual",$M47=$A$15),$M47&gt;(ROW(PLE.lastrow)-ROW(PLE.firstrow))),0,
           IF(OFFSET(PLE!$G$15,$M47-$A$15,BV$13)="",10^12,OFFSET(PLE!$G$15,$M47-$A$15,BV$13)))</f>
        <v>1000000000000</v>
      </c>
      <c r="BW47" s="179">
        <f ca="1">IF(OR($D47&lt;&gt;"Serviço",AND(AUTOEVENTO="Manual",$M47=$A$15),$M47&gt;(ROW(PLE.lastrow)-ROW(PLE.firstrow))),0,
           IF(OFFSET(PLE!$G$15,$M47-$A$15,BW$13)="",10^12,OFFSET(PLE!$G$15,$M47-$A$15,BW$13)))</f>
        <v>1000000000000</v>
      </c>
      <c r="BX47" s="179">
        <f ca="1">IF(OR($D47&lt;&gt;"Serviço",AND(AUTOEVENTO="Manual",$M47=$A$15),$M47&gt;(ROW(PLE.lastrow)-ROW(PLE.firstrow))),0,
           IF(OFFSET(PLE!$G$15,$M47-$A$15,BX$13)="",10^12,OFFSET(PLE!$G$15,$M47-$A$15,BX$13)))</f>
        <v>1000000000000</v>
      </c>
      <c r="BY47" s="179">
        <f ca="1">IF(OR($D47&lt;&gt;"Serviço",AND(AUTOEVENTO="Manual",$M47=$A$15),$M47&gt;(ROW(PLE.lastrow)-ROW(PLE.firstrow))),0,
           IF(OFFSET(PLE!$G$15,$M47-$A$15,BY$13)="",10^12,OFFSET(PLE!$G$15,$M47-$A$15,BY$13)))</f>
        <v>1000000000000</v>
      </c>
      <c r="BZ47" s="179">
        <f ca="1">IF(OR($D47&lt;&gt;"Serviço",AND(AUTOEVENTO="Manual",$M47=$A$15),$M47&gt;(ROW(PLE.lastrow)-ROW(PLE.firstrow))),0,
           IF(OFFSET(PLE!$G$15,$M47-$A$15,BZ$13)="",10^12,OFFSET(PLE!$G$15,$M47-$A$15,BZ$13)))</f>
        <v>1000000000000</v>
      </c>
      <c r="CA47" s="179">
        <f ca="1">IF(OR($D47&lt;&gt;"Serviço",AND(AUTOEVENTO="Manual",$M47=$A$15),$M47&gt;(ROW(PLE.lastrow)-ROW(PLE.firstrow))),0,
           IF(OFFSET(PLE!$G$15,$M47-$A$15,CA$13)="",10^12,OFFSET(PLE!$G$15,$M47-$A$15,CA$13)))</f>
        <v>1000000000000</v>
      </c>
      <c r="CB47" s="179">
        <f ca="1">IF(OR($D47&lt;&gt;"Serviço",AND(AUTOEVENTO="Manual",$M47=$A$15),$M47&gt;(ROW(PLE.lastrow)-ROW(PLE.firstrow))),0,
           IF(OFFSET(PLE!$G$15,$M47-$A$15,CB$13)="",10^12,OFFSET(PLE!$G$15,$M47-$A$15,CB$13)))</f>
        <v>1000000000000</v>
      </c>
      <c r="CC47" s="179">
        <f ca="1">IF(OR($D47&lt;&gt;"Serviço",AND(AUTOEVENTO="Manual",$M47=$A$15),$M47&gt;(ROW(PLE.lastrow)-ROW(PLE.firstrow))),0,
           IF(OFFSET(PLE!$G$15,$M47-$A$15,CC$13)="",10^12,OFFSET(PLE!$G$15,$M47-$A$15,CC$13)))</f>
        <v>1000000000000</v>
      </c>
      <c r="CD47" s="179">
        <f ca="1">IF(OR($D47&lt;&gt;"Serviço",AND(AUTOEVENTO="Manual",$M47=$A$15),$M47&gt;(ROW(PLE.lastrow)-ROW(PLE.firstrow))),0,
           IF(OFFSET(PLE!$G$15,$M47-$A$15,CD$13)="",10^12,OFFSET(PLE!$G$15,$M47-$A$15,CD$13)))</f>
        <v>1000000000000</v>
      </c>
      <c r="CE47" s="179">
        <f ca="1">IF(OR($D47&lt;&gt;"Serviço",AND(AUTOEVENTO="Manual",$M47=$A$15),$M47&gt;(ROW(PLE.lastrow)-ROW(PLE.firstrow))),0,
           IF(OFFSET(PLE!$G$15,$M47-$A$15,CE$13)="",10^12,OFFSET(PLE!$G$15,$M47-$A$15,CE$13)))</f>
        <v>1000000000000</v>
      </c>
      <c r="CF47" s="179">
        <f ca="1">IF(OR($D47&lt;&gt;"Serviço",AND(AUTOEVENTO="Manual",$M47=$A$15),$M47&gt;(ROW(PLE.lastrow)-ROW(PLE.firstrow))),0,
           IF(OFFSET(PLE!$G$15,$M47-$A$15,CF$13)="",10^12,OFFSET(PLE!$G$15,$M47-$A$15,CF$13)))</f>
        <v>1000000000000</v>
      </c>
      <c r="CG47" s="179">
        <f ca="1">IF(OR($D47&lt;&gt;"Serviço",AND(AUTOEVENTO="Manual",$M47=$A$15),$M47&gt;(ROW(PLE.lastrow)-ROW(PLE.firstrow))),0,
           IF(OFFSET(PLE!$G$15,$M47-$A$15,CG$13)="",10^12,OFFSET(PLE!$G$15,$M47-$A$15,CG$13)))</f>
        <v>1000000000000</v>
      </c>
      <c r="CH47" s="179">
        <f ca="1">IF(OR($D47&lt;&gt;"Serviço",AND(AUTOEVENTO="Manual",$M47=$A$15),$M47&gt;(ROW(PLE.lastrow)-ROW(PLE.firstrow))),0,
           IF(OFFSET(PLE!$G$15,$M47-$A$15,CH$13)="",10^12,OFFSET(PLE!$G$15,$M47-$A$15,CH$13)))</f>
        <v>1000000000000</v>
      </c>
      <c r="CI47" s="179">
        <f ca="1">IF(OR($D47&lt;&gt;"Serviço",AND(AUTOEVENTO="Manual",$M47=$A$15),$M47&gt;(ROW(PLE.lastrow)-ROW(PLE.firstrow))),0,
           IF(OFFSET(PLE!$G$15,$M47-$A$15,CI$13)="",10^12,OFFSET(PLE!$G$15,$M47-$A$15,CI$13)))</f>
        <v>1000000000000</v>
      </c>
      <c r="CJ47" s="179">
        <f ca="1">IF(OR($D47&lt;&gt;"Serviço",AND(AUTOEVENTO="Manual",$M47=$A$15),$M47&gt;(ROW(PLE.lastrow)-ROW(PLE.firstrow))),0,
           IF(OFFSET(PLE!$G$15,$M47-$A$15,CJ$13)="",10^12,OFFSET(PLE!$G$15,$M47-$A$15,CJ$13)))</f>
        <v>1000000000000</v>
      </c>
      <c r="CK47" s="179">
        <f ca="1">IF(OR($D47&lt;&gt;"Serviço",AND(AUTOEVENTO="Manual",$M47=$A$15),$M47&gt;(ROW(PLE.lastrow)-ROW(PLE.firstrow))),0,
           IF(OFFSET(PLE!$G$15,$M47-$A$15,CK$13)="",10^12,OFFSET(PLE!$G$15,$M47-$A$15,CK$13)))</f>
        <v>1000000000000</v>
      </c>
      <c r="CL47" s="179">
        <f ca="1">IF(OR($D47&lt;&gt;"Serviço",AND(AUTOEVENTO="Manual",$M47=$A$15),$M47&gt;(ROW(PLE.lastrow)-ROW(PLE.firstrow))),0,
           IF(OFFSET(PLE!$G$15,$M47-$A$15,CL$13)="",10^12,OFFSET(PLE!$G$15,$M47-$A$15,CL$13)))</f>
        <v>1000000000000</v>
      </c>
      <c r="CM47" s="179">
        <f ca="1">IF(OR($D47&lt;&gt;"Serviço",AND(AUTOEVENTO="Manual",$M47=$A$15),$M47&gt;(ROW(PLE.lastrow)-ROW(PLE.firstrow))),0,
           IF(OFFSET(PLE!$G$15,$M47-$A$15,CM$13)="",10^12,OFFSET(PLE!$G$15,$M47-$A$15,CM$13)))</f>
        <v>1000000000000</v>
      </c>
    </row>
    <row r="48" spans="1:91" ht="12.75" x14ac:dyDescent="0.2">
      <c r="A48" s="7" t="str">
        <f ca="1">IF(AUTOEVENTO="Manual",IF(K48&lt;&gt;"",MIN(VALUE(LEFT(K48,FIND(".",K48)-1)),COUNTA(EVENTOS.Lista)),0),IF(OR($B48&gt;AUTOEVENTO,$B48="S",$B48=0),SUBSTITUTE(OFFSET($A48,-1,0),IF($D48="Serviço",".",""),""),ROW(A48)-ROW($A$15)&amp;"."))</f>
        <v>19</v>
      </c>
      <c r="B48" s="7">
        <f ca="1">OFFSET(ORÇAMENTO!C$15,ROW(B48)-ROW(B$15),0)</f>
        <v>3</v>
      </c>
      <c r="C48" s="7" t="str">
        <f ca="1">OFFSET(ORÇAMENTO!L$15,ROW(C48)-ROW(C$15),0)</f>
        <v>F</v>
      </c>
      <c r="D48" s="118" t="str">
        <f ca="1">OFFSET(ORÇAMENTO!N$15,ROW(D48)-ROW(D$15),0)</f>
        <v>Nível 3</v>
      </c>
      <c r="E48" s="119" t="str">
        <f ca="1">OFFSET(ORÇAMENTO!O$15,ROW(E48)-ROW(E$15),0)</f>
        <v>1.5.3.</v>
      </c>
      <c r="F48" s="170" t="str">
        <f ca="1">OFFSET(ORÇAMENTO!R$15,ROW(F48)-ROW(F$15),0)</f>
        <v>ESTRUTURA METÁLICA</v>
      </c>
      <c r="G48" s="171" t="str">
        <f ca="1">IF($D48&lt;&gt;"Serviço","",OFFSET(ORÇAMENTO!S$15,ROW(G48)-ROW(G$15),0))</f>
        <v/>
      </c>
      <c r="H48" s="124" cm="1">
        <f t="array" aca="1" ref="H48" ca="1">IF($D48&lt;&gt;"Serviço",0,IF(_xlfn.SINGLE(ACOMPANHAMENTO)="BM",ROUND(OFFSET(ORÇAMENTO!AJ$15,ROW(H48)-ROW(H$15),0),15-13*ORÇAMENTO!$AF$7),SUMPRODUCT(($Q$1:$AI$1)*ROUND($Q48:$AI48,15-13*ORÇAMENTO!$AF$7))))</f>
        <v>0</v>
      </c>
      <c r="I48" s="500"/>
      <c r="J48" s="632" t="str" cm="1">
        <f t="array" aca="1" ref="J48" ca="1">IF(B48&lt;&gt;"S","",IF(AND(ACOMPANHAMENTO="PLE",AUTOEVENTO="Manual",OR(H48&gt;0,ORÇAMENTO!AC48="QUANT."),OR(K48="",M48=0,N48="")),"►",IF(AND(ACOMPANHAMENTO="PLE",ORÇAMENTO!AC48="QUANT."),"►►",IF(AND(COUNTIF($P$11:$AI$11,"▼")=0,H48&gt;0,I48=""),"◄",""))))</f>
        <v/>
      </c>
      <c r="K48" s="624"/>
      <c r="L48" s="172" t="s">
        <v>253</v>
      </c>
      <c r="M48" s="173" t="str">
        <f ca="1">IF($D48&lt;&gt;"Serviço","",
          IF(AUTOEVENTO="manual",$A48,
                IF(ISERROR(MATCH($A48,$A$15:OFFSET($A48,-1,0),0)),MAX($M$15:OFFSET(M48,-1,0))+1,
                      INDEX($M$15:OFFSET(M48,-1,0),MATCH($A48,$A$15:OFFSET($A48,-1,0),0)))))</f>
        <v/>
      </c>
      <c r="N48" s="174" t="str">
        <f ca="1">IF($D48&lt;&gt;"Serviço","",
         IF(AUTOEVENTO="Manual",
                IF($A48=0,"&lt;-- defina o número do agrupador",
                       OFFSET(EVENTOS!$D$15,$A48-$A$15,0)),
                OFFSET($F$15,$A48,0)))</f>
        <v/>
      </c>
      <c r="O48" s="175"/>
      <c r="Q48" s="175"/>
      <c r="R48" s="176"/>
      <c r="S48" s="176"/>
      <c r="T48" s="176"/>
      <c r="U48" s="176"/>
      <c r="V48" s="176"/>
      <c r="W48" s="176"/>
      <c r="X48" s="176"/>
      <c r="Y48" s="176"/>
      <c r="Z48" s="177"/>
      <c r="AA48" s="176"/>
      <c r="AB48" s="176"/>
      <c r="AC48" s="176"/>
      <c r="AD48" s="176"/>
      <c r="AE48" s="176"/>
      <c r="AF48" s="176"/>
      <c r="AG48" s="176"/>
      <c r="AH48" s="177"/>
      <c r="AJ48" s="485">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85">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L48" s="485">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0</v>
      </c>
      <c r="AM48" s="485">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0</v>
      </c>
      <c r="AN48" s="485">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85">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85">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85">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85">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85">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85">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85">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85">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85">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85">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85">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85">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85">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8">
        <f ca="1">IF(OR($D48&lt;&gt;"Serviço",AND(AUTOEVENTO="Manual",$M48=$A$15)),0,
         IF(OFFSET(CRONOPLE!$F$15,$M48-$A$15,BC$13)="",10^12,OFFSET(CRONOPLE!$F$15,$M48-$A$15,BC$13)))</f>
        <v>0</v>
      </c>
      <c r="BD48" s="178">
        <f ca="1">IF(OR($D48&lt;&gt;"Serviço",AND(AUTOEVENTO="Manual",$M48=$A$15)),0,
         IF(OFFSET(CRONOPLE!$F$15,$M48-$A$15,BD$13)="",10^12,OFFSET(CRONOPLE!$F$15,$M48-$A$15,BD$13)))</f>
        <v>0</v>
      </c>
      <c r="BE48" s="178">
        <f ca="1">IF(OR($D48&lt;&gt;"Serviço",AND(AUTOEVENTO="Manual",$M48=$A$15)),0,
         IF(OFFSET(CRONOPLE!$F$15,$M48-$A$15,BE$13)="",10^12,OFFSET(CRONOPLE!$F$15,$M48-$A$15,BE$13)))</f>
        <v>0</v>
      </c>
      <c r="BF48" s="178">
        <f ca="1">IF(OR($D48&lt;&gt;"Serviço",AND(AUTOEVENTO="Manual",$M48=$A$15)),0,
         IF(OFFSET(CRONOPLE!$F$15,$M48-$A$15,BF$13)="",10^12,OFFSET(CRONOPLE!$F$15,$M48-$A$15,BF$13)))</f>
        <v>0</v>
      </c>
      <c r="BG48" s="178">
        <f ca="1">IF(OR($D48&lt;&gt;"Serviço",AND(AUTOEVENTO="Manual",$M48=$A$15)),0,
         IF(OFFSET(CRONOPLE!$F$15,$M48-$A$15,BG$13)="",10^12,OFFSET(CRONOPLE!$F$15,$M48-$A$15,BG$13)))</f>
        <v>0</v>
      </c>
      <c r="BH48" s="178">
        <f ca="1">IF(OR($D48&lt;&gt;"Serviço",AND(AUTOEVENTO="Manual",$M48=$A$15)),0,
         IF(OFFSET(CRONOPLE!$F$15,$M48-$A$15,BH$13)="",10^12,OFFSET(CRONOPLE!$F$15,$M48-$A$15,BH$13)))</f>
        <v>0</v>
      </c>
      <c r="BI48" s="178">
        <f ca="1">IF(OR($D48&lt;&gt;"Serviço",AND(AUTOEVENTO="Manual",$M48=$A$15)),0,
         IF(OFFSET(CRONOPLE!$F$15,$M48-$A$15,BI$13)="",10^12,OFFSET(CRONOPLE!$F$15,$M48-$A$15,BI$13)))</f>
        <v>0</v>
      </c>
      <c r="BJ48" s="178">
        <f ca="1">IF(OR($D48&lt;&gt;"Serviço",AND(AUTOEVENTO="Manual",$M48=$A$15)),0,
         IF(OFFSET(CRONOPLE!$F$15,$M48-$A$15,BJ$13)="",10^12,OFFSET(CRONOPLE!$F$15,$M48-$A$15,BJ$13)))</f>
        <v>0</v>
      </c>
      <c r="BK48" s="178">
        <f ca="1">IF(OR($D48&lt;&gt;"Serviço",AND(AUTOEVENTO="Manual",$M48=$A$15)),0,
         IF(OFFSET(CRONOPLE!$F$15,$M48-$A$15,BK$13)="",10^12,OFFSET(CRONOPLE!$F$15,$M48-$A$15,BK$13)))</f>
        <v>0</v>
      </c>
      <c r="BL48" s="178">
        <f ca="1">IF(OR($D48&lt;&gt;"Serviço",AND(AUTOEVENTO="Manual",$M48=$A$15)),0,
         IF(OFFSET(CRONOPLE!$F$15,$M48-$A$15,BL$13)="",10^12,OFFSET(CRONOPLE!$F$15,$M48-$A$15,BL$13)))</f>
        <v>0</v>
      </c>
      <c r="BM48" s="178">
        <f ca="1">IF(OR($D48&lt;&gt;"Serviço",AND(AUTOEVENTO="Manual",$M48=$A$15)),0,
         IF(OFFSET(CRONOPLE!$F$15,$M48-$A$15,BM$13)="",10^12,OFFSET(CRONOPLE!$F$15,$M48-$A$15,BM$13)))</f>
        <v>0</v>
      </c>
      <c r="BN48" s="178">
        <f ca="1">IF(OR($D48&lt;&gt;"Serviço",AND(AUTOEVENTO="Manual",$M48=$A$15)),0,
         IF(OFFSET(CRONOPLE!$F$15,$M48-$A$15,BN$13)="",10^12,OFFSET(CRONOPLE!$F$15,$M48-$A$15,BN$13)))</f>
        <v>0</v>
      </c>
      <c r="BO48" s="178">
        <f ca="1">IF(OR($D48&lt;&gt;"Serviço",AND(AUTOEVENTO="Manual",$M48=$A$15)),0,
         IF(OFFSET(CRONOPLE!$F$15,$M48-$A$15,BO$13)="",10^12,OFFSET(CRONOPLE!$F$15,$M48-$A$15,BO$13)))</f>
        <v>0</v>
      </c>
      <c r="BP48" s="178">
        <f ca="1">IF(OR($D48&lt;&gt;"Serviço",AND(AUTOEVENTO="Manual",$M48=$A$15)),0,
         IF(OFFSET(CRONOPLE!$F$15,$M48-$A$15,BP$13)="",10^12,OFFSET(CRONOPLE!$F$15,$M48-$A$15,BP$13)))</f>
        <v>0</v>
      </c>
      <c r="BQ48" s="178">
        <f ca="1">IF(OR($D48&lt;&gt;"Serviço",AND(AUTOEVENTO="Manual",$M48=$A$15)),0,
         IF(OFFSET(CRONOPLE!$F$15,$M48-$A$15,BQ$13)="",10^12,OFFSET(CRONOPLE!$F$15,$M48-$A$15,BQ$13)))</f>
        <v>0</v>
      </c>
      <c r="BR48" s="178">
        <f ca="1">IF(OR($D48&lt;&gt;"Serviço",AND(AUTOEVENTO="Manual",$M48=$A$15)),0,
         IF(OFFSET(CRONOPLE!$F$15,$M48-$A$15,BR$13)="",10^12,OFFSET(CRONOPLE!$F$15,$M48-$A$15,BR$13)))</f>
        <v>0</v>
      </c>
      <c r="BS48" s="178">
        <f ca="1">IF(OR($D48&lt;&gt;"Serviço",AND(AUTOEVENTO="Manual",$M48=$A$15)),0,
         IF(OFFSET(CRONOPLE!$F$15,$M48-$A$15,BS$13)="",10^12,OFFSET(CRONOPLE!$F$15,$M48-$A$15,BS$13)))</f>
        <v>0</v>
      </c>
      <c r="BT48" s="178">
        <f ca="1">IF(OR($D48&lt;&gt;"Serviço",AND(AUTOEVENTO="Manual",$M48=$A$15)),0,
         IF(OFFSET(CRONOPLE!$F$15,$M48-$A$15,BT$13)="",10^12,OFFSET(CRONOPLE!$F$15,$M48-$A$15,BT$13)))</f>
        <v>0</v>
      </c>
      <c r="BV48" s="179">
        <f ca="1">IF(OR($D48&lt;&gt;"Serviço",AND(AUTOEVENTO="Manual",$M48=$A$15),$M48&gt;(ROW(PLE.lastrow)-ROW(PLE.firstrow))),0,
           IF(OFFSET(PLE!$G$15,$M48-$A$15,BV$13)="",10^12,OFFSET(PLE!$G$15,$M48-$A$15,BV$13)))</f>
        <v>0</v>
      </c>
      <c r="BW48" s="179">
        <f ca="1">IF(OR($D48&lt;&gt;"Serviço",AND(AUTOEVENTO="Manual",$M48=$A$15),$M48&gt;(ROW(PLE.lastrow)-ROW(PLE.firstrow))),0,
           IF(OFFSET(PLE!$G$15,$M48-$A$15,BW$13)="",10^12,OFFSET(PLE!$G$15,$M48-$A$15,BW$13)))</f>
        <v>0</v>
      </c>
      <c r="BX48" s="179">
        <f ca="1">IF(OR($D48&lt;&gt;"Serviço",AND(AUTOEVENTO="Manual",$M48=$A$15),$M48&gt;(ROW(PLE.lastrow)-ROW(PLE.firstrow))),0,
           IF(OFFSET(PLE!$G$15,$M48-$A$15,BX$13)="",10^12,OFFSET(PLE!$G$15,$M48-$A$15,BX$13)))</f>
        <v>0</v>
      </c>
      <c r="BY48" s="179">
        <f ca="1">IF(OR($D48&lt;&gt;"Serviço",AND(AUTOEVENTO="Manual",$M48=$A$15),$M48&gt;(ROW(PLE.lastrow)-ROW(PLE.firstrow))),0,
           IF(OFFSET(PLE!$G$15,$M48-$A$15,BY$13)="",10^12,OFFSET(PLE!$G$15,$M48-$A$15,BY$13)))</f>
        <v>0</v>
      </c>
      <c r="BZ48" s="179">
        <f ca="1">IF(OR($D48&lt;&gt;"Serviço",AND(AUTOEVENTO="Manual",$M48=$A$15),$M48&gt;(ROW(PLE.lastrow)-ROW(PLE.firstrow))),0,
           IF(OFFSET(PLE!$G$15,$M48-$A$15,BZ$13)="",10^12,OFFSET(PLE!$G$15,$M48-$A$15,BZ$13)))</f>
        <v>0</v>
      </c>
      <c r="CA48" s="179">
        <f ca="1">IF(OR($D48&lt;&gt;"Serviço",AND(AUTOEVENTO="Manual",$M48=$A$15),$M48&gt;(ROW(PLE.lastrow)-ROW(PLE.firstrow))),0,
           IF(OFFSET(PLE!$G$15,$M48-$A$15,CA$13)="",10^12,OFFSET(PLE!$G$15,$M48-$A$15,CA$13)))</f>
        <v>0</v>
      </c>
      <c r="CB48" s="179">
        <f ca="1">IF(OR($D48&lt;&gt;"Serviço",AND(AUTOEVENTO="Manual",$M48=$A$15),$M48&gt;(ROW(PLE.lastrow)-ROW(PLE.firstrow))),0,
           IF(OFFSET(PLE!$G$15,$M48-$A$15,CB$13)="",10^12,OFFSET(PLE!$G$15,$M48-$A$15,CB$13)))</f>
        <v>0</v>
      </c>
      <c r="CC48" s="179">
        <f ca="1">IF(OR($D48&lt;&gt;"Serviço",AND(AUTOEVENTO="Manual",$M48=$A$15),$M48&gt;(ROW(PLE.lastrow)-ROW(PLE.firstrow))),0,
           IF(OFFSET(PLE!$G$15,$M48-$A$15,CC$13)="",10^12,OFFSET(PLE!$G$15,$M48-$A$15,CC$13)))</f>
        <v>0</v>
      </c>
      <c r="CD48" s="179">
        <f ca="1">IF(OR($D48&lt;&gt;"Serviço",AND(AUTOEVENTO="Manual",$M48=$A$15),$M48&gt;(ROW(PLE.lastrow)-ROW(PLE.firstrow))),0,
           IF(OFFSET(PLE!$G$15,$M48-$A$15,CD$13)="",10^12,OFFSET(PLE!$G$15,$M48-$A$15,CD$13)))</f>
        <v>0</v>
      </c>
      <c r="CE48" s="179">
        <f ca="1">IF(OR($D48&lt;&gt;"Serviço",AND(AUTOEVENTO="Manual",$M48=$A$15),$M48&gt;(ROW(PLE.lastrow)-ROW(PLE.firstrow))),0,
           IF(OFFSET(PLE!$G$15,$M48-$A$15,CE$13)="",10^12,OFFSET(PLE!$G$15,$M48-$A$15,CE$13)))</f>
        <v>0</v>
      </c>
      <c r="CF48" s="179">
        <f ca="1">IF(OR($D48&lt;&gt;"Serviço",AND(AUTOEVENTO="Manual",$M48=$A$15),$M48&gt;(ROW(PLE.lastrow)-ROW(PLE.firstrow))),0,
           IF(OFFSET(PLE!$G$15,$M48-$A$15,CF$13)="",10^12,OFFSET(PLE!$G$15,$M48-$A$15,CF$13)))</f>
        <v>0</v>
      </c>
      <c r="CG48" s="179">
        <f ca="1">IF(OR($D48&lt;&gt;"Serviço",AND(AUTOEVENTO="Manual",$M48=$A$15),$M48&gt;(ROW(PLE.lastrow)-ROW(PLE.firstrow))),0,
           IF(OFFSET(PLE!$G$15,$M48-$A$15,CG$13)="",10^12,OFFSET(PLE!$G$15,$M48-$A$15,CG$13)))</f>
        <v>0</v>
      </c>
      <c r="CH48" s="179">
        <f ca="1">IF(OR($D48&lt;&gt;"Serviço",AND(AUTOEVENTO="Manual",$M48=$A$15),$M48&gt;(ROW(PLE.lastrow)-ROW(PLE.firstrow))),0,
           IF(OFFSET(PLE!$G$15,$M48-$A$15,CH$13)="",10^12,OFFSET(PLE!$G$15,$M48-$A$15,CH$13)))</f>
        <v>0</v>
      </c>
      <c r="CI48" s="179">
        <f ca="1">IF(OR($D48&lt;&gt;"Serviço",AND(AUTOEVENTO="Manual",$M48=$A$15),$M48&gt;(ROW(PLE.lastrow)-ROW(PLE.firstrow))),0,
           IF(OFFSET(PLE!$G$15,$M48-$A$15,CI$13)="",10^12,OFFSET(PLE!$G$15,$M48-$A$15,CI$13)))</f>
        <v>0</v>
      </c>
      <c r="CJ48" s="179">
        <f ca="1">IF(OR($D48&lt;&gt;"Serviço",AND(AUTOEVENTO="Manual",$M48=$A$15),$M48&gt;(ROW(PLE.lastrow)-ROW(PLE.firstrow))),0,
           IF(OFFSET(PLE!$G$15,$M48-$A$15,CJ$13)="",10^12,OFFSET(PLE!$G$15,$M48-$A$15,CJ$13)))</f>
        <v>0</v>
      </c>
      <c r="CK48" s="179">
        <f ca="1">IF(OR($D48&lt;&gt;"Serviço",AND(AUTOEVENTO="Manual",$M48=$A$15),$M48&gt;(ROW(PLE.lastrow)-ROW(PLE.firstrow))),0,
           IF(OFFSET(PLE!$G$15,$M48-$A$15,CK$13)="",10^12,OFFSET(PLE!$G$15,$M48-$A$15,CK$13)))</f>
        <v>0</v>
      </c>
      <c r="CL48" s="179">
        <f ca="1">IF(OR($D48&lt;&gt;"Serviço",AND(AUTOEVENTO="Manual",$M48=$A$15),$M48&gt;(ROW(PLE.lastrow)-ROW(PLE.firstrow))),0,
           IF(OFFSET(PLE!$G$15,$M48-$A$15,CL$13)="",10^12,OFFSET(PLE!$G$15,$M48-$A$15,CL$13)))</f>
        <v>0</v>
      </c>
      <c r="CM48" s="179">
        <f ca="1">IF(OR($D48&lt;&gt;"Serviço",AND(AUTOEVENTO="Manual",$M48=$A$15),$M48&gt;(ROW(PLE.lastrow)-ROW(PLE.firstrow))),0,
           IF(OFFSET(PLE!$G$15,$M48-$A$15,CM$13)="",10^12,OFFSET(PLE!$G$15,$M48-$A$15,CM$13)))</f>
        <v>0</v>
      </c>
    </row>
    <row r="49" spans="1:91" ht="12.75" x14ac:dyDescent="0.2">
      <c r="A49" s="7" t="str">
        <f ca="1">IF(AUTOEVENTO="Manual",IF(K49&lt;&gt;"",MIN(VALUE(LEFT(K49,FIND(".",K49)-1)),COUNTA(EVENTOS.Lista)),0),IF(OR($B49&gt;AUTOEVENTO,$B49="S",$B49=0),SUBSTITUTE(OFFSET($A49,-1,0),IF($D49="Serviço",".",""),""),ROW(A49)-ROW($A$15)&amp;"."))</f>
        <v>19</v>
      </c>
      <c r="B49" s="7">
        <f ca="1">OFFSET(ORÇAMENTO!C$15,ROW(B49)-ROW(B$15),0)</f>
        <v>4</v>
      </c>
      <c r="C49" s="7" t="str">
        <f ca="1">OFFSET(ORÇAMENTO!L$15,ROW(C49)-ROW(C$15),0)</f>
        <v>F</v>
      </c>
      <c r="D49" s="118" t="str">
        <f ca="1">OFFSET(ORÇAMENTO!N$15,ROW(D49)-ROW(D$15),0)</f>
        <v>Nível 4</v>
      </c>
      <c r="E49" s="119" t="str">
        <f ca="1">OFFSET(ORÇAMENTO!O$15,ROW(E49)-ROW(E$15),0)</f>
        <v>1.5.3.1.</v>
      </c>
      <c r="F49" s="170" t="str">
        <f ca="1">OFFSET(ORÇAMENTO!R$15,ROW(F49)-ROW(F$15),0)</f>
        <v>BLANK DE FIXAÇÃO</v>
      </c>
      <c r="G49" s="171" t="str">
        <f ca="1">IF($D49&lt;&gt;"Serviço","",OFFSET(ORÇAMENTO!S$15,ROW(G49)-ROW(G$15),0))</f>
        <v/>
      </c>
      <c r="H49" s="124" cm="1">
        <f t="array" aca="1" ref="H49" ca="1">IF($D49&lt;&gt;"Serviço",0,IF(_xlfn.SINGLE(ACOMPANHAMENTO)="BM",ROUND(OFFSET(ORÇAMENTO!AJ$15,ROW(H49)-ROW(H$15),0),15-13*ORÇAMENTO!$AF$7),SUMPRODUCT(($Q$1:$AI$1)*ROUND($Q49:$AI49,15-13*ORÇAMENTO!$AF$7))))</f>
        <v>0</v>
      </c>
      <c r="I49" s="500"/>
      <c r="J49" s="632" t="str" cm="1">
        <f t="array" aca="1" ref="J49" ca="1">IF(B49&lt;&gt;"S","",IF(AND(ACOMPANHAMENTO="PLE",AUTOEVENTO="Manual",OR(H49&gt;0,ORÇAMENTO!AC49="QUANT."),OR(K49="",M49=0,N49="")),"►",IF(AND(ACOMPANHAMENTO="PLE",ORÇAMENTO!AC49="QUANT."),"►►",IF(AND(COUNTIF($P$11:$AI$11,"▼")=0,H49&gt;0,I49=""),"◄",""))))</f>
        <v/>
      </c>
      <c r="K49" s="624"/>
      <c r="L49" s="172" t="s">
        <v>253</v>
      </c>
      <c r="M49" s="173" t="str">
        <f ca="1">IF($D49&lt;&gt;"Serviço","",
          IF(AUTOEVENTO="manual",$A49,
                IF(ISERROR(MATCH($A49,$A$15:OFFSET($A49,-1,0),0)),MAX($M$15:OFFSET(M49,-1,0))+1,
                      INDEX($M$15:OFFSET(M49,-1,0),MATCH($A49,$A$15:OFFSET($A49,-1,0),0)))))</f>
        <v/>
      </c>
      <c r="N49" s="174" t="str">
        <f ca="1">IF($D49&lt;&gt;"Serviço","",
         IF(AUTOEVENTO="Manual",
                IF($A49=0,"&lt;-- defina o número do agrupador",
                       OFFSET(EVENTOS!$D$15,$A49-$A$15,0)),
                OFFSET($F$15,$A49,0)))</f>
        <v/>
      </c>
      <c r="O49" s="175"/>
      <c r="Q49" s="175"/>
      <c r="R49" s="176"/>
      <c r="S49" s="176"/>
      <c r="T49" s="176"/>
      <c r="U49" s="176"/>
      <c r="V49" s="176"/>
      <c r="W49" s="176"/>
      <c r="X49" s="176"/>
      <c r="Y49" s="176"/>
      <c r="Z49" s="177"/>
      <c r="AA49" s="176"/>
      <c r="AB49" s="176"/>
      <c r="AC49" s="176"/>
      <c r="AD49" s="176"/>
      <c r="AE49" s="176"/>
      <c r="AF49" s="176"/>
      <c r="AG49" s="176"/>
      <c r="AH49" s="177"/>
      <c r="AJ49" s="485">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85">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L49" s="485">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0</v>
      </c>
      <c r="AM49" s="485">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0</v>
      </c>
      <c r="AN49" s="485">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85">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85">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85">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85">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85">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85">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85">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85">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85">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85">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85">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85">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85">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8">
        <f ca="1">IF(OR($D49&lt;&gt;"Serviço",AND(AUTOEVENTO="Manual",$M49=$A$15)),0,
         IF(OFFSET(CRONOPLE!$F$15,$M49-$A$15,BC$13)="",10^12,OFFSET(CRONOPLE!$F$15,$M49-$A$15,BC$13)))</f>
        <v>0</v>
      </c>
      <c r="BD49" s="178">
        <f ca="1">IF(OR($D49&lt;&gt;"Serviço",AND(AUTOEVENTO="Manual",$M49=$A$15)),0,
         IF(OFFSET(CRONOPLE!$F$15,$M49-$A$15,BD$13)="",10^12,OFFSET(CRONOPLE!$F$15,$M49-$A$15,BD$13)))</f>
        <v>0</v>
      </c>
      <c r="BE49" s="178">
        <f ca="1">IF(OR($D49&lt;&gt;"Serviço",AND(AUTOEVENTO="Manual",$M49=$A$15)),0,
         IF(OFFSET(CRONOPLE!$F$15,$M49-$A$15,BE$13)="",10^12,OFFSET(CRONOPLE!$F$15,$M49-$A$15,BE$13)))</f>
        <v>0</v>
      </c>
      <c r="BF49" s="178">
        <f ca="1">IF(OR($D49&lt;&gt;"Serviço",AND(AUTOEVENTO="Manual",$M49=$A$15)),0,
         IF(OFFSET(CRONOPLE!$F$15,$M49-$A$15,BF$13)="",10^12,OFFSET(CRONOPLE!$F$15,$M49-$A$15,BF$13)))</f>
        <v>0</v>
      </c>
      <c r="BG49" s="178">
        <f ca="1">IF(OR($D49&lt;&gt;"Serviço",AND(AUTOEVENTO="Manual",$M49=$A$15)),0,
         IF(OFFSET(CRONOPLE!$F$15,$M49-$A$15,BG$13)="",10^12,OFFSET(CRONOPLE!$F$15,$M49-$A$15,BG$13)))</f>
        <v>0</v>
      </c>
      <c r="BH49" s="178">
        <f ca="1">IF(OR($D49&lt;&gt;"Serviço",AND(AUTOEVENTO="Manual",$M49=$A$15)),0,
         IF(OFFSET(CRONOPLE!$F$15,$M49-$A$15,BH$13)="",10^12,OFFSET(CRONOPLE!$F$15,$M49-$A$15,BH$13)))</f>
        <v>0</v>
      </c>
      <c r="BI49" s="178">
        <f ca="1">IF(OR($D49&lt;&gt;"Serviço",AND(AUTOEVENTO="Manual",$M49=$A$15)),0,
         IF(OFFSET(CRONOPLE!$F$15,$M49-$A$15,BI$13)="",10^12,OFFSET(CRONOPLE!$F$15,$M49-$A$15,BI$13)))</f>
        <v>0</v>
      </c>
      <c r="BJ49" s="178">
        <f ca="1">IF(OR($D49&lt;&gt;"Serviço",AND(AUTOEVENTO="Manual",$M49=$A$15)),0,
         IF(OFFSET(CRONOPLE!$F$15,$M49-$A$15,BJ$13)="",10^12,OFFSET(CRONOPLE!$F$15,$M49-$A$15,BJ$13)))</f>
        <v>0</v>
      </c>
      <c r="BK49" s="178">
        <f ca="1">IF(OR($D49&lt;&gt;"Serviço",AND(AUTOEVENTO="Manual",$M49=$A$15)),0,
         IF(OFFSET(CRONOPLE!$F$15,$M49-$A$15,BK$13)="",10^12,OFFSET(CRONOPLE!$F$15,$M49-$A$15,BK$13)))</f>
        <v>0</v>
      </c>
      <c r="BL49" s="178">
        <f ca="1">IF(OR($D49&lt;&gt;"Serviço",AND(AUTOEVENTO="Manual",$M49=$A$15)),0,
         IF(OFFSET(CRONOPLE!$F$15,$M49-$A$15,BL$13)="",10^12,OFFSET(CRONOPLE!$F$15,$M49-$A$15,BL$13)))</f>
        <v>0</v>
      </c>
      <c r="BM49" s="178">
        <f ca="1">IF(OR($D49&lt;&gt;"Serviço",AND(AUTOEVENTO="Manual",$M49=$A$15)),0,
         IF(OFFSET(CRONOPLE!$F$15,$M49-$A$15,BM$13)="",10^12,OFFSET(CRONOPLE!$F$15,$M49-$A$15,BM$13)))</f>
        <v>0</v>
      </c>
      <c r="BN49" s="178">
        <f ca="1">IF(OR($D49&lt;&gt;"Serviço",AND(AUTOEVENTO="Manual",$M49=$A$15)),0,
         IF(OFFSET(CRONOPLE!$F$15,$M49-$A$15,BN$13)="",10^12,OFFSET(CRONOPLE!$F$15,$M49-$A$15,BN$13)))</f>
        <v>0</v>
      </c>
      <c r="BO49" s="178">
        <f ca="1">IF(OR($D49&lt;&gt;"Serviço",AND(AUTOEVENTO="Manual",$M49=$A$15)),0,
         IF(OFFSET(CRONOPLE!$F$15,$M49-$A$15,BO$13)="",10^12,OFFSET(CRONOPLE!$F$15,$M49-$A$15,BO$13)))</f>
        <v>0</v>
      </c>
      <c r="BP49" s="178">
        <f ca="1">IF(OR($D49&lt;&gt;"Serviço",AND(AUTOEVENTO="Manual",$M49=$A$15)),0,
         IF(OFFSET(CRONOPLE!$F$15,$M49-$A$15,BP$13)="",10^12,OFFSET(CRONOPLE!$F$15,$M49-$A$15,BP$13)))</f>
        <v>0</v>
      </c>
      <c r="BQ49" s="178">
        <f ca="1">IF(OR($D49&lt;&gt;"Serviço",AND(AUTOEVENTO="Manual",$M49=$A$15)),0,
         IF(OFFSET(CRONOPLE!$F$15,$M49-$A$15,BQ$13)="",10^12,OFFSET(CRONOPLE!$F$15,$M49-$A$15,BQ$13)))</f>
        <v>0</v>
      </c>
      <c r="BR49" s="178">
        <f ca="1">IF(OR($D49&lt;&gt;"Serviço",AND(AUTOEVENTO="Manual",$M49=$A$15)),0,
         IF(OFFSET(CRONOPLE!$F$15,$M49-$A$15,BR$13)="",10^12,OFFSET(CRONOPLE!$F$15,$M49-$A$15,BR$13)))</f>
        <v>0</v>
      </c>
      <c r="BS49" s="178">
        <f ca="1">IF(OR($D49&lt;&gt;"Serviço",AND(AUTOEVENTO="Manual",$M49=$A$15)),0,
         IF(OFFSET(CRONOPLE!$F$15,$M49-$A$15,BS$13)="",10^12,OFFSET(CRONOPLE!$F$15,$M49-$A$15,BS$13)))</f>
        <v>0</v>
      </c>
      <c r="BT49" s="178">
        <f ca="1">IF(OR($D49&lt;&gt;"Serviço",AND(AUTOEVENTO="Manual",$M49=$A$15)),0,
         IF(OFFSET(CRONOPLE!$F$15,$M49-$A$15,BT$13)="",10^12,OFFSET(CRONOPLE!$F$15,$M49-$A$15,BT$13)))</f>
        <v>0</v>
      </c>
      <c r="BV49" s="179">
        <f ca="1">IF(OR($D49&lt;&gt;"Serviço",AND(AUTOEVENTO="Manual",$M49=$A$15),$M49&gt;(ROW(PLE.lastrow)-ROW(PLE.firstrow))),0,
           IF(OFFSET(PLE!$G$15,$M49-$A$15,BV$13)="",10^12,OFFSET(PLE!$G$15,$M49-$A$15,BV$13)))</f>
        <v>0</v>
      </c>
      <c r="BW49" s="179">
        <f ca="1">IF(OR($D49&lt;&gt;"Serviço",AND(AUTOEVENTO="Manual",$M49=$A$15),$M49&gt;(ROW(PLE.lastrow)-ROW(PLE.firstrow))),0,
           IF(OFFSET(PLE!$G$15,$M49-$A$15,BW$13)="",10^12,OFFSET(PLE!$G$15,$M49-$A$15,BW$13)))</f>
        <v>0</v>
      </c>
      <c r="BX49" s="179">
        <f ca="1">IF(OR($D49&lt;&gt;"Serviço",AND(AUTOEVENTO="Manual",$M49=$A$15),$M49&gt;(ROW(PLE.lastrow)-ROW(PLE.firstrow))),0,
           IF(OFFSET(PLE!$G$15,$M49-$A$15,BX$13)="",10^12,OFFSET(PLE!$G$15,$M49-$A$15,BX$13)))</f>
        <v>0</v>
      </c>
      <c r="BY49" s="179">
        <f ca="1">IF(OR($D49&lt;&gt;"Serviço",AND(AUTOEVENTO="Manual",$M49=$A$15),$M49&gt;(ROW(PLE.lastrow)-ROW(PLE.firstrow))),0,
           IF(OFFSET(PLE!$G$15,$M49-$A$15,BY$13)="",10^12,OFFSET(PLE!$G$15,$M49-$A$15,BY$13)))</f>
        <v>0</v>
      </c>
      <c r="BZ49" s="179">
        <f ca="1">IF(OR($D49&lt;&gt;"Serviço",AND(AUTOEVENTO="Manual",$M49=$A$15),$M49&gt;(ROW(PLE.lastrow)-ROW(PLE.firstrow))),0,
           IF(OFFSET(PLE!$G$15,$M49-$A$15,BZ$13)="",10^12,OFFSET(PLE!$G$15,$M49-$A$15,BZ$13)))</f>
        <v>0</v>
      </c>
      <c r="CA49" s="179">
        <f ca="1">IF(OR($D49&lt;&gt;"Serviço",AND(AUTOEVENTO="Manual",$M49=$A$15),$M49&gt;(ROW(PLE.lastrow)-ROW(PLE.firstrow))),0,
           IF(OFFSET(PLE!$G$15,$M49-$A$15,CA$13)="",10^12,OFFSET(PLE!$G$15,$M49-$A$15,CA$13)))</f>
        <v>0</v>
      </c>
      <c r="CB49" s="179">
        <f ca="1">IF(OR($D49&lt;&gt;"Serviço",AND(AUTOEVENTO="Manual",$M49=$A$15),$M49&gt;(ROW(PLE.lastrow)-ROW(PLE.firstrow))),0,
           IF(OFFSET(PLE!$G$15,$M49-$A$15,CB$13)="",10^12,OFFSET(PLE!$G$15,$M49-$A$15,CB$13)))</f>
        <v>0</v>
      </c>
      <c r="CC49" s="179">
        <f ca="1">IF(OR($D49&lt;&gt;"Serviço",AND(AUTOEVENTO="Manual",$M49=$A$15),$M49&gt;(ROW(PLE.lastrow)-ROW(PLE.firstrow))),0,
           IF(OFFSET(PLE!$G$15,$M49-$A$15,CC$13)="",10^12,OFFSET(PLE!$G$15,$M49-$A$15,CC$13)))</f>
        <v>0</v>
      </c>
      <c r="CD49" s="179">
        <f ca="1">IF(OR($D49&lt;&gt;"Serviço",AND(AUTOEVENTO="Manual",$M49=$A$15),$M49&gt;(ROW(PLE.lastrow)-ROW(PLE.firstrow))),0,
           IF(OFFSET(PLE!$G$15,$M49-$A$15,CD$13)="",10^12,OFFSET(PLE!$G$15,$M49-$A$15,CD$13)))</f>
        <v>0</v>
      </c>
      <c r="CE49" s="179">
        <f ca="1">IF(OR($D49&lt;&gt;"Serviço",AND(AUTOEVENTO="Manual",$M49=$A$15),$M49&gt;(ROW(PLE.lastrow)-ROW(PLE.firstrow))),0,
           IF(OFFSET(PLE!$G$15,$M49-$A$15,CE$13)="",10^12,OFFSET(PLE!$G$15,$M49-$A$15,CE$13)))</f>
        <v>0</v>
      </c>
      <c r="CF49" s="179">
        <f ca="1">IF(OR($D49&lt;&gt;"Serviço",AND(AUTOEVENTO="Manual",$M49=$A$15),$M49&gt;(ROW(PLE.lastrow)-ROW(PLE.firstrow))),0,
           IF(OFFSET(PLE!$G$15,$M49-$A$15,CF$13)="",10^12,OFFSET(PLE!$G$15,$M49-$A$15,CF$13)))</f>
        <v>0</v>
      </c>
      <c r="CG49" s="179">
        <f ca="1">IF(OR($D49&lt;&gt;"Serviço",AND(AUTOEVENTO="Manual",$M49=$A$15),$M49&gt;(ROW(PLE.lastrow)-ROW(PLE.firstrow))),0,
           IF(OFFSET(PLE!$G$15,$M49-$A$15,CG$13)="",10^12,OFFSET(PLE!$G$15,$M49-$A$15,CG$13)))</f>
        <v>0</v>
      </c>
      <c r="CH49" s="179">
        <f ca="1">IF(OR($D49&lt;&gt;"Serviço",AND(AUTOEVENTO="Manual",$M49=$A$15),$M49&gt;(ROW(PLE.lastrow)-ROW(PLE.firstrow))),0,
           IF(OFFSET(PLE!$G$15,$M49-$A$15,CH$13)="",10^12,OFFSET(PLE!$G$15,$M49-$A$15,CH$13)))</f>
        <v>0</v>
      </c>
      <c r="CI49" s="179">
        <f ca="1">IF(OR($D49&lt;&gt;"Serviço",AND(AUTOEVENTO="Manual",$M49=$A$15),$M49&gt;(ROW(PLE.lastrow)-ROW(PLE.firstrow))),0,
           IF(OFFSET(PLE!$G$15,$M49-$A$15,CI$13)="",10^12,OFFSET(PLE!$G$15,$M49-$A$15,CI$13)))</f>
        <v>0</v>
      </c>
      <c r="CJ49" s="179">
        <f ca="1">IF(OR($D49&lt;&gt;"Serviço",AND(AUTOEVENTO="Manual",$M49=$A$15),$M49&gt;(ROW(PLE.lastrow)-ROW(PLE.firstrow))),0,
           IF(OFFSET(PLE!$G$15,$M49-$A$15,CJ$13)="",10^12,OFFSET(PLE!$G$15,$M49-$A$15,CJ$13)))</f>
        <v>0</v>
      </c>
      <c r="CK49" s="179">
        <f ca="1">IF(OR($D49&lt;&gt;"Serviço",AND(AUTOEVENTO="Manual",$M49=$A$15),$M49&gt;(ROW(PLE.lastrow)-ROW(PLE.firstrow))),0,
           IF(OFFSET(PLE!$G$15,$M49-$A$15,CK$13)="",10^12,OFFSET(PLE!$G$15,$M49-$A$15,CK$13)))</f>
        <v>0</v>
      </c>
      <c r="CL49" s="179">
        <f ca="1">IF(OR($D49&lt;&gt;"Serviço",AND(AUTOEVENTO="Manual",$M49=$A$15),$M49&gt;(ROW(PLE.lastrow)-ROW(PLE.firstrow))),0,
           IF(OFFSET(PLE!$G$15,$M49-$A$15,CL$13)="",10^12,OFFSET(PLE!$G$15,$M49-$A$15,CL$13)))</f>
        <v>0</v>
      </c>
      <c r="CM49" s="179">
        <f ca="1">IF(OR($D49&lt;&gt;"Serviço",AND(AUTOEVENTO="Manual",$M49=$A$15),$M49&gt;(ROW(PLE.lastrow)-ROW(PLE.firstrow))),0,
           IF(OFFSET(PLE!$G$15,$M49-$A$15,CM$13)="",10^12,OFFSET(PLE!$G$15,$M49-$A$15,CM$13)))</f>
        <v>0</v>
      </c>
    </row>
    <row r="50" spans="1:91" ht="51" x14ac:dyDescent="0.2">
      <c r="A50" s="7" t="str">
        <f ca="1">IF(AUTOEVENTO="Manual",IF(K50&lt;&gt;"",MIN(VALUE(LEFT(K50,FIND(".",K50)-1)),COUNTA(EVENTOS.Lista)),0),IF(OR($B50&gt;AUTOEVENTO,$B50="S",$B50=0),SUBSTITUTE(OFFSET($A50,-1,0),IF($D50="Serviço",".",""),""),ROW(A50)-ROW($A$15)&amp;"."))</f>
        <v>19</v>
      </c>
      <c r="B50" s="7" t="str">
        <f ca="1">OFFSET(ORÇAMENTO!C$15,ROW(B50)-ROW(B$15),0)</f>
        <v>S</v>
      </c>
      <c r="C50" s="7" t="str">
        <f ca="1">OFFSET(ORÇAMENTO!L$15,ROW(C50)-ROW(C$15),0)</f>
        <v>F</v>
      </c>
      <c r="D50" s="118" t="str">
        <f ca="1">OFFSET(ORÇAMENTO!N$15,ROW(D50)-ROW(D$15),0)</f>
        <v>Serviço</v>
      </c>
      <c r="E50" s="119" t="str">
        <f ca="1">OFFSET(ORÇAMENTO!O$15,ROW(E50)-ROW(E$15),0)</f>
        <v>1.5.3.1.1.</v>
      </c>
      <c r="F50" s="170" t="str">
        <f ca="1">OFFSET(ORÇAMENTO!R$15,ROW(F50)-ROW(F$15),0)</f>
        <v>​COM-13231562​ BLANCK DE FIXAÇÃO EM CHAPA DE AÇO, ESPESSURA 3/4", DIMENSÕES 50X25CM - FORNECIMENTO E INSTALAÇÃO​ (UND)</v>
      </c>
      <c r="G50" s="171" t="str">
        <f ca="1">IF($D50&lt;&gt;"Serviço","",OFFSET(ORÇAMENTO!S$15,ROW(G50)-ROW(G$15),0))</f>
        <v>UN</v>
      </c>
      <c r="H50" s="124" cm="1">
        <f t="array" aca="1" ref="H50" ca="1">IF($D50&lt;&gt;"Serviço",0,IF(_xlfn.SINGLE(ACOMPANHAMENTO)="BM",ROUND(OFFSET(ORÇAMENTO!AJ$15,ROW(H50)-ROW(H$15),0),15-13*ORÇAMENTO!$AF$7),SUMPRODUCT(($Q$1:$AI$1)*ROUND($Q50:$AI50,15-13*ORÇAMENTO!$AF$7))))</f>
        <v>41</v>
      </c>
      <c r="I50" s="500" t="s">
        <v>1055</v>
      </c>
      <c r="J50" s="632" t="str" cm="1">
        <f t="array" aca="1" ref="J50" ca="1">IF(B50&lt;&gt;"S","",IF(AND(ACOMPANHAMENTO="PLE",AUTOEVENTO="Manual",OR(H50&gt;0,ORÇAMENTO!AC50="QUANT."),OR(K50="",M50=0,N50="")),"►",IF(AND(ACOMPANHAMENTO="PLE",ORÇAMENTO!AC50="QUANT."),"►►",IF(AND(COUNTIF($P$11:$AI$11,"▼")=0,H50&gt;0,I50=""),"◄",""))))</f>
        <v/>
      </c>
      <c r="K50" s="624"/>
      <c r="L50" s="172" t="s">
        <v>253</v>
      </c>
      <c r="M50" s="173">
        <f ca="1">IF($D50&lt;&gt;"Serviço","",
          IF(AUTOEVENTO="manual",$A50,
                IF(ISERROR(MATCH($A50,$A$15:OFFSET($A50,-1,0),0)),MAX($M$15:OFFSET(M50,-1,0))+1,
                      INDEX($M$15:OFFSET(M50,-1,0),MATCH($A50,$A$15:OFFSET($A50,-1,0),0)))))</f>
        <v>5</v>
      </c>
      <c r="N50" s="174" t="str">
        <f ca="1">IF($D50&lt;&gt;"Serviço","",
         IF(AUTOEVENTO="Manual",
                IF($A50=0,"&lt;-- defina o número do agrupador",
                       OFFSET(EVENTOS!$D$15,$A50-$A$15,0)),
                OFFSET($F$15,$A50,0)))</f>
        <v>ESTRUTURA E FUNDAÇÕES - PROJETO E ORÇAMENTO TERCERIZADO - AZEVEDO ENGENHARIA (AZ ENG)</v>
      </c>
      <c r="O50" s="175"/>
      <c r="Q50" s="175"/>
      <c r="R50" s="176"/>
      <c r="S50" s="176">
        <v>41</v>
      </c>
      <c r="T50" s="176"/>
      <c r="U50" s="176"/>
      <c r="V50" s="176"/>
      <c r="W50" s="176"/>
      <c r="X50" s="176"/>
      <c r="Y50" s="176"/>
      <c r="Z50" s="177"/>
      <c r="AA50" s="176"/>
      <c r="AB50" s="176"/>
      <c r="AC50" s="176"/>
      <c r="AD50" s="176"/>
      <c r="AE50" s="176"/>
      <c r="AF50" s="176"/>
      <c r="AG50" s="176"/>
      <c r="AH50" s="177"/>
      <c r="AJ50" s="485">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85">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L50" s="485">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16133.09</v>
      </c>
      <c r="AM50" s="485">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0</v>
      </c>
      <c r="AN50" s="485">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85">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85">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85">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85">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85">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85">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85">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85">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85">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85">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85">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85">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85">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8">
        <f ca="1">IF(OR($D50&lt;&gt;"Serviço",AND(AUTOEVENTO="Manual",$M50=$A$15)),0,
         IF(OFFSET(CRONOPLE!$F$15,$M50-$A$15,BC$13)="",10^12,OFFSET(CRONOPLE!$F$15,$M50-$A$15,BC$13)))</f>
        <v>1</v>
      </c>
      <c r="BD50" s="178">
        <f ca="1">IF(OR($D50&lt;&gt;"Serviço",AND(AUTOEVENTO="Manual",$M50=$A$15)),0,
         IF(OFFSET(CRONOPLE!$F$15,$M50-$A$15,BD$13)="",10^12,OFFSET(CRONOPLE!$F$15,$M50-$A$15,BD$13)))</f>
        <v>2</v>
      </c>
      <c r="BE50" s="178">
        <f ca="1">IF(OR($D50&lt;&gt;"Serviço",AND(AUTOEVENTO="Manual",$M50=$A$15)),0,
         IF(OFFSET(CRONOPLE!$F$15,$M50-$A$15,BE$13)="",10^12,OFFSET(CRONOPLE!$F$15,$M50-$A$15,BE$13)))</f>
        <v>3</v>
      </c>
      <c r="BF50" s="178">
        <f ca="1">IF(OR($D50&lt;&gt;"Serviço",AND(AUTOEVENTO="Manual",$M50=$A$15)),0,
         IF(OFFSET(CRONOPLE!$F$15,$M50-$A$15,BF$13)="",10^12,OFFSET(CRONOPLE!$F$15,$M50-$A$15,BF$13)))</f>
        <v>4</v>
      </c>
      <c r="BG50" s="178">
        <f ca="1">IF(OR($D50&lt;&gt;"Serviço",AND(AUTOEVENTO="Manual",$M50=$A$15)),0,
         IF(OFFSET(CRONOPLE!$F$15,$M50-$A$15,BG$13)="",10^12,OFFSET(CRONOPLE!$F$15,$M50-$A$15,BG$13)))</f>
        <v>5</v>
      </c>
      <c r="BH50" s="178">
        <f ca="1">IF(OR($D50&lt;&gt;"Serviço",AND(AUTOEVENTO="Manual",$M50=$A$15)),0,
         IF(OFFSET(CRONOPLE!$F$15,$M50-$A$15,BH$13)="",10^12,OFFSET(CRONOPLE!$F$15,$M50-$A$15,BH$13)))</f>
        <v>6</v>
      </c>
      <c r="BI50" s="178">
        <f ca="1">IF(OR($D50&lt;&gt;"Serviço",AND(AUTOEVENTO="Manual",$M50=$A$15)),0,
         IF(OFFSET(CRONOPLE!$F$15,$M50-$A$15,BI$13)="",10^12,OFFSET(CRONOPLE!$F$15,$M50-$A$15,BI$13)))</f>
        <v>7</v>
      </c>
      <c r="BJ50" s="178">
        <f ca="1">IF(OR($D50&lt;&gt;"Serviço",AND(AUTOEVENTO="Manual",$M50=$A$15)),0,
         IF(OFFSET(CRONOPLE!$F$15,$M50-$A$15,BJ$13)="",10^12,OFFSET(CRONOPLE!$F$15,$M50-$A$15,BJ$13)))</f>
        <v>1000000000000</v>
      </c>
      <c r="BK50" s="178">
        <f ca="1">IF(OR($D50&lt;&gt;"Serviço",AND(AUTOEVENTO="Manual",$M50=$A$15)),0,
         IF(OFFSET(CRONOPLE!$F$15,$M50-$A$15,BK$13)="",10^12,OFFSET(CRONOPLE!$F$15,$M50-$A$15,BK$13)))</f>
        <v>1000000000000</v>
      </c>
      <c r="BL50" s="178">
        <f ca="1">IF(OR($D50&lt;&gt;"Serviço",AND(AUTOEVENTO="Manual",$M50=$A$15)),0,
         IF(OFFSET(CRONOPLE!$F$15,$M50-$A$15,BL$13)="",10^12,OFFSET(CRONOPLE!$F$15,$M50-$A$15,BL$13)))</f>
        <v>1000000000000</v>
      </c>
      <c r="BM50" s="178">
        <f ca="1">IF(OR($D50&lt;&gt;"Serviço",AND(AUTOEVENTO="Manual",$M50=$A$15)),0,
         IF(OFFSET(CRONOPLE!$F$15,$M50-$A$15,BM$13)="",10^12,OFFSET(CRONOPLE!$F$15,$M50-$A$15,BM$13)))</f>
        <v>1000000000000</v>
      </c>
      <c r="BN50" s="178">
        <f ca="1">IF(OR($D50&lt;&gt;"Serviço",AND(AUTOEVENTO="Manual",$M50=$A$15)),0,
         IF(OFFSET(CRONOPLE!$F$15,$M50-$A$15,BN$13)="",10^12,OFFSET(CRONOPLE!$F$15,$M50-$A$15,BN$13)))</f>
        <v>1000000000000</v>
      </c>
      <c r="BO50" s="178">
        <f ca="1">IF(OR($D50&lt;&gt;"Serviço",AND(AUTOEVENTO="Manual",$M50=$A$15)),0,
         IF(OFFSET(CRONOPLE!$F$15,$M50-$A$15,BO$13)="",10^12,OFFSET(CRONOPLE!$F$15,$M50-$A$15,BO$13)))</f>
        <v>1000000000000</v>
      </c>
      <c r="BP50" s="178">
        <f ca="1">IF(OR($D50&lt;&gt;"Serviço",AND(AUTOEVENTO="Manual",$M50=$A$15)),0,
         IF(OFFSET(CRONOPLE!$F$15,$M50-$A$15,BP$13)="",10^12,OFFSET(CRONOPLE!$F$15,$M50-$A$15,BP$13)))</f>
        <v>1000000000000</v>
      </c>
      <c r="BQ50" s="178">
        <f ca="1">IF(OR($D50&lt;&gt;"Serviço",AND(AUTOEVENTO="Manual",$M50=$A$15)),0,
         IF(OFFSET(CRONOPLE!$F$15,$M50-$A$15,BQ$13)="",10^12,OFFSET(CRONOPLE!$F$15,$M50-$A$15,BQ$13)))</f>
        <v>1000000000000</v>
      </c>
      <c r="BR50" s="178">
        <f ca="1">IF(OR($D50&lt;&gt;"Serviço",AND(AUTOEVENTO="Manual",$M50=$A$15)),0,
         IF(OFFSET(CRONOPLE!$F$15,$M50-$A$15,BR$13)="",10^12,OFFSET(CRONOPLE!$F$15,$M50-$A$15,BR$13)))</f>
        <v>1000000000000</v>
      </c>
      <c r="BS50" s="178">
        <f ca="1">IF(OR($D50&lt;&gt;"Serviço",AND(AUTOEVENTO="Manual",$M50=$A$15)),0,
         IF(OFFSET(CRONOPLE!$F$15,$M50-$A$15,BS$13)="",10^12,OFFSET(CRONOPLE!$F$15,$M50-$A$15,BS$13)))</f>
        <v>1000000000000</v>
      </c>
      <c r="BT50" s="178">
        <f ca="1">IF(OR($D50&lt;&gt;"Serviço",AND(AUTOEVENTO="Manual",$M50=$A$15)),0,
         IF(OFFSET(CRONOPLE!$F$15,$M50-$A$15,BT$13)="",10^12,OFFSET(CRONOPLE!$F$15,$M50-$A$15,BT$13)))</f>
        <v>1000000000000</v>
      </c>
      <c r="BV50" s="179">
        <f ca="1">IF(OR($D50&lt;&gt;"Serviço",AND(AUTOEVENTO="Manual",$M50=$A$15),$M50&gt;(ROW(PLE.lastrow)-ROW(PLE.firstrow))),0,
           IF(OFFSET(PLE!$G$15,$M50-$A$15,BV$13)="",10^12,OFFSET(PLE!$G$15,$M50-$A$15,BV$13)))</f>
        <v>1000000000000</v>
      </c>
      <c r="BW50" s="179">
        <f ca="1">IF(OR($D50&lt;&gt;"Serviço",AND(AUTOEVENTO="Manual",$M50=$A$15),$M50&gt;(ROW(PLE.lastrow)-ROW(PLE.firstrow))),0,
           IF(OFFSET(PLE!$G$15,$M50-$A$15,BW$13)="",10^12,OFFSET(PLE!$G$15,$M50-$A$15,BW$13)))</f>
        <v>1000000000000</v>
      </c>
      <c r="BX50" s="179">
        <f ca="1">IF(OR($D50&lt;&gt;"Serviço",AND(AUTOEVENTO="Manual",$M50=$A$15),$M50&gt;(ROW(PLE.lastrow)-ROW(PLE.firstrow))),0,
           IF(OFFSET(PLE!$G$15,$M50-$A$15,BX$13)="",10^12,OFFSET(PLE!$G$15,$M50-$A$15,BX$13)))</f>
        <v>1000000000000</v>
      </c>
      <c r="BY50" s="179">
        <f ca="1">IF(OR($D50&lt;&gt;"Serviço",AND(AUTOEVENTO="Manual",$M50=$A$15),$M50&gt;(ROW(PLE.lastrow)-ROW(PLE.firstrow))),0,
           IF(OFFSET(PLE!$G$15,$M50-$A$15,BY$13)="",10^12,OFFSET(PLE!$G$15,$M50-$A$15,BY$13)))</f>
        <v>1000000000000</v>
      </c>
      <c r="BZ50" s="179">
        <f ca="1">IF(OR($D50&lt;&gt;"Serviço",AND(AUTOEVENTO="Manual",$M50=$A$15),$M50&gt;(ROW(PLE.lastrow)-ROW(PLE.firstrow))),0,
           IF(OFFSET(PLE!$G$15,$M50-$A$15,BZ$13)="",10^12,OFFSET(PLE!$G$15,$M50-$A$15,BZ$13)))</f>
        <v>1000000000000</v>
      </c>
      <c r="CA50" s="179">
        <f ca="1">IF(OR($D50&lt;&gt;"Serviço",AND(AUTOEVENTO="Manual",$M50=$A$15),$M50&gt;(ROW(PLE.lastrow)-ROW(PLE.firstrow))),0,
           IF(OFFSET(PLE!$G$15,$M50-$A$15,CA$13)="",10^12,OFFSET(PLE!$G$15,$M50-$A$15,CA$13)))</f>
        <v>1000000000000</v>
      </c>
      <c r="CB50" s="179">
        <f ca="1">IF(OR($D50&lt;&gt;"Serviço",AND(AUTOEVENTO="Manual",$M50=$A$15),$M50&gt;(ROW(PLE.lastrow)-ROW(PLE.firstrow))),0,
           IF(OFFSET(PLE!$G$15,$M50-$A$15,CB$13)="",10^12,OFFSET(PLE!$G$15,$M50-$A$15,CB$13)))</f>
        <v>1000000000000</v>
      </c>
      <c r="CC50" s="179">
        <f ca="1">IF(OR($D50&lt;&gt;"Serviço",AND(AUTOEVENTO="Manual",$M50=$A$15),$M50&gt;(ROW(PLE.lastrow)-ROW(PLE.firstrow))),0,
           IF(OFFSET(PLE!$G$15,$M50-$A$15,CC$13)="",10^12,OFFSET(PLE!$G$15,$M50-$A$15,CC$13)))</f>
        <v>1000000000000</v>
      </c>
      <c r="CD50" s="179">
        <f ca="1">IF(OR($D50&lt;&gt;"Serviço",AND(AUTOEVENTO="Manual",$M50=$A$15),$M50&gt;(ROW(PLE.lastrow)-ROW(PLE.firstrow))),0,
           IF(OFFSET(PLE!$G$15,$M50-$A$15,CD$13)="",10^12,OFFSET(PLE!$G$15,$M50-$A$15,CD$13)))</f>
        <v>1000000000000</v>
      </c>
      <c r="CE50" s="179">
        <f ca="1">IF(OR($D50&lt;&gt;"Serviço",AND(AUTOEVENTO="Manual",$M50=$A$15),$M50&gt;(ROW(PLE.lastrow)-ROW(PLE.firstrow))),0,
           IF(OFFSET(PLE!$G$15,$M50-$A$15,CE$13)="",10^12,OFFSET(PLE!$G$15,$M50-$A$15,CE$13)))</f>
        <v>1000000000000</v>
      </c>
      <c r="CF50" s="179">
        <f ca="1">IF(OR($D50&lt;&gt;"Serviço",AND(AUTOEVENTO="Manual",$M50=$A$15),$M50&gt;(ROW(PLE.lastrow)-ROW(PLE.firstrow))),0,
           IF(OFFSET(PLE!$G$15,$M50-$A$15,CF$13)="",10^12,OFFSET(PLE!$G$15,$M50-$A$15,CF$13)))</f>
        <v>1000000000000</v>
      </c>
      <c r="CG50" s="179">
        <f ca="1">IF(OR($D50&lt;&gt;"Serviço",AND(AUTOEVENTO="Manual",$M50=$A$15),$M50&gt;(ROW(PLE.lastrow)-ROW(PLE.firstrow))),0,
           IF(OFFSET(PLE!$G$15,$M50-$A$15,CG$13)="",10^12,OFFSET(PLE!$G$15,$M50-$A$15,CG$13)))</f>
        <v>1000000000000</v>
      </c>
      <c r="CH50" s="179">
        <f ca="1">IF(OR($D50&lt;&gt;"Serviço",AND(AUTOEVENTO="Manual",$M50=$A$15),$M50&gt;(ROW(PLE.lastrow)-ROW(PLE.firstrow))),0,
           IF(OFFSET(PLE!$G$15,$M50-$A$15,CH$13)="",10^12,OFFSET(PLE!$G$15,$M50-$A$15,CH$13)))</f>
        <v>1000000000000</v>
      </c>
      <c r="CI50" s="179">
        <f ca="1">IF(OR($D50&lt;&gt;"Serviço",AND(AUTOEVENTO="Manual",$M50=$A$15),$M50&gt;(ROW(PLE.lastrow)-ROW(PLE.firstrow))),0,
           IF(OFFSET(PLE!$G$15,$M50-$A$15,CI$13)="",10^12,OFFSET(PLE!$G$15,$M50-$A$15,CI$13)))</f>
        <v>1000000000000</v>
      </c>
      <c r="CJ50" s="179">
        <f ca="1">IF(OR($D50&lt;&gt;"Serviço",AND(AUTOEVENTO="Manual",$M50=$A$15),$M50&gt;(ROW(PLE.lastrow)-ROW(PLE.firstrow))),0,
           IF(OFFSET(PLE!$G$15,$M50-$A$15,CJ$13)="",10^12,OFFSET(PLE!$G$15,$M50-$A$15,CJ$13)))</f>
        <v>1000000000000</v>
      </c>
      <c r="CK50" s="179">
        <f ca="1">IF(OR($D50&lt;&gt;"Serviço",AND(AUTOEVENTO="Manual",$M50=$A$15),$M50&gt;(ROW(PLE.lastrow)-ROW(PLE.firstrow))),0,
           IF(OFFSET(PLE!$G$15,$M50-$A$15,CK$13)="",10^12,OFFSET(PLE!$G$15,$M50-$A$15,CK$13)))</f>
        <v>1000000000000</v>
      </c>
      <c r="CL50" s="179">
        <f ca="1">IF(OR($D50&lt;&gt;"Serviço",AND(AUTOEVENTO="Manual",$M50=$A$15),$M50&gt;(ROW(PLE.lastrow)-ROW(PLE.firstrow))),0,
           IF(OFFSET(PLE!$G$15,$M50-$A$15,CL$13)="",10^12,OFFSET(PLE!$G$15,$M50-$A$15,CL$13)))</f>
        <v>1000000000000</v>
      </c>
      <c r="CM50" s="179">
        <f ca="1">IF(OR($D50&lt;&gt;"Serviço",AND(AUTOEVENTO="Manual",$M50=$A$15),$M50&gt;(ROW(PLE.lastrow)-ROW(PLE.firstrow))),0,
           IF(OFFSET(PLE!$G$15,$M50-$A$15,CM$13)="",10^12,OFFSET(PLE!$G$15,$M50-$A$15,CM$13)))</f>
        <v>1000000000000</v>
      </c>
    </row>
    <row r="51" spans="1:91" ht="12.75" x14ac:dyDescent="0.2">
      <c r="A51" s="7" t="str">
        <f ca="1">IF(AUTOEVENTO="Manual",IF(K51&lt;&gt;"",MIN(VALUE(LEFT(K51,FIND(".",K51)-1)),COUNTA(EVENTOS.Lista)),0),IF(OR($B51&gt;AUTOEVENTO,$B51="S",$B51=0),SUBSTITUTE(OFFSET($A51,-1,0),IF($D51="Serviço",".",""),""),ROW(A51)-ROW($A$15)&amp;"."))</f>
        <v>19</v>
      </c>
      <c r="B51" s="7">
        <f ca="1">OFFSET(ORÇAMENTO!C$15,ROW(B51)-ROW(B$15),0)</f>
        <v>4</v>
      </c>
      <c r="C51" s="7" t="str">
        <f ca="1">OFFSET(ORÇAMENTO!L$15,ROW(C51)-ROW(C$15),0)</f>
        <v>F</v>
      </c>
      <c r="D51" s="118" t="str">
        <f ca="1">OFFSET(ORÇAMENTO!N$15,ROW(D51)-ROW(D$15),0)</f>
        <v>Nível 4</v>
      </c>
      <c r="E51" s="119" t="str">
        <f ca="1">OFFSET(ORÇAMENTO!O$15,ROW(E51)-ROW(E$15),0)</f>
        <v>1.5.3.2.</v>
      </c>
      <c r="F51" s="170" t="str">
        <f ca="1">OFFSET(ORÇAMENTO!R$15,ROW(F51)-ROW(F$15),0)</f>
        <v>ESTRUTURA DA COBERTURA</v>
      </c>
      <c r="G51" s="171" t="str">
        <f ca="1">IF($D51&lt;&gt;"Serviço","",OFFSET(ORÇAMENTO!S$15,ROW(G51)-ROW(G$15),0))</f>
        <v/>
      </c>
      <c r="H51" s="124" cm="1">
        <f t="array" aca="1" ref="H51" ca="1">IF($D51&lt;&gt;"Serviço",0,IF(_xlfn.SINGLE(ACOMPANHAMENTO)="BM",ROUND(OFFSET(ORÇAMENTO!AJ$15,ROW(H51)-ROW(H$15),0),15-13*ORÇAMENTO!$AF$7),SUMPRODUCT(($Q$1:$AI$1)*ROUND($Q51:$AI51,15-13*ORÇAMENTO!$AF$7))))</f>
        <v>0</v>
      </c>
      <c r="I51" s="500"/>
      <c r="J51" s="632" t="str" cm="1">
        <f t="array" aca="1" ref="J51" ca="1">IF(B51&lt;&gt;"S","",IF(AND(ACOMPANHAMENTO="PLE",AUTOEVENTO="Manual",OR(H51&gt;0,ORÇAMENTO!AC51="QUANT."),OR(K51="",M51=0,N51="")),"►",IF(AND(ACOMPANHAMENTO="PLE",ORÇAMENTO!AC51="QUANT."),"►►",IF(AND(COUNTIF($P$11:$AI$11,"▼")=0,H51&gt;0,I51=""),"◄",""))))</f>
        <v/>
      </c>
      <c r="K51" s="624"/>
      <c r="L51" s="172" t="s">
        <v>253</v>
      </c>
      <c r="M51" s="173" t="str">
        <f ca="1">IF($D51&lt;&gt;"Serviço","",
          IF(AUTOEVENTO="manual",$A51,
                IF(ISERROR(MATCH($A51,$A$15:OFFSET($A51,-1,0),0)),MAX($M$15:OFFSET(M51,-1,0))+1,
                      INDEX($M$15:OFFSET(M51,-1,0),MATCH($A51,$A$15:OFFSET($A51,-1,0),0)))))</f>
        <v/>
      </c>
      <c r="N51" s="174" t="str">
        <f ca="1">IF($D51&lt;&gt;"Serviço","",
         IF(AUTOEVENTO="Manual",
                IF($A51=0,"&lt;-- defina o número do agrupador",
                       OFFSET(EVENTOS!$D$15,$A51-$A$15,0)),
                OFFSET($F$15,$A51,0)))</f>
        <v/>
      </c>
      <c r="O51" s="175"/>
      <c r="Q51" s="175"/>
      <c r="R51" s="176"/>
      <c r="S51" s="176"/>
      <c r="T51" s="176"/>
      <c r="U51" s="176"/>
      <c r="V51" s="176"/>
      <c r="W51" s="176"/>
      <c r="X51" s="176"/>
      <c r="Y51" s="176"/>
      <c r="Z51" s="177"/>
      <c r="AA51" s="176"/>
      <c r="AB51" s="176"/>
      <c r="AC51" s="176"/>
      <c r="AD51" s="176"/>
      <c r="AE51" s="176"/>
      <c r="AF51" s="176"/>
      <c r="AG51" s="176"/>
      <c r="AH51" s="177"/>
      <c r="AJ51" s="485">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85">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85">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0</v>
      </c>
      <c r="AM51" s="485">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85">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85">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85">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85">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85">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85">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85">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85">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85">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85">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85">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85">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85">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85">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8">
        <f ca="1">IF(OR($D51&lt;&gt;"Serviço",AND(AUTOEVENTO="Manual",$M51=$A$15)),0,
         IF(OFFSET(CRONOPLE!$F$15,$M51-$A$15,BC$13)="",10^12,OFFSET(CRONOPLE!$F$15,$M51-$A$15,BC$13)))</f>
        <v>0</v>
      </c>
      <c r="BD51" s="178">
        <f ca="1">IF(OR($D51&lt;&gt;"Serviço",AND(AUTOEVENTO="Manual",$M51=$A$15)),0,
         IF(OFFSET(CRONOPLE!$F$15,$M51-$A$15,BD$13)="",10^12,OFFSET(CRONOPLE!$F$15,$M51-$A$15,BD$13)))</f>
        <v>0</v>
      </c>
      <c r="BE51" s="178">
        <f ca="1">IF(OR($D51&lt;&gt;"Serviço",AND(AUTOEVENTO="Manual",$M51=$A$15)),0,
         IF(OFFSET(CRONOPLE!$F$15,$M51-$A$15,BE$13)="",10^12,OFFSET(CRONOPLE!$F$15,$M51-$A$15,BE$13)))</f>
        <v>0</v>
      </c>
      <c r="BF51" s="178">
        <f ca="1">IF(OR($D51&lt;&gt;"Serviço",AND(AUTOEVENTO="Manual",$M51=$A$15)),0,
         IF(OFFSET(CRONOPLE!$F$15,$M51-$A$15,BF$13)="",10^12,OFFSET(CRONOPLE!$F$15,$M51-$A$15,BF$13)))</f>
        <v>0</v>
      </c>
      <c r="BG51" s="178">
        <f ca="1">IF(OR($D51&lt;&gt;"Serviço",AND(AUTOEVENTO="Manual",$M51=$A$15)),0,
         IF(OFFSET(CRONOPLE!$F$15,$M51-$A$15,BG$13)="",10^12,OFFSET(CRONOPLE!$F$15,$M51-$A$15,BG$13)))</f>
        <v>0</v>
      </c>
      <c r="BH51" s="178">
        <f ca="1">IF(OR($D51&lt;&gt;"Serviço",AND(AUTOEVENTO="Manual",$M51=$A$15)),0,
         IF(OFFSET(CRONOPLE!$F$15,$M51-$A$15,BH$13)="",10^12,OFFSET(CRONOPLE!$F$15,$M51-$A$15,BH$13)))</f>
        <v>0</v>
      </c>
      <c r="BI51" s="178">
        <f ca="1">IF(OR($D51&lt;&gt;"Serviço",AND(AUTOEVENTO="Manual",$M51=$A$15)),0,
         IF(OFFSET(CRONOPLE!$F$15,$M51-$A$15,BI$13)="",10^12,OFFSET(CRONOPLE!$F$15,$M51-$A$15,BI$13)))</f>
        <v>0</v>
      </c>
      <c r="BJ51" s="178">
        <f ca="1">IF(OR($D51&lt;&gt;"Serviço",AND(AUTOEVENTO="Manual",$M51=$A$15)),0,
         IF(OFFSET(CRONOPLE!$F$15,$M51-$A$15,BJ$13)="",10^12,OFFSET(CRONOPLE!$F$15,$M51-$A$15,BJ$13)))</f>
        <v>0</v>
      </c>
      <c r="BK51" s="178">
        <f ca="1">IF(OR($D51&lt;&gt;"Serviço",AND(AUTOEVENTO="Manual",$M51=$A$15)),0,
         IF(OFFSET(CRONOPLE!$F$15,$M51-$A$15,BK$13)="",10^12,OFFSET(CRONOPLE!$F$15,$M51-$A$15,BK$13)))</f>
        <v>0</v>
      </c>
      <c r="BL51" s="178">
        <f ca="1">IF(OR($D51&lt;&gt;"Serviço",AND(AUTOEVENTO="Manual",$M51=$A$15)),0,
         IF(OFFSET(CRONOPLE!$F$15,$M51-$A$15,BL$13)="",10^12,OFFSET(CRONOPLE!$F$15,$M51-$A$15,BL$13)))</f>
        <v>0</v>
      </c>
      <c r="BM51" s="178">
        <f ca="1">IF(OR($D51&lt;&gt;"Serviço",AND(AUTOEVENTO="Manual",$M51=$A$15)),0,
         IF(OFFSET(CRONOPLE!$F$15,$M51-$A$15,BM$13)="",10^12,OFFSET(CRONOPLE!$F$15,$M51-$A$15,BM$13)))</f>
        <v>0</v>
      </c>
      <c r="BN51" s="178">
        <f ca="1">IF(OR($D51&lt;&gt;"Serviço",AND(AUTOEVENTO="Manual",$M51=$A$15)),0,
         IF(OFFSET(CRONOPLE!$F$15,$M51-$A$15,BN$13)="",10^12,OFFSET(CRONOPLE!$F$15,$M51-$A$15,BN$13)))</f>
        <v>0</v>
      </c>
      <c r="BO51" s="178">
        <f ca="1">IF(OR($D51&lt;&gt;"Serviço",AND(AUTOEVENTO="Manual",$M51=$A$15)),0,
         IF(OFFSET(CRONOPLE!$F$15,$M51-$A$15,BO$13)="",10^12,OFFSET(CRONOPLE!$F$15,$M51-$A$15,BO$13)))</f>
        <v>0</v>
      </c>
      <c r="BP51" s="178">
        <f ca="1">IF(OR($D51&lt;&gt;"Serviço",AND(AUTOEVENTO="Manual",$M51=$A$15)),0,
         IF(OFFSET(CRONOPLE!$F$15,$M51-$A$15,BP$13)="",10^12,OFFSET(CRONOPLE!$F$15,$M51-$A$15,BP$13)))</f>
        <v>0</v>
      </c>
      <c r="BQ51" s="178">
        <f ca="1">IF(OR($D51&lt;&gt;"Serviço",AND(AUTOEVENTO="Manual",$M51=$A$15)),0,
         IF(OFFSET(CRONOPLE!$F$15,$M51-$A$15,BQ$13)="",10^12,OFFSET(CRONOPLE!$F$15,$M51-$A$15,BQ$13)))</f>
        <v>0</v>
      </c>
      <c r="BR51" s="178">
        <f ca="1">IF(OR($D51&lt;&gt;"Serviço",AND(AUTOEVENTO="Manual",$M51=$A$15)),0,
         IF(OFFSET(CRONOPLE!$F$15,$M51-$A$15,BR$13)="",10^12,OFFSET(CRONOPLE!$F$15,$M51-$A$15,BR$13)))</f>
        <v>0</v>
      </c>
      <c r="BS51" s="178">
        <f ca="1">IF(OR($D51&lt;&gt;"Serviço",AND(AUTOEVENTO="Manual",$M51=$A$15)),0,
         IF(OFFSET(CRONOPLE!$F$15,$M51-$A$15,BS$13)="",10^12,OFFSET(CRONOPLE!$F$15,$M51-$A$15,BS$13)))</f>
        <v>0</v>
      </c>
      <c r="BT51" s="178">
        <f ca="1">IF(OR($D51&lt;&gt;"Serviço",AND(AUTOEVENTO="Manual",$M51=$A$15)),0,
         IF(OFFSET(CRONOPLE!$F$15,$M51-$A$15,BT$13)="",10^12,OFFSET(CRONOPLE!$F$15,$M51-$A$15,BT$13)))</f>
        <v>0</v>
      </c>
      <c r="BV51" s="179">
        <f ca="1">IF(OR($D51&lt;&gt;"Serviço",AND(AUTOEVENTO="Manual",$M51=$A$15),$M51&gt;(ROW(PLE.lastrow)-ROW(PLE.firstrow))),0,
           IF(OFFSET(PLE!$G$15,$M51-$A$15,BV$13)="",10^12,OFFSET(PLE!$G$15,$M51-$A$15,BV$13)))</f>
        <v>0</v>
      </c>
      <c r="BW51" s="179">
        <f ca="1">IF(OR($D51&lt;&gt;"Serviço",AND(AUTOEVENTO="Manual",$M51=$A$15),$M51&gt;(ROW(PLE.lastrow)-ROW(PLE.firstrow))),0,
           IF(OFFSET(PLE!$G$15,$M51-$A$15,BW$13)="",10^12,OFFSET(PLE!$G$15,$M51-$A$15,BW$13)))</f>
        <v>0</v>
      </c>
      <c r="BX51" s="179">
        <f ca="1">IF(OR($D51&lt;&gt;"Serviço",AND(AUTOEVENTO="Manual",$M51=$A$15),$M51&gt;(ROW(PLE.lastrow)-ROW(PLE.firstrow))),0,
           IF(OFFSET(PLE!$G$15,$M51-$A$15,BX$13)="",10^12,OFFSET(PLE!$G$15,$M51-$A$15,BX$13)))</f>
        <v>0</v>
      </c>
      <c r="BY51" s="179">
        <f ca="1">IF(OR($D51&lt;&gt;"Serviço",AND(AUTOEVENTO="Manual",$M51=$A$15),$M51&gt;(ROW(PLE.lastrow)-ROW(PLE.firstrow))),0,
           IF(OFFSET(PLE!$G$15,$M51-$A$15,BY$13)="",10^12,OFFSET(PLE!$G$15,$M51-$A$15,BY$13)))</f>
        <v>0</v>
      </c>
      <c r="BZ51" s="179">
        <f ca="1">IF(OR($D51&lt;&gt;"Serviço",AND(AUTOEVENTO="Manual",$M51=$A$15),$M51&gt;(ROW(PLE.lastrow)-ROW(PLE.firstrow))),0,
           IF(OFFSET(PLE!$G$15,$M51-$A$15,BZ$13)="",10^12,OFFSET(PLE!$G$15,$M51-$A$15,BZ$13)))</f>
        <v>0</v>
      </c>
      <c r="CA51" s="179">
        <f ca="1">IF(OR($D51&lt;&gt;"Serviço",AND(AUTOEVENTO="Manual",$M51=$A$15),$M51&gt;(ROW(PLE.lastrow)-ROW(PLE.firstrow))),0,
           IF(OFFSET(PLE!$G$15,$M51-$A$15,CA$13)="",10^12,OFFSET(PLE!$G$15,$M51-$A$15,CA$13)))</f>
        <v>0</v>
      </c>
      <c r="CB51" s="179">
        <f ca="1">IF(OR($D51&lt;&gt;"Serviço",AND(AUTOEVENTO="Manual",$M51=$A$15),$M51&gt;(ROW(PLE.lastrow)-ROW(PLE.firstrow))),0,
           IF(OFFSET(PLE!$G$15,$M51-$A$15,CB$13)="",10^12,OFFSET(PLE!$G$15,$M51-$A$15,CB$13)))</f>
        <v>0</v>
      </c>
      <c r="CC51" s="179">
        <f ca="1">IF(OR($D51&lt;&gt;"Serviço",AND(AUTOEVENTO="Manual",$M51=$A$15),$M51&gt;(ROW(PLE.lastrow)-ROW(PLE.firstrow))),0,
           IF(OFFSET(PLE!$G$15,$M51-$A$15,CC$13)="",10^12,OFFSET(PLE!$G$15,$M51-$A$15,CC$13)))</f>
        <v>0</v>
      </c>
      <c r="CD51" s="179">
        <f ca="1">IF(OR($D51&lt;&gt;"Serviço",AND(AUTOEVENTO="Manual",$M51=$A$15),$M51&gt;(ROW(PLE.lastrow)-ROW(PLE.firstrow))),0,
           IF(OFFSET(PLE!$G$15,$M51-$A$15,CD$13)="",10^12,OFFSET(PLE!$G$15,$M51-$A$15,CD$13)))</f>
        <v>0</v>
      </c>
      <c r="CE51" s="179">
        <f ca="1">IF(OR($D51&lt;&gt;"Serviço",AND(AUTOEVENTO="Manual",$M51=$A$15),$M51&gt;(ROW(PLE.lastrow)-ROW(PLE.firstrow))),0,
           IF(OFFSET(PLE!$G$15,$M51-$A$15,CE$13)="",10^12,OFFSET(PLE!$G$15,$M51-$A$15,CE$13)))</f>
        <v>0</v>
      </c>
      <c r="CF51" s="179">
        <f ca="1">IF(OR($D51&lt;&gt;"Serviço",AND(AUTOEVENTO="Manual",$M51=$A$15),$M51&gt;(ROW(PLE.lastrow)-ROW(PLE.firstrow))),0,
           IF(OFFSET(PLE!$G$15,$M51-$A$15,CF$13)="",10^12,OFFSET(PLE!$G$15,$M51-$A$15,CF$13)))</f>
        <v>0</v>
      </c>
      <c r="CG51" s="179">
        <f ca="1">IF(OR($D51&lt;&gt;"Serviço",AND(AUTOEVENTO="Manual",$M51=$A$15),$M51&gt;(ROW(PLE.lastrow)-ROW(PLE.firstrow))),0,
           IF(OFFSET(PLE!$G$15,$M51-$A$15,CG$13)="",10^12,OFFSET(PLE!$G$15,$M51-$A$15,CG$13)))</f>
        <v>0</v>
      </c>
      <c r="CH51" s="179">
        <f ca="1">IF(OR($D51&lt;&gt;"Serviço",AND(AUTOEVENTO="Manual",$M51=$A$15),$M51&gt;(ROW(PLE.lastrow)-ROW(PLE.firstrow))),0,
           IF(OFFSET(PLE!$G$15,$M51-$A$15,CH$13)="",10^12,OFFSET(PLE!$G$15,$M51-$A$15,CH$13)))</f>
        <v>0</v>
      </c>
      <c r="CI51" s="179">
        <f ca="1">IF(OR($D51&lt;&gt;"Serviço",AND(AUTOEVENTO="Manual",$M51=$A$15),$M51&gt;(ROW(PLE.lastrow)-ROW(PLE.firstrow))),0,
           IF(OFFSET(PLE!$G$15,$M51-$A$15,CI$13)="",10^12,OFFSET(PLE!$G$15,$M51-$A$15,CI$13)))</f>
        <v>0</v>
      </c>
      <c r="CJ51" s="179">
        <f ca="1">IF(OR($D51&lt;&gt;"Serviço",AND(AUTOEVENTO="Manual",$M51=$A$15),$M51&gt;(ROW(PLE.lastrow)-ROW(PLE.firstrow))),0,
           IF(OFFSET(PLE!$G$15,$M51-$A$15,CJ$13)="",10^12,OFFSET(PLE!$G$15,$M51-$A$15,CJ$13)))</f>
        <v>0</v>
      </c>
      <c r="CK51" s="179">
        <f ca="1">IF(OR($D51&lt;&gt;"Serviço",AND(AUTOEVENTO="Manual",$M51=$A$15),$M51&gt;(ROW(PLE.lastrow)-ROW(PLE.firstrow))),0,
           IF(OFFSET(PLE!$G$15,$M51-$A$15,CK$13)="",10^12,OFFSET(PLE!$G$15,$M51-$A$15,CK$13)))</f>
        <v>0</v>
      </c>
      <c r="CL51" s="179">
        <f ca="1">IF(OR($D51&lt;&gt;"Serviço",AND(AUTOEVENTO="Manual",$M51=$A$15),$M51&gt;(ROW(PLE.lastrow)-ROW(PLE.firstrow))),0,
           IF(OFFSET(PLE!$G$15,$M51-$A$15,CL$13)="",10^12,OFFSET(PLE!$G$15,$M51-$A$15,CL$13)))</f>
        <v>0</v>
      </c>
      <c r="CM51" s="179">
        <f ca="1">IF(OR($D51&lt;&gt;"Serviço",AND(AUTOEVENTO="Manual",$M51=$A$15),$M51&gt;(ROW(PLE.lastrow)-ROW(PLE.firstrow))),0,
           IF(OFFSET(PLE!$G$15,$M51-$A$15,CM$13)="",10^12,OFFSET(PLE!$G$15,$M51-$A$15,CM$13)))</f>
        <v>0</v>
      </c>
    </row>
    <row r="52" spans="1:91" ht="51" x14ac:dyDescent="0.2">
      <c r="A52" s="7" t="str">
        <f ca="1">IF(AUTOEVENTO="Manual",IF(K52&lt;&gt;"",MIN(VALUE(LEFT(K52,FIND(".",K52)-1)),COUNTA(EVENTOS.Lista)),0),IF(OR($B52&gt;AUTOEVENTO,$B52="S",$B52=0),SUBSTITUTE(OFFSET($A52,-1,0),IF($D52="Serviço",".",""),""),ROW(A52)-ROW($A$15)&amp;"."))</f>
        <v>19</v>
      </c>
      <c r="B52" s="7" t="str">
        <f ca="1">OFFSET(ORÇAMENTO!C$15,ROW(B52)-ROW(B$15),0)</f>
        <v>S</v>
      </c>
      <c r="C52" s="7" t="str">
        <f ca="1">OFFSET(ORÇAMENTO!L$15,ROW(C52)-ROW(C$15),0)</f>
        <v>F</v>
      </c>
      <c r="D52" s="118" t="str">
        <f ca="1">OFFSET(ORÇAMENTO!N$15,ROW(D52)-ROW(D$15),0)</f>
        <v>Serviço</v>
      </c>
      <c r="E52" s="119" t="str">
        <f ca="1">OFFSET(ORÇAMENTO!O$15,ROW(E52)-ROW(E$15),0)</f>
        <v>1.5.3.2.1.</v>
      </c>
      <c r="F52" s="170" t="str">
        <f ca="1">OFFSET(ORÇAMENTO!R$15,ROW(F52)-ROW(F$15),0)</f>
        <v>​COM-17140380​ ESTRUTURA TRELIÇADA DE COBERTURA, TIPO FINK, COM LIGAÇÕES SOLDADAS, INCLUSOS PERFIS METÁLICOS, CHAPAS METÁLICAS, MÃO DE OBRA E TRANSPORTE COM GUINDASTE - FORNECIMENTO E INSTALAÇÃO​ (KG)</v>
      </c>
      <c r="G52" s="171" t="str">
        <f ca="1">IF($D52&lt;&gt;"Serviço","",OFFSET(ORÇAMENTO!S$15,ROW(G52)-ROW(G$15),0))</f>
        <v>KG</v>
      </c>
      <c r="H52" s="124" cm="1">
        <f t="array" aca="1" ref="H52" ca="1">IF($D52&lt;&gt;"Serviço",0,IF(_xlfn.SINGLE(ACOMPANHAMENTO)="BM",ROUND(OFFSET(ORÇAMENTO!AJ$15,ROW(H52)-ROW(H$15),0),15-13*ORÇAMENTO!$AF$7),SUMPRODUCT(($Q$1:$AI$1)*ROUND($Q52:$AI52,15-13*ORÇAMENTO!$AF$7))))</f>
        <v>35658.74</v>
      </c>
      <c r="I52" s="500" t="s">
        <v>1055</v>
      </c>
      <c r="J52" s="632" t="str" cm="1">
        <f t="array" aca="1" ref="J52" ca="1">IF(B52&lt;&gt;"S","",IF(AND(ACOMPANHAMENTO="PLE",AUTOEVENTO="Manual",OR(H52&gt;0,ORÇAMENTO!AC52="QUANT."),OR(K52="",M52=0,N52="")),"►",IF(AND(ACOMPANHAMENTO="PLE",ORÇAMENTO!AC52="QUANT."),"►►",IF(AND(COUNTIF($P$11:$AI$11,"▼")=0,H52&gt;0,I52=""),"◄",""))))</f>
        <v/>
      </c>
      <c r="K52" s="624"/>
      <c r="L52" s="172" t="s">
        <v>253</v>
      </c>
      <c r="M52" s="173">
        <f ca="1">IF($D52&lt;&gt;"Serviço","",
          IF(AUTOEVENTO="manual",$A52,
                IF(ISERROR(MATCH($A52,$A$15:OFFSET($A52,-1,0),0)),MAX($M$15:OFFSET(M52,-1,0))+1,
                      INDEX($M$15:OFFSET(M52,-1,0),MATCH($A52,$A$15:OFFSET($A52,-1,0),0)))))</f>
        <v>5</v>
      </c>
      <c r="N52" s="174" t="str">
        <f ca="1">IF($D52&lt;&gt;"Serviço","",
         IF(AUTOEVENTO="Manual",
                IF($A52=0,"&lt;-- defina o número do agrupador",
                       OFFSET(EVENTOS!$D$15,$A52-$A$15,0)),
                OFFSET($F$15,$A52,0)))</f>
        <v>ESTRUTURA E FUNDAÇÕES - PROJETO E ORÇAMENTO TERCERIZADO - AZEVEDO ENGENHARIA (AZ ENG)</v>
      </c>
      <c r="O52" s="175"/>
      <c r="Q52" s="175"/>
      <c r="R52" s="176">
        <v>35658.74</v>
      </c>
      <c r="S52" s="176"/>
      <c r="T52" s="176"/>
      <c r="U52" s="176"/>
      <c r="V52" s="176"/>
      <c r="W52" s="176"/>
      <c r="X52" s="176"/>
      <c r="Y52" s="176"/>
      <c r="Z52" s="177"/>
      <c r="AA52" s="176"/>
      <c r="AB52" s="176"/>
      <c r="AC52" s="176"/>
      <c r="AD52" s="176"/>
      <c r="AE52" s="176"/>
      <c r="AF52" s="176"/>
      <c r="AG52" s="176"/>
      <c r="AH52" s="177"/>
      <c r="AJ52" s="485">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85">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653268.12</v>
      </c>
      <c r="AL52" s="485">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0</v>
      </c>
      <c r="AM52" s="485">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0</v>
      </c>
      <c r="AN52" s="485">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85">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85">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85">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85">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85">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85">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85">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85">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85">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85">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85">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85">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85">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8">
        <f ca="1">IF(OR($D52&lt;&gt;"Serviço",AND(AUTOEVENTO="Manual",$M52=$A$15)),0,
         IF(OFFSET(CRONOPLE!$F$15,$M52-$A$15,BC$13)="",10^12,OFFSET(CRONOPLE!$F$15,$M52-$A$15,BC$13)))</f>
        <v>1</v>
      </c>
      <c r="BD52" s="178">
        <f ca="1">IF(OR($D52&lt;&gt;"Serviço",AND(AUTOEVENTO="Manual",$M52=$A$15)),0,
         IF(OFFSET(CRONOPLE!$F$15,$M52-$A$15,BD$13)="",10^12,OFFSET(CRONOPLE!$F$15,$M52-$A$15,BD$13)))</f>
        <v>2</v>
      </c>
      <c r="BE52" s="178">
        <f ca="1">IF(OR($D52&lt;&gt;"Serviço",AND(AUTOEVENTO="Manual",$M52=$A$15)),0,
         IF(OFFSET(CRONOPLE!$F$15,$M52-$A$15,BE$13)="",10^12,OFFSET(CRONOPLE!$F$15,$M52-$A$15,BE$13)))</f>
        <v>3</v>
      </c>
      <c r="BF52" s="178">
        <f ca="1">IF(OR($D52&lt;&gt;"Serviço",AND(AUTOEVENTO="Manual",$M52=$A$15)),0,
         IF(OFFSET(CRONOPLE!$F$15,$M52-$A$15,BF$13)="",10^12,OFFSET(CRONOPLE!$F$15,$M52-$A$15,BF$13)))</f>
        <v>4</v>
      </c>
      <c r="BG52" s="178">
        <f ca="1">IF(OR($D52&lt;&gt;"Serviço",AND(AUTOEVENTO="Manual",$M52=$A$15)),0,
         IF(OFFSET(CRONOPLE!$F$15,$M52-$A$15,BG$13)="",10^12,OFFSET(CRONOPLE!$F$15,$M52-$A$15,BG$13)))</f>
        <v>5</v>
      </c>
      <c r="BH52" s="178">
        <f ca="1">IF(OR($D52&lt;&gt;"Serviço",AND(AUTOEVENTO="Manual",$M52=$A$15)),0,
         IF(OFFSET(CRONOPLE!$F$15,$M52-$A$15,BH$13)="",10^12,OFFSET(CRONOPLE!$F$15,$M52-$A$15,BH$13)))</f>
        <v>6</v>
      </c>
      <c r="BI52" s="178">
        <f ca="1">IF(OR($D52&lt;&gt;"Serviço",AND(AUTOEVENTO="Manual",$M52=$A$15)),0,
         IF(OFFSET(CRONOPLE!$F$15,$M52-$A$15,BI$13)="",10^12,OFFSET(CRONOPLE!$F$15,$M52-$A$15,BI$13)))</f>
        <v>7</v>
      </c>
      <c r="BJ52" s="178">
        <f ca="1">IF(OR($D52&lt;&gt;"Serviço",AND(AUTOEVENTO="Manual",$M52=$A$15)),0,
         IF(OFFSET(CRONOPLE!$F$15,$M52-$A$15,BJ$13)="",10^12,OFFSET(CRONOPLE!$F$15,$M52-$A$15,BJ$13)))</f>
        <v>1000000000000</v>
      </c>
      <c r="BK52" s="178">
        <f ca="1">IF(OR($D52&lt;&gt;"Serviço",AND(AUTOEVENTO="Manual",$M52=$A$15)),0,
         IF(OFFSET(CRONOPLE!$F$15,$M52-$A$15,BK$13)="",10^12,OFFSET(CRONOPLE!$F$15,$M52-$A$15,BK$13)))</f>
        <v>1000000000000</v>
      </c>
      <c r="BL52" s="178">
        <f ca="1">IF(OR($D52&lt;&gt;"Serviço",AND(AUTOEVENTO="Manual",$M52=$A$15)),0,
         IF(OFFSET(CRONOPLE!$F$15,$M52-$A$15,BL$13)="",10^12,OFFSET(CRONOPLE!$F$15,$M52-$A$15,BL$13)))</f>
        <v>1000000000000</v>
      </c>
      <c r="BM52" s="178">
        <f ca="1">IF(OR($D52&lt;&gt;"Serviço",AND(AUTOEVENTO="Manual",$M52=$A$15)),0,
         IF(OFFSET(CRONOPLE!$F$15,$M52-$A$15,BM$13)="",10^12,OFFSET(CRONOPLE!$F$15,$M52-$A$15,BM$13)))</f>
        <v>1000000000000</v>
      </c>
      <c r="BN52" s="178">
        <f ca="1">IF(OR($D52&lt;&gt;"Serviço",AND(AUTOEVENTO="Manual",$M52=$A$15)),0,
         IF(OFFSET(CRONOPLE!$F$15,$M52-$A$15,BN$13)="",10^12,OFFSET(CRONOPLE!$F$15,$M52-$A$15,BN$13)))</f>
        <v>1000000000000</v>
      </c>
      <c r="BO52" s="178">
        <f ca="1">IF(OR($D52&lt;&gt;"Serviço",AND(AUTOEVENTO="Manual",$M52=$A$15)),0,
         IF(OFFSET(CRONOPLE!$F$15,$M52-$A$15,BO$13)="",10^12,OFFSET(CRONOPLE!$F$15,$M52-$A$15,BO$13)))</f>
        <v>1000000000000</v>
      </c>
      <c r="BP52" s="178">
        <f ca="1">IF(OR($D52&lt;&gt;"Serviço",AND(AUTOEVENTO="Manual",$M52=$A$15)),0,
         IF(OFFSET(CRONOPLE!$F$15,$M52-$A$15,BP$13)="",10^12,OFFSET(CRONOPLE!$F$15,$M52-$A$15,BP$13)))</f>
        <v>1000000000000</v>
      </c>
      <c r="BQ52" s="178">
        <f ca="1">IF(OR($D52&lt;&gt;"Serviço",AND(AUTOEVENTO="Manual",$M52=$A$15)),0,
         IF(OFFSET(CRONOPLE!$F$15,$M52-$A$15,BQ$13)="",10^12,OFFSET(CRONOPLE!$F$15,$M52-$A$15,BQ$13)))</f>
        <v>1000000000000</v>
      </c>
      <c r="BR52" s="178">
        <f ca="1">IF(OR($D52&lt;&gt;"Serviço",AND(AUTOEVENTO="Manual",$M52=$A$15)),0,
         IF(OFFSET(CRONOPLE!$F$15,$M52-$A$15,BR$13)="",10^12,OFFSET(CRONOPLE!$F$15,$M52-$A$15,BR$13)))</f>
        <v>1000000000000</v>
      </c>
      <c r="BS52" s="178">
        <f ca="1">IF(OR($D52&lt;&gt;"Serviço",AND(AUTOEVENTO="Manual",$M52=$A$15)),0,
         IF(OFFSET(CRONOPLE!$F$15,$M52-$A$15,BS$13)="",10^12,OFFSET(CRONOPLE!$F$15,$M52-$A$15,BS$13)))</f>
        <v>1000000000000</v>
      </c>
      <c r="BT52" s="178">
        <f ca="1">IF(OR($D52&lt;&gt;"Serviço",AND(AUTOEVENTO="Manual",$M52=$A$15)),0,
         IF(OFFSET(CRONOPLE!$F$15,$M52-$A$15,BT$13)="",10^12,OFFSET(CRONOPLE!$F$15,$M52-$A$15,BT$13)))</f>
        <v>1000000000000</v>
      </c>
      <c r="BV52" s="179">
        <f ca="1">IF(OR($D52&lt;&gt;"Serviço",AND(AUTOEVENTO="Manual",$M52=$A$15),$M52&gt;(ROW(PLE.lastrow)-ROW(PLE.firstrow))),0,
           IF(OFFSET(PLE!$G$15,$M52-$A$15,BV$13)="",10^12,OFFSET(PLE!$G$15,$M52-$A$15,BV$13)))</f>
        <v>1000000000000</v>
      </c>
      <c r="BW52" s="179">
        <f ca="1">IF(OR($D52&lt;&gt;"Serviço",AND(AUTOEVENTO="Manual",$M52=$A$15),$M52&gt;(ROW(PLE.lastrow)-ROW(PLE.firstrow))),0,
           IF(OFFSET(PLE!$G$15,$M52-$A$15,BW$13)="",10^12,OFFSET(PLE!$G$15,$M52-$A$15,BW$13)))</f>
        <v>1000000000000</v>
      </c>
      <c r="BX52" s="179">
        <f ca="1">IF(OR($D52&lt;&gt;"Serviço",AND(AUTOEVENTO="Manual",$M52=$A$15),$M52&gt;(ROW(PLE.lastrow)-ROW(PLE.firstrow))),0,
           IF(OFFSET(PLE!$G$15,$M52-$A$15,BX$13)="",10^12,OFFSET(PLE!$G$15,$M52-$A$15,BX$13)))</f>
        <v>1000000000000</v>
      </c>
      <c r="BY52" s="179">
        <f ca="1">IF(OR($D52&lt;&gt;"Serviço",AND(AUTOEVENTO="Manual",$M52=$A$15),$M52&gt;(ROW(PLE.lastrow)-ROW(PLE.firstrow))),0,
           IF(OFFSET(PLE!$G$15,$M52-$A$15,BY$13)="",10^12,OFFSET(PLE!$G$15,$M52-$A$15,BY$13)))</f>
        <v>1000000000000</v>
      </c>
      <c r="BZ52" s="179">
        <f ca="1">IF(OR($D52&lt;&gt;"Serviço",AND(AUTOEVENTO="Manual",$M52=$A$15),$M52&gt;(ROW(PLE.lastrow)-ROW(PLE.firstrow))),0,
           IF(OFFSET(PLE!$G$15,$M52-$A$15,BZ$13)="",10^12,OFFSET(PLE!$G$15,$M52-$A$15,BZ$13)))</f>
        <v>1000000000000</v>
      </c>
      <c r="CA52" s="179">
        <f ca="1">IF(OR($D52&lt;&gt;"Serviço",AND(AUTOEVENTO="Manual",$M52=$A$15),$M52&gt;(ROW(PLE.lastrow)-ROW(PLE.firstrow))),0,
           IF(OFFSET(PLE!$G$15,$M52-$A$15,CA$13)="",10^12,OFFSET(PLE!$G$15,$M52-$A$15,CA$13)))</f>
        <v>1000000000000</v>
      </c>
      <c r="CB52" s="179">
        <f ca="1">IF(OR($D52&lt;&gt;"Serviço",AND(AUTOEVENTO="Manual",$M52=$A$15),$M52&gt;(ROW(PLE.lastrow)-ROW(PLE.firstrow))),0,
           IF(OFFSET(PLE!$G$15,$M52-$A$15,CB$13)="",10^12,OFFSET(PLE!$G$15,$M52-$A$15,CB$13)))</f>
        <v>1000000000000</v>
      </c>
      <c r="CC52" s="179">
        <f ca="1">IF(OR($D52&lt;&gt;"Serviço",AND(AUTOEVENTO="Manual",$M52=$A$15),$M52&gt;(ROW(PLE.lastrow)-ROW(PLE.firstrow))),0,
           IF(OFFSET(PLE!$G$15,$M52-$A$15,CC$13)="",10^12,OFFSET(PLE!$G$15,$M52-$A$15,CC$13)))</f>
        <v>1000000000000</v>
      </c>
      <c r="CD52" s="179">
        <f ca="1">IF(OR($D52&lt;&gt;"Serviço",AND(AUTOEVENTO="Manual",$M52=$A$15),$M52&gt;(ROW(PLE.lastrow)-ROW(PLE.firstrow))),0,
           IF(OFFSET(PLE!$G$15,$M52-$A$15,CD$13)="",10^12,OFFSET(PLE!$G$15,$M52-$A$15,CD$13)))</f>
        <v>1000000000000</v>
      </c>
      <c r="CE52" s="179">
        <f ca="1">IF(OR($D52&lt;&gt;"Serviço",AND(AUTOEVENTO="Manual",$M52=$A$15),$M52&gt;(ROW(PLE.lastrow)-ROW(PLE.firstrow))),0,
           IF(OFFSET(PLE!$G$15,$M52-$A$15,CE$13)="",10^12,OFFSET(PLE!$G$15,$M52-$A$15,CE$13)))</f>
        <v>1000000000000</v>
      </c>
      <c r="CF52" s="179">
        <f ca="1">IF(OR($D52&lt;&gt;"Serviço",AND(AUTOEVENTO="Manual",$M52=$A$15),$M52&gt;(ROW(PLE.lastrow)-ROW(PLE.firstrow))),0,
           IF(OFFSET(PLE!$G$15,$M52-$A$15,CF$13)="",10^12,OFFSET(PLE!$G$15,$M52-$A$15,CF$13)))</f>
        <v>1000000000000</v>
      </c>
      <c r="CG52" s="179">
        <f ca="1">IF(OR($D52&lt;&gt;"Serviço",AND(AUTOEVENTO="Manual",$M52=$A$15),$M52&gt;(ROW(PLE.lastrow)-ROW(PLE.firstrow))),0,
           IF(OFFSET(PLE!$G$15,$M52-$A$15,CG$13)="",10^12,OFFSET(PLE!$G$15,$M52-$A$15,CG$13)))</f>
        <v>1000000000000</v>
      </c>
      <c r="CH52" s="179">
        <f ca="1">IF(OR($D52&lt;&gt;"Serviço",AND(AUTOEVENTO="Manual",$M52=$A$15),$M52&gt;(ROW(PLE.lastrow)-ROW(PLE.firstrow))),0,
           IF(OFFSET(PLE!$G$15,$M52-$A$15,CH$13)="",10^12,OFFSET(PLE!$G$15,$M52-$A$15,CH$13)))</f>
        <v>1000000000000</v>
      </c>
      <c r="CI52" s="179">
        <f ca="1">IF(OR($D52&lt;&gt;"Serviço",AND(AUTOEVENTO="Manual",$M52=$A$15),$M52&gt;(ROW(PLE.lastrow)-ROW(PLE.firstrow))),0,
           IF(OFFSET(PLE!$G$15,$M52-$A$15,CI$13)="",10^12,OFFSET(PLE!$G$15,$M52-$A$15,CI$13)))</f>
        <v>1000000000000</v>
      </c>
      <c r="CJ52" s="179">
        <f ca="1">IF(OR($D52&lt;&gt;"Serviço",AND(AUTOEVENTO="Manual",$M52=$A$15),$M52&gt;(ROW(PLE.lastrow)-ROW(PLE.firstrow))),0,
           IF(OFFSET(PLE!$G$15,$M52-$A$15,CJ$13)="",10^12,OFFSET(PLE!$G$15,$M52-$A$15,CJ$13)))</f>
        <v>1000000000000</v>
      </c>
      <c r="CK52" s="179">
        <f ca="1">IF(OR($D52&lt;&gt;"Serviço",AND(AUTOEVENTO="Manual",$M52=$A$15),$M52&gt;(ROW(PLE.lastrow)-ROW(PLE.firstrow))),0,
           IF(OFFSET(PLE!$G$15,$M52-$A$15,CK$13)="",10^12,OFFSET(PLE!$G$15,$M52-$A$15,CK$13)))</f>
        <v>1000000000000</v>
      </c>
      <c r="CL52" s="179">
        <f ca="1">IF(OR($D52&lt;&gt;"Serviço",AND(AUTOEVENTO="Manual",$M52=$A$15),$M52&gt;(ROW(PLE.lastrow)-ROW(PLE.firstrow))),0,
           IF(OFFSET(PLE!$G$15,$M52-$A$15,CL$13)="",10^12,OFFSET(PLE!$G$15,$M52-$A$15,CL$13)))</f>
        <v>1000000000000</v>
      </c>
      <c r="CM52" s="179">
        <f ca="1">IF(OR($D52&lt;&gt;"Serviço",AND(AUTOEVENTO="Manual",$M52=$A$15),$M52&gt;(ROW(PLE.lastrow)-ROW(PLE.firstrow))),0,
           IF(OFFSET(PLE!$G$15,$M52-$A$15,CM$13)="",10^12,OFFSET(PLE!$G$15,$M52-$A$15,CM$13)))</f>
        <v>1000000000000</v>
      </c>
    </row>
    <row r="53" spans="1:91" ht="12.75" x14ac:dyDescent="0.2">
      <c r="A53" s="7" t="str">
        <f ca="1">IF(AUTOEVENTO="Manual",IF(K53&lt;&gt;"",MIN(VALUE(LEFT(K53,FIND(".",K53)-1)),COUNTA(EVENTOS.Lista)),0),IF(OR($B53&gt;AUTOEVENTO,$B53="S",$B53=0),SUBSTITUTE(OFFSET($A53,-1,0),IF($D53="Serviço",".",""),""),ROW(A53)-ROW($A$15)&amp;"."))</f>
        <v>19</v>
      </c>
      <c r="B53" s="7">
        <f ca="1">OFFSET(ORÇAMENTO!C$15,ROW(B53)-ROW(B$15),0)</f>
        <v>4</v>
      </c>
      <c r="C53" s="7" t="str">
        <f ca="1">OFFSET(ORÇAMENTO!L$15,ROW(C53)-ROW(C$15),0)</f>
        <v>F</v>
      </c>
      <c r="D53" s="118" t="str">
        <f ca="1">OFFSET(ORÇAMENTO!N$15,ROW(D53)-ROW(D$15),0)</f>
        <v>Nível 4</v>
      </c>
      <c r="E53" s="119" t="str">
        <f ca="1">OFFSET(ORÇAMENTO!O$15,ROW(E53)-ROW(E$15),0)</f>
        <v>1.5.3.3.</v>
      </c>
      <c r="F53" s="170" t="str">
        <f ca="1">OFFSET(ORÇAMENTO!R$15,ROW(F53)-ROW(F$15),0)</f>
        <v>MARQUIZE METÁLICA</v>
      </c>
      <c r="G53" s="171" t="str">
        <f ca="1">IF($D53&lt;&gt;"Serviço","",OFFSET(ORÇAMENTO!S$15,ROW(G53)-ROW(G$15),0))</f>
        <v/>
      </c>
      <c r="H53" s="124" cm="1">
        <f t="array" aca="1" ref="H53" ca="1">IF($D53&lt;&gt;"Serviço",0,IF(_xlfn.SINGLE(ACOMPANHAMENTO)="BM",ROUND(OFFSET(ORÇAMENTO!AJ$15,ROW(H53)-ROW(H$15),0),15-13*ORÇAMENTO!$AF$7),SUMPRODUCT(($Q$1:$AI$1)*ROUND($Q53:$AI53,15-13*ORÇAMENTO!$AF$7))))</f>
        <v>0</v>
      </c>
      <c r="I53" s="500"/>
      <c r="J53" s="632" t="str" cm="1">
        <f t="array" aca="1" ref="J53" ca="1">IF(B53&lt;&gt;"S","",IF(AND(ACOMPANHAMENTO="PLE",AUTOEVENTO="Manual",OR(H53&gt;0,ORÇAMENTO!AC53="QUANT."),OR(K53="",M53=0,N53="")),"►",IF(AND(ACOMPANHAMENTO="PLE",ORÇAMENTO!AC53="QUANT."),"►►",IF(AND(COUNTIF($P$11:$AI$11,"▼")=0,H53&gt;0,I53=""),"◄",""))))</f>
        <v/>
      </c>
      <c r="K53" s="624"/>
      <c r="L53" s="172" t="s">
        <v>253</v>
      </c>
      <c r="M53" s="173" t="str">
        <f ca="1">IF($D53&lt;&gt;"Serviço","",
          IF(AUTOEVENTO="manual",$A53,
                IF(ISERROR(MATCH($A53,$A$15:OFFSET($A53,-1,0),0)),MAX($M$15:OFFSET(M53,-1,0))+1,
                      INDEX($M$15:OFFSET(M53,-1,0),MATCH($A53,$A$15:OFFSET($A53,-1,0),0)))))</f>
        <v/>
      </c>
      <c r="N53" s="174" t="str">
        <f ca="1">IF($D53&lt;&gt;"Serviço","",
         IF(AUTOEVENTO="Manual",
                IF($A53=0,"&lt;-- defina o número do agrupador",
                       OFFSET(EVENTOS!$D$15,$A53-$A$15,0)),
                OFFSET($F$15,$A53,0)))</f>
        <v/>
      </c>
      <c r="O53" s="175"/>
      <c r="Q53" s="175"/>
      <c r="R53" s="176"/>
      <c r="S53" s="176"/>
      <c r="T53" s="176"/>
      <c r="U53" s="176"/>
      <c r="V53" s="176"/>
      <c r="W53" s="176"/>
      <c r="X53" s="176"/>
      <c r="Y53" s="176"/>
      <c r="Z53" s="177"/>
      <c r="AA53" s="176"/>
      <c r="AB53" s="176"/>
      <c r="AC53" s="176"/>
      <c r="AD53" s="176"/>
      <c r="AE53" s="176"/>
      <c r="AF53" s="176"/>
      <c r="AG53" s="176"/>
      <c r="AH53" s="177"/>
      <c r="AJ53" s="485">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85">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L53" s="485">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0</v>
      </c>
      <c r="AM53" s="485">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0</v>
      </c>
      <c r="AN53" s="485">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85">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85">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85">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85">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85">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85">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85">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85">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85">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85">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85">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85">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85">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8">
        <f ca="1">IF(OR($D53&lt;&gt;"Serviço",AND(AUTOEVENTO="Manual",$M53=$A$15)),0,
         IF(OFFSET(CRONOPLE!$F$15,$M53-$A$15,BC$13)="",10^12,OFFSET(CRONOPLE!$F$15,$M53-$A$15,BC$13)))</f>
        <v>0</v>
      </c>
      <c r="BD53" s="178">
        <f ca="1">IF(OR($D53&lt;&gt;"Serviço",AND(AUTOEVENTO="Manual",$M53=$A$15)),0,
         IF(OFFSET(CRONOPLE!$F$15,$M53-$A$15,BD$13)="",10^12,OFFSET(CRONOPLE!$F$15,$M53-$A$15,BD$13)))</f>
        <v>0</v>
      </c>
      <c r="BE53" s="178">
        <f ca="1">IF(OR($D53&lt;&gt;"Serviço",AND(AUTOEVENTO="Manual",$M53=$A$15)),0,
         IF(OFFSET(CRONOPLE!$F$15,$M53-$A$15,BE$13)="",10^12,OFFSET(CRONOPLE!$F$15,$M53-$A$15,BE$13)))</f>
        <v>0</v>
      </c>
      <c r="BF53" s="178">
        <f ca="1">IF(OR($D53&lt;&gt;"Serviço",AND(AUTOEVENTO="Manual",$M53=$A$15)),0,
         IF(OFFSET(CRONOPLE!$F$15,$M53-$A$15,BF$13)="",10^12,OFFSET(CRONOPLE!$F$15,$M53-$A$15,BF$13)))</f>
        <v>0</v>
      </c>
      <c r="BG53" s="178">
        <f ca="1">IF(OR($D53&lt;&gt;"Serviço",AND(AUTOEVENTO="Manual",$M53=$A$15)),0,
         IF(OFFSET(CRONOPLE!$F$15,$M53-$A$15,BG$13)="",10^12,OFFSET(CRONOPLE!$F$15,$M53-$A$15,BG$13)))</f>
        <v>0</v>
      </c>
      <c r="BH53" s="178">
        <f ca="1">IF(OR($D53&lt;&gt;"Serviço",AND(AUTOEVENTO="Manual",$M53=$A$15)),0,
         IF(OFFSET(CRONOPLE!$F$15,$M53-$A$15,BH$13)="",10^12,OFFSET(CRONOPLE!$F$15,$M53-$A$15,BH$13)))</f>
        <v>0</v>
      </c>
      <c r="BI53" s="178">
        <f ca="1">IF(OR($D53&lt;&gt;"Serviço",AND(AUTOEVENTO="Manual",$M53=$A$15)),0,
         IF(OFFSET(CRONOPLE!$F$15,$M53-$A$15,BI$13)="",10^12,OFFSET(CRONOPLE!$F$15,$M53-$A$15,BI$13)))</f>
        <v>0</v>
      </c>
      <c r="BJ53" s="178">
        <f ca="1">IF(OR($D53&lt;&gt;"Serviço",AND(AUTOEVENTO="Manual",$M53=$A$15)),0,
         IF(OFFSET(CRONOPLE!$F$15,$M53-$A$15,BJ$13)="",10^12,OFFSET(CRONOPLE!$F$15,$M53-$A$15,BJ$13)))</f>
        <v>0</v>
      </c>
      <c r="BK53" s="178">
        <f ca="1">IF(OR($D53&lt;&gt;"Serviço",AND(AUTOEVENTO="Manual",$M53=$A$15)),0,
         IF(OFFSET(CRONOPLE!$F$15,$M53-$A$15,BK$13)="",10^12,OFFSET(CRONOPLE!$F$15,$M53-$A$15,BK$13)))</f>
        <v>0</v>
      </c>
      <c r="BL53" s="178">
        <f ca="1">IF(OR($D53&lt;&gt;"Serviço",AND(AUTOEVENTO="Manual",$M53=$A$15)),0,
         IF(OFFSET(CRONOPLE!$F$15,$M53-$A$15,BL$13)="",10^12,OFFSET(CRONOPLE!$F$15,$M53-$A$15,BL$13)))</f>
        <v>0</v>
      </c>
      <c r="BM53" s="178">
        <f ca="1">IF(OR($D53&lt;&gt;"Serviço",AND(AUTOEVENTO="Manual",$M53=$A$15)),0,
         IF(OFFSET(CRONOPLE!$F$15,$M53-$A$15,BM$13)="",10^12,OFFSET(CRONOPLE!$F$15,$M53-$A$15,BM$13)))</f>
        <v>0</v>
      </c>
      <c r="BN53" s="178">
        <f ca="1">IF(OR($D53&lt;&gt;"Serviço",AND(AUTOEVENTO="Manual",$M53=$A$15)),0,
         IF(OFFSET(CRONOPLE!$F$15,$M53-$A$15,BN$13)="",10^12,OFFSET(CRONOPLE!$F$15,$M53-$A$15,BN$13)))</f>
        <v>0</v>
      </c>
      <c r="BO53" s="178">
        <f ca="1">IF(OR($D53&lt;&gt;"Serviço",AND(AUTOEVENTO="Manual",$M53=$A$15)),0,
         IF(OFFSET(CRONOPLE!$F$15,$M53-$A$15,BO$13)="",10^12,OFFSET(CRONOPLE!$F$15,$M53-$A$15,BO$13)))</f>
        <v>0</v>
      </c>
      <c r="BP53" s="178">
        <f ca="1">IF(OR($D53&lt;&gt;"Serviço",AND(AUTOEVENTO="Manual",$M53=$A$15)),0,
         IF(OFFSET(CRONOPLE!$F$15,$M53-$A$15,BP$13)="",10^12,OFFSET(CRONOPLE!$F$15,$M53-$A$15,BP$13)))</f>
        <v>0</v>
      </c>
      <c r="BQ53" s="178">
        <f ca="1">IF(OR($D53&lt;&gt;"Serviço",AND(AUTOEVENTO="Manual",$M53=$A$15)),0,
         IF(OFFSET(CRONOPLE!$F$15,$M53-$A$15,BQ$13)="",10^12,OFFSET(CRONOPLE!$F$15,$M53-$A$15,BQ$13)))</f>
        <v>0</v>
      </c>
      <c r="BR53" s="178">
        <f ca="1">IF(OR($D53&lt;&gt;"Serviço",AND(AUTOEVENTO="Manual",$M53=$A$15)),0,
         IF(OFFSET(CRONOPLE!$F$15,$M53-$A$15,BR$13)="",10^12,OFFSET(CRONOPLE!$F$15,$M53-$A$15,BR$13)))</f>
        <v>0</v>
      </c>
      <c r="BS53" s="178">
        <f ca="1">IF(OR($D53&lt;&gt;"Serviço",AND(AUTOEVENTO="Manual",$M53=$A$15)),0,
         IF(OFFSET(CRONOPLE!$F$15,$M53-$A$15,BS$13)="",10^12,OFFSET(CRONOPLE!$F$15,$M53-$A$15,BS$13)))</f>
        <v>0</v>
      </c>
      <c r="BT53" s="178">
        <f ca="1">IF(OR($D53&lt;&gt;"Serviço",AND(AUTOEVENTO="Manual",$M53=$A$15)),0,
         IF(OFFSET(CRONOPLE!$F$15,$M53-$A$15,BT$13)="",10^12,OFFSET(CRONOPLE!$F$15,$M53-$A$15,BT$13)))</f>
        <v>0</v>
      </c>
      <c r="BV53" s="179">
        <f ca="1">IF(OR($D53&lt;&gt;"Serviço",AND(AUTOEVENTO="Manual",$M53=$A$15),$M53&gt;(ROW(PLE.lastrow)-ROW(PLE.firstrow))),0,
           IF(OFFSET(PLE!$G$15,$M53-$A$15,BV$13)="",10^12,OFFSET(PLE!$G$15,$M53-$A$15,BV$13)))</f>
        <v>0</v>
      </c>
      <c r="BW53" s="179">
        <f ca="1">IF(OR($D53&lt;&gt;"Serviço",AND(AUTOEVENTO="Manual",$M53=$A$15),$M53&gt;(ROW(PLE.lastrow)-ROW(PLE.firstrow))),0,
           IF(OFFSET(PLE!$G$15,$M53-$A$15,BW$13)="",10^12,OFFSET(PLE!$G$15,$M53-$A$15,BW$13)))</f>
        <v>0</v>
      </c>
      <c r="BX53" s="179">
        <f ca="1">IF(OR($D53&lt;&gt;"Serviço",AND(AUTOEVENTO="Manual",$M53=$A$15),$M53&gt;(ROW(PLE.lastrow)-ROW(PLE.firstrow))),0,
           IF(OFFSET(PLE!$G$15,$M53-$A$15,BX$13)="",10^12,OFFSET(PLE!$G$15,$M53-$A$15,BX$13)))</f>
        <v>0</v>
      </c>
      <c r="BY53" s="179">
        <f ca="1">IF(OR($D53&lt;&gt;"Serviço",AND(AUTOEVENTO="Manual",$M53=$A$15),$M53&gt;(ROW(PLE.lastrow)-ROW(PLE.firstrow))),0,
           IF(OFFSET(PLE!$G$15,$M53-$A$15,BY$13)="",10^12,OFFSET(PLE!$G$15,$M53-$A$15,BY$13)))</f>
        <v>0</v>
      </c>
      <c r="BZ53" s="179">
        <f ca="1">IF(OR($D53&lt;&gt;"Serviço",AND(AUTOEVENTO="Manual",$M53=$A$15),$M53&gt;(ROW(PLE.lastrow)-ROW(PLE.firstrow))),0,
           IF(OFFSET(PLE!$G$15,$M53-$A$15,BZ$13)="",10^12,OFFSET(PLE!$G$15,$M53-$A$15,BZ$13)))</f>
        <v>0</v>
      </c>
      <c r="CA53" s="179">
        <f ca="1">IF(OR($D53&lt;&gt;"Serviço",AND(AUTOEVENTO="Manual",$M53=$A$15),$M53&gt;(ROW(PLE.lastrow)-ROW(PLE.firstrow))),0,
           IF(OFFSET(PLE!$G$15,$M53-$A$15,CA$13)="",10^12,OFFSET(PLE!$G$15,$M53-$A$15,CA$13)))</f>
        <v>0</v>
      </c>
      <c r="CB53" s="179">
        <f ca="1">IF(OR($D53&lt;&gt;"Serviço",AND(AUTOEVENTO="Manual",$M53=$A$15),$M53&gt;(ROW(PLE.lastrow)-ROW(PLE.firstrow))),0,
           IF(OFFSET(PLE!$G$15,$M53-$A$15,CB$13)="",10^12,OFFSET(PLE!$G$15,$M53-$A$15,CB$13)))</f>
        <v>0</v>
      </c>
      <c r="CC53" s="179">
        <f ca="1">IF(OR($D53&lt;&gt;"Serviço",AND(AUTOEVENTO="Manual",$M53=$A$15),$M53&gt;(ROW(PLE.lastrow)-ROW(PLE.firstrow))),0,
           IF(OFFSET(PLE!$G$15,$M53-$A$15,CC$13)="",10^12,OFFSET(PLE!$G$15,$M53-$A$15,CC$13)))</f>
        <v>0</v>
      </c>
      <c r="CD53" s="179">
        <f ca="1">IF(OR($D53&lt;&gt;"Serviço",AND(AUTOEVENTO="Manual",$M53=$A$15),$M53&gt;(ROW(PLE.lastrow)-ROW(PLE.firstrow))),0,
           IF(OFFSET(PLE!$G$15,$M53-$A$15,CD$13)="",10^12,OFFSET(PLE!$G$15,$M53-$A$15,CD$13)))</f>
        <v>0</v>
      </c>
      <c r="CE53" s="179">
        <f ca="1">IF(OR($D53&lt;&gt;"Serviço",AND(AUTOEVENTO="Manual",$M53=$A$15),$M53&gt;(ROW(PLE.lastrow)-ROW(PLE.firstrow))),0,
           IF(OFFSET(PLE!$G$15,$M53-$A$15,CE$13)="",10^12,OFFSET(PLE!$G$15,$M53-$A$15,CE$13)))</f>
        <v>0</v>
      </c>
      <c r="CF53" s="179">
        <f ca="1">IF(OR($D53&lt;&gt;"Serviço",AND(AUTOEVENTO="Manual",$M53=$A$15),$M53&gt;(ROW(PLE.lastrow)-ROW(PLE.firstrow))),0,
           IF(OFFSET(PLE!$G$15,$M53-$A$15,CF$13)="",10^12,OFFSET(PLE!$G$15,$M53-$A$15,CF$13)))</f>
        <v>0</v>
      </c>
      <c r="CG53" s="179">
        <f ca="1">IF(OR($D53&lt;&gt;"Serviço",AND(AUTOEVENTO="Manual",$M53=$A$15),$M53&gt;(ROW(PLE.lastrow)-ROW(PLE.firstrow))),0,
           IF(OFFSET(PLE!$G$15,$M53-$A$15,CG$13)="",10^12,OFFSET(PLE!$G$15,$M53-$A$15,CG$13)))</f>
        <v>0</v>
      </c>
      <c r="CH53" s="179">
        <f ca="1">IF(OR($D53&lt;&gt;"Serviço",AND(AUTOEVENTO="Manual",$M53=$A$15),$M53&gt;(ROW(PLE.lastrow)-ROW(PLE.firstrow))),0,
           IF(OFFSET(PLE!$G$15,$M53-$A$15,CH$13)="",10^12,OFFSET(PLE!$G$15,$M53-$A$15,CH$13)))</f>
        <v>0</v>
      </c>
      <c r="CI53" s="179">
        <f ca="1">IF(OR($D53&lt;&gt;"Serviço",AND(AUTOEVENTO="Manual",$M53=$A$15),$M53&gt;(ROW(PLE.lastrow)-ROW(PLE.firstrow))),0,
           IF(OFFSET(PLE!$G$15,$M53-$A$15,CI$13)="",10^12,OFFSET(PLE!$G$15,$M53-$A$15,CI$13)))</f>
        <v>0</v>
      </c>
      <c r="CJ53" s="179">
        <f ca="1">IF(OR($D53&lt;&gt;"Serviço",AND(AUTOEVENTO="Manual",$M53=$A$15),$M53&gt;(ROW(PLE.lastrow)-ROW(PLE.firstrow))),0,
           IF(OFFSET(PLE!$G$15,$M53-$A$15,CJ$13)="",10^12,OFFSET(PLE!$G$15,$M53-$A$15,CJ$13)))</f>
        <v>0</v>
      </c>
      <c r="CK53" s="179">
        <f ca="1">IF(OR($D53&lt;&gt;"Serviço",AND(AUTOEVENTO="Manual",$M53=$A$15),$M53&gt;(ROW(PLE.lastrow)-ROW(PLE.firstrow))),0,
           IF(OFFSET(PLE!$G$15,$M53-$A$15,CK$13)="",10^12,OFFSET(PLE!$G$15,$M53-$A$15,CK$13)))</f>
        <v>0</v>
      </c>
      <c r="CL53" s="179">
        <f ca="1">IF(OR($D53&lt;&gt;"Serviço",AND(AUTOEVENTO="Manual",$M53=$A$15),$M53&gt;(ROW(PLE.lastrow)-ROW(PLE.firstrow))),0,
           IF(OFFSET(PLE!$G$15,$M53-$A$15,CL$13)="",10^12,OFFSET(PLE!$G$15,$M53-$A$15,CL$13)))</f>
        <v>0</v>
      </c>
      <c r="CM53" s="179">
        <f ca="1">IF(OR($D53&lt;&gt;"Serviço",AND(AUTOEVENTO="Manual",$M53=$A$15),$M53&gt;(ROW(PLE.lastrow)-ROW(PLE.firstrow))),0,
           IF(OFFSET(PLE!$G$15,$M53-$A$15,CM$13)="",10^12,OFFSET(PLE!$G$15,$M53-$A$15,CM$13)))</f>
        <v>0</v>
      </c>
    </row>
    <row r="54" spans="1:91" ht="51" x14ac:dyDescent="0.2">
      <c r="A54" s="7" t="str">
        <f ca="1">IF(AUTOEVENTO="Manual",IF(K54&lt;&gt;"",MIN(VALUE(LEFT(K54,FIND(".",K54)-1)),COUNTA(EVENTOS.Lista)),0),IF(OR($B54&gt;AUTOEVENTO,$B54="S",$B54=0),SUBSTITUTE(OFFSET($A54,-1,0),IF($D54="Serviço",".",""),""),ROW(A54)-ROW($A$15)&amp;"."))</f>
        <v>19</v>
      </c>
      <c r="B54" s="7" t="str">
        <f ca="1">OFFSET(ORÇAMENTO!C$15,ROW(B54)-ROW(B$15),0)</f>
        <v>S</v>
      </c>
      <c r="C54" s="7" t="str">
        <f ca="1">OFFSET(ORÇAMENTO!L$15,ROW(C54)-ROW(C$15),0)</f>
        <v>F</v>
      </c>
      <c r="D54" s="118" t="str">
        <f ca="1">OFFSET(ORÇAMENTO!N$15,ROW(D54)-ROW(D$15),0)</f>
        <v>Serviço</v>
      </c>
      <c r="E54" s="119" t="str">
        <f ca="1">OFFSET(ORÇAMENTO!O$15,ROW(E54)-ROW(E$15),0)</f>
        <v>1.5.3.3.1.</v>
      </c>
      <c r="F54" s="170" t="str">
        <f ca="1">OFFSET(ORÇAMENTO!R$15,ROW(F54)-ROW(F$15),0)</f>
        <v>​COM-68564105​ ESTRUTURA METÁLICA PARA MARQUIZE, EXECUTADA COM TUBOS DE AÇO QUADRADO 150X150X3,00MM - FORNECIMENTO E INSTALAÇÃO​ (M)</v>
      </c>
      <c r="G54" s="171" t="str">
        <f ca="1">IF($D54&lt;&gt;"Serviço","",OFFSET(ORÇAMENTO!S$15,ROW(G54)-ROW(G$15),0))</f>
        <v>M</v>
      </c>
      <c r="H54" s="124" cm="1">
        <f t="array" aca="1" ref="H54" ca="1">IF($D54&lt;&gt;"Serviço",0,IF(_xlfn.SINGLE(ACOMPANHAMENTO)="BM",ROUND(OFFSET(ORÇAMENTO!AJ$15,ROW(H54)-ROW(H$15),0),15-13*ORÇAMENTO!$AF$7),SUMPRODUCT(($Q$1:$AI$1)*ROUND($Q54:$AI54,15-13*ORÇAMENTO!$AF$7))))</f>
        <v>861.58</v>
      </c>
      <c r="I54" s="500" t="s">
        <v>1055</v>
      </c>
      <c r="J54" s="632" t="str" cm="1">
        <f t="array" aca="1" ref="J54" ca="1">IF(B54&lt;&gt;"S","",IF(AND(ACOMPANHAMENTO="PLE",AUTOEVENTO="Manual",OR(H54&gt;0,ORÇAMENTO!AC54="QUANT."),OR(K54="",M54=0,N54="")),"►",IF(AND(ACOMPANHAMENTO="PLE",ORÇAMENTO!AC54="QUANT."),"►►",IF(AND(COUNTIF($P$11:$AI$11,"▼")=0,H54&gt;0,I54=""),"◄",""))))</f>
        <v/>
      </c>
      <c r="K54" s="624"/>
      <c r="L54" s="172" t="s">
        <v>253</v>
      </c>
      <c r="M54" s="173">
        <f ca="1">IF($D54&lt;&gt;"Serviço","",
          IF(AUTOEVENTO="manual",$A54,
                IF(ISERROR(MATCH($A54,$A$15:OFFSET($A54,-1,0),0)),MAX($M$15:OFFSET(M54,-1,0))+1,
                      INDEX($M$15:OFFSET(M54,-1,0),MATCH($A54,$A$15:OFFSET($A54,-1,0),0)))))</f>
        <v>5</v>
      </c>
      <c r="N54" s="174" t="str">
        <f ca="1">IF($D54&lt;&gt;"Serviço","",
         IF(AUTOEVENTO="Manual",
                IF($A54=0,"&lt;-- defina o número do agrupador",
                       OFFSET(EVENTOS!$D$15,$A54-$A$15,0)),
                OFFSET($F$15,$A54,0)))</f>
        <v>ESTRUTURA E FUNDAÇÕES - PROJETO E ORÇAMENTO TERCERIZADO - AZEVEDO ENGENHARIA (AZ ENG)</v>
      </c>
      <c r="O54" s="175"/>
      <c r="Q54" s="175"/>
      <c r="R54" s="176"/>
      <c r="S54" s="176">
        <v>861.58</v>
      </c>
      <c r="T54" s="176"/>
      <c r="U54" s="176"/>
      <c r="V54" s="176"/>
      <c r="W54" s="176"/>
      <c r="X54" s="176"/>
      <c r="Y54" s="176"/>
      <c r="Z54" s="177"/>
      <c r="AA54" s="176"/>
      <c r="AB54" s="176"/>
      <c r="AC54" s="176"/>
      <c r="AD54" s="176"/>
      <c r="AE54" s="176"/>
      <c r="AF54" s="176"/>
      <c r="AG54" s="176"/>
      <c r="AH54" s="177"/>
      <c r="AJ54" s="485">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85">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L54" s="485">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206339.79</v>
      </c>
      <c r="AM54" s="485">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0</v>
      </c>
      <c r="AN54" s="485">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85">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85">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85">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85">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85">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85">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85">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85">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85">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85">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85">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85">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85">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8">
        <f ca="1">IF(OR($D54&lt;&gt;"Serviço",AND(AUTOEVENTO="Manual",$M54=$A$15)),0,
         IF(OFFSET(CRONOPLE!$F$15,$M54-$A$15,BC$13)="",10^12,OFFSET(CRONOPLE!$F$15,$M54-$A$15,BC$13)))</f>
        <v>1</v>
      </c>
      <c r="BD54" s="178">
        <f ca="1">IF(OR($D54&lt;&gt;"Serviço",AND(AUTOEVENTO="Manual",$M54=$A$15)),0,
         IF(OFFSET(CRONOPLE!$F$15,$M54-$A$15,BD$13)="",10^12,OFFSET(CRONOPLE!$F$15,$M54-$A$15,BD$13)))</f>
        <v>2</v>
      </c>
      <c r="BE54" s="178">
        <f ca="1">IF(OR($D54&lt;&gt;"Serviço",AND(AUTOEVENTO="Manual",$M54=$A$15)),0,
         IF(OFFSET(CRONOPLE!$F$15,$M54-$A$15,BE$13)="",10^12,OFFSET(CRONOPLE!$F$15,$M54-$A$15,BE$13)))</f>
        <v>3</v>
      </c>
      <c r="BF54" s="178">
        <f ca="1">IF(OR($D54&lt;&gt;"Serviço",AND(AUTOEVENTO="Manual",$M54=$A$15)),0,
         IF(OFFSET(CRONOPLE!$F$15,$M54-$A$15,BF$13)="",10^12,OFFSET(CRONOPLE!$F$15,$M54-$A$15,BF$13)))</f>
        <v>4</v>
      </c>
      <c r="BG54" s="178">
        <f ca="1">IF(OR($D54&lt;&gt;"Serviço",AND(AUTOEVENTO="Manual",$M54=$A$15)),0,
         IF(OFFSET(CRONOPLE!$F$15,$M54-$A$15,BG$13)="",10^12,OFFSET(CRONOPLE!$F$15,$M54-$A$15,BG$13)))</f>
        <v>5</v>
      </c>
      <c r="BH54" s="178">
        <f ca="1">IF(OR($D54&lt;&gt;"Serviço",AND(AUTOEVENTO="Manual",$M54=$A$15)),0,
         IF(OFFSET(CRONOPLE!$F$15,$M54-$A$15,BH$13)="",10^12,OFFSET(CRONOPLE!$F$15,$M54-$A$15,BH$13)))</f>
        <v>6</v>
      </c>
      <c r="BI54" s="178">
        <f ca="1">IF(OR($D54&lt;&gt;"Serviço",AND(AUTOEVENTO="Manual",$M54=$A$15)),0,
         IF(OFFSET(CRONOPLE!$F$15,$M54-$A$15,BI$13)="",10^12,OFFSET(CRONOPLE!$F$15,$M54-$A$15,BI$13)))</f>
        <v>7</v>
      </c>
      <c r="BJ54" s="178">
        <f ca="1">IF(OR($D54&lt;&gt;"Serviço",AND(AUTOEVENTO="Manual",$M54=$A$15)),0,
         IF(OFFSET(CRONOPLE!$F$15,$M54-$A$15,BJ$13)="",10^12,OFFSET(CRONOPLE!$F$15,$M54-$A$15,BJ$13)))</f>
        <v>1000000000000</v>
      </c>
      <c r="BK54" s="178">
        <f ca="1">IF(OR($D54&lt;&gt;"Serviço",AND(AUTOEVENTO="Manual",$M54=$A$15)),0,
         IF(OFFSET(CRONOPLE!$F$15,$M54-$A$15,BK$13)="",10^12,OFFSET(CRONOPLE!$F$15,$M54-$A$15,BK$13)))</f>
        <v>1000000000000</v>
      </c>
      <c r="BL54" s="178">
        <f ca="1">IF(OR($D54&lt;&gt;"Serviço",AND(AUTOEVENTO="Manual",$M54=$A$15)),0,
         IF(OFFSET(CRONOPLE!$F$15,$M54-$A$15,BL$13)="",10^12,OFFSET(CRONOPLE!$F$15,$M54-$A$15,BL$13)))</f>
        <v>1000000000000</v>
      </c>
      <c r="BM54" s="178">
        <f ca="1">IF(OR($D54&lt;&gt;"Serviço",AND(AUTOEVENTO="Manual",$M54=$A$15)),0,
         IF(OFFSET(CRONOPLE!$F$15,$M54-$A$15,BM$13)="",10^12,OFFSET(CRONOPLE!$F$15,$M54-$A$15,BM$13)))</f>
        <v>1000000000000</v>
      </c>
      <c r="BN54" s="178">
        <f ca="1">IF(OR($D54&lt;&gt;"Serviço",AND(AUTOEVENTO="Manual",$M54=$A$15)),0,
         IF(OFFSET(CRONOPLE!$F$15,$M54-$A$15,BN$13)="",10^12,OFFSET(CRONOPLE!$F$15,$M54-$A$15,BN$13)))</f>
        <v>1000000000000</v>
      </c>
      <c r="BO54" s="178">
        <f ca="1">IF(OR($D54&lt;&gt;"Serviço",AND(AUTOEVENTO="Manual",$M54=$A$15)),0,
         IF(OFFSET(CRONOPLE!$F$15,$M54-$A$15,BO$13)="",10^12,OFFSET(CRONOPLE!$F$15,$M54-$A$15,BO$13)))</f>
        <v>1000000000000</v>
      </c>
      <c r="BP54" s="178">
        <f ca="1">IF(OR($D54&lt;&gt;"Serviço",AND(AUTOEVENTO="Manual",$M54=$A$15)),0,
         IF(OFFSET(CRONOPLE!$F$15,$M54-$A$15,BP$13)="",10^12,OFFSET(CRONOPLE!$F$15,$M54-$A$15,BP$13)))</f>
        <v>1000000000000</v>
      </c>
      <c r="BQ54" s="178">
        <f ca="1">IF(OR($D54&lt;&gt;"Serviço",AND(AUTOEVENTO="Manual",$M54=$A$15)),0,
         IF(OFFSET(CRONOPLE!$F$15,$M54-$A$15,BQ$13)="",10^12,OFFSET(CRONOPLE!$F$15,$M54-$A$15,BQ$13)))</f>
        <v>1000000000000</v>
      </c>
      <c r="BR54" s="178">
        <f ca="1">IF(OR($D54&lt;&gt;"Serviço",AND(AUTOEVENTO="Manual",$M54=$A$15)),0,
         IF(OFFSET(CRONOPLE!$F$15,$M54-$A$15,BR$13)="",10^12,OFFSET(CRONOPLE!$F$15,$M54-$A$15,BR$13)))</f>
        <v>1000000000000</v>
      </c>
      <c r="BS54" s="178">
        <f ca="1">IF(OR($D54&lt;&gt;"Serviço",AND(AUTOEVENTO="Manual",$M54=$A$15)),0,
         IF(OFFSET(CRONOPLE!$F$15,$M54-$A$15,BS$13)="",10^12,OFFSET(CRONOPLE!$F$15,$M54-$A$15,BS$13)))</f>
        <v>1000000000000</v>
      </c>
      <c r="BT54" s="178">
        <f ca="1">IF(OR($D54&lt;&gt;"Serviço",AND(AUTOEVENTO="Manual",$M54=$A$15)),0,
         IF(OFFSET(CRONOPLE!$F$15,$M54-$A$15,BT$13)="",10^12,OFFSET(CRONOPLE!$F$15,$M54-$A$15,BT$13)))</f>
        <v>1000000000000</v>
      </c>
      <c r="BV54" s="179">
        <f ca="1">IF(OR($D54&lt;&gt;"Serviço",AND(AUTOEVENTO="Manual",$M54=$A$15),$M54&gt;(ROW(PLE.lastrow)-ROW(PLE.firstrow))),0,
           IF(OFFSET(PLE!$G$15,$M54-$A$15,BV$13)="",10^12,OFFSET(PLE!$G$15,$M54-$A$15,BV$13)))</f>
        <v>1000000000000</v>
      </c>
      <c r="BW54" s="179">
        <f ca="1">IF(OR($D54&lt;&gt;"Serviço",AND(AUTOEVENTO="Manual",$M54=$A$15),$M54&gt;(ROW(PLE.lastrow)-ROW(PLE.firstrow))),0,
           IF(OFFSET(PLE!$G$15,$M54-$A$15,BW$13)="",10^12,OFFSET(PLE!$G$15,$M54-$A$15,BW$13)))</f>
        <v>1000000000000</v>
      </c>
      <c r="BX54" s="179">
        <f ca="1">IF(OR($D54&lt;&gt;"Serviço",AND(AUTOEVENTO="Manual",$M54=$A$15),$M54&gt;(ROW(PLE.lastrow)-ROW(PLE.firstrow))),0,
           IF(OFFSET(PLE!$G$15,$M54-$A$15,BX$13)="",10^12,OFFSET(PLE!$G$15,$M54-$A$15,BX$13)))</f>
        <v>1000000000000</v>
      </c>
      <c r="BY54" s="179">
        <f ca="1">IF(OR($D54&lt;&gt;"Serviço",AND(AUTOEVENTO="Manual",$M54=$A$15),$M54&gt;(ROW(PLE.lastrow)-ROW(PLE.firstrow))),0,
           IF(OFFSET(PLE!$G$15,$M54-$A$15,BY$13)="",10^12,OFFSET(PLE!$G$15,$M54-$A$15,BY$13)))</f>
        <v>1000000000000</v>
      </c>
      <c r="BZ54" s="179">
        <f ca="1">IF(OR($D54&lt;&gt;"Serviço",AND(AUTOEVENTO="Manual",$M54=$A$15),$M54&gt;(ROW(PLE.lastrow)-ROW(PLE.firstrow))),0,
           IF(OFFSET(PLE!$G$15,$M54-$A$15,BZ$13)="",10^12,OFFSET(PLE!$G$15,$M54-$A$15,BZ$13)))</f>
        <v>1000000000000</v>
      </c>
      <c r="CA54" s="179">
        <f ca="1">IF(OR($D54&lt;&gt;"Serviço",AND(AUTOEVENTO="Manual",$M54=$A$15),$M54&gt;(ROW(PLE.lastrow)-ROW(PLE.firstrow))),0,
           IF(OFFSET(PLE!$G$15,$M54-$A$15,CA$13)="",10^12,OFFSET(PLE!$G$15,$M54-$A$15,CA$13)))</f>
        <v>1000000000000</v>
      </c>
      <c r="CB54" s="179">
        <f ca="1">IF(OR($D54&lt;&gt;"Serviço",AND(AUTOEVENTO="Manual",$M54=$A$15),$M54&gt;(ROW(PLE.lastrow)-ROW(PLE.firstrow))),0,
           IF(OFFSET(PLE!$G$15,$M54-$A$15,CB$13)="",10^12,OFFSET(PLE!$G$15,$M54-$A$15,CB$13)))</f>
        <v>1000000000000</v>
      </c>
      <c r="CC54" s="179">
        <f ca="1">IF(OR($D54&lt;&gt;"Serviço",AND(AUTOEVENTO="Manual",$M54=$A$15),$M54&gt;(ROW(PLE.lastrow)-ROW(PLE.firstrow))),0,
           IF(OFFSET(PLE!$G$15,$M54-$A$15,CC$13)="",10^12,OFFSET(PLE!$G$15,$M54-$A$15,CC$13)))</f>
        <v>1000000000000</v>
      </c>
      <c r="CD54" s="179">
        <f ca="1">IF(OR($D54&lt;&gt;"Serviço",AND(AUTOEVENTO="Manual",$M54=$A$15),$M54&gt;(ROW(PLE.lastrow)-ROW(PLE.firstrow))),0,
           IF(OFFSET(PLE!$G$15,$M54-$A$15,CD$13)="",10^12,OFFSET(PLE!$G$15,$M54-$A$15,CD$13)))</f>
        <v>1000000000000</v>
      </c>
      <c r="CE54" s="179">
        <f ca="1">IF(OR($D54&lt;&gt;"Serviço",AND(AUTOEVENTO="Manual",$M54=$A$15),$M54&gt;(ROW(PLE.lastrow)-ROW(PLE.firstrow))),0,
           IF(OFFSET(PLE!$G$15,$M54-$A$15,CE$13)="",10^12,OFFSET(PLE!$G$15,$M54-$A$15,CE$13)))</f>
        <v>1000000000000</v>
      </c>
      <c r="CF54" s="179">
        <f ca="1">IF(OR($D54&lt;&gt;"Serviço",AND(AUTOEVENTO="Manual",$M54=$A$15),$M54&gt;(ROW(PLE.lastrow)-ROW(PLE.firstrow))),0,
           IF(OFFSET(PLE!$G$15,$M54-$A$15,CF$13)="",10^12,OFFSET(PLE!$G$15,$M54-$A$15,CF$13)))</f>
        <v>1000000000000</v>
      </c>
      <c r="CG54" s="179">
        <f ca="1">IF(OR($D54&lt;&gt;"Serviço",AND(AUTOEVENTO="Manual",$M54=$A$15),$M54&gt;(ROW(PLE.lastrow)-ROW(PLE.firstrow))),0,
           IF(OFFSET(PLE!$G$15,$M54-$A$15,CG$13)="",10^12,OFFSET(PLE!$G$15,$M54-$A$15,CG$13)))</f>
        <v>1000000000000</v>
      </c>
      <c r="CH54" s="179">
        <f ca="1">IF(OR($D54&lt;&gt;"Serviço",AND(AUTOEVENTO="Manual",$M54=$A$15),$M54&gt;(ROW(PLE.lastrow)-ROW(PLE.firstrow))),0,
           IF(OFFSET(PLE!$G$15,$M54-$A$15,CH$13)="",10^12,OFFSET(PLE!$G$15,$M54-$A$15,CH$13)))</f>
        <v>1000000000000</v>
      </c>
      <c r="CI54" s="179">
        <f ca="1">IF(OR($D54&lt;&gt;"Serviço",AND(AUTOEVENTO="Manual",$M54=$A$15),$M54&gt;(ROW(PLE.lastrow)-ROW(PLE.firstrow))),0,
           IF(OFFSET(PLE!$G$15,$M54-$A$15,CI$13)="",10^12,OFFSET(PLE!$G$15,$M54-$A$15,CI$13)))</f>
        <v>1000000000000</v>
      </c>
      <c r="CJ54" s="179">
        <f ca="1">IF(OR($D54&lt;&gt;"Serviço",AND(AUTOEVENTO="Manual",$M54=$A$15),$M54&gt;(ROW(PLE.lastrow)-ROW(PLE.firstrow))),0,
           IF(OFFSET(PLE!$G$15,$M54-$A$15,CJ$13)="",10^12,OFFSET(PLE!$G$15,$M54-$A$15,CJ$13)))</f>
        <v>1000000000000</v>
      </c>
      <c r="CK54" s="179">
        <f ca="1">IF(OR($D54&lt;&gt;"Serviço",AND(AUTOEVENTO="Manual",$M54=$A$15),$M54&gt;(ROW(PLE.lastrow)-ROW(PLE.firstrow))),0,
           IF(OFFSET(PLE!$G$15,$M54-$A$15,CK$13)="",10^12,OFFSET(PLE!$G$15,$M54-$A$15,CK$13)))</f>
        <v>1000000000000</v>
      </c>
      <c r="CL54" s="179">
        <f ca="1">IF(OR($D54&lt;&gt;"Serviço",AND(AUTOEVENTO="Manual",$M54=$A$15),$M54&gt;(ROW(PLE.lastrow)-ROW(PLE.firstrow))),0,
           IF(OFFSET(PLE!$G$15,$M54-$A$15,CL$13)="",10^12,OFFSET(PLE!$G$15,$M54-$A$15,CL$13)))</f>
        <v>1000000000000</v>
      </c>
      <c r="CM54" s="179">
        <f ca="1">IF(OR($D54&lt;&gt;"Serviço",AND(AUTOEVENTO="Manual",$M54=$A$15),$M54&gt;(ROW(PLE.lastrow)-ROW(PLE.firstrow))),0,
           IF(OFFSET(PLE!$G$15,$M54-$A$15,CM$13)="",10^12,OFFSET(PLE!$G$15,$M54-$A$15,CM$13)))</f>
        <v>1000000000000</v>
      </c>
    </row>
    <row r="55" spans="1:91" ht="12.75" x14ac:dyDescent="0.2">
      <c r="A55" s="7" t="str">
        <f ca="1">IF(AUTOEVENTO="Manual",IF(K55&lt;&gt;"",MIN(VALUE(LEFT(K55,FIND(".",K55)-1)),COUNTA(EVENTOS.Lista)),0),IF(OR($B55&gt;AUTOEVENTO,$B55="S",$B55=0),SUBSTITUTE(OFFSET($A55,-1,0),IF($D55="Serviço",".",""),""),ROW(A55)-ROW($A$15)&amp;"."))</f>
        <v>40.</v>
      </c>
      <c r="B55" s="7">
        <f ca="1">OFFSET(ORÇAMENTO!C$15,ROW(B55)-ROW(B$15),0)</f>
        <v>2</v>
      </c>
      <c r="C55" s="7" t="str">
        <f ca="1">OFFSET(ORÇAMENTO!L$15,ROW(C55)-ROW(C$15),0)</f>
        <v>F</v>
      </c>
      <c r="D55" s="118" t="str">
        <f ca="1">OFFSET(ORÇAMENTO!N$15,ROW(D55)-ROW(D$15),0)</f>
        <v>Nível 2</v>
      </c>
      <c r="E55" s="119" t="str">
        <f ca="1">OFFSET(ORÇAMENTO!O$15,ROW(E55)-ROW(E$15),0)</f>
        <v>1.6.</v>
      </c>
      <c r="F55" s="170" t="str">
        <f ca="1">OFFSET(ORÇAMENTO!R$15,ROW(F55)-ROW(F$15),0)</f>
        <v>PAREDES DE FECHAMENTO</v>
      </c>
      <c r="G55" s="171" t="str">
        <f ca="1">IF($D55&lt;&gt;"Serviço","",OFFSET(ORÇAMENTO!S$15,ROW(G55)-ROW(G$15),0))</f>
        <v/>
      </c>
      <c r="H55" s="124" cm="1">
        <f t="array" aca="1" ref="H55" ca="1">IF($D55&lt;&gt;"Serviço",0,IF(_xlfn.SINGLE(ACOMPANHAMENTO)="BM",ROUND(OFFSET(ORÇAMENTO!AJ$15,ROW(H55)-ROW(H$15),0),15-13*ORÇAMENTO!$AF$7),SUMPRODUCT(($Q$1:$AI$1)*ROUND($Q55:$AI55,15-13*ORÇAMENTO!$AF$7))))</f>
        <v>0</v>
      </c>
      <c r="I55" s="500"/>
      <c r="J55" s="632" t="str" cm="1">
        <f t="array" aca="1" ref="J55" ca="1">IF(B55&lt;&gt;"S","",IF(AND(ACOMPANHAMENTO="PLE",AUTOEVENTO="Manual",OR(H55&gt;0,ORÇAMENTO!AC55="QUANT."),OR(K55="",M55=0,N55="")),"►",IF(AND(ACOMPANHAMENTO="PLE",ORÇAMENTO!AC55="QUANT."),"►►",IF(AND(COUNTIF($P$11:$AI$11,"▼")=0,H55&gt;0,I55=""),"◄",""))))</f>
        <v/>
      </c>
      <c r="K55" s="624"/>
      <c r="L55" s="172" t="s">
        <v>253</v>
      </c>
      <c r="M55" s="173" t="str">
        <f ca="1">IF($D55&lt;&gt;"Serviço","",
          IF(AUTOEVENTO="manual",$A55,
                IF(ISERROR(MATCH($A55,$A$15:OFFSET($A55,-1,0),0)),MAX($M$15:OFFSET(M55,-1,0))+1,
                      INDEX($M$15:OFFSET(M55,-1,0),MATCH($A55,$A$15:OFFSET($A55,-1,0),0)))))</f>
        <v/>
      </c>
      <c r="N55" s="174" t="str">
        <f ca="1">IF($D55&lt;&gt;"Serviço","",
         IF(AUTOEVENTO="Manual",
                IF($A55=0,"&lt;-- defina o número do agrupador",
                       OFFSET(EVENTOS!$D$15,$A55-$A$15,0)),
                OFFSET($F$15,$A55,0)))</f>
        <v/>
      </c>
      <c r="O55" s="175"/>
      <c r="Q55" s="175"/>
      <c r="R55" s="176"/>
      <c r="S55" s="176"/>
      <c r="T55" s="176"/>
      <c r="U55" s="176"/>
      <c r="V55" s="176"/>
      <c r="W55" s="176"/>
      <c r="X55" s="176"/>
      <c r="Y55" s="176"/>
      <c r="Z55" s="177"/>
      <c r="AA55" s="176"/>
      <c r="AB55" s="176"/>
      <c r="AC55" s="176"/>
      <c r="AD55" s="176"/>
      <c r="AE55" s="176"/>
      <c r="AF55" s="176"/>
      <c r="AG55" s="176"/>
      <c r="AH55" s="177"/>
      <c r="AJ55" s="485">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85">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85">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0</v>
      </c>
      <c r="AM55" s="485">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0</v>
      </c>
      <c r="AN55" s="485">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85">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85">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85">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85">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85">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85">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85">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85">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85">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85">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85">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85">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85">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8">
        <f ca="1">IF(OR($D55&lt;&gt;"Serviço",AND(AUTOEVENTO="Manual",$M55=$A$15)),0,
         IF(OFFSET(CRONOPLE!$F$15,$M55-$A$15,BC$13)="",10^12,OFFSET(CRONOPLE!$F$15,$M55-$A$15,BC$13)))</f>
        <v>0</v>
      </c>
      <c r="BD55" s="178">
        <f ca="1">IF(OR($D55&lt;&gt;"Serviço",AND(AUTOEVENTO="Manual",$M55=$A$15)),0,
         IF(OFFSET(CRONOPLE!$F$15,$M55-$A$15,BD$13)="",10^12,OFFSET(CRONOPLE!$F$15,$M55-$A$15,BD$13)))</f>
        <v>0</v>
      </c>
      <c r="BE55" s="178">
        <f ca="1">IF(OR($D55&lt;&gt;"Serviço",AND(AUTOEVENTO="Manual",$M55=$A$15)),0,
         IF(OFFSET(CRONOPLE!$F$15,$M55-$A$15,BE$13)="",10^12,OFFSET(CRONOPLE!$F$15,$M55-$A$15,BE$13)))</f>
        <v>0</v>
      </c>
      <c r="BF55" s="178">
        <f ca="1">IF(OR($D55&lt;&gt;"Serviço",AND(AUTOEVENTO="Manual",$M55=$A$15)),0,
         IF(OFFSET(CRONOPLE!$F$15,$M55-$A$15,BF$13)="",10^12,OFFSET(CRONOPLE!$F$15,$M55-$A$15,BF$13)))</f>
        <v>0</v>
      </c>
      <c r="BG55" s="178">
        <f ca="1">IF(OR($D55&lt;&gt;"Serviço",AND(AUTOEVENTO="Manual",$M55=$A$15)),0,
         IF(OFFSET(CRONOPLE!$F$15,$M55-$A$15,BG$13)="",10^12,OFFSET(CRONOPLE!$F$15,$M55-$A$15,BG$13)))</f>
        <v>0</v>
      </c>
      <c r="BH55" s="178">
        <f ca="1">IF(OR($D55&lt;&gt;"Serviço",AND(AUTOEVENTO="Manual",$M55=$A$15)),0,
         IF(OFFSET(CRONOPLE!$F$15,$M55-$A$15,BH$13)="",10^12,OFFSET(CRONOPLE!$F$15,$M55-$A$15,BH$13)))</f>
        <v>0</v>
      </c>
      <c r="BI55" s="178">
        <f ca="1">IF(OR($D55&lt;&gt;"Serviço",AND(AUTOEVENTO="Manual",$M55=$A$15)),0,
         IF(OFFSET(CRONOPLE!$F$15,$M55-$A$15,BI$13)="",10^12,OFFSET(CRONOPLE!$F$15,$M55-$A$15,BI$13)))</f>
        <v>0</v>
      </c>
      <c r="BJ55" s="178">
        <f ca="1">IF(OR($D55&lt;&gt;"Serviço",AND(AUTOEVENTO="Manual",$M55=$A$15)),0,
         IF(OFFSET(CRONOPLE!$F$15,$M55-$A$15,BJ$13)="",10^12,OFFSET(CRONOPLE!$F$15,$M55-$A$15,BJ$13)))</f>
        <v>0</v>
      </c>
      <c r="BK55" s="178">
        <f ca="1">IF(OR($D55&lt;&gt;"Serviço",AND(AUTOEVENTO="Manual",$M55=$A$15)),0,
         IF(OFFSET(CRONOPLE!$F$15,$M55-$A$15,BK$13)="",10^12,OFFSET(CRONOPLE!$F$15,$M55-$A$15,BK$13)))</f>
        <v>0</v>
      </c>
      <c r="BL55" s="178">
        <f ca="1">IF(OR($D55&lt;&gt;"Serviço",AND(AUTOEVENTO="Manual",$M55=$A$15)),0,
         IF(OFFSET(CRONOPLE!$F$15,$M55-$A$15,BL$13)="",10^12,OFFSET(CRONOPLE!$F$15,$M55-$A$15,BL$13)))</f>
        <v>0</v>
      </c>
      <c r="BM55" s="178">
        <f ca="1">IF(OR($D55&lt;&gt;"Serviço",AND(AUTOEVENTO="Manual",$M55=$A$15)),0,
         IF(OFFSET(CRONOPLE!$F$15,$M55-$A$15,BM$13)="",10^12,OFFSET(CRONOPLE!$F$15,$M55-$A$15,BM$13)))</f>
        <v>0</v>
      </c>
      <c r="BN55" s="178">
        <f ca="1">IF(OR($D55&lt;&gt;"Serviço",AND(AUTOEVENTO="Manual",$M55=$A$15)),0,
         IF(OFFSET(CRONOPLE!$F$15,$M55-$A$15,BN$13)="",10^12,OFFSET(CRONOPLE!$F$15,$M55-$A$15,BN$13)))</f>
        <v>0</v>
      </c>
      <c r="BO55" s="178">
        <f ca="1">IF(OR($D55&lt;&gt;"Serviço",AND(AUTOEVENTO="Manual",$M55=$A$15)),0,
         IF(OFFSET(CRONOPLE!$F$15,$M55-$A$15,BO$13)="",10^12,OFFSET(CRONOPLE!$F$15,$M55-$A$15,BO$13)))</f>
        <v>0</v>
      </c>
      <c r="BP55" s="178">
        <f ca="1">IF(OR($D55&lt;&gt;"Serviço",AND(AUTOEVENTO="Manual",$M55=$A$15)),0,
         IF(OFFSET(CRONOPLE!$F$15,$M55-$A$15,BP$13)="",10^12,OFFSET(CRONOPLE!$F$15,$M55-$A$15,BP$13)))</f>
        <v>0</v>
      </c>
      <c r="BQ55" s="178">
        <f ca="1">IF(OR($D55&lt;&gt;"Serviço",AND(AUTOEVENTO="Manual",$M55=$A$15)),0,
         IF(OFFSET(CRONOPLE!$F$15,$M55-$A$15,BQ$13)="",10^12,OFFSET(CRONOPLE!$F$15,$M55-$A$15,BQ$13)))</f>
        <v>0</v>
      </c>
      <c r="BR55" s="178">
        <f ca="1">IF(OR($D55&lt;&gt;"Serviço",AND(AUTOEVENTO="Manual",$M55=$A$15)),0,
         IF(OFFSET(CRONOPLE!$F$15,$M55-$A$15,BR$13)="",10^12,OFFSET(CRONOPLE!$F$15,$M55-$A$15,BR$13)))</f>
        <v>0</v>
      </c>
      <c r="BS55" s="178">
        <f ca="1">IF(OR($D55&lt;&gt;"Serviço",AND(AUTOEVENTO="Manual",$M55=$A$15)),0,
         IF(OFFSET(CRONOPLE!$F$15,$M55-$A$15,BS$13)="",10^12,OFFSET(CRONOPLE!$F$15,$M55-$A$15,BS$13)))</f>
        <v>0</v>
      </c>
      <c r="BT55" s="178">
        <f ca="1">IF(OR($D55&lt;&gt;"Serviço",AND(AUTOEVENTO="Manual",$M55=$A$15)),0,
         IF(OFFSET(CRONOPLE!$F$15,$M55-$A$15,BT$13)="",10^12,OFFSET(CRONOPLE!$F$15,$M55-$A$15,BT$13)))</f>
        <v>0</v>
      </c>
      <c r="BV55" s="179">
        <f ca="1">IF(OR($D55&lt;&gt;"Serviço",AND(AUTOEVENTO="Manual",$M55=$A$15),$M55&gt;(ROW(PLE.lastrow)-ROW(PLE.firstrow))),0,
           IF(OFFSET(PLE!$G$15,$M55-$A$15,BV$13)="",10^12,OFFSET(PLE!$G$15,$M55-$A$15,BV$13)))</f>
        <v>0</v>
      </c>
      <c r="BW55" s="179">
        <f ca="1">IF(OR($D55&lt;&gt;"Serviço",AND(AUTOEVENTO="Manual",$M55=$A$15),$M55&gt;(ROW(PLE.lastrow)-ROW(PLE.firstrow))),0,
           IF(OFFSET(PLE!$G$15,$M55-$A$15,BW$13)="",10^12,OFFSET(PLE!$G$15,$M55-$A$15,BW$13)))</f>
        <v>0</v>
      </c>
      <c r="BX55" s="179">
        <f ca="1">IF(OR($D55&lt;&gt;"Serviço",AND(AUTOEVENTO="Manual",$M55=$A$15),$M55&gt;(ROW(PLE.lastrow)-ROW(PLE.firstrow))),0,
           IF(OFFSET(PLE!$G$15,$M55-$A$15,BX$13)="",10^12,OFFSET(PLE!$G$15,$M55-$A$15,BX$13)))</f>
        <v>0</v>
      </c>
      <c r="BY55" s="179">
        <f ca="1">IF(OR($D55&lt;&gt;"Serviço",AND(AUTOEVENTO="Manual",$M55=$A$15),$M55&gt;(ROW(PLE.lastrow)-ROW(PLE.firstrow))),0,
           IF(OFFSET(PLE!$G$15,$M55-$A$15,BY$13)="",10^12,OFFSET(PLE!$G$15,$M55-$A$15,BY$13)))</f>
        <v>0</v>
      </c>
      <c r="BZ55" s="179">
        <f ca="1">IF(OR($D55&lt;&gt;"Serviço",AND(AUTOEVENTO="Manual",$M55=$A$15),$M55&gt;(ROW(PLE.lastrow)-ROW(PLE.firstrow))),0,
           IF(OFFSET(PLE!$G$15,$M55-$A$15,BZ$13)="",10^12,OFFSET(PLE!$G$15,$M55-$A$15,BZ$13)))</f>
        <v>0</v>
      </c>
      <c r="CA55" s="179">
        <f ca="1">IF(OR($D55&lt;&gt;"Serviço",AND(AUTOEVENTO="Manual",$M55=$A$15),$M55&gt;(ROW(PLE.lastrow)-ROW(PLE.firstrow))),0,
           IF(OFFSET(PLE!$G$15,$M55-$A$15,CA$13)="",10^12,OFFSET(PLE!$G$15,$M55-$A$15,CA$13)))</f>
        <v>0</v>
      </c>
      <c r="CB55" s="179">
        <f ca="1">IF(OR($D55&lt;&gt;"Serviço",AND(AUTOEVENTO="Manual",$M55=$A$15),$M55&gt;(ROW(PLE.lastrow)-ROW(PLE.firstrow))),0,
           IF(OFFSET(PLE!$G$15,$M55-$A$15,CB$13)="",10^12,OFFSET(PLE!$G$15,$M55-$A$15,CB$13)))</f>
        <v>0</v>
      </c>
      <c r="CC55" s="179">
        <f ca="1">IF(OR($D55&lt;&gt;"Serviço",AND(AUTOEVENTO="Manual",$M55=$A$15),$M55&gt;(ROW(PLE.lastrow)-ROW(PLE.firstrow))),0,
           IF(OFFSET(PLE!$G$15,$M55-$A$15,CC$13)="",10^12,OFFSET(PLE!$G$15,$M55-$A$15,CC$13)))</f>
        <v>0</v>
      </c>
      <c r="CD55" s="179">
        <f ca="1">IF(OR($D55&lt;&gt;"Serviço",AND(AUTOEVENTO="Manual",$M55=$A$15),$M55&gt;(ROW(PLE.lastrow)-ROW(PLE.firstrow))),0,
           IF(OFFSET(PLE!$G$15,$M55-$A$15,CD$13)="",10^12,OFFSET(PLE!$G$15,$M55-$A$15,CD$13)))</f>
        <v>0</v>
      </c>
      <c r="CE55" s="179">
        <f ca="1">IF(OR($D55&lt;&gt;"Serviço",AND(AUTOEVENTO="Manual",$M55=$A$15),$M55&gt;(ROW(PLE.lastrow)-ROW(PLE.firstrow))),0,
           IF(OFFSET(PLE!$G$15,$M55-$A$15,CE$13)="",10^12,OFFSET(PLE!$G$15,$M55-$A$15,CE$13)))</f>
        <v>0</v>
      </c>
      <c r="CF55" s="179">
        <f ca="1">IF(OR($D55&lt;&gt;"Serviço",AND(AUTOEVENTO="Manual",$M55=$A$15),$M55&gt;(ROW(PLE.lastrow)-ROW(PLE.firstrow))),0,
           IF(OFFSET(PLE!$G$15,$M55-$A$15,CF$13)="",10^12,OFFSET(PLE!$G$15,$M55-$A$15,CF$13)))</f>
        <v>0</v>
      </c>
      <c r="CG55" s="179">
        <f ca="1">IF(OR($D55&lt;&gt;"Serviço",AND(AUTOEVENTO="Manual",$M55=$A$15),$M55&gt;(ROW(PLE.lastrow)-ROW(PLE.firstrow))),0,
           IF(OFFSET(PLE!$G$15,$M55-$A$15,CG$13)="",10^12,OFFSET(PLE!$G$15,$M55-$A$15,CG$13)))</f>
        <v>0</v>
      </c>
      <c r="CH55" s="179">
        <f ca="1">IF(OR($D55&lt;&gt;"Serviço",AND(AUTOEVENTO="Manual",$M55=$A$15),$M55&gt;(ROW(PLE.lastrow)-ROW(PLE.firstrow))),0,
           IF(OFFSET(PLE!$G$15,$M55-$A$15,CH$13)="",10^12,OFFSET(PLE!$G$15,$M55-$A$15,CH$13)))</f>
        <v>0</v>
      </c>
      <c r="CI55" s="179">
        <f ca="1">IF(OR($D55&lt;&gt;"Serviço",AND(AUTOEVENTO="Manual",$M55=$A$15),$M55&gt;(ROW(PLE.lastrow)-ROW(PLE.firstrow))),0,
           IF(OFFSET(PLE!$G$15,$M55-$A$15,CI$13)="",10^12,OFFSET(PLE!$G$15,$M55-$A$15,CI$13)))</f>
        <v>0</v>
      </c>
      <c r="CJ55" s="179">
        <f ca="1">IF(OR($D55&lt;&gt;"Serviço",AND(AUTOEVENTO="Manual",$M55=$A$15),$M55&gt;(ROW(PLE.lastrow)-ROW(PLE.firstrow))),0,
           IF(OFFSET(PLE!$G$15,$M55-$A$15,CJ$13)="",10^12,OFFSET(PLE!$G$15,$M55-$A$15,CJ$13)))</f>
        <v>0</v>
      </c>
      <c r="CK55" s="179">
        <f ca="1">IF(OR($D55&lt;&gt;"Serviço",AND(AUTOEVENTO="Manual",$M55=$A$15),$M55&gt;(ROW(PLE.lastrow)-ROW(PLE.firstrow))),0,
           IF(OFFSET(PLE!$G$15,$M55-$A$15,CK$13)="",10^12,OFFSET(PLE!$G$15,$M55-$A$15,CK$13)))</f>
        <v>0</v>
      </c>
      <c r="CL55" s="179">
        <f ca="1">IF(OR($D55&lt;&gt;"Serviço",AND(AUTOEVENTO="Manual",$M55=$A$15),$M55&gt;(ROW(PLE.lastrow)-ROW(PLE.firstrow))),0,
           IF(OFFSET(PLE!$G$15,$M55-$A$15,CL$13)="",10^12,OFFSET(PLE!$G$15,$M55-$A$15,CL$13)))</f>
        <v>0</v>
      </c>
      <c r="CM55" s="179">
        <f ca="1">IF(OR($D55&lt;&gt;"Serviço",AND(AUTOEVENTO="Manual",$M55=$A$15),$M55&gt;(ROW(PLE.lastrow)-ROW(PLE.firstrow))),0,
           IF(OFFSET(PLE!$G$15,$M55-$A$15,CM$13)="",10^12,OFFSET(PLE!$G$15,$M55-$A$15,CM$13)))</f>
        <v>0</v>
      </c>
    </row>
    <row r="56" spans="1:91" ht="12.75" x14ac:dyDescent="0.2">
      <c r="A56" s="7" t="str">
        <f ca="1">IF(AUTOEVENTO="Manual",IF(K56&lt;&gt;"",MIN(VALUE(LEFT(K56,FIND(".",K56)-1)),COUNTA(EVENTOS.Lista)),0),IF(OR($B56&gt;AUTOEVENTO,$B56="S",$B56=0),SUBSTITUTE(OFFSET($A56,-1,0),IF($D56="Serviço",".",""),""),ROW(A56)-ROW($A$15)&amp;"."))</f>
        <v>40.</v>
      </c>
      <c r="B56" s="7">
        <f ca="1">OFFSET(ORÇAMENTO!C$15,ROW(B56)-ROW(B$15),0)</f>
        <v>3</v>
      </c>
      <c r="C56" s="7" t="str">
        <f ca="1">OFFSET(ORÇAMENTO!L$15,ROW(C56)-ROW(C$15),0)</f>
        <v>F</v>
      </c>
      <c r="D56" s="118" t="str">
        <f ca="1">OFFSET(ORÇAMENTO!N$15,ROW(D56)-ROW(D$15),0)</f>
        <v>Nível 3</v>
      </c>
      <c r="E56" s="119" t="str">
        <f ca="1">OFFSET(ORÇAMENTO!O$15,ROW(E56)-ROW(E$15),0)</f>
        <v>1.6.1.</v>
      </c>
      <c r="F56" s="170" t="str">
        <f ca="1">OFFSET(ORÇAMENTO!R$15,ROW(F56)-ROW(F$15),0)</f>
        <v>ALVENARIA</v>
      </c>
      <c r="G56" s="171" t="str">
        <f ca="1">IF($D56&lt;&gt;"Serviço","",OFFSET(ORÇAMENTO!S$15,ROW(G56)-ROW(G$15),0))</f>
        <v/>
      </c>
      <c r="H56" s="124" cm="1">
        <f t="array" aca="1" ref="H56" ca="1">IF($D56&lt;&gt;"Serviço",0,IF(_xlfn.SINGLE(ACOMPANHAMENTO)="BM",ROUND(OFFSET(ORÇAMENTO!AJ$15,ROW(H56)-ROW(H$15),0),15-13*ORÇAMENTO!$AF$7),SUMPRODUCT(($Q$1:$AI$1)*ROUND($Q56:$AI56,15-13*ORÇAMENTO!$AF$7))))</f>
        <v>0</v>
      </c>
      <c r="I56" s="500"/>
      <c r="J56" s="632" t="str" cm="1">
        <f t="array" aca="1" ref="J56" ca="1">IF(B56&lt;&gt;"S","",IF(AND(ACOMPANHAMENTO="PLE",AUTOEVENTO="Manual",OR(H56&gt;0,ORÇAMENTO!AC56="QUANT."),OR(K56="",M56=0,N56="")),"►",IF(AND(ACOMPANHAMENTO="PLE",ORÇAMENTO!AC56="QUANT."),"►►",IF(AND(COUNTIF($P$11:$AI$11,"▼")=0,H56&gt;0,I56=""),"◄",""))))</f>
        <v/>
      </c>
      <c r="K56" s="624"/>
      <c r="L56" s="172" t="s">
        <v>253</v>
      </c>
      <c r="M56" s="173" t="str">
        <f ca="1">IF($D56&lt;&gt;"Serviço","",
          IF(AUTOEVENTO="manual",$A56,
                IF(ISERROR(MATCH($A56,$A$15:OFFSET($A56,-1,0),0)),MAX($M$15:OFFSET(M56,-1,0))+1,
                      INDEX($M$15:OFFSET(M56,-1,0),MATCH($A56,$A$15:OFFSET($A56,-1,0),0)))))</f>
        <v/>
      </c>
      <c r="N56" s="174" t="str">
        <f ca="1">IF($D56&lt;&gt;"Serviço","",
         IF(AUTOEVENTO="Manual",
                IF($A56=0,"&lt;-- defina o número do agrupador",
                       OFFSET(EVENTOS!$D$15,$A56-$A$15,0)),
                OFFSET($F$15,$A56,0)))</f>
        <v/>
      </c>
      <c r="O56" s="175"/>
      <c r="Q56" s="175"/>
      <c r="R56" s="176"/>
      <c r="S56" s="176"/>
      <c r="T56" s="176"/>
      <c r="U56" s="176"/>
      <c r="V56" s="176"/>
      <c r="W56" s="176"/>
      <c r="X56" s="176"/>
      <c r="Y56" s="176"/>
      <c r="Z56" s="177"/>
      <c r="AA56" s="176"/>
      <c r="AB56" s="176"/>
      <c r="AC56" s="176"/>
      <c r="AD56" s="176"/>
      <c r="AE56" s="176"/>
      <c r="AF56" s="176"/>
      <c r="AG56" s="176"/>
      <c r="AH56" s="177"/>
      <c r="AJ56" s="485">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85">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L56" s="485">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0</v>
      </c>
      <c r="AM56" s="485">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0</v>
      </c>
      <c r="AN56" s="485">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85">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85">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85">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85">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85">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85">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85">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85">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85">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85">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85">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85">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85">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8">
        <f ca="1">IF(OR($D56&lt;&gt;"Serviço",AND(AUTOEVENTO="Manual",$M56=$A$15)),0,
         IF(OFFSET(CRONOPLE!$F$15,$M56-$A$15,BC$13)="",10^12,OFFSET(CRONOPLE!$F$15,$M56-$A$15,BC$13)))</f>
        <v>0</v>
      </c>
      <c r="BD56" s="178">
        <f ca="1">IF(OR($D56&lt;&gt;"Serviço",AND(AUTOEVENTO="Manual",$M56=$A$15)),0,
         IF(OFFSET(CRONOPLE!$F$15,$M56-$A$15,BD$13)="",10^12,OFFSET(CRONOPLE!$F$15,$M56-$A$15,BD$13)))</f>
        <v>0</v>
      </c>
      <c r="BE56" s="178">
        <f ca="1">IF(OR($D56&lt;&gt;"Serviço",AND(AUTOEVENTO="Manual",$M56=$A$15)),0,
         IF(OFFSET(CRONOPLE!$F$15,$M56-$A$15,BE$13)="",10^12,OFFSET(CRONOPLE!$F$15,$M56-$A$15,BE$13)))</f>
        <v>0</v>
      </c>
      <c r="BF56" s="178">
        <f ca="1">IF(OR($D56&lt;&gt;"Serviço",AND(AUTOEVENTO="Manual",$M56=$A$15)),0,
         IF(OFFSET(CRONOPLE!$F$15,$M56-$A$15,BF$13)="",10^12,OFFSET(CRONOPLE!$F$15,$M56-$A$15,BF$13)))</f>
        <v>0</v>
      </c>
      <c r="BG56" s="178">
        <f ca="1">IF(OR($D56&lt;&gt;"Serviço",AND(AUTOEVENTO="Manual",$M56=$A$15)),0,
         IF(OFFSET(CRONOPLE!$F$15,$M56-$A$15,BG$13)="",10^12,OFFSET(CRONOPLE!$F$15,$M56-$A$15,BG$13)))</f>
        <v>0</v>
      </c>
      <c r="BH56" s="178">
        <f ca="1">IF(OR($D56&lt;&gt;"Serviço",AND(AUTOEVENTO="Manual",$M56=$A$15)),0,
         IF(OFFSET(CRONOPLE!$F$15,$M56-$A$15,BH$13)="",10^12,OFFSET(CRONOPLE!$F$15,$M56-$A$15,BH$13)))</f>
        <v>0</v>
      </c>
      <c r="BI56" s="178">
        <f ca="1">IF(OR($D56&lt;&gt;"Serviço",AND(AUTOEVENTO="Manual",$M56=$A$15)),0,
         IF(OFFSET(CRONOPLE!$F$15,$M56-$A$15,BI$13)="",10^12,OFFSET(CRONOPLE!$F$15,$M56-$A$15,BI$13)))</f>
        <v>0</v>
      </c>
      <c r="BJ56" s="178">
        <f ca="1">IF(OR($D56&lt;&gt;"Serviço",AND(AUTOEVENTO="Manual",$M56=$A$15)),0,
         IF(OFFSET(CRONOPLE!$F$15,$M56-$A$15,BJ$13)="",10^12,OFFSET(CRONOPLE!$F$15,$M56-$A$15,BJ$13)))</f>
        <v>0</v>
      </c>
      <c r="BK56" s="178">
        <f ca="1">IF(OR($D56&lt;&gt;"Serviço",AND(AUTOEVENTO="Manual",$M56=$A$15)),0,
         IF(OFFSET(CRONOPLE!$F$15,$M56-$A$15,BK$13)="",10^12,OFFSET(CRONOPLE!$F$15,$M56-$A$15,BK$13)))</f>
        <v>0</v>
      </c>
      <c r="BL56" s="178">
        <f ca="1">IF(OR($D56&lt;&gt;"Serviço",AND(AUTOEVENTO="Manual",$M56=$A$15)),0,
         IF(OFFSET(CRONOPLE!$F$15,$M56-$A$15,BL$13)="",10^12,OFFSET(CRONOPLE!$F$15,$M56-$A$15,BL$13)))</f>
        <v>0</v>
      </c>
      <c r="BM56" s="178">
        <f ca="1">IF(OR($D56&lt;&gt;"Serviço",AND(AUTOEVENTO="Manual",$M56=$A$15)),0,
         IF(OFFSET(CRONOPLE!$F$15,$M56-$A$15,BM$13)="",10^12,OFFSET(CRONOPLE!$F$15,$M56-$A$15,BM$13)))</f>
        <v>0</v>
      </c>
      <c r="BN56" s="178">
        <f ca="1">IF(OR($D56&lt;&gt;"Serviço",AND(AUTOEVENTO="Manual",$M56=$A$15)),0,
         IF(OFFSET(CRONOPLE!$F$15,$M56-$A$15,BN$13)="",10^12,OFFSET(CRONOPLE!$F$15,$M56-$A$15,BN$13)))</f>
        <v>0</v>
      </c>
      <c r="BO56" s="178">
        <f ca="1">IF(OR($D56&lt;&gt;"Serviço",AND(AUTOEVENTO="Manual",$M56=$A$15)),0,
         IF(OFFSET(CRONOPLE!$F$15,$M56-$A$15,BO$13)="",10^12,OFFSET(CRONOPLE!$F$15,$M56-$A$15,BO$13)))</f>
        <v>0</v>
      </c>
      <c r="BP56" s="178">
        <f ca="1">IF(OR($D56&lt;&gt;"Serviço",AND(AUTOEVENTO="Manual",$M56=$A$15)),0,
         IF(OFFSET(CRONOPLE!$F$15,$M56-$A$15,BP$13)="",10^12,OFFSET(CRONOPLE!$F$15,$M56-$A$15,BP$13)))</f>
        <v>0</v>
      </c>
      <c r="BQ56" s="178">
        <f ca="1">IF(OR($D56&lt;&gt;"Serviço",AND(AUTOEVENTO="Manual",$M56=$A$15)),0,
         IF(OFFSET(CRONOPLE!$F$15,$M56-$A$15,BQ$13)="",10^12,OFFSET(CRONOPLE!$F$15,$M56-$A$15,BQ$13)))</f>
        <v>0</v>
      </c>
      <c r="BR56" s="178">
        <f ca="1">IF(OR($D56&lt;&gt;"Serviço",AND(AUTOEVENTO="Manual",$M56=$A$15)),0,
         IF(OFFSET(CRONOPLE!$F$15,$M56-$A$15,BR$13)="",10^12,OFFSET(CRONOPLE!$F$15,$M56-$A$15,BR$13)))</f>
        <v>0</v>
      </c>
      <c r="BS56" s="178">
        <f ca="1">IF(OR($D56&lt;&gt;"Serviço",AND(AUTOEVENTO="Manual",$M56=$A$15)),0,
         IF(OFFSET(CRONOPLE!$F$15,$M56-$A$15,BS$13)="",10^12,OFFSET(CRONOPLE!$F$15,$M56-$A$15,BS$13)))</f>
        <v>0</v>
      </c>
      <c r="BT56" s="178">
        <f ca="1">IF(OR($D56&lt;&gt;"Serviço",AND(AUTOEVENTO="Manual",$M56=$A$15)),0,
         IF(OFFSET(CRONOPLE!$F$15,$M56-$A$15,BT$13)="",10^12,OFFSET(CRONOPLE!$F$15,$M56-$A$15,BT$13)))</f>
        <v>0</v>
      </c>
      <c r="BV56" s="179">
        <f ca="1">IF(OR($D56&lt;&gt;"Serviço",AND(AUTOEVENTO="Manual",$M56=$A$15),$M56&gt;(ROW(PLE.lastrow)-ROW(PLE.firstrow))),0,
           IF(OFFSET(PLE!$G$15,$M56-$A$15,BV$13)="",10^12,OFFSET(PLE!$G$15,$M56-$A$15,BV$13)))</f>
        <v>0</v>
      </c>
      <c r="BW56" s="179">
        <f ca="1">IF(OR($D56&lt;&gt;"Serviço",AND(AUTOEVENTO="Manual",$M56=$A$15),$M56&gt;(ROW(PLE.lastrow)-ROW(PLE.firstrow))),0,
           IF(OFFSET(PLE!$G$15,$M56-$A$15,BW$13)="",10^12,OFFSET(PLE!$G$15,$M56-$A$15,BW$13)))</f>
        <v>0</v>
      </c>
      <c r="BX56" s="179">
        <f ca="1">IF(OR($D56&lt;&gt;"Serviço",AND(AUTOEVENTO="Manual",$M56=$A$15),$M56&gt;(ROW(PLE.lastrow)-ROW(PLE.firstrow))),0,
           IF(OFFSET(PLE!$G$15,$M56-$A$15,BX$13)="",10^12,OFFSET(PLE!$G$15,$M56-$A$15,BX$13)))</f>
        <v>0</v>
      </c>
      <c r="BY56" s="179">
        <f ca="1">IF(OR($D56&lt;&gt;"Serviço",AND(AUTOEVENTO="Manual",$M56=$A$15),$M56&gt;(ROW(PLE.lastrow)-ROW(PLE.firstrow))),0,
           IF(OFFSET(PLE!$G$15,$M56-$A$15,BY$13)="",10^12,OFFSET(PLE!$G$15,$M56-$A$15,BY$13)))</f>
        <v>0</v>
      </c>
      <c r="BZ56" s="179">
        <f ca="1">IF(OR($D56&lt;&gt;"Serviço",AND(AUTOEVENTO="Manual",$M56=$A$15),$M56&gt;(ROW(PLE.lastrow)-ROW(PLE.firstrow))),0,
           IF(OFFSET(PLE!$G$15,$M56-$A$15,BZ$13)="",10^12,OFFSET(PLE!$G$15,$M56-$A$15,BZ$13)))</f>
        <v>0</v>
      </c>
      <c r="CA56" s="179">
        <f ca="1">IF(OR($D56&lt;&gt;"Serviço",AND(AUTOEVENTO="Manual",$M56=$A$15),$M56&gt;(ROW(PLE.lastrow)-ROW(PLE.firstrow))),0,
           IF(OFFSET(PLE!$G$15,$M56-$A$15,CA$13)="",10^12,OFFSET(PLE!$G$15,$M56-$A$15,CA$13)))</f>
        <v>0</v>
      </c>
      <c r="CB56" s="179">
        <f ca="1">IF(OR($D56&lt;&gt;"Serviço",AND(AUTOEVENTO="Manual",$M56=$A$15),$M56&gt;(ROW(PLE.lastrow)-ROW(PLE.firstrow))),0,
           IF(OFFSET(PLE!$G$15,$M56-$A$15,CB$13)="",10^12,OFFSET(PLE!$G$15,$M56-$A$15,CB$13)))</f>
        <v>0</v>
      </c>
      <c r="CC56" s="179">
        <f ca="1">IF(OR($D56&lt;&gt;"Serviço",AND(AUTOEVENTO="Manual",$M56=$A$15),$M56&gt;(ROW(PLE.lastrow)-ROW(PLE.firstrow))),0,
           IF(OFFSET(PLE!$G$15,$M56-$A$15,CC$13)="",10^12,OFFSET(PLE!$G$15,$M56-$A$15,CC$13)))</f>
        <v>0</v>
      </c>
      <c r="CD56" s="179">
        <f ca="1">IF(OR($D56&lt;&gt;"Serviço",AND(AUTOEVENTO="Manual",$M56=$A$15),$M56&gt;(ROW(PLE.lastrow)-ROW(PLE.firstrow))),0,
           IF(OFFSET(PLE!$G$15,$M56-$A$15,CD$13)="",10^12,OFFSET(PLE!$G$15,$M56-$A$15,CD$13)))</f>
        <v>0</v>
      </c>
      <c r="CE56" s="179">
        <f ca="1">IF(OR($D56&lt;&gt;"Serviço",AND(AUTOEVENTO="Manual",$M56=$A$15),$M56&gt;(ROW(PLE.lastrow)-ROW(PLE.firstrow))),0,
           IF(OFFSET(PLE!$G$15,$M56-$A$15,CE$13)="",10^12,OFFSET(PLE!$G$15,$M56-$A$15,CE$13)))</f>
        <v>0</v>
      </c>
      <c r="CF56" s="179">
        <f ca="1">IF(OR($D56&lt;&gt;"Serviço",AND(AUTOEVENTO="Manual",$M56=$A$15),$M56&gt;(ROW(PLE.lastrow)-ROW(PLE.firstrow))),0,
           IF(OFFSET(PLE!$G$15,$M56-$A$15,CF$13)="",10^12,OFFSET(PLE!$G$15,$M56-$A$15,CF$13)))</f>
        <v>0</v>
      </c>
      <c r="CG56" s="179">
        <f ca="1">IF(OR($D56&lt;&gt;"Serviço",AND(AUTOEVENTO="Manual",$M56=$A$15),$M56&gt;(ROW(PLE.lastrow)-ROW(PLE.firstrow))),0,
           IF(OFFSET(PLE!$G$15,$M56-$A$15,CG$13)="",10^12,OFFSET(PLE!$G$15,$M56-$A$15,CG$13)))</f>
        <v>0</v>
      </c>
      <c r="CH56" s="179">
        <f ca="1">IF(OR($D56&lt;&gt;"Serviço",AND(AUTOEVENTO="Manual",$M56=$A$15),$M56&gt;(ROW(PLE.lastrow)-ROW(PLE.firstrow))),0,
           IF(OFFSET(PLE!$G$15,$M56-$A$15,CH$13)="",10^12,OFFSET(PLE!$G$15,$M56-$A$15,CH$13)))</f>
        <v>0</v>
      </c>
      <c r="CI56" s="179">
        <f ca="1">IF(OR($D56&lt;&gt;"Serviço",AND(AUTOEVENTO="Manual",$M56=$A$15),$M56&gt;(ROW(PLE.lastrow)-ROW(PLE.firstrow))),0,
           IF(OFFSET(PLE!$G$15,$M56-$A$15,CI$13)="",10^12,OFFSET(PLE!$G$15,$M56-$A$15,CI$13)))</f>
        <v>0</v>
      </c>
      <c r="CJ56" s="179">
        <f ca="1">IF(OR($D56&lt;&gt;"Serviço",AND(AUTOEVENTO="Manual",$M56=$A$15),$M56&gt;(ROW(PLE.lastrow)-ROW(PLE.firstrow))),0,
           IF(OFFSET(PLE!$G$15,$M56-$A$15,CJ$13)="",10^12,OFFSET(PLE!$G$15,$M56-$A$15,CJ$13)))</f>
        <v>0</v>
      </c>
      <c r="CK56" s="179">
        <f ca="1">IF(OR($D56&lt;&gt;"Serviço",AND(AUTOEVENTO="Manual",$M56=$A$15),$M56&gt;(ROW(PLE.lastrow)-ROW(PLE.firstrow))),0,
           IF(OFFSET(PLE!$G$15,$M56-$A$15,CK$13)="",10^12,OFFSET(PLE!$G$15,$M56-$A$15,CK$13)))</f>
        <v>0</v>
      </c>
      <c r="CL56" s="179">
        <f ca="1">IF(OR($D56&lt;&gt;"Serviço",AND(AUTOEVENTO="Manual",$M56=$A$15),$M56&gt;(ROW(PLE.lastrow)-ROW(PLE.firstrow))),0,
           IF(OFFSET(PLE!$G$15,$M56-$A$15,CL$13)="",10^12,OFFSET(PLE!$G$15,$M56-$A$15,CL$13)))</f>
        <v>0</v>
      </c>
      <c r="CM56" s="179">
        <f ca="1">IF(OR($D56&lt;&gt;"Serviço",AND(AUTOEVENTO="Manual",$M56=$A$15),$M56&gt;(ROW(PLE.lastrow)-ROW(PLE.firstrow))),0,
           IF(OFFSET(PLE!$G$15,$M56-$A$15,CM$13)="",10^12,OFFSET(PLE!$G$15,$M56-$A$15,CM$13)))</f>
        <v>0</v>
      </c>
    </row>
    <row r="57" spans="1:91" ht="51" x14ac:dyDescent="0.2">
      <c r="A57" s="7" t="str">
        <f ca="1">IF(AUTOEVENTO="Manual",IF(K57&lt;&gt;"",MIN(VALUE(LEFT(K57,FIND(".",K57)-1)),COUNTA(EVENTOS.Lista)),0),IF(OR($B57&gt;AUTOEVENTO,$B57="S",$B57=0),SUBSTITUTE(OFFSET($A57,-1,0),IF($D57="Serviço",".",""),""),ROW(A57)-ROW($A$15)&amp;"."))</f>
        <v>40</v>
      </c>
      <c r="B57" s="7" t="str">
        <f ca="1">OFFSET(ORÇAMENTO!C$15,ROW(B57)-ROW(B$15),0)</f>
        <v>S</v>
      </c>
      <c r="C57" s="7" t="str">
        <f ca="1">OFFSET(ORÇAMENTO!L$15,ROW(C57)-ROW(C$15),0)</f>
        <v>F</v>
      </c>
      <c r="D57" s="118" t="str">
        <f ca="1">OFFSET(ORÇAMENTO!N$15,ROW(D57)-ROW(D$15),0)</f>
        <v>Serviço</v>
      </c>
      <c r="E57" s="119" t="str">
        <f ca="1">OFFSET(ORÇAMENTO!O$15,ROW(E57)-ROW(E$15),0)</f>
        <v>1.6.1.0.1.</v>
      </c>
      <c r="F57" s="170" t="str">
        <f ca="1">OFFSET(ORÇAMENTO!R$15,ROW(F57)-ROW(F$15),0)</f>
        <v>ALVENARIA DE VEDAÇÃO DE BLOCOS CERÂMICOS FURADOS NA HORIZONTAL DE 11,5X19X19 CM (ESPESSURA 11,5 CM) E ARGAMASSA DE ASSENTAMENTO COM PREPARO EM BETONEIRA. AF_12/2021</v>
      </c>
      <c r="G57" s="171" t="str">
        <f ca="1">IF($D57&lt;&gt;"Serviço","",OFFSET(ORÇAMENTO!S$15,ROW(G57)-ROW(G$15),0))</f>
        <v>M2</v>
      </c>
      <c r="H57" s="124" cm="1">
        <f t="array" aca="1" ref="H57" ca="1">IF($D57&lt;&gt;"Serviço",0,IF(_xlfn.SINGLE(ACOMPANHAMENTO)="BM",ROUND(OFFSET(ORÇAMENTO!AJ$15,ROW(H57)-ROW(H$15),0),15-13*ORÇAMENTO!$AF$7),SUMPRODUCT(($Q$1:$AI$1)*ROUND($Q57:$AI57,15-13*ORÇAMENTO!$AF$7))))</f>
        <v>160.46</v>
      </c>
      <c r="I57" s="500" t="s">
        <v>1070</v>
      </c>
      <c r="J57" s="632" t="str" cm="1">
        <f t="array" aca="1" ref="J57" ca="1">IF(B57&lt;&gt;"S","",IF(AND(ACOMPANHAMENTO="PLE",AUTOEVENTO="Manual",OR(H57&gt;0,ORÇAMENTO!AC57="QUANT."),OR(K57="",M57=0,N57="")),"►",IF(AND(ACOMPANHAMENTO="PLE",ORÇAMENTO!AC57="QUANT."),"►►",IF(AND(COUNTIF($P$11:$AI$11,"▼")=0,H57&gt;0,I57=""),"◄",""))))</f>
        <v/>
      </c>
      <c r="K57" s="624"/>
      <c r="L57" s="172" t="s">
        <v>253</v>
      </c>
      <c r="M57" s="173">
        <f ca="1">IF($D57&lt;&gt;"Serviço","",
          IF(AUTOEVENTO="manual",$A57,
                IF(ISERROR(MATCH($A57,$A$15:OFFSET($A57,-1,0),0)),MAX($M$15:OFFSET(M57,-1,0))+1,
                      INDEX($M$15:OFFSET(M57,-1,0),MATCH($A57,$A$15:OFFSET($A57,-1,0),0)))))</f>
        <v>6</v>
      </c>
      <c r="N57" s="174" t="str">
        <f ca="1">IF($D57&lt;&gt;"Serviço","",
         IF(AUTOEVENTO="Manual",
                IF($A57=0,"&lt;-- defina o número do agrupador",
                       OFFSET(EVENTOS!$D$15,$A57-$A$15,0)),
                OFFSET($F$15,$A57,0)))</f>
        <v>PAREDES DE FECHAMENTO</v>
      </c>
      <c r="O57" s="175"/>
      <c r="Q57" s="175"/>
      <c r="R57" s="176"/>
      <c r="S57" s="176"/>
      <c r="T57" s="176">
        <v>160.46</v>
      </c>
      <c r="U57" s="176"/>
      <c r="V57" s="176"/>
      <c r="W57" s="176"/>
      <c r="X57" s="176"/>
      <c r="Y57" s="176"/>
      <c r="Z57" s="177"/>
      <c r="AA57" s="176"/>
      <c r="AB57" s="176"/>
      <c r="AC57" s="176"/>
      <c r="AD57" s="176"/>
      <c r="AE57" s="176"/>
      <c r="AF57" s="176"/>
      <c r="AG57" s="176"/>
      <c r="AH57" s="177"/>
      <c r="AJ57" s="485">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85">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L57" s="485">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0</v>
      </c>
      <c r="AM57" s="485">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19975.669999999998</v>
      </c>
      <c r="AN57" s="485">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85">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85">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85">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85">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85">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85">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85">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85">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85">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85">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85">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85">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85">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8">
        <f ca="1">IF(OR($D57&lt;&gt;"Serviço",AND(AUTOEVENTO="Manual",$M57=$A$15)),0,
         IF(OFFSET(CRONOPLE!$F$15,$M57-$A$15,BC$13)="",10^12,OFFSET(CRONOPLE!$F$15,$M57-$A$15,BC$13)))</f>
        <v>1</v>
      </c>
      <c r="BD57" s="178">
        <f ca="1">IF(OR($D57&lt;&gt;"Serviço",AND(AUTOEVENTO="Manual",$M57=$A$15)),0,
         IF(OFFSET(CRONOPLE!$F$15,$M57-$A$15,BD$13)="",10^12,OFFSET(CRONOPLE!$F$15,$M57-$A$15,BD$13)))</f>
        <v>2</v>
      </c>
      <c r="BE57" s="178">
        <f ca="1">IF(OR($D57&lt;&gt;"Serviço",AND(AUTOEVENTO="Manual",$M57=$A$15)),0,
         IF(OFFSET(CRONOPLE!$F$15,$M57-$A$15,BE$13)="",10^12,OFFSET(CRONOPLE!$F$15,$M57-$A$15,BE$13)))</f>
        <v>3</v>
      </c>
      <c r="BF57" s="178">
        <f ca="1">IF(OR($D57&lt;&gt;"Serviço",AND(AUTOEVENTO="Manual",$M57=$A$15)),0,
         IF(OFFSET(CRONOPLE!$F$15,$M57-$A$15,BF$13)="",10^12,OFFSET(CRONOPLE!$F$15,$M57-$A$15,BF$13)))</f>
        <v>4</v>
      </c>
      <c r="BG57" s="178">
        <f ca="1">IF(OR($D57&lt;&gt;"Serviço",AND(AUTOEVENTO="Manual",$M57=$A$15)),0,
         IF(OFFSET(CRONOPLE!$F$15,$M57-$A$15,BG$13)="",10^12,OFFSET(CRONOPLE!$F$15,$M57-$A$15,BG$13)))</f>
        <v>1000000000000</v>
      </c>
      <c r="BH57" s="178">
        <f ca="1">IF(OR($D57&lt;&gt;"Serviço",AND(AUTOEVENTO="Manual",$M57=$A$15)),0,
         IF(OFFSET(CRONOPLE!$F$15,$M57-$A$15,BH$13)="",10^12,OFFSET(CRONOPLE!$F$15,$M57-$A$15,BH$13)))</f>
        <v>1000000000000</v>
      </c>
      <c r="BI57" s="178">
        <f ca="1">IF(OR($D57&lt;&gt;"Serviço",AND(AUTOEVENTO="Manual",$M57=$A$15)),0,
         IF(OFFSET(CRONOPLE!$F$15,$M57-$A$15,BI$13)="",10^12,OFFSET(CRONOPLE!$F$15,$M57-$A$15,BI$13)))</f>
        <v>7</v>
      </c>
      <c r="BJ57" s="178">
        <f ca="1">IF(OR($D57&lt;&gt;"Serviço",AND(AUTOEVENTO="Manual",$M57=$A$15)),0,
         IF(OFFSET(CRONOPLE!$F$15,$M57-$A$15,BJ$13)="",10^12,OFFSET(CRONOPLE!$F$15,$M57-$A$15,BJ$13)))</f>
        <v>1000000000000</v>
      </c>
      <c r="BK57" s="178">
        <f ca="1">IF(OR($D57&lt;&gt;"Serviço",AND(AUTOEVENTO="Manual",$M57=$A$15)),0,
         IF(OFFSET(CRONOPLE!$F$15,$M57-$A$15,BK$13)="",10^12,OFFSET(CRONOPLE!$F$15,$M57-$A$15,BK$13)))</f>
        <v>1000000000000</v>
      </c>
      <c r="BL57" s="178">
        <f ca="1">IF(OR($D57&lt;&gt;"Serviço",AND(AUTOEVENTO="Manual",$M57=$A$15)),0,
         IF(OFFSET(CRONOPLE!$F$15,$M57-$A$15,BL$13)="",10^12,OFFSET(CRONOPLE!$F$15,$M57-$A$15,BL$13)))</f>
        <v>1000000000000</v>
      </c>
      <c r="BM57" s="178">
        <f ca="1">IF(OR($D57&lt;&gt;"Serviço",AND(AUTOEVENTO="Manual",$M57=$A$15)),0,
         IF(OFFSET(CRONOPLE!$F$15,$M57-$A$15,BM$13)="",10^12,OFFSET(CRONOPLE!$F$15,$M57-$A$15,BM$13)))</f>
        <v>1000000000000</v>
      </c>
      <c r="BN57" s="178">
        <f ca="1">IF(OR($D57&lt;&gt;"Serviço",AND(AUTOEVENTO="Manual",$M57=$A$15)),0,
         IF(OFFSET(CRONOPLE!$F$15,$M57-$A$15,BN$13)="",10^12,OFFSET(CRONOPLE!$F$15,$M57-$A$15,BN$13)))</f>
        <v>1000000000000</v>
      </c>
      <c r="BO57" s="178">
        <f ca="1">IF(OR($D57&lt;&gt;"Serviço",AND(AUTOEVENTO="Manual",$M57=$A$15)),0,
         IF(OFFSET(CRONOPLE!$F$15,$M57-$A$15,BO$13)="",10^12,OFFSET(CRONOPLE!$F$15,$M57-$A$15,BO$13)))</f>
        <v>1000000000000</v>
      </c>
      <c r="BP57" s="178">
        <f ca="1">IF(OR($D57&lt;&gt;"Serviço",AND(AUTOEVENTO="Manual",$M57=$A$15)),0,
         IF(OFFSET(CRONOPLE!$F$15,$M57-$A$15,BP$13)="",10^12,OFFSET(CRONOPLE!$F$15,$M57-$A$15,BP$13)))</f>
        <v>1000000000000</v>
      </c>
      <c r="BQ57" s="178">
        <f ca="1">IF(OR($D57&lt;&gt;"Serviço",AND(AUTOEVENTO="Manual",$M57=$A$15)),0,
         IF(OFFSET(CRONOPLE!$F$15,$M57-$A$15,BQ$13)="",10^12,OFFSET(CRONOPLE!$F$15,$M57-$A$15,BQ$13)))</f>
        <v>1000000000000</v>
      </c>
      <c r="BR57" s="178">
        <f ca="1">IF(OR($D57&lt;&gt;"Serviço",AND(AUTOEVENTO="Manual",$M57=$A$15)),0,
         IF(OFFSET(CRONOPLE!$F$15,$M57-$A$15,BR$13)="",10^12,OFFSET(CRONOPLE!$F$15,$M57-$A$15,BR$13)))</f>
        <v>1000000000000</v>
      </c>
      <c r="BS57" s="178">
        <f ca="1">IF(OR($D57&lt;&gt;"Serviço",AND(AUTOEVENTO="Manual",$M57=$A$15)),0,
         IF(OFFSET(CRONOPLE!$F$15,$M57-$A$15,BS$13)="",10^12,OFFSET(CRONOPLE!$F$15,$M57-$A$15,BS$13)))</f>
        <v>1000000000000</v>
      </c>
      <c r="BT57" s="178">
        <f ca="1">IF(OR($D57&lt;&gt;"Serviço",AND(AUTOEVENTO="Manual",$M57=$A$15)),0,
         IF(OFFSET(CRONOPLE!$F$15,$M57-$A$15,BT$13)="",10^12,OFFSET(CRONOPLE!$F$15,$M57-$A$15,BT$13)))</f>
        <v>1000000000000</v>
      </c>
      <c r="BV57" s="179">
        <f ca="1">IF(OR($D57&lt;&gt;"Serviço",AND(AUTOEVENTO="Manual",$M57=$A$15),$M57&gt;(ROW(PLE.lastrow)-ROW(PLE.firstrow))),0,
           IF(OFFSET(PLE!$G$15,$M57-$A$15,BV$13)="",10^12,OFFSET(PLE!$G$15,$M57-$A$15,BV$13)))</f>
        <v>1000000000000</v>
      </c>
      <c r="BW57" s="179">
        <f ca="1">IF(OR($D57&lt;&gt;"Serviço",AND(AUTOEVENTO="Manual",$M57=$A$15),$M57&gt;(ROW(PLE.lastrow)-ROW(PLE.firstrow))),0,
           IF(OFFSET(PLE!$G$15,$M57-$A$15,BW$13)="",10^12,OFFSET(PLE!$G$15,$M57-$A$15,BW$13)))</f>
        <v>1000000000000</v>
      </c>
      <c r="BX57" s="179">
        <f ca="1">IF(OR($D57&lt;&gt;"Serviço",AND(AUTOEVENTO="Manual",$M57=$A$15),$M57&gt;(ROW(PLE.lastrow)-ROW(PLE.firstrow))),0,
           IF(OFFSET(PLE!$G$15,$M57-$A$15,BX$13)="",10^12,OFFSET(PLE!$G$15,$M57-$A$15,BX$13)))</f>
        <v>1000000000000</v>
      </c>
      <c r="BY57" s="179">
        <f ca="1">IF(OR($D57&lt;&gt;"Serviço",AND(AUTOEVENTO="Manual",$M57=$A$15),$M57&gt;(ROW(PLE.lastrow)-ROW(PLE.firstrow))),0,
           IF(OFFSET(PLE!$G$15,$M57-$A$15,BY$13)="",10^12,OFFSET(PLE!$G$15,$M57-$A$15,BY$13)))</f>
        <v>1000000000000</v>
      </c>
      <c r="BZ57" s="179">
        <f ca="1">IF(OR($D57&lt;&gt;"Serviço",AND(AUTOEVENTO="Manual",$M57=$A$15),$M57&gt;(ROW(PLE.lastrow)-ROW(PLE.firstrow))),0,
           IF(OFFSET(PLE!$G$15,$M57-$A$15,BZ$13)="",10^12,OFFSET(PLE!$G$15,$M57-$A$15,BZ$13)))</f>
        <v>1000000000000</v>
      </c>
      <c r="CA57" s="179">
        <f ca="1">IF(OR($D57&lt;&gt;"Serviço",AND(AUTOEVENTO="Manual",$M57=$A$15),$M57&gt;(ROW(PLE.lastrow)-ROW(PLE.firstrow))),0,
           IF(OFFSET(PLE!$G$15,$M57-$A$15,CA$13)="",10^12,OFFSET(PLE!$G$15,$M57-$A$15,CA$13)))</f>
        <v>1000000000000</v>
      </c>
      <c r="CB57" s="179">
        <f ca="1">IF(OR($D57&lt;&gt;"Serviço",AND(AUTOEVENTO="Manual",$M57=$A$15),$M57&gt;(ROW(PLE.lastrow)-ROW(PLE.firstrow))),0,
           IF(OFFSET(PLE!$G$15,$M57-$A$15,CB$13)="",10^12,OFFSET(PLE!$G$15,$M57-$A$15,CB$13)))</f>
        <v>1000000000000</v>
      </c>
      <c r="CC57" s="179">
        <f ca="1">IF(OR($D57&lt;&gt;"Serviço",AND(AUTOEVENTO="Manual",$M57=$A$15),$M57&gt;(ROW(PLE.lastrow)-ROW(PLE.firstrow))),0,
           IF(OFFSET(PLE!$G$15,$M57-$A$15,CC$13)="",10^12,OFFSET(PLE!$G$15,$M57-$A$15,CC$13)))</f>
        <v>1000000000000</v>
      </c>
      <c r="CD57" s="179">
        <f ca="1">IF(OR($D57&lt;&gt;"Serviço",AND(AUTOEVENTO="Manual",$M57=$A$15),$M57&gt;(ROW(PLE.lastrow)-ROW(PLE.firstrow))),0,
           IF(OFFSET(PLE!$G$15,$M57-$A$15,CD$13)="",10^12,OFFSET(PLE!$G$15,$M57-$A$15,CD$13)))</f>
        <v>1000000000000</v>
      </c>
      <c r="CE57" s="179">
        <f ca="1">IF(OR($D57&lt;&gt;"Serviço",AND(AUTOEVENTO="Manual",$M57=$A$15),$M57&gt;(ROW(PLE.lastrow)-ROW(PLE.firstrow))),0,
           IF(OFFSET(PLE!$G$15,$M57-$A$15,CE$13)="",10^12,OFFSET(PLE!$G$15,$M57-$A$15,CE$13)))</f>
        <v>1000000000000</v>
      </c>
      <c r="CF57" s="179">
        <f ca="1">IF(OR($D57&lt;&gt;"Serviço",AND(AUTOEVENTO="Manual",$M57=$A$15),$M57&gt;(ROW(PLE.lastrow)-ROW(PLE.firstrow))),0,
           IF(OFFSET(PLE!$G$15,$M57-$A$15,CF$13)="",10^12,OFFSET(PLE!$G$15,$M57-$A$15,CF$13)))</f>
        <v>1000000000000</v>
      </c>
      <c r="CG57" s="179">
        <f ca="1">IF(OR($D57&lt;&gt;"Serviço",AND(AUTOEVENTO="Manual",$M57=$A$15),$M57&gt;(ROW(PLE.lastrow)-ROW(PLE.firstrow))),0,
           IF(OFFSET(PLE!$G$15,$M57-$A$15,CG$13)="",10^12,OFFSET(PLE!$G$15,$M57-$A$15,CG$13)))</f>
        <v>1000000000000</v>
      </c>
      <c r="CH57" s="179">
        <f ca="1">IF(OR($D57&lt;&gt;"Serviço",AND(AUTOEVENTO="Manual",$M57=$A$15),$M57&gt;(ROW(PLE.lastrow)-ROW(PLE.firstrow))),0,
           IF(OFFSET(PLE!$G$15,$M57-$A$15,CH$13)="",10^12,OFFSET(PLE!$G$15,$M57-$A$15,CH$13)))</f>
        <v>1000000000000</v>
      </c>
      <c r="CI57" s="179">
        <f ca="1">IF(OR($D57&lt;&gt;"Serviço",AND(AUTOEVENTO="Manual",$M57=$A$15),$M57&gt;(ROW(PLE.lastrow)-ROW(PLE.firstrow))),0,
           IF(OFFSET(PLE!$G$15,$M57-$A$15,CI$13)="",10^12,OFFSET(PLE!$G$15,$M57-$A$15,CI$13)))</f>
        <v>1000000000000</v>
      </c>
      <c r="CJ57" s="179">
        <f ca="1">IF(OR($D57&lt;&gt;"Serviço",AND(AUTOEVENTO="Manual",$M57=$A$15),$M57&gt;(ROW(PLE.lastrow)-ROW(PLE.firstrow))),0,
           IF(OFFSET(PLE!$G$15,$M57-$A$15,CJ$13)="",10^12,OFFSET(PLE!$G$15,$M57-$A$15,CJ$13)))</f>
        <v>1000000000000</v>
      </c>
      <c r="CK57" s="179">
        <f ca="1">IF(OR($D57&lt;&gt;"Serviço",AND(AUTOEVENTO="Manual",$M57=$A$15),$M57&gt;(ROW(PLE.lastrow)-ROW(PLE.firstrow))),0,
           IF(OFFSET(PLE!$G$15,$M57-$A$15,CK$13)="",10^12,OFFSET(PLE!$G$15,$M57-$A$15,CK$13)))</f>
        <v>1000000000000</v>
      </c>
      <c r="CL57" s="179">
        <f ca="1">IF(OR($D57&lt;&gt;"Serviço",AND(AUTOEVENTO="Manual",$M57=$A$15),$M57&gt;(ROW(PLE.lastrow)-ROW(PLE.firstrow))),0,
           IF(OFFSET(PLE!$G$15,$M57-$A$15,CL$13)="",10^12,OFFSET(PLE!$G$15,$M57-$A$15,CL$13)))</f>
        <v>1000000000000</v>
      </c>
      <c r="CM57" s="179">
        <f ca="1">IF(OR($D57&lt;&gt;"Serviço",AND(AUTOEVENTO="Manual",$M57=$A$15),$M57&gt;(ROW(PLE.lastrow)-ROW(PLE.firstrow))),0,
           IF(OFFSET(PLE!$G$15,$M57-$A$15,CM$13)="",10^12,OFFSET(PLE!$G$15,$M57-$A$15,CM$13)))</f>
        <v>1000000000000</v>
      </c>
    </row>
    <row r="58" spans="1:91" ht="51" x14ac:dyDescent="0.2">
      <c r="A58" s="7" t="str">
        <f ca="1">IF(AUTOEVENTO="Manual",IF(K58&lt;&gt;"",MIN(VALUE(LEFT(K58,FIND(".",K58)-1)),COUNTA(EVENTOS.Lista)),0),IF(OR($B58&gt;AUTOEVENTO,$B58="S",$B58=0),SUBSTITUTE(OFFSET($A58,-1,0),IF($D58="Serviço",".",""),""),ROW(A58)-ROW($A$15)&amp;"."))</f>
        <v>40</v>
      </c>
      <c r="B58" s="7" t="str">
        <f ca="1">OFFSET(ORÇAMENTO!C$15,ROW(B58)-ROW(B$15),0)</f>
        <v>S</v>
      </c>
      <c r="C58" s="7" t="str">
        <f ca="1">OFFSET(ORÇAMENTO!L$15,ROW(C58)-ROW(C$15),0)</f>
        <v>F</v>
      </c>
      <c r="D58" s="118" t="str">
        <f ca="1">OFFSET(ORÇAMENTO!N$15,ROW(D58)-ROW(D$15),0)</f>
        <v>Serviço</v>
      </c>
      <c r="E58" s="119" t="str">
        <f ca="1">OFFSET(ORÇAMENTO!O$15,ROW(E58)-ROW(E$15),0)</f>
        <v>1.6.1.0.2.</v>
      </c>
      <c r="F58" s="170" t="str">
        <f ca="1">OFFSET(ORÇAMENTO!R$15,ROW(F58)-ROW(F$15),0)</f>
        <v>CHAPISCO APLICADO EM ALVENARIA (COM PRESENÇA DE VÃOS) E ESTRUTURAS DE CONCRETO DE FACHADA, COM COLHER DE PEDREIRO. ARGAMASSA TRAÇO 1:3 COM PREPARO EM BETONEIRA 400L. AF_10/2022</v>
      </c>
      <c r="G58" s="171" t="str">
        <f ca="1">IF($D58&lt;&gt;"Serviço","",OFFSET(ORÇAMENTO!S$15,ROW(G58)-ROW(G$15),0))</f>
        <v>M2</v>
      </c>
      <c r="H58" s="124" cm="1">
        <f t="array" aca="1" ref="H58" ca="1">IF($D58&lt;&gt;"Serviço",0,IF(_xlfn.SINGLE(ACOMPANHAMENTO)="BM",ROUND(OFFSET(ORÇAMENTO!AJ$15,ROW(H58)-ROW(H$15),0),15-13*ORÇAMENTO!$AF$7),SUMPRODUCT(($Q$1:$AI$1)*ROUND($Q58:$AI58,15-13*ORÇAMENTO!$AF$7))))</f>
        <v>160.46</v>
      </c>
      <c r="I58" s="500" t="s">
        <v>1070</v>
      </c>
      <c r="J58" s="632" t="str" cm="1">
        <f t="array" aca="1" ref="J58" ca="1">IF(B58&lt;&gt;"S","",IF(AND(ACOMPANHAMENTO="PLE",AUTOEVENTO="Manual",OR(H58&gt;0,ORÇAMENTO!AC58="QUANT."),OR(K58="",M58=0,N58="")),"►",IF(AND(ACOMPANHAMENTO="PLE",ORÇAMENTO!AC58="QUANT."),"►►",IF(AND(COUNTIF($P$11:$AI$11,"▼")=0,H58&gt;0,I58=""),"◄",""))))</f>
        <v/>
      </c>
      <c r="K58" s="624"/>
      <c r="L58" s="172" t="s">
        <v>253</v>
      </c>
      <c r="M58" s="173">
        <f ca="1">IF($D58&lt;&gt;"Serviço","",
          IF(AUTOEVENTO="manual",$A58,
                IF(ISERROR(MATCH($A58,$A$15:OFFSET($A58,-1,0),0)),MAX($M$15:OFFSET(M58,-1,0))+1,
                      INDEX($M$15:OFFSET(M58,-1,0),MATCH($A58,$A$15:OFFSET($A58,-1,0),0)))))</f>
        <v>6</v>
      </c>
      <c r="N58" s="174" t="str">
        <f ca="1">IF($D58&lt;&gt;"Serviço","",
         IF(AUTOEVENTO="Manual",
                IF($A58=0,"&lt;-- defina o número do agrupador",
                       OFFSET(EVENTOS!$D$15,$A58-$A$15,0)),
                OFFSET($F$15,$A58,0)))</f>
        <v>PAREDES DE FECHAMENTO</v>
      </c>
      <c r="O58" s="175"/>
      <c r="Q58" s="175"/>
      <c r="R58" s="176"/>
      <c r="S58" s="176"/>
      <c r="T58" s="176">
        <v>160.46</v>
      </c>
      <c r="U58" s="176"/>
      <c r="V58" s="176"/>
      <c r="W58" s="176"/>
      <c r="X58" s="176"/>
      <c r="Y58" s="176"/>
      <c r="Z58" s="177"/>
      <c r="AA58" s="176"/>
      <c r="AB58" s="176"/>
      <c r="AC58" s="176"/>
      <c r="AD58" s="176"/>
      <c r="AE58" s="176"/>
      <c r="AF58" s="176"/>
      <c r="AG58" s="176"/>
      <c r="AH58" s="177"/>
      <c r="AJ58" s="485">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85">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L58" s="485">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0</v>
      </c>
      <c r="AM58" s="485">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1949.59</v>
      </c>
      <c r="AN58" s="485">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85">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85">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85">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85">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85">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85">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85">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85">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85">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85">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85">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85">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85">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8">
        <f ca="1">IF(OR($D58&lt;&gt;"Serviço",AND(AUTOEVENTO="Manual",$M58=$A$15)),0,
         IF(OFFSET(CRONOPLE!$F$15,$M58-$A$15,BC$13)="",10^12,OFFSET(CRONOPLE!$F$15,$M58-$A$15,BC$13)))</f>
        <v>1</v>
      </c>
      <c r="BD58" s="178">
        <f ca="1">IF(OR($D58&lt;&gt;"Serviço",AND(AUTOEVENTO="Manual",$M58=$A$15)),0,
         IF(OFFSET(CRONOPLE!$F$15,$M58-$A$15,BD$13)="",10^12,OFFSET(CRONOPLE!$F$15,$M58-$A$15,BD$13)))</f>
        <v>2</v>
      </c>
      <c r="BE58" s="178">
        <f ca="1">IF(OR($D58&lt;&gt;"Serviço",AND(AUTOEVENTO="Manual",$M58=$A$15)),0,
         IF(OFFSET(CRONOPLE!$F$15,$M58-$A$15,BE$13)="",10^12,OFFSET(CRONOPLE!$F$15,$M58-$A$15,BE$13)))</f>
        <v>3</v>
      </c>
      <c r="BF58" s="178">
        <f ca="1">IF(OR($D58&lt;&gt;"Serviço",AND(AUTOEVENTO="Manual",$M58=$A$15)),0,
         IF(OFFSET(CRONOPLE!$F$15,$M58-$A$15,BF$13)="",10^12,OFFSET(CRONOPLE!$F$15,$M58-$A$15,BF$13)))</f>
        <v>4</v>
      </c>
      <c r="BG58" s="178">
        <f ca="1">IF(OR($D58&lt;&gt;"Serviço",AND(AUTOEVENTO="Manual",$M58=$A$15)),0,
         IF(OFFSET(CRONOPLE!$F$15,$M58-$A$15,BG$13)="",10^12,OFFSET(CRONOPLE!$F$15,$M58-$A$15,BG$13)))</f>
        <v>1000000000000</v>
      </c>
      <c r="BH58" s="178">
        <f ca="1">IF(OR($D58&lt;&gt;"Serviço",AND(AUTOEVENTO="Manual",$M58=$A$15)),0,
         IF(OFFSET(CRONOPLE!$F$15,$M58-$A$15,BH$13)="",10^12,OFFSET(CRONOPLE!$F$15,$M58-$A$15,BH$13)))</f>
        <v>1000000000000</v>
      </c>
      <c r="BI58" s="178">
        <f ca="1">IF(OR($D58&lt;&gt;"Serviço",AND(AUTOEVENTO="Manual",$M58=$A$15)),0,
         IF(OFFSET(CRONOPLE!$F$15,$M58-$A$15,BI$13)="",10^12,OFFSET(CRONOPLE!$F$15,$M58-$A$15,BI$13)))</f>
        <v>7</v>
      </c>
      <c r="BJ58" s="178">
        <f ca="1">IF(OR($D58&lt;&gt;"Serviço",AND(AUTOEVENTO="Manual",$M58=$A$15)),0,
         IF(OFFSET(CRONOPLE!$F$15,$M58-$A$15,BJ$13)="",10^12,OFFSET(CRONOPLE!$F$15,$M58-$A$15,BJ$13)))</f>
        <v>1000000000000</v>
      </c>
      <c r="BK58" s="178">
        <f ca="1">IF(OR($D58&lt;&gt;"Serviço",AND(AUTOEVENTO="Manual",$M58=$A$15)),0,
         IF(OFFSET(CRONOPLE!$F$15,$M58-$A$15,BK$13)="",10^12,OFFSET(CRONOPLE!$F$15,$M58-$A$15,BK$13)))</f>
        <v>1000000000000</v>
      </c>
      <c r="BL58" s="178">
        <f ca="1">IF(OR($D58&lt;&gt;"Serviço",AND(AUTOEVENTO="Manual",$M58=$A$15)),0,
         IF(OFFSET(CRONOPLE!$F$15,$M58-$A$15,BL$13)="",10^12,OFFSET(CRONOPLE!$F$15,$M58-$A$15,BL$13)))</f>
        <v>1000000000000</v>
      </c>
      <c r="BM58" s="178">
        <f ca="1">IF(OR($D58&lt;&gt;"Serviço",AND(AUTOEVENTO="Manual",$M58=$A$15)),0,
         IF(OFFSET(CRONOPLE!$F$15,$M58-$A$15,BM$13)="",10^12,OFFSET(CRONOPLE!$F$15,$M58-$A$15,BM$13)))</f>
        <v>1000000000000</v>
      </c>
      <c r="BN58" s="178">
        <f ca="1">IF(OR($D58&lt;&gt;"Serviço",AND(AUTOEVENTO="Manual",$M58=$A$15)),0,
         IF(OFFSET(CRONOPLE!$F$15,$M58-$A$15,BN$13)="",10^12,OFFSET(CRONOPLE!$F$15,$M58-$A$15,BN$13)))</f>
        <v>1000000000000</v>
      </c>
      <c r="BO58" s="178">
        <f ca="1">IF(OR($D58&lt;&gt;"Serviço",AND(AUTOEVENTO="Manual",$M58=$A$15)),0,
         IF(OFFSET(CRONOPLE!$F$15,$M58-$A$15,BO$13)="",10^12,OFFSET(CRONOPLE!$F$15,$M58-$A$15,BO$13)))</f>
        <v>1000000000000</v>
      </c>
      <c r="BP58" s="178">
        <f ca="1">IF(OR($D58&lt;&gt;"Serviço",AND(AUTOEVENTO="Manual",$M58=$A$15)),0,
         IF(OFFSET(CRONOPLE!$F$15,$M58-$A$15,BP$13)="",10^12,OFFSET(CRONOPLE!$F$15,$M58-$A$15,BP$13)))</f>
        <v>1000000000000</v>
      </c>
      <c r="BQ58" s="178">
        <f ca="1">IF(OR($D58&lt;&gt;"Serviço",AND(AUTOEVENTO="Manual",$M58=$A$15)),0,
         IF(OFFSET(CRONOPLE!$F$15,$M58-$A$15,BQ$13)="",10^12,OFFSET(CRONOPLE!$F$15,$M58-$A$15,BQ$13)))</f>
        <v>1000000000000</v>
      </c>
      <c r="BR58" s="178">
        <f ca="1">IF(OR($D58&lt;&gt;"Serviço",AND(AUTOEVENTO="Manual",$M58=$A$15)),0,
         IF(OFFSET(CRONOPLE!$F$15,$M58-$A$15,BR$13)="",10^12,OFFSET(CRONOPLE!$F$15,$M58-$A$15,BR$13)))</f>
        <v>1000000000000</v>
      </c>
      <c r="BS58" s="178">
        <f ca="1">IF(OR($D58&lt;&gt;"Serviço",AND(AUTOEVENTO="Manual",$M58=$A$15)),0,
         IF(OFFSET(CRONOPLE!$F$15,$M58-$A$15,BS$13)="",10^12,OFFSET(CRONOPLE!$F$15,$M58-$A$15,BS$13)))</f>
        <v>1000000000000</v>
      </c>
      <c r="BT58" s="178">
        <f ca="1">IF(OR($D58&lt;&gt;"Serviço",AND(AUTOEVENTO="Manual",$M58=$A$15)),0,
         IF(OFFSET(CRONOPLE!$F$15,$M58-$A$15,BT$13)="",10^12,OFFSET(CRONOPLE!$F$15,$M58-$A$15,BT$13)))</f>
        <v>1000000000000</v>
      </c>
      <c r="BV58" s="179">
        <f ca="1">IF(OR($D58&lt;&gt;"Serviço",AND(AUTOEVENTO="Manual",$M58=$A$15),$M58&gt;(ROW(PLE.lastrow)-ROW(PLE.firstrow))),0,
           IF(OFFSET(PLE!$G$15,$M58-$A$15,BV$13)="",10^12,OFFSET(PLE!$G$15,$M58-$A$15,BV$13)))</f>
        <v>1000000000000</v>
      </c>
      <c r="BW58" s="179">
        <f ca="1">IF(OR($D58&lt;&gt;"Serviço",AND(AUTOEVENTO="Manual",$M58=$A$15),$M58&gt;(ROW(PLE.lastrow)-ROW(PLE.firstrow))),0,
           IF(OFFSET(PLE!$G$15,$M58-$A$15,BW$13)="",10^12,OFFSET(PLE!$G$15,$M58-$A$15,BW$13)))</f>
        <v>1000000000000</v>
      </c>
      <c r="BX58" s="179">
        <f ca="1">IF(OR($D58&lt;&gt;"Serviço",AND(AUTOEVENTO="Manual",$M58=$A$15),$M58&gt;(ROW(PLE.lastrow)-ROW(PLE.firstrow))),0,
           IF(OFFSET(PLE!$G$15,$M58-$A$15,BX$13)="",10^12,OFFSET(PLE!$G$15,$M58-$A$15,BX$13)))</f>
        <v>1000000000000</v>
      </c>
      <c r="BY58" s="179">
        <f ca="1">IF(OR($D58&lt;&gt;"Serviço",AND(AUTOEVENTO="Manual",$M58=$A$15),$M58&gt;(ROW(PLE.lastrow)-ROW(PLE.firstrow))),0,
           IF(OFFSET(PLE!$G$15,$M58-$A$15,BY$13)="",10^12,OFFSET(PLE!$G$15,$M58-$A$15,BY$13)))</f>
        <v>1000000000000</v>
      </c>
      <c r="BZ58" s="179">
        <f ca="1">IF(OR($D58&lt;&gt;"Serviço",AND(AUTOEVENTO="Manual",$M58=$A$15),$M58&gt;(ROW(PLE.lastrow)-ROW(PLE.firstrow))),0,
           IF(OFFSET(PLE!$G$15,$M58-$A$15,BZ$13)="",10^12,OFFSET(PLE!$G$15,$M58-$A$15,BZ$13)))</f>
        <v>1000000000000</v>
      </c>
      <c r="CA58" s="179">
        <f ca="1">IF(OR($D58&lt;&gt;"Serviço",AND(AUTOEVENTO="Manual",$M58=$A$15),$M58&gt;(ROW(PLE.lastrow)-ROW(PLE.firstrow))),0,
           IF(OFFSET(PLE!$G$15,$M58-$A$15,CA$13)="",10^12,OFFSET(PLE!$G$15,$M58-$A$15,CA$13)))</f>
        <v>1000000000000</v>
      </c>
      <c r="CB58" s="179">
        <f ca="1">IF(OR($D58&lt;&gt;"Serviço",AND(AUTOEVENTO="Manual",$M58=$A$15),$M58&gt;(ROW(PLE.lastrow)-ROW(PLE.firstrow))),0,
           IF(OFFSET(PLE!$G$15,$M58-$A$15,CB$13)="",10^12,OFFSET(PLE!$G$15,$M58-$A$15,CB$13)))</f>
        <v>1000000000000</v>
      </c>
      <c r="CC58" s="179">
        <f ca="1">IF(OR($D58&lt;&gt;"Serviço",AND(AUTOEVENTO="Manual",$M58=$A$15),$M58&gt;(ROW(PLE.lastrow)-ROW(PLE.firstrow))),0,
           IF(OFFSET(PLE!$G$15,$M58-$A$15,CC$13)="",10^12,OFFSET(PLE!$G$15,$M58-$A$15,CC$13)))</f>
        <v>1000000000000</v>
      </c>
      <c r="CD58" s="179">
        <f ca="1">IF(OR($D58&lt;&gt;"Serviço",AND(AUTOEVENTO="Manual",$M58=$A$15),$M58&gt;(ROW(PLE.lastrow)-ROW(PLE.firstrow))),0,
           IF(OFFSET(PLE!$G$15,$M58-$A$15,CD$13)="",10^12,OFFSET(PLE!$G$15,$M58-$A$15,CD$13)))</f>
        <v>1000000000000</v>
      </c>
      <c r="CE58" s="179">
        <f ca="1">IF(OR($D58&lt;&gt;"Serviço",AND(AUTOEVENTO="Manual",$M58=$A$15),$M58&gt;(ROW(PLE.lastrow)-ROW(PLE.firstrow))),0,
           IF(OFFSET(PLE!$G$15,$M58-$A$15,CE$13)="",10^12,OFFSET(PLE!$G$15,$M58-$A$15,CE$13)))</f>
        <v>1000000000000</v>
      </c>
      <c r="CF58" s="179">
        <f ca="1">IF(OR($D58&lt;&gt;"Serviço",AND(AUTOEVENTO="Manual",$M58=$A$15),$M58&gt;(ROW(PLE.lastrow)-ROW(PLE.firstrow))),0,
           IF(OFFSET(PLE!$G$15,$M58-$A$15,CF$13)="",10^12,OFFSET(PLE!$G$15,$M58-$A$15,CF$13)))</f>
        <v>1000000000000</v>
      </c>
      <c r="CG58" s="179">
        <f ca="1">IF(OR($D58&lt;&gt;"Serviço",AND(AUTOEVENTO="Manual",$M58=$A$15),$M58&gt;(ROW(PLE.lastrow)-ROW(PLE.firstrow))),0,
           IF(OFFSET(PLE!$G$15,$M58-$A$15,CG$13)="",10^12,OFFSET(PLE!$G$15,$M58-$A$15,CG$13)))</f>
        <v>1000000000000</v>
      </c>
      <c r="CH58" s="179">
        <f ca="1">IF(OR($D58&lt;&gt;"Serviço",AND(AUTOEVENTO="Manual",$M58=$A$15),$M58&gt;(ROW(PLE.lastrow)-ROW(PLE.firstrow))),0,
           IF(OFFSET(PLE!$G$15,$M58-$A$15,CH$13)="",10^12,OFFSET(PLE!$G$15,$M58-$A$15,CH$13)))</f>
        <v>1000000000000</v>
      </c>
      <c r="CI58" s="179">
        <f ca="1">IF(OR($D58&lt;&gt;"Serviço",AND(AUTOEVENTO="Manual",$M58=$A$15),$M58&gt;(ROW(PLE.lastrow)-ROW(PLE.firstrow))),0,
           IF(OFFSET(PLE!$G$15,$M58-$A$15,CI$13)="",10^12,OFFSET(PLE!$G$15,$M58-$A$15,CI$13)))</f>
        <v>1000000000000</v>
      </c>
      <c r="CJ58" s="179">
        <f ca="1">IF(OR($D58&lt;&gt;"Serviço",AND(AUTOEVENTO="Manual",$M58=$A$15),$M58&gt;(ROW(PLE.lastrow)-ROW(PLE.firstrow))),0,
           IF(OFFSET(PLE!$G$15,$M58-$A$15,CJ$13)="",10^12,OFFSET(PLE!$G$15,$M58-$A$15,CJ$13)))</f>
        <v>1000000000000</v>
      </c>
      <c r="CK58" s="179">
        <f ca="1">IF(OR($D58&lt;&gt;"Serviço",AND(AUTOEVENTO="Manual",$M58=$A$15),$M58&gt;(ROW(PLE.lastrow)-ROW(PLE.firstrow))),0,
           IF(OFFSET(PLE!$G$15,$M58-$A$15,CK$13)="",10^12,OFFSET(PLE!$G$15,$M58-$A$15,CK$13)))</f>
        <v>1000000000000</v>
      </c>
      <c r="CL58" s="179">
        <f ca="1">IF(OR($D58&lt;&gt;"Serviço",AND(AUTOEVENTO="Manual",$M58=$A$15),$M58&gt;(ROW(PLE.lastrow)-ROW(PLE.firstrow))),0,
           IF(OFFSET(PLE!$G$15,$M58-$A$15,CL$13)="",10^12,OFFSET(PLE!$G$15,$M58-$A$15,CL$13)))</f>
        <v>1000000000000</v>
      </c>
      <c r="CM58" s="179">
        <f ca="1">IF(OR($D58&lt;&gt;"Serviço",AND(AUTOEVENTO="Manual",$M58=$A$15),$M58&gt;(ROW(PLE.lastrow)-ROW(PLE.firstrow))),0,
           IF(OFFSET(PLE!$G$15,$M58-$A$15,CM$13)="",10^12,OFFSET(PLE!$G$15,$M58-$A$15,CM$13)))</f>
        <v>1000000000000</v>
      </c>
    </row>
    <row r="59" spans="1:91" ht="51" x14ac:dyDescent="0.2">
      <c r="A59" s="7" t="str">
        <f ca="1">IF(AUTOEVENTO="Manual",IF(K59&lt;&gt;"",MIN(VALUE(LEFT(K59,FIND(".",K59)-1)),COUNTA(EVENTOS.Lista)),0),IF(OR($B59&gt;AUTOEVENTO,$B59="S",$B59=0),SUBSTITUTE(OFFSET($A59,-1,0),IF($D59="Serviço",".",""),""),ROW(A59)-ROW($A$15)&amp;"."))</f>
        <v>40</v>
      </c>
      <c r="B59" s="7" t="str">
        <f ca="1">OFFSET(ORÇAMENTO!C$15,ROW(B59)-ROW(B$15),0)</f>
        <v>S</v>
      </c>
      <c r="C59" s="7" t="str">
        <f ca="1">OFFSET(ORÇAMENTO!L$15,ROW(C59)-ROW(C$15),0)</f>
        <v>F</v>
      </c>
      <c r="D59" s="118" t="str">
        <f ca="1">OFFSET(ORÇAMENTO!N$15,ROW(D59)-ROW(D$15),0)</f>
        <v>Serviço</v>
      </c>
      <c r="E59" s="119" t="str">
        <f ca="1">OFFSET(ORÇAMENTO!O$15,ROW(E59)-ROW(E$15),0)</f>
        <v>1.6.1.0.3.</v>
      </c>
      <c r="F59" s="170" t="str">
        <f ca="1">OFFSET(ORÇAMENTO!R$15,ROW(F59)-ROW(F$15),0)</f>
        <v>EMBOÇO OU MASSA ÚNICA EM ARGAMASSA TRAÇO 1:2:8, PREPARO MANUAL, APLICADA MANUALMENTE EM PANOS DE FACHADA COM PRESENÇA DE VÃOS, ESPESSURA DE 25 MM, ACESSO POR ANDAIME. AF_08/2022</v>
      </c>
      <c r="G59" s="171" t="str">
        <f ca="1">IF($D59&lt;&gt;"Serviço","",OFFSET(ORÇAMENTO!S$15,ROW(G59)-ROW(G$15),0))</f>
        <v>M2</v>
      </c>
      <c r="H59" s="124" cm="1">
        <f t="array" aca="1" ref="H59" ca="1">IF($D59&lt;&gt;"Serviço",0,IF(_xlfn.SINGLE(ACOMPANHAMENTO)="BM",ROUND(OFFSET(ORÇAMENTO!AJ$15,ROW(H59)-ROW(H$15),0),15-13*ORÇAMENTO!$AF$7),SUMPRODUCT(($Q$1:$AI$1)*ROUND($Q59:$AI59,15-13*ORÇAMENTO!$AF$7))))</f>
        <v>160.46</v>
      </c>
      <c r="I59" s="500" t="s">
        <v>1070</v>
      </c>
      <c r="J59" s="632" t="str" cm="1">
        <f t="array" aca="1" ref="J59" ca="1">IF(B59&lt;&gt;"S","",IF(AND(ACOMPANHAMENTO="PLE",AUTOEVENTO="Manual",OR(H59&gt;0,ORÇAMENTO!AC59="QUANT."),OR(K59="",M59=0,N59="")),"►",IF(AND(ACOMPANHAMENTO="PLE",ORÇAMENTO!AC59="QUANT."),"►►",IF(AND(COUNTIF($P$11:$AI$11,"▼")=0,H59&gt;0,I59=""),"◄",""))))</f>
        <v/>
      </c>
      <c r="K59" s="624"/>
      <c r="L59" s="172" t="s">
        <v>253</v>
      </c>
      <c r="M59" s="173">
        <f ca="1">IF($D59&lt;&gt;"Serviço","",
          IF(AUTOEVENTO="manual",$A59,
                IF(ISERROR(MATCH($A59,$A$15:OFFSET($A59,-1,0),0)),MAX($M$15:OFFSET(M59,-1,0))+1,
                      INDEX($M$15:OFFSET(M59,-1,0),MATCH($A59,$A$15:OFFSET($A59,-1,0),0)))))</f>
        <v>6</v>
      </c>
      <c r="N59" s="174" t="str">
        <f ca="1">IF($D59&lt;&gt;"Serviço","",
         IF(AUTOEVENTO="Manual",
                IF($A59=0,"&lt;-- defina o número do agrupador",
                       OFFSET(EVENTOS!$D$15,$A59-$A$15,0)),
                OFFSET($F$15,$A59,0)))</f>
        <v>PAREDES DE FECHAMENTO</v>
      </c>
      <c r="O59" s="175"/>
      <c r="Q59" s="175"/>
      <c r="R59" s="176"/>
      <c r="S59" s="176"/>
      <c r="T59" s="176">
        <v>160.46</v>
      </c>
      <c r="U59" s="176"/>
      <c r="V59" s="176"/>
      <c r="W59" s="176"/>
      <c r="X59" s="176"/>
      <c r="Y59" s="176"/>
      <c r="Z59" s="177"/>
      <c r="AA59" s="176"/>
      <c r="AB59" s="176"/>
      <c r="AC59" s="176"/>
      <c r="AD59" s="176"/>
      <c r="AE59" s="176"/>
      <c r="AF59" s="176"/>
      <c r="AG59" s="176"/>
      <c r="AH59" s="177"/>
      <c r="AJ59" s="485">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85">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L59" s="485">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0</v>
      </c>
      <c r="AM59" s="485">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12483.79</v>
      </c>
      <c r="AN59" s="485">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85">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85">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85">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85">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85">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85">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85">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85">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85">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85">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85">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85">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85">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8">
        <f ca="1">IF(OR($D59&lt;&gt;"Serviço",AND(AUTOEVENTO="Manual",$M59=$A$15)),0,
         IF(OFFSET(CRONOPLE!$F$15,$M59-$A$15,BC$13)="",10^12,OFFSET(CRONOPLE!$F$15,$M59-$A$15,BC$13)))</f>
        <v>1</v>
      </c>
      <c r="BD59" s="178">
        <f ca="1">IF(OR($D59&lt;&gt;"Serviço",AND(AUTOEVENTO="Manual",$M59=$A$15)),0,
         IF(OFFSET(CRONOPLE!$F$15,$M59-$A$15,BD$13)="",10^12,OFFSET(CRONOPLE!$F$15,$M59-$A$15,BD$13)))</f>
        <v>2</v>
      </c>
      <c r="BE59" s="178">
        <f ca="1">IF(OR($D59&lt;&gt;"Serviço",AND(AUTOEVENTO="Manual",$M59=$A$15)),0,
         IF(OFFSET(CRONOPLE!$F$15,$M59-$A$15,BE$13)="",10^12,OFFSET(CRONOPLE!$F$15,$M59-$A$15,BE$13)))</f>
        <v>3</v>
      </c>
      <c r="BF59" s="178">
        <f ca="1">IF(OR($D59&lt;&gt;"Serviço",AND(AUTOEVENTO="Manual",$M59=$A$15)),0,
         IF(OFFSET(CRONOPLE!$F$15,$M59-$A$15,BF$13)="",10^12,OFFSET(CRONOPLE!$F$15,$M59-$A$15,BF$13)))</f>
        <v>4</v>
      </c>
      <c r="BG59" s="178">
        <f ca="1">IF(OR($D59&lt;&gt;"Serviço",AND(AUTOEVENTO="Manual",$M59=$A$15)),0,
         IF(OFFSET(CRONOPLE!$F$15,$M59-$A$15,BG$13)="",10^12,OFFSET(CRONOPLE!$F$15,$M59-$A$15,BG$13)))</f>
        <v>1000000000000</v>
      </c>
      <c r="BH59" s="178">
        <f ca="1">IF(OR($D59&lt;&gt;"Serviço",AND(AUTOEVENTO="Manual",$M59=$A$15)),0,
         IF(OFFSET(CRONOPLE!$F$15,$M59-$A$15,BH$13)="",10^12,OFFSET(CRONOPLE!$F$15,$M59-$A$15,BH$13)))</f>
        <v>1000000000000</v>
      </c>
      <c r="BI59" s="178">
        <f ca="1">IF(OR($D59&lt;&gt;"Serviço",AND(AUTOEVENTO="Manual",$M59=$A$15)),0,
         IF(OFFSET(CRONOPLE!$F$15,$M59-$A$15,BI$13)="",10^12,OFFSET(CRONOPLE!$F$15,$M59-$A$15,BI$13)))</f>
        <v>7</v>
      </c>
      <c r="BJ59" s="178">
        <f ca="1">IF(OR($D59&lt;&gt;"Serviço",AND(AUTOEVENTO="Manual",$M59=$A$15)),0,
         IF(OFFSET(CRONOPLE!$F$15,$M59-$A$15,BJ$13)="",10^12,OFFSET(CRONOPLE!$F$15,$M59-$A$15,BJ$13)))</f>
        <v>1000000000000</v>
      </c>
      <c r="BK59" s="178">
        <f ca="1">IF(OR($D59&lt;&gt;"Serviço",AND(AUTOEVENTO="Manual",$M59=$A$15)),0,
         IF(OFFSET(CRONOPLE!$F$15,$M59-$A$15,BK$13)="",10^12,OFFSET(CRONOPLE!$F$15,$M59-$A$15,BK$13)))</f>
        <v>1000000000000</v>
      </c>
      <c r="BL59" s="178">
        <f ca="1">IF(OR($D59&lt;&gt;"Serviço",AND(AUTOEVENTO="Manual",$M59=$A$15)),0,
         IF(OFFSET(CRONOPLE!$F$15,$M59-$A$15,BL$13)="",10^12,OFFSET(CRONOPLE!$F$15,$M59-$A$15,BL$13)))</f>
        <v>1000000000000</v>
      </c>
      <c r="BM59" s="178">
        <f ca="1">IF(OR($D59&lt;&gt;"Serviço",AND(AUTOEVENTO="Manual",$M59=$A$15)),0,
         IF(OFFSET(CRONOPLE!$F$15,$M59-$A$15,BM$13)="",10^12,OFFSET(CRONOPLE!$F$15,$M59-$A$15,BM$13)))</f>
        <v>1000000000000</v>
      </c>
      <c r="BN59" s="178">
        <f ca="1">IF(OR($D59&lt;&gt;"Serviço",AND(AUTOEVENTO="Manual",$M59=$A$15)),0,
         IF(OFFSET(CRONOPLE!$F$15,$M59-$A$15,BN$13)="",10^12,OFFSET(CRONOPLE!$F$15,$M59-$A$15,BN$13)))</f>
        <v>1000000000000</v>
      </c>
      <c r="BO59" s="178">
        <f ca="1">IF(OR($D59&lt;&gt;"Serviço",AND(AUTOEVENTO="Manual",$M59=$A$15)),0,
         IF(OFFSET(CRONOPLE!$F$15,$M59-$A$15,BO$13)="",10^12,OFFSET(CRONOPLE!$F$15,$M59-$A$15,BO$13)))</f>
        <v>1000000000000</v>
      </c>
      <c r="BP59" s="178">
        <f ca="1">IF(OR($D59&lt;&gt;"Serviço",AND(AUTOEVENTO="Manual",$M59=$A$15)),0,
         IF(OFFSET(CRONOPLE!$F$15,$M59-$A$15,BP$13)="",10^12,OFFSET(CRONOPLE!$F$15,$M59-$A$15,BP$13)))</f>
        <v>1000000000000</v>
      </c>
      <c r="BQ59" s="178">
        <f ca="1">IF(OR($D59&lt;&gt;"Serviço",AND(AUTOEVENTO="Manual",$M59=$A$15)),0,
         IF(OFFSET(CRONOPLE!$F$15,$M59-$A$15,BQ$13)="",10^12,OFFSET(CRONOPLE!$F$15,$M59-$A$15,BQ$13)))</f>
        <v>1000000000000</v>
      </c>
      <c r="BR59" s="178">
        <f ca="1">IF(OR($D59&lt;&gt;"Serviço",AND(AUTOEVENTO="Manual",$M59=$A$15)),0,
         IF(OFFSET(CRONOPLE!$F$15,$M59-$A$15,BR$13)="",10^12,OFFSET(CRONOPLE!$F$15,$M59-$A$15,BR$13)))</f>
        <v>1000000000000</v>
      </c>
      <c r="BS59" s="178">
        <f ca="1">IF(OR($D59&lt;&gt;"Serviço",AND(AUTOEVENTO="Manual",$M59=$A$15)),0,
         IF(OFFSET(CRONOPLE!$F$15,$M59-$A$15,BS$13)="",10^12,OFFSET(CRONOPLE!$F$15,$M59-$A$15,BS$13)))</f>
        <v>1000000000000</v>
      </c>
      <c r="BT59" s="178">
        <f ca="1">IF(OR($D59&lt;&gt;"Serviço",AND(AUTOEVENTO="Manual",$M59=$A$15)),0,
         IF(OFFSET(CRONOPLE!$F$15,$M59-$A$15,BT$13)="",10^12,OFFSET(CRONOPLE!$F$15,$M59-$A$15,BT$13)))</f>
        <v>1000000000000</v>
      </c>
      <c r="BV59" s="179">
        <f ca="1">IF(OR($D59&lt;&gt;"Serviço",AND(AUTOEVENTO="Manual",$M59=$A$15),$M59&gt;(ROW(PLE.lastrow)-ROW(PLE.firstrow))),0,
           IF(OFFSET(PLE!$G$15,$M59-$A$15,BV$13)="",10^12,OFFSET(PLE!$G$15,$M59-$A$15,BV$13)))</f>
        <v>1000000000000</v>
      </c>
      <c r="BW59" s="179">
        <f ca="1">IF(OR($D59&lt;&gt;"Serviço",AND(AUTOEVENTO="Manual",$M59=$A$15),$M59&gt;(ROW(PLE.lastrow)-ROW(PLE.firstrow))),0,
           IF(OFFSET(PLE!$G$15,$M59-$A$15,BW$13)="",10^12,OFFSET(PLE!$G$15,$M59-$A$15,BW$13)))</f>
        <v>1000000000000</v>
      </c>
      <c r="BX59" s="179">
        <f ca="1">IF(OR($D59&lt;&gt;"Serviço",AND(AUTOEVENTO="Manual",$M59=$A$15),$M59&gt;(ROW(PLE.lastrow)-ROW(PLE.firstrow))),0,
           IF(OFFSET(PLE!$G$15,$M59-$A$15,BX$13)="",10^12,OFFSET(PLE!$G$15,$M59-$A$15,BX$13)))</f>
        <v>1000000000000</v>
      </c>
      <c r="BY59" s="179">
        <f ca="1">IF(OR($D59&lt;&gt;"Serviço",AND(AUTOEVENTO="Manual",$M59=$A$15),$M59&gt;(ROW(PLE.lastrow)-ROW(PLE.firstrow))),0,
           IF(OFFSET(PLE!$G$15,$M59-$A$15,BY$13)="",10^12,OFFSET(PLE!$G$15,$M59-$A$15,BY$13)))</f>
        <v>1000000000000</v>
      </c>
      <c r="BZ59" s="179">
        <f ca="1">IF(OR($D59&lt;&gt;"Serviço",AND(AUTOEVENTO="Manual",$M59=$A$15),$M59&gt;(ROW(PLE.lastrow)-ROW(PLE.firstrow))),0,
           IF(OFFSET(PLE!$G$15,$M59-$A$15,BZ$13)="",10^12,OFFSET(PLE!$G$15,$M59-$A$15,BZ$13)))</f>
        <v>1000000000000</v>
      </c>
      <c r="CA59" s="179">
        <f ca="1">IF(OR($D59&lt;&gt;"Serviço",AND(AUTOEVENTO="Manual",$M59=$A$15),$M59&gt;(ROW(PLE.lastrow)-ROW(PLE.firstrow))),0,
           IF(OFFSET(PLE!$G$15,$M59-$A$15,CA$13)="",10^12,OFFSET(PLE!$G$15,$M59-$A$15,CA$13)))</f>
        <v>1000000000000</v>
      </c>
      <c r="CB59" s="179">
        <f ca="1">IF(OR($D59&lt;&gt;"Serviço",AND(AUTOEVENTO="Manual",$M59=$A$15),$M59&gt;(ROW(PLE.lastrow)-ROW(PLE.firstrow))),0,
           IF(OFFSET(PLE!$G$15,$M59-$A$15,CB$13)="",10^12,OFFSET(PLE!$G$15,$M59-$A$15,CB$13)))</f>
        <v>1000000000000</v>
      </c>
      <c r="CC59" s="179">
        <f ca="1">IF(OR($D59&lt;&gt;"Serviço",AND(AUTOEVENTO="Manual",$M59=$A$15),$M59&gt;(ROW(PLE.lastrow)-ROW(PLE.firstrow))),0,
           IF(OFFSET(PLE!$G$15,$M59-$A$15,CC$13)="",10^12,OFFSET(PLE!$G$15,$M59-$A$15,CC$13)))</f>
        <v>1000000000000</v>
      </c>
      <c r="CD59" s="179">
        <f ca="1">IF(OR($D59&lt;&gt;"Serviço",AND(AUTOEVENTO="Manual",$M59=$A$15),$M59&gt;(ROW(PLE.lastrow)-ROW(PLE.firstrow))),0,
           IF(OFFSET(PLE!$G$15,$M59-$A$15,CD$13)="",10^12,OFFSET(PLE!$G$15,$M59-$A$15,CD$13)))</f>
        <v>1000000000000</v>
      </c>
      <c r="CE59" s="179">
        <f ca="1">IF(OR($D59&lt;&gt;"Serviço",AND(AUTOEVENTO="Manual",$M59=$A$15),$M59&gt;(ROW(PLE.lastrow)-ROW(PLE.firstrow))),0,
           IF(OFFSET(PLE!$G$15,$M59-$A$15,CE$13)="",10^12,OFFSET(PLE!$G$15,$M59-$A$15,CE$13)))</f>
        <v>1000000000000</v>
      </c>
      <c r="CF59" s="179">
        <f ca="1">IF(OR($D59&lt;&gt;"Serviço",AND(AUTOEVENTO="Manual",$M59=$A$15),$M59&gt;(ROW(PLE.lastrow)-ROW(PLE.firstrow))),0,
           IF(OFFSET(PLE!$G$15,$M59-$A$15,CF$13)="",10^12,OFFSET(PLE!$G$15,$M59-$A$15,CF$13)))</f>
        <v>1000000000000</v>
      </c>
      <c r="CG59" s="179">
        <f ca="1">IF(OR($D59&lt;&gt;"Serviço",AND(AUTOEVENTO="Manual",$M59=$A$15),$M59&gt;(ROW(PLE.lastrow)-ROW(PLE.firstrow))),0,
           IF(OFFSET(PLE!$G$15,$M59-$A$15,CG$13)="",10^12,OFFSET(PLE!$G$15,$M59-$A$15,CG$13)))</f>
        <v>1000000000000</v>
      </c>
      <c r="CH59" s="179">
        <f ca="1">IF(OR($D59&lt;&gt;"Serviço",AND(AUTOEVENTO="Manual",$M59=$A$15),$M59&gt;(ROW(PLE.lastrow)-ROW(PLE.firstrow))),0,
           IF(OFFSET(PLE!$G$15,$M59-$A$15,CH$13)="",10^12,OFFSET(PLE!$G$15,$M59-$A$15,CH$13)))</f>
        <v>1000000000000</v>
      </c>
      <c r="CI59" s="179">
        <f ca="1">IF(OR($D59&lt;&gt;"Serviço",AND(AUTOEVENTO="Manual",$M59=$A$15),$M59&gt;(ROW(PLE.lastrow)-ROW(PLE.firstrow))),0,
           IF(OFFSET(PLE!$G$15,$M59-$A$15,CI$13)="",10^12,OFFSET(PLE!$G$15,$M59-$A$15,CI$13)))</f>
        <v>1000000000000</v>
      </c>
      <c r="CJ59" s="179">
        <f ca="1">IF(OR($D59&lt;&gt;"Serviço",AND(AUTOEVENTO="Manual",$M59=$A$15),$M59&gt;(ROW(PLE.lastrow)-ROW(PLE.firstrow))),0,
           IF(OFFSET(PLE!$G$15,$M59-$A$15,CJ$13)="",10^12,OFFSET(PLE!$G$15,$M59-$A$15,CJ$13)))</f>
        <v>1000000000000</v>
      </c>
      <c r="CK59" s="179">
        <f ca="1">IF(OR($D59&lt;&gt;"Serviço",AND(AUTOEVENTO="Manual",$M59=$A$15),$M59&gt;(ROW(PLE.lastrow)-ROW(PLE.firstrow))),0,
           IF(OFFSET(PLE!$G$15,$M59-$A$15,CK$13)="",10^12,OFFSET(PLE!$G$15,$M59-$A$15,CK$13)))</f>
        <v>1000000000000</v>
      </c>
      <c r="CL59" s="179">
        <f ca="1">IF(OR($D59&lt;&gt;"Serviço",AND(AUTOEVENTO="Manual",$M59=$A$15),$M59&gt;(ROW(PLE.lastrow)-ROW(PLE.firstrow))),0,
           IF(OFFSET(PLE!$G$15,$M59-$A$15,CL$13)="",10^12,OFFSET(PLE!$G$15,$M59-$A$15,CL$13)))</f>
        <v>1000000000000</v>
      </c>
      <c r="CM59" s="179">
        <f ca="1">IF(OR($D59&lt;&gt;"Serviço",AND(AUTOEVENTO="Manual",$M59=$A$15),$M59&gt;(ROW(PLE.lastrow)-ROW(PLE.firstrow))),0,
           IF(OFFSET(PLE!$G$15,$M59-$A$15,CM$13)="",10^12,OFFSET(PLE!$G$15,$M59-$A$15,CM$13)))</f>
        <v>1000000000000</v>
      </c>
    </row>
    <row r="60" spans="1:91" ht="12.75" x14ac:dyDescent="0.2">
      <c r="A60" s="7" t="str">
        <f ca="1">IF(AUTOEVENTO="Manual",IF(K60&lt;&gt;"",MIN(VALUE(LEFT(K60,FIND(".",K60)-1)),COUNTA(EVENTOS.Lista)),0),IF(OR($B60&gt;AUTOEVENTO,$B60="S",$B60=0),SUBSTITUTE(OFFSET($A60,-1,0),IF($D60="Serviço",".",""),""),ROW(A60)-ROW($A$15)&amp;"."))</f>
        <v>40</v>
      </c>
      <c r="B60" s="7">
        <f ca="1">OFFSET(ORÇAMENTO!C$15,ROW(B60)-ROW(B$15),0)</f>
        <v>3</v>
      </c>
      <c r="C60" s="7" t="str">
        <f ca="1">OFFSET(ORÇAMENTO!L$15,ROW(C60)-ROW(C$15),0)</f>
        <v>F</v>
      </c>
      <c r="D60" s="118" t="str">
        <f ca="1">OFFSET(ORÇAMENTO!N$15,ROW(D60)-ROW(D$15),0)</f>
        <v>Nível 3</v>
      </c>
      <c r="E60" s="119" t="str">
        <f ca="1">OFFSET(ORÇAMENTO!O$15,ROW(E60)-ROW(E$15),0)</f>
        <v>1.6.2.</v>
      </c>
      <c r="F60" s="170" t="str">
        <f ca="1">OFFSET(ORÇAMENTO!R$15,ROW(F60)-ROW(F$15),0)</f>
        <v>VERGAS E CONTRAVERGAS</v>
      </c>
      <c r="G60" s="171" t="str">
        <f ca="1">IF($D60&lt;&gt;"Serviço","",OFFSET(ORÇAMENTO!S$15,ROW(G60)-ROW(G$15),0))</f>
        <v/>
      </c>
      <c r="H60" s="124" cm="1">
        <f t="array" aca="1" ref="H60" ca="1">IF($D60&lt;&gt;"Serviço",0,IF(_xlfn.SINGLE(ACOMPANHAMENTO)="BM",ROUND(OFFSET(ORÇAMENTO!AJ$15,ROW(H60)-ROW(H$15),0),15-13*ORÇAMENTO!$AF$7),SUMPRODUCT(($Q$1:$AI$1)*ROUND($Q60:$AI60,15-13*ORÇAMENTO!$AF$7))))</f>
        <v>0</v>
      </c>
      <c r="I60" s="500"/>
      <c r="J60" s="632" t="str" cm="1">
        <f t="array" aca="1" ref="J60" ca="1">IF(B60&lt;&gt;"S","",IF(AND(ACOMPANHAMENTO="PLE",AUTOEVENTO="Manual",OR(H60&gt;0,ORÇAMENTO!AC60="QUANT."),OR(K60="",M60=0,N60="")),"►",IF(AND(ACOMPANHAMENTO="PLE",ORÇAMENTO!AC60="QUANT."),"►►",IF(AND(COUNTIF($P$11:$AI$11,"▼")=0,H60&gt;0,I60=""),"◄",""))))</f>
        <v/>
      </c>
      <c r="K60" s="624"/>
      <c r="L60" s="172" t="s">
        <v>253</v>
      </c>
      <c r="M60" s="173" t="str">
        <f ca="1">IF($D60&lt;&gt;"Serviço","",
          IF(AUTOEVENTO="manual",$A60,
                IF(ISERROR(MATCH($A60,$A$15:OFFSET($A60,-1,0),0)),MAX($M$15:OFFSET(M60,-1,0))+1,
                      INDEX($M$15:OFFSET(M60,-1,0),MATCH($A60,$A$15:OFFSET($A60,-1,0),0)))))</f>
        <v/>
      </c>
      <c r="N60" s="174" t="str">
        <f ca="1">IF($D60&lt;&gt;"Serviço","",
         IF(AUTOEVENTO="Manual",
                IF($A60=0,"&lt;-- defina o número do agrupador",
                       OFFSET(EVENTOS!$D$15,$A60-$A$15,0)),
                OFFSET($F$15,$A60,0)))</f>
        <v/>
      </c>
      <c r="O60" s="175"/>
      <c r="Q60" s="175"/>
      <c r="R60" s="176"/>
      <c r="S60" s="176"/>
      <c r="T60" s="176"/>
      <c r="U60" s="176"/>
      <c r="V60" s="176"/>
      <c r="W60" s="176"/>
      <c r="X60" s="176"/>
      <c r="Y60" s="176"/>
      <c r="Z60" s="177"/>
      <c r="AA60" s="176"/>
      <c r="AB60" s="176"/>
      <c r="AC60" s="176"/>
      <c r="AD60" s="176"/>
      <c r="AE60" s="176"/>
      <c r="AF60" s="176"/>
      <c r="AG60" s="176"/>
      <c r="AH60" s="177"/>
      <c r="AJ60" s="485">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85">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L60" s="485">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0</v>
      </c>
      <c r="AM60" s="485">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0</v>
      </c>
      <c r="AN60" s="485">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85">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85">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85">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85">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85">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85">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85">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85">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85">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85">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85">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85">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85">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8">
        <f ca="1">IF(OR($D60&lt;&gt;"Serviço",AND(AUTOEVENTO="Manual",$M60=$A$15)),0,
         IF(OFFSET(CRONOPLE!$F$15,$M60-$A$15,BC$13)="",10^12,OFFSET(CRONOPLE!$F$15,$M60-$A$15,BC$13)))</f>
        <v>0</v>
      </c>
      <c r="BD60" s="178">
        <f ca="1">IF(OR($D60&lt;&gt;"Serviço",AND(AUTOEVENTO="Manual",$M60=$A$15)),0,
         IF(OFFSET(CRONOPLE!$F$15,$M60-$A$15,BD$13)="",10^12,OFFSET(CRONOPLE!$F$15,$M60-$A$15,BD$13)))</f>
        <v>0</v>
      </c>
      <c r="BE60" s="178">
        <f ca="1">IF(OR($D60&lt;&gt;"Serviço",AND(AUTOEVENTO="Manual",$M60=$A$15)),0,
         IF(OFFSET(CRONOPLE!$F$15,$M60-$A$15,BE$13)="",10^12,OFFSET(CRONOPLE!$F$15,$M60-$A$15,BE$13)))</f>
        <v>0</v>
      </c>
      <c r="BF60" s="178">
        <f ca="1">IF(OR($D60&lt;&gt;"Serviço",AND(AUTOEVENTO="Manual",$M60=$A$15)),0,
         IF(OFFSET(CRONOPLE!$F$15,$M60-$A$15,BF$13)="",10^12,OFFSET(CRONOPLE!$F$15,$M60-$A$15,BF$13)))</f>
        <v>0</v>
      </c>
      <c r="BG60" s="178">
        <f ca="1">IF(OR($D60&lt;&gt;"Serviço",AND(AUTOEVENTO="Manual",$M60=$A$15)),0,
         IF(OFFSET(CRONOPLE!$F$15,$M60-$A$15,BG$13)="",10^12,OFFSET(CRONOPLE!$F$15,$M60-$A$15,BG$13)))</f>
        <v>0</v>
      </c>
      <c r="BH60" s="178">
        <f ca="1">IF(OR($D60&lt;&gt;"Serviço",AND(AUTOEVENTO="Manual",$M60=$A$15)),0,
         IF(OFFSET(CRONOPLE!$F$15,$M60-$A$15,BH$13)="",10^12,OFFSET(CRONOPLE!$F$15,$M60-$A$15,BH$13)))</f>
        <v>0</v>
      </c>
      <c r="BI60" s="178">
        <f ca="1">IF(OR($D60&lt;&gt;"Serviço",AND(AUTOEVENTO="Manual",$M60=$A$15)),0,
         IF(OFFSET(CRONOPLE!$F$15,$M60-$A$15,BI$13)="",10^12,OFFSET(CRONOPLE!$F$15,$M60-$A$15,BI$13)))</f>
        <v>0</v>
      </c>
      <c r="BJ60" s="178">
        <f ca="1">IF(OR($D60&lt;&gt;"Serviço",AND(AUTOEVENTO="Manual",$M60=$A$15)),0,
         IF(OFFSET(CRONOPLE!$F$15,$M60-$A$15,BJ$13)="",10^12,OFFSET(CRONOPLE!$F$15,$M60-$A$15,BJ$13)))</f>
        <v>0</v>
      </c>
      <c r="BK60" s="178">
        <f ca="1">IF(OR($D60&lt;&gt;"Serviço",AND(AUTOEVENTO="Manual",$M60=$A$15)),0,
         IF(OFFSET(CRONOPLE!$F$15,$M60-$A$15,BK$13)="",10^12,OFFSET(CRONOPLE!$F$15,$M60-$A$15,BK$13)))</f>
        <v>0</v>
      </c>
      <c r="BL60" s="178">
        <f ca="1">IF(OR($D60&lt;&gt;"Serviço",AND(AUTOEVENTO="Manual",$M60=$A$15)),0,
         IF(OFFSET(CRONOPLE!$F$15,$M60-$A$15,BL$13)="",10^12,OFFSET(CRONOPLE!$F$15,$M60-$A$15,BL$13)))</f>
        <v>0</v>
      </c>
      <c r="BM60" s="178">
        <f ca="1">IF(OR($D60&lt;&gt;"Serviço",AND(AUTOEVENTO="Manual",$M60=$A$15)),0,
         IF(OFFSET(CRONOPLE!$F$15,$M60-$A$15,BM$13)="",10^12,OFFSET(CRONOPLE!$F$15,$M60-$A$15,BM$13)))</f>
        <v>0</v>
      </c>
      <c r="BN60" s="178">
        <f ca="1">IF(OR($D60&lt;&gt;"Serviço",AND(AUTOEVENTO="Manual",$M60=$A$15)),0,
         IF(OFFSET(CRONOPLE!$F$15,$M60-$A$15,BN$13)="",10^12,OFFSET(CRONOPLE!$F$15,$M60-$A$15,BN$13)))</f>
        <v>0</v>
      </c>
      <c r="BO60" s="178">
        <f ca="1">IF(OR($D60&lt;&gt;"Serviço",AND(AUTOEVENTO="Manual",$M60=$A$15)),0,
         IF(OFFSET(CRONOPLE!$F$15,$M60-$A$15,BO$13)="",10^12,OFFSET(CRONOPLE!$F$15,$M60-$A$15,BO$13)))</f>
        <v>0</v>
      </c>
      <c r="BP60" s="178">
        <f ca="1">IF(OR($D60&lt;&gt;"Serviço",AND(AUTOEVENTO="Manual",$M60=$A$15)),0,
         IF(OFFSET(CRONOPLE!$F$15,$M60-$A$15,BP$13)="",10^12,OFFSET(CRONOPLE!$F$15,$M60-$A$15,BP$13)))</f>
        <v>0</v>
      </c>
      <c r="BQ60" s="178">
        <f ca="1">IF(OR($D60&lt;&gt;"Serviço",AND(AUTOEVENTO="Manual",$M60=$A$15)),0,
         IF(OFFSET(CRONOPLE!$F$15,$M60-$A$15,BQ$13)="",10^12,OFFSET(CRONOPLE!$F$15,$M60-$A$15,BQ$13)))</f>
        <v>0</v>
      </c>
      <c r="BR60" s="178">
        <f ca="1">IF(OR($D60&lt;&gt;"Serviço",AND(AUTOEVENTO="Manual",$M60=$A$15)),0,
         IF(OFFSET(CRONOPLE!$F$15,$M60-$A$15,BR$13)="",10^12,OFFSET(CRONOPLE!$F$15,$M60-$A$15,BR$13)))</f>
        <v>0</v>
      </c>
      <c r="BS60" s="178">
        <f ca="1">IF(OR($D60&lt;&gt;"Serviço",AND(AUTOEVENTO="Manual",$M60=$A$15)),0,
         IF(OFFSET(CRONOPLE!$F$15,$M60-$A$15,BS$13)="",10^12,OFFSET(CRONOPLE!$F$15,$M60-$A$15,BS$13)))</f>
        <v>0</v>
      </c>
      <c r="BT60" s="178">
        <f ca="1">IF(OR($D60&lt;&gt;"Serviço",AND(AUTOEVENTO="Manual",$M60=$A$15)),0,
         IF(OFFSET(CRONOPLE!$F$15,$M60-$A$15,BT$13)="",10^12,OFFSET(CRONOPLE!$F$15,$M60-$A$15,BT$13)))</f>
        <v>0</v>
      </c>
      <c r="BV60" s="179">
        <f ca="1">IF(OR($D60&lt;&gt;"Serviço",AND(AUTOEVENTO="Manual",$M60=$A$15),$M60&gt;(ROW(PLE.lastrow)-ROW(PLE.firstrow))),0,
           IF(OFFSET(PLE!$G$15,$M60-$A$15,BV$13)="",10^12,OFFSET(PLE!$G$15,$M60-$A$15,BV$13)))</f>
        <v>0</v>
      </c>
      <c r="BW60" s="179">
        <f ca="1">IF(OR($D60&lt;&gt;"Serviço",AND(AUTOEVENTO="Manual",$M60=$A$15),$M60&gt;(ROW(PLE.lastrow)-ROW(PLE.firstrow))),0,
           IF(OFFSET(PLE!$G$15,$M60-$A$15,BW$13)="",10^12,OFFSET(PLE!$G$15,$M60-$A$15,BW$13)))</f>
        <v>0</v>
      </c>
      <c r="BX60" s="179">
        <f ca="1">IF(OR($D60&lt;&gt;"Serviço",AND(AUTOEVENTO="Manual",$M60=$A$15),$M60&gt;(ROW(PLE.lastrow)-ROW(PLE.firstrow))),0,
           IF(OFFSET(PLE!$G$15,$M60-$A$15,BX$13)="",10^12,OFFSET(PLE!$G$15,$M60-$A$15,BX$13)))</f>
        <v>0</v>
      </c>
      <c r="BY60" s="179">
        <f ca="1">IF(OR($D60&lt;&gt;"Serviço",AND(AUTOEVENTO="Manual",$M60=$A$15),$M60&gt;(ROW(PLE.lastrow)-ROW(PLE.firstrow))),0,
           IF(OFFSET(PLE!$G$15,$M60-$A$15,BY$13)="",10^12,OFFSET(PLE!$G$15,$M60-$A$15,BY$13)))</f>
        <v>0</v>
      </c>
      <c r="BZ60" s="179">
        <f ca="1">IF(OR($D60&lt;&gt;"Serviço",AND(AUTOEVENTO="Manual",$M60=$A$15),$M60&gt;(ROW(PLE.lastrow)-ROW(PLE.firstrow))),0,
           IF(OFFSET(PLE!$G$15,$M60-$A$15,BZ$13)="",10^12,OFFSET(PLE!$G$15,$M60-$A$15,BZ$13)))</f>
        <v>0</v>
      </c>
      <c r="CA60" s="179">
        <f ca="1">IF(OR($D60&lt;&gt;"Serviço",AND(AUTOEVENTO="Manual",$M60=$A$15),$M60&gt;(ROW(PLE.lastrow)-ROW(PLE.firstrow))),0,
           IF(OFFSET(PLE!$G$15,$M60-$A$15,CA$13)="",10^12,OFFSET(PLE!$G$15,$M60-$A$15,CA$13)))</f>
        <v>0</v>
      </c>
      <c r="CB60" s="179">
        <f ca="1">IF(OR($D60&lt;&gt;"Serviço",AND(AUTOEVENTO="Manual",$M60=$A$15),$M60&gt;(ROW(PLE.lastrow)-ROW(PLE.firstrow))),0,
           IF(OFFSET(PLE!$G$15,$M60-$A$15,CB$13)="",10^12,OFFSET(PLE!$G$15,$M60-$A$15,CB$13)))</f>
        <v>0</v>
      </c>
      <c r="CC60" s="179">
        <f ca="1">IF(OR($D60&lt;&gt;"Serviço",AND(AUTOEVENTO="Manual",$M60=$A$15),$M60&gt;(ROW(PLE.lastrow)-ROW(PLE.firstrow))),0,
           IF(OFFSET(PLE!$G$15,$M60-$A$15,CC$13)="",10^12,OFFSET(PLE!$G$15,$M60-$A$15,CC$13)))</f>
        <v>0</v>
      </c>
      <c r="CD60" s="179">
        <f ca="1">IF(OR($D60&lt;&gt;"Serviço",AND(AUTOEVENTO="Manual",$M60=$A$15),$M60&gt;(ROW(PLE.lastrow)-ROW(PLE.firstrow))),0,
           IF(OFFSET(PLE!$G$15,$M60-$A$15,CD$13)="",10^12,OFFSET(PLE!$G$15,$M60-$A$15,CD$13)))</f>
        <v>0</v>
      </c>
      <c r="CE60" s="179">
        <f ca="1">IF(OR($D60&lt;&gt;"Serviço",AND(AUTOEVENTO="Manual",$M60=$A$15),$M60&gt;(ROW(PLE.lastrow)-ROW(PLE.firstrow))),0,
           IF(OFFSET(PLE!$G$15,$M60-$A$15,CE$13)="",10^12,OFFSET(PLE!$G$15,$M60-$A$15,CE$13)))</f>
        <v>0</v>
      </c>
      <c r="CF60" s="179">
        <f ca="1">IF(OR($D60&lt;&gt;"Serviço",AND(AUTOEVENTO="Manual",$M60=$A$15),$M60&gt;(ROW(PLE.lastrow)-ROW(PLE.firstrow))),0,
           IF(OFFSET(PLE!$G$15,$M60-$A$15,CF$13)="",10^12,OFFSET(PLE!$G$15,$M60-$A$15,CF$13)))</f>
        <v>0</v>
      </c>
      <c r="CG60" s="179">
        <f ca="1">IF(OR($D60&lt;&gt;"Serviço",AND(AUTOEVENTO="Manual",$M60=$A$15),$M60&gt;(ROW(PLE.lastrow)-ROW(PLE.firstrow))),0,
           IF(OFFSET(PLE!$G$15,$M60-$A$15,CG$13)="",10^12,OFFSET(PLE!$G$15,$M60-$A$15,CG$13)))</f>
        <v>0</v>
      </c>
      <c r="CH60" s="179">
        <f ca="1">IF(OR($D60&lt;&gt;"Serviço",AND(AUTOEVENTO="Manual",$M60=$A$15),$M60&gt;(ROW(PLE.lastrow)-ROW(PLE.firstrow))),0,
           IF(OFFSET(PLE!$G$15,$M60-$A$15,CH$13)="",10^12,OFFSET(PLE!$G$15,$M60-$A$15,CH$13)))</f>
        <v>0</v>
      </c>
      <c r="CI60" s="179">
        <f ca="1">IF(OR($D60&lt;&gt;"Serviço",AND(AUTOEVENTO="Manual",$M60=$A$15),$M60&gt;(ROW(PLE.lastrow)-ROW(PLE.firstrow))),0,
           IF(OFFSET(PLE!$G$15,$M60-$A$15,CI$13)="",10^12,OFFSET(PLE!$G$15,$M60-$A$15,CI$13)))</f>
        <v>0</v>
      </c>
      <c r="CJ60" s="179">
        <f ca="1">IF(OR($D60&lt;&gt;"Serviço",AND(AUTOEVENTO="Manual",$M60=$A$15),$M60&gt;(ROW(PLE.lastrow)-ROW(PLE.firstrow))),0,
           IF(OFFSET(PLE!$G$15,$M60-$A$15,CJ$13)="",10^12,OFFSET(PLE!$G$15,$M60-$A$15,CJ$13)))</f>
        <v>0</v>
      </c>
      <c r="CK60" s="179">
        <f ca="1">IF(OR($D60&lt;&gt;"Serviço",AND(AUTOEVENTO="Manual",$M60=$A$15),$M60&gt;(ROW(PLE.lastrow)-ROW(PLE.firstrow))),0,
           IF(OFFSET(PLE!$G$15,$M60-$A$15,CK$13)="",10^12,OFFSET(PLE!$G$15,$M60-$A$15,CK$13)))</f>
        <v>0</v>
      </c>
      <c r="CL60" s="179">
        <f ca="1">IF(OR($D60&lt;&gt;"Serviço",AND(AUTOEVENTO="Manual",$M60=$A$15),$M60&gt;(ROW(PLE.lastrow)-ROW(PLE.firstrow))),0,
           IF(OFFSET(PLE!$G$15,$M60-$A$15,CL$13)="",10^12,OFFSET(PLE!$G$15,$M60-$A$15,CL$13)))</f>
        <v>0</v>
      </c>
      <c r="CM60" s="179">
        <f ca="1">IF(OR($D60&lt;&gt;"Serviço",AND(AUTOEVENTO="Manual",$M60=$A$15),$M60&gt;(ROW(PLE.lastrow)-ROW(PLE.firstrow))),0,
           IF(OFFSET(PLE!$G$15,$M60-$A$15,CM$13)="",10^12,OFFSET(PLE!$G$15,$M60-$A$15,CM$13)))</f>
        <v>0</v>
      </c>
    </row>
    <row r="61" spans="1:91" ht="25.5" x14ac:dyDescent="0.2">
      <c r="A61" s="7" t="str">
        <f ca="1">IF(AUTOEVENTO="Manual",IF(K61&lt;&gt;"",MIN(VALUE(LEFT(K61,FIND(".",K61)-1)),COUNTA(EVENTOS.Lista)),0),IF(OR($B61&gt;AUTOEVENTO,$B61="S",$B61=0),SUBSTITUTE(OFFSET($A61,-1,0),IF($D61="Serviço",".",""),""),ROW(A61)-ROW($A$15)&amp;"."))</f>
        <v>40</v>
      </c>
      <c r="B61" s="7" t="str">
        <f ca="1">OFFSET(ORÇAMENTO!C$15,ROW(B61)-ROW(B$15),0)</f>
        <v>S</v>
      </c>
      <c r="C61" s="7" t="str">
        <f ca="1">OFFSET(ORÇAMENTO!L$15,ROW(C61)-ROW(C$15),0)</f>
        <v>F</v>
      </c>
      <c r="D61" s="118" t="str">
        <f ca="1">OFFSET(ORÇAMENTO!N$15,ROW(D61)-ROW(D$15),0)</f>
        <v>Serviço</v>
      </c>
      <c r="E61" s="119" t="str">
        <f ca="1">OFFSET(ORÇAMENTO!O$15,ROW(E61)-ROW(E$15),0)</f>
        <v>1.6.2.0.1.</v>
      </c>
      <c r="F61" s="170" t="str">
        <f ca="1">OFFSET(ORÇAMENTO!R$15,ROW(F61)-ROW(F$15),0)</f>
        <v>VERGA MOLDADA IN LOCO COM UTILIZAÇÃO DE BLOCOS CANALETA, ESPESSURA DE *10* CM. AF_03/2024</v>
      </c>
      <c r="G61" s="171" t="str">
        <f ca="1">IF($D61&lt;&gt;"Serviço","",OFFSET(ORÇAMENTO!S$15,ROW(G61)-ROW(G$15),0))</f>
        <v>M</v>
      </c>
      <c r="H61" s="124" cm="1">
        <f t="array" aca="1" ref="H61" ca="1">IF($D61&lt;&gt;"Serviço",0,IF(_xlfn.SINGLE(ACOMPANHAMENTO)="BM",ROUND(OFFSET(ORÇAMENTO!AJ$15,ROW(H61)-ROW(H$15),0),15-13*ORÇAMENTO!$AF$7),SUMPRODUCT(($Q$1:$AI$1)*ROUND($Q61:$AI61,15-13*ORÇAMENTO!$AF$7))))</f>
        <v>48</v>
      </c>
      <c r="I61" s="500" t="s">
        <v>1005</v>
      </c>
      <c r="J61" s="632" t="str" cm="1">
        <f t="array" aca="1" ref="J61" ca="1">IF(B61&lt;&gt;"S","",IF(AND(ACOMPANHAMENTO="PLE",AUTOEVENTO="Manual",OR(H61&gt;0,ORÇAMENTO!AC61="QUANT."),OR(K61="",M61=0,N61="")),"►",IF(AND(ACOMPANHAMENTO="PLE",ORÇAMENTO!AC61="QUANT."),"►►",IF(AND(COUNTIF($P$11:$AI$11,"▼")=0,H61&gt;0,I61=""),"◄",""))))</f>
        <v/>
      </c>
      <c r="K61" s="624"/>
      <c r="L61" s="172" t="s">
        <v>253</v>
      </c>
      <c r="M61" s="173">
        <f ca="1">IF($D61&lt;&gt;"Serviço","",
          IF(AUTOEVENTO="manual",$A61,
                IF(ISERROR(MATCH($A61,$A$15:OFFSET($A61,-1,0),0)),MAX($M$15:OFFSET(M61,-1,0))+1,
                      INDEX($M$15:OFFSET(M61,-1,0),MATCH($A61,$A$15:OFFSET($A61,-1,0),0)))))</f>
        <v>6</v>
      </c>
      <c r="N61" s="174" t="str">
        <f ca="1">IF($D61&lt;&gt;"Serviço","",
         IF(AUTOEVENTO="Manual",
                IF($A61=0,"&lt;-- defina o número do agrupador",
                       OFFSET(EVENTOS!$D$15,$A61-$A$15,0)),
                OFFSET($F$15,$A61,0)))</f>
        <v>PAREDES DE FECHAMENTO</v>
      </c>
      <c r="O61" s="175"/>
      <c r="Q61" s="175"/>
      <c r="R61" s="176"/>
      <c r="S61" s="176"/>
      <c r="T61" s="176">
        <f>64*0.75</f>
        <v>48</v>
      </c>
      <c r="U61" s="176"/>
      <c r="V61" s="176"/>
      <c r="W61" s="176"/>
      <c r="X61" s="176"/>
      <c r="Y61" s="176"/>
      <c r="Z61" s="177"/>
      <c r="AA61" s="176"/>
      <c r="AB61" s="176"/>
      <c r="AC61" s="176"/>
      <c r="AD61" s="176"/>
      <c r="AE61" s="176"/>
      <c r="AF61" s="176"/>
      <c r="AG61" s="176"/>
      <c r="AH61" s="177"/>
      <c r="AJ61" s="485">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85">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L61" s="485">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0</v>
      </c>
      <c r="AM61" s="485">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2952</v>
      </c>
      <c r="AN61" s="485">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85">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85">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85">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85">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85">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85">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85">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85">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85">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85">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85">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85">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85">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8">
        <f ca="1">IF(OR($D61&lt;&gt;"Serviço",AND(AUTOEVENTO="Manual",$M61=$A$15)),0,
         IF(OFFSET(CRONOPLE!$F$15,$M61-$A$15,BC$13)="",10^12,OFFSET(CRONOPLE!$F$15,$M61-$A$15,BC$13)))</f>
        <v>1</v>
      </c>
      <c r="BD61" s="178">
        <f ca="1">IF(OR($D61&lt;&gt;"Serviço",AND(AUTOEVENTO="Manual",$M61=$A$15)),0,
         IF(OFFSET(CRONOPLE!$F$15,$M61-$A$15,BD$13)="",10^12,OFFSET(CRONOPLE!$F$15,$M61-$A$15,BD$13)))</f>
        <v>2</v>
      </c>
      <c r="BE61" s="178">
        <f ca="1">IF(OR($D61&lt;&gt;"Serviço",AND(AUTOEVENTO="Manual",$M61=$A$15)),0,
         IF(OFFSET(CRONOPLE!$F$15,$M61-$A$15,BE$13)="",10^12,OFFSET(CRONOPLE!$F$15,$M61-$A$15,BE$13)))</f>
        <v>3</v>
      </c>
      <c r="BF61" s="178">
        <f ca="1">IF(OR($D61&lt;&gt;"Serviço",AND(AUTOEVENTO="Manual",$M61=$A$15)),0,
         IF(OFFSET(CRONOPLE!$F$15,$M61-$A$15,BF$13)="",10^12,OFFSET(CRONOPLE!$F$15,$M61-$A$15,BF$13)))</f>
        <v>4</v>
      </c>
      <c r="BG61" s="178">
        <f ca="1">IF(OR($D61&lt;&gt;"Serviço",AND(AUTOEVENTO="Manual",$M61=$A$15)),0,
         IF(OFFSET(CRONOPLE!$F$15,$M61-$A$15,BG$13)="",10^12,OFFSET(CRONOPLE!$F$15,$M61-$A$15,BG$13)))</f>
        <v>1000000000000</v>
      </c>
      <c r="BH61" s="178">
        <f ca="1">IF(OR($D61&lt;&gt;"Serviço",AND(AUTOEVENTO="Manual",$M61=$A$15)),0,
         IF(OFFSET(CRONOPLE!$F$15,$M61-$A$15,BH$13)="",10^12,OFFSET(CRONOPLE!$F$15,$M61-$A$15,BH$13)))</f>
        <v>1000000000000</v>
      </c>
      <c r="BI61" s="178">
        <f ca="1">IF(OR($D61&lt;&gt;"Serviço",AND(AUTOEVENTO="Manual",$M61=$A$15)),0,
         IF(OFFSET(CRONOPLE!$F$15,$M61-$A$15,BI$13)="",10^12,OFFSET(CRONOPLE!$F$15,$M61-$A$15,BI$13)))</f>
        <v>7</v>
      </c>
      <c r="BJ61" s="178">
        <f ca="1">IF(OR($D61&lt;&gt;"Serviço",AND(AUTOEVENTO="Manual",$M61=$A$15)),0,
         IF(OFFSET(CRONOPLE!$F$15,$M61-$A$15,BJ$13)="",10^12,OFFSET(CRONOPLE!$F$15,$M61-$A$15,BJ$13)))</f>
        <v>1000000000000</v>
      </c>
      <c r="BK61" s="178">
        <f ca="1">IF(OR($D61&lt;&gt;"Serviço",AND(AUTOEVENTO="Manual",$M61=$A$15)),0,
         IF(OFFSET(CRONOPLE!$F$15,$M61-$A$15,BK$13)="",10^12,OFFSET(CRONOPLE!$F$15,$M61-$A$15,BK$13)))</f>
        <v>1000000000000</v>
      </c>
      <c r="BL61" s="178">
        <f ca="1">IF(OR($D61&lt;&gt;"Serviço",AND(AUTOEVENTO="Manual",$M61=$A$15)),0,
         IF(OFFSET(CRONOPLE!$F$15,$M61-$A$15,BL$13)="",10^12,OFFSET(CRONOPLE!$F$15,$M61-$A$15,BL$13)))</f>
        <v>1000000000000</v>
      </c>
      <c r="BM61" s="178">
        <f ca="1">IF(OR($D61&lt;&gt;"Serviço",AND(AUTOEVENTO="Manual",$M61=$A$15)),0,
         IF(OFFSET(CRONOPLE!$F$15,$M61-$A$15,BM$13)="",10^12,OFFSET(CRONOPLE!$F$15,$M61-$A$15,BM$13)))</f>
        <v>1000000000000</v>
      </c>
      <c r="BN61" s="178">
        <f ca="1">IF(OR($D61&lt;&gt;"Serviço",AND(AUTOEVENTO="Manual",$M61=$A$15)),0,
         IF(OFFSET(CRONOPLE!$F$15,$M61-$A$15,BN$13)="",10^12,OFFSET(CRONOPLE!$F$15,$M61-$A$15,BN$13)))</f>
        <v>1000000000000</v>
      </c>
      <c r="BO61" s="178">
        <f ca="1">IF(OR($D61&lt;&gt;"Serviço",AND(AUTOEVENTO="Manual",$M61=$A$15)),0,
         IF(OFFSET(CRONOPLE!$F$15,$M61-$A$15,BO$13)="",10^12,OFFSET(CRONOPLE!$F$15,$M61-$A$15,BO$13)))</f>
        <v>1000000000000</v>
      </c>
      <c r="BP61" s="178">
        <f ca="1">IF(OR($D61&lt;&gt;"Serviço",AND(AUTOEVENTO="Manual",$M61=$A$15)),0,
         IF(OFFSET(CRONOPLE!$F$15,$M61-$A$15,BP$13)="",10^12,OFFSET(CRONOPLE!$F$15,$M61-$A$15,BP$13)))</f>
        <v>1000000000000</v>
      </c>
      <c r="BQ61" s="178">
        <f ca="1">IF(OR($D61&lt;&gt;"Serviço",AND(AUTOEVENTO="Manual",$M61=$A$15)),0,
         IF(OFFSET(CRONOPLE!$F$15,$M61-$A$15,BQ$13)="",10^12,OFFSET(CRONOPLE!$F$15,$M61-$A$15,BQ$13)))</f>
        <v>1000000000000</v>
      </c>
      <c r="BR61" s="178">
        <f ca="1">IF(OR($D61&lt;&gt;"Serviço",AND(AUTOEVENTO="Manual",$M61=$A$15)),0,
         IF(OFFSET(CRONOPLE!$F$15,$M61-$A$15,BR$13)="",10^12,OFFSET(CRONOPLE!$F$15,$M61-$A$15,BR$13)))</f>
        <v>1000000000000</v>
      </c>
      <c r="BS61" s="178">
        <f ca="1">IF(OR($D61&lt;&gt;"Serviço",AND(AUTOEVENTO="Manual",$M61=$A$15)),0,
         IF(OFFSET(CRONOPLE!$F$15,$M61-$A$15,BS$13)="",10^12,OFFSET(CRONOPLE!$F$15,$M61-$A$15,BS$13)))</f>
        <v>1000000000000</v>
      </c>
      <c r="BT61" s="178">
        <f ca="1">IF(OR($D61&lt;&gt;"Serviço",AND(AUTOEVENTO="Manual",$M61=$A$15)),0,
         IF(OFFSET(CRONOPLE!$F$15,$M61-$A$15,BT$13)="",10^12,OFFSET(CRONOPLE!$F$15,$M61-$A$15,BT$13)))</f>
        <v>1000000000000</v>
      </c>
      <c r="BV61" s="179">
        <f ca="1">IF(OR($D61&lt;&gt;"Serviço",AND(AUTOEVENTO="Manual",$M61=$A$15),$M61&gt;(ROW(PLE.lastrow)-ROW(PLE.firstrow))),0,
           IF(OFFSET(PLE!$G$15,$M61-$A$15,BV$13)="",10^12,OFFSET(PLE!$G$15,$M61-$A$15,BV$13)))</f>
        <v>1000000000000</v>
      </c>
      <c r="BW61" s="179">
        <f ca="1">IF(OR($D61&lt;&gt;"Serviço",AND(AUTOEVENTO="Manual",$M61=$A$15),$M61&gt;(ROW(PLE.lastrow)-ROW(PLE.firstrow))),0,
           IF(OFFSET(PLE!$G$15,$M61-$A$15,BW$13)="",10^12,OFFSET(PLE!$G$15,$M61-$A$15,BW$13)))</f>
        <v>1000000000000</v>
      </c>
      <c r="BX61" s="179">
        <f ca="1">IF(OR($D61&lt;&gt;"Serviço",AND(AUTOEVENTO="Manual",$M61=$A$15),$M61&gt;(ROW(PLE.lastrow)-ROW(PLE.firstrow))),0,
           IF(OFFSET(PLE!$G$15,$M61-$A$15,BX$13)="",10^12,OFFSET(PLE!$G$15,$M61-$A$15,BX$13)))</f>
        <v>1000000000000</v>
      </c>
      <c r="BY61" s="179">
        <f ca="1">IF(OR($D61&lt;&gt;"Serviço",AND(AUTOEVENTO="Manual",$M61=$A$15),$M61&gt;(ROW(PLE.lastrow)-ROW(PLE.firstrow))),0,
           IF(OFFSET(PLE!$G$15,$M61-$A$15,BY$13)="",10^12,OFFSET(PLE!$G$15,$M61-$A$15,BY$13)))</f>
        <v>1000000000000</v>
      </c>
      <c r="BZ61" s="179">
        <f ca="1">IF(OR($D61&lt;&gt;"Serviço",AND(AUTOEVENTO="Manual",$M61=$A$15),$M61&gt;(ROW(PLE.lastrow)-ROW(PLE.firstrow))),0,
           IF(OFFSET(PLE!$G$15,$M61-$A$15,BZ$13)="",10^12,OFFSET(PLE!$G$15,$M61-$A$15,BZ$13)))</f>
        <v>1000000000000</v>
      </c>
      <c r="CA61" s="179">
        <f ca="1">IF(OR($D61&lt;&gt;"Serviço",AND(AUTOEVENTO="Manual",$M61=$A$15),$M61&gt;(ROW(PLE.lastrow)-ROW(PLE.firstrow))),0,
           IF(OFFSET(PLE!$G$15,$M61-$A$15,CA$13)="",10^12,OFFSET(PLE!$G$15,$M61-$A$15,CA$13)))</f>
        <v>1000000000000</v>
      </c>
      <c r="CB61" s="179">
        <f ca="1">IF(OR($D61&lt;&gt;"Serviço",AND(AUTOEVENTO="Manual",$M61=$A$15),$M61&gt;(ROW(PLE.lastrow)-ROW(PLE.firstrow))),0,
           IF(OFFSET(PLE!$G$15,$M61-$A$15,CB$13)="",10^12,OFFSET(PLE!$G$15,$M61-$A$15,CB$13)))</f>
        <v>1000000000000</v>
      </c>
      <c r="CC61" s="179">
        <f ca="1">IF(OR($D61&lt;&gt;"Serviço",AND(AUTOEVENTO="Manual",$M61=$A$15),$M61&gt;(ROW(PLE.lastrow)-ROW(PLE.firstrow))),0,
           IF(OFFSET(PLE!$G$15,$M61-$A$15,CC$13)="",10^12,OFFSET(PLE!$G$15,$M61-$A$15,CC$13)))</f>
        <v>1000000000000</v>
      </c>
      <c r="CD61" s="179">
        <f ca="1">IF(OR($D61&lt;&gt;"Serviço",AND(AUTOEVENTO="Manual",$M61=$A$15),$M61&gt;(ROW(PLE.lastrow)-ROW(PLE.firstrow))),0,
           IF(OFFSET(PLE!$G$15,$M61-$A$15,CD$13)="",10^12,OFFSET(PLE!$G$15,$M61-$A$15,CD$13)))</f>
        <v>1000000000000</v>
      </c>
      <c r="CE61" s="179">
        <f ca="1">IF(OR($D61&lt;&gt;"Serviço",AND(AUTOEVENTO="Manual",$M61=$A$15),$M61&gt;(ROW(PLE.lastrow)-ROW(PLE.firstrow))),0,
           IF(OFFSET(PLE!$G$15,$M61-$A$15,CE$13)="",10^12,OFFSET(PLE!$G$15,$M61-$A$15,CE$13)))</f>
        <v>1000000000000</v>
      </c>
      <c r="CF61" s="179">
        <f ca="1">IF(OR($D61&lt;&gt;"Serviço",AND(AUTOEVENTO="Manual",$M61=$A$15),$M61&gt;(ROW(PLE.lastrow)-ROW(PLE.firstrow))),0,
           IF(OFFSET(PLE!$G$15,$M61-$A$15,CF$13)="",10^12,OFFSET(PLE!$G$15,$M61-$A$15,CF$13)))</f>
        <v>1000000000000</v>
      </c>
      <c r="CG61" s="179">
        <f ca="1">IF(OR($D61&lt;&gt;"Serviço",AND(AUTOEVENTO="Manual",$M61=$A$15),$M61&gt;(ROW(PLE.lastrow)-ROW(PLE.firstrow))),0,
           IF(OFFSET(PLE!$G$15,$M61-$A$15,CG$13)="",10^12,OFFSET(PLE!$G$15,$M61-$A$15,CG$13)))</f>
        <v>1000000000000</v>
      </c>
      <c r="CH61" s="179">
        <f ca="1">IF(OR($D61&lt;&gt;"Serviço",AND(AUTOEVENTO="Manual",$M61=$A$15),$M61&gt;(ROW(PLE.lastrow)-ROW(PLE.firstrow))),0,
           IF(OFFSET(PLE!$G$15,$M61-$A$15,CH$13)="",10^12,OFFSET(PLE!$G$15,$M61-$A$15,CH$13)))</f>
        <v>1000000000000</v>
      </c>
      <c r="CI61" s="179">
        <f ca="1">IF(OR($D61&lt;&gt;"Serviço",AND(AUTOEVENTO="Manual",$M61=$A$15),$M61&gt;(ROW(PLE.lastrow)-ROW(PLE.firstrow))),0,
           IF(OFFSET(PLE!$G$15,$M61-$A$15,CI$13)="",10^12,OFFSET(PLE!$G$15,$M61-$A$15,CI$13)))</f>
        <v>1000000000000</v>
      </c>
      <c r="CJ61" s="179">
        <f ca="1">IF(OR($D61&lt;&gt;"Serviço",AND(AUTOEVENTO="Manual",$M61=$A$15),$M61&gt;(ROW(PLE.lastrow)-ROW(PLE.firstrow))),0,
           IF(OFFSET(PLE!$G$15,$M61-$A$15,CJ$13)="",10^12,OFFSET(PLE!$G$15,$M61-$A$15,CJ$13)))</f>
        <v>1000000000000</v>
      </c>
      <c r="CK61" s="179">
        <f ca="1">IF(OR($D61&lt;&gt;"Serviço",AND(AUTOEVENTO="Manual",$M61=$A$15),$M61&gt;(ROW(PLE.lastrow)-ROW(PLE.firstrow))),0,
           IF(OFFSET(PLE!$G$15,$M61-$A$15,CK$13)="",10^12,OFFSET(PLE!$G$15,$M61-$A$15,CK$13)))</f>
        <v>1000000000000</v>
      </c>
      <c r="CL61" s="179">
        <f ca="1">IF(OR($D61&lt;&gt;"Serviço",AND(AUTOEVENTO="Manual",$M61=$A$15),$M61&gt;(ROW(PLE.lastrow)-ROW(PLE.firstrow))),0,
           IF(OFFSET(PLE!$G$15,$M61-$A$15,CL$13)="",10^12,OFFSET(PLE!$G$15,$M61-$A$15,CL$13)))</f>
        <v>1000000000000</v>
      </c>
      <c r="CM61" s="179">
        <f ca="1">IF(OR($D61&lt;&gt;"Serviço",AND(AUTOEVENTO="Manual",$M61=$A$15),$M61&gt;(ROW(PLE.lastrow)-ROW(PLE.firstrow))),0,
           IF(OFFSET(PLE!$G$15,$M61-$A$15,CM$13)="",10^12,OFFSET(PLE!$G$15,$M61-$A$15,CM$13)))</f>
        <v>1000000000000</v>
      </c>
    </row>
    <row r="62" spans="1:91" ht="25.5" x14ac:dyDescent="0.2">
      <c r="A62" s="7" t="str">
        <f ca="1">IF(AUTOEVENTO="Manual",IF(K62&lt;&gt;"",MIN(VALUE(LEFT(K62,FIND(".",K62)-1)),COUNTA(EVENTOS.Lista)),0),IF(OR($B62&gt;AUTOEVENTO,$B62="S",$B62=0),SUBSTITUTE(OFFSET($A62,-1,0),IF($D62="Serviço",".",""),""),ROW(A62)-ROW($A$15)&amp;"."))</f>
        <v>40</v>
      </c>
      <c r="B62" s="7" t="str">
        <f ca="1">OFFSET(ORÇAMENTO!C$15,ROW(B62)-ROW(B$15),0)</f>
        <v>S</v>
      </c>
      <c r="C62" s="7" t="str">
        <f ca="1">OFFSET(ORÇAMENTO!L$15,ROW(C62)-ROW(C$15),0)</f>
        <v>F</v>
      </c>
      <c r="D62" s="118" t="str">
        <f ca="1">OFFSET(ORÇAMENTO!N$15,ROW(D62)-ROW(D$15),0)</f>
        <v>Serviço</v>
      </c>
      <c r="E62" s="119" t="str">
        <f ca="1">OFFSET(ORÇAMENTO!O$15,ROW(E62)-ROW(E$15),0)</f>
        <v>1.6.2.0.2.</v>
      </c>
      <c r="F62" s="170" t="str">
        <f ca="1">OFFSET(ORÇAMENTO!R$15,ROW(F62)-ROW(F$15),0)</f>
        <v>CONTRAVERGA MOLDADA IN LOCO COM UTILIZAÇÃO DE BLOCOS CANALETA, ESPESSURA DE *10* CM. AF_03/2024</v>
      </c>
      <c r="G62" s="171" t="str">
        <f ca="1">IF($D62&lt;&gt;"Serviço","",OFFSET(ORÇAMENTO!S$15,ROW(G62)-ROW(G$15),0))</f>
        <v>M</v>
      </c>
      <c r="H62" s="124" cm="1">
        <f t="array" aca="1" ref="H62" ca="1">IF($D62&lt;&gt;"Serviço",0,IF(_xlfn.SINGLE(ACOMPANHAMENTO)="BM",ROUND(OFFSET(ORÇAMENTO!AJ$15,ROW(H62)-ROW(H$15),0),15-13*ORÇAMENTO!$AF$7),SUMPRODUCT(($Q$1:$AI$1)*ROUND($Q62:$AI62,15-13*ORÇAMENTO!$AF$7))))</f>
        <v>48</v>
      </c>
      <c r="I62" s="500" t="s">
        <v>1005</v>
      </c>
      <c r="J62" s="632" t="str" cm="1">
        <f t="array" aca="1" ref="J62" ca="1">IF(B62&lt;&gt;"S","",IF(AND(ACOMPANHAMENTO="PLE",AUTOEVENTO="Manual",OR(H62&gt;0,ORÇAMENTO!AC62="QUANT."),OR(K62="",M62=0,N62="")),"►",IF(AND(ACOMPANHAMENTO="PLE",ORÇAMENTO!AC62="QUANT."),"►►",IF(AND(COUNTIF($P$11:$AI$11,"▼")=0,H62&gt;0,I62=""),"◄",""))))</f>
        <v/>
      </c>
      <c r="K62" s="624"/>
      <c r="L62" s="172" t="s">
        <v>253</v>
      </c>
      <c r="M62" s="173">
        <f ca="1">IF($D62&lt;&gt;"Serviço","",
          IF(AUTOEVENTO="manual",$A62,
                IF(ISERROR(MATCH($A62,$A$15:OFFSET($A62,-1,0),0)),MAX($M$15:OFFSET(M62,-1,0))+1,
                      INDEX($M$15:OFFSET(M62,-1,0),MATCH($A62,$A$15:OFFSET($A62,-1,0),0)))))</f>
        <v>6</v>
      </c>
      <c r="N62" s="174" t="str">
        <f ca="1">IF($D62&lt;&gt;"Serviço","",
         IF(AUTOEVENTO="Manual",
                IF($A62=0,"&lt;-- defina o número do agrupador",
                       OFFSET(EVENTOS!$D$15,$A62-$A$15,0)),
                OFFSET($F$15,$A62,0)))</f>
        <v>PAREDES DE FECHAMENTO</v>
      </c>
      <c r="O62" s="175"/>
      <c r="Q62" s="175"/>
      <c r="R62" s="176"/>
      <c r="S62" s="176"/>
      <c r="T62" s="176">
        <f>64*0.75</f>
        <v>48</v>
      </c>
      <c r="U62" s="176"/>
      <c r="V62" s="176"/>
      <c r="W62" s="176"/>
      <c r="X62" s="176"/>
      <c r="Y62" s="176"/>
      <c r="Z62" s="177"/>
      <c r="AA62" s="176"/>
      <c r="AB62" s="176"/>
      <c r="AC62" s="176"/>
      <c r="AD62" s="176"/>
      <c r="AE62" s="176"/>
      <c r="AF62" s="176"/>
      <c r="AG62" s="176"/>
      <c r="AH62" s="177"/>
      <c r="AJ62" s="485">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85">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L62" s="485">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0</v>
      </c>
      <c r="AM62" s="485">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2156.16</v>
      </c>
      <c r="AN62" s="485">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85">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85">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85">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85">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85">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85">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85">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85">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85">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85">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85">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85">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85">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8">
        <f ca="1">IF(OR($D62&lt;&gt;"Serviço",AND(AUTOEVENTO="Manual",$M62=$A$15)),0,
         IF(OFFSET(CRONOPLE!$F$15,$M62-$A$15,BC$13)="",10^12,OFFSET(CRONOPLE!$F$15,$M62-$A$15,BC$13)))</f>
        <v>1</v>
      </c>
      <c r="BD62" s="178">
        <f ca="1">IF(OR($D62&lt;&gt;"Serviço",AND(AUTOEVENTO="Manual",$M62=$A$15)),0,
         IF(OFFSET(CRONOPLE!$F$15,$M62-$A$15,BD$13)="",10^12,OFFSET(CRONOPLE!$F$15,$M62-$A$15,BD$13)))</f>
        <v>2</v>
      </c>
      <c r="BE62" s="178">
        <f ca="1">IF(OR($D62&lt;&gt;"Serviço",AND(AUTOEVENTO="Manual",$M62=$A$15)),0,
         IF(OFFSET(CRONOPLE!$F$15,$M62-$A$15,BE$13)="",10^12,OFFSET(CRONOPLE!$F$15,$M62-$A$15,BE$13)))</f>
        <v>3</v>
      </c>
      <c r="BF62" s="178">
        <f ca="1">IF(OR($D62&lt;&gt;"Serviço",AND(AUTOEVENTO="Manual",$M62=$A$15)),0,
         IF(OFFSET(CRONOPLE!$F$15,$M62-$A$15,BF$13)="",10^12,OFFSET(CRONOPLE!$F$15,$M62-$A$15,BF$13)))</f>
        <v>4</v>
      </c>
      <c r="BG62" s="178">
        <f ca="1">IF(OR($D62&lt;&gt;"Serviço",AND(AUTOEVENTO="Manual",$M62=$A$15)),0,
         IF(OFFSET(CRONOPLE!$F$15,$M62-$A$15,BG$13)="",10^12,OFFSET(CRONOPLE!$F$15,$M62-$A$15,BG$13)))</f>
        <v>1000000000000</v>
      </c>
      <c r="BH62" s="178">
        <f ca="1">IF(OR($D62&lt;&gt;"Serviço",AND(AUTOEVENTO="Manual",$M62=$A$15)),0,
         IF(OFFSET(CRONOPLE!$F$15,$M62-$A$15,BH$13)="",10^12,OFFSET(CRONOPLE!$F$15,$M62-$A$15,BH$13)))</f>
        <v>1000000000000</v>
      </c>
      <c r="BI62" s="178">
        <f ca="1">IF(OR($D62&lt;&gt;"Serviço",AND(AUTOEVENTO="Manual",$M62=$A$15)),0,
         IF(OFFSET(CRONOPLE!$F$15,$M62-$A$15,BI$13)="",10^12,OFFSET(CRONOPLE!$F$15,$M62-$A$15,BI$13)))</f>
        <v>7</v>
      </c>
      <c r="BJ62" s="178">
        <f ca="1">IF(OR($D62&lt;&gt;"Serviço",AND(AUTOEVENTO="Manual",$M62=$A$15)),0,
         IF(OFFSET(CRONOPLE!$F$15,$M62-$A$15,BJ$13)="",10^12,OFFSET(CRONOPLE!$F$15,$M62-$A$15,BJ$13)))</f>
        <v>1000000000000</v>
      </c>
      <c r="BK62" s="178">
        <f ca="1">IF(OR($D62&lt;&gt;"Serviço",AND(AUTOEVENTO="Manual",$M62=$A$15)),0,
         IF(OFFSET(CRONOPLE!$F$15,$M62-$A$15,BK$13)="",10^12,OFFSET(CRONOPLE!$F$15,$M62-$A$15,BK$13)))</f>
        <v>1000000000000</v>
      </c>
      <c r="BL62" s="178">
        <f ca="1">IF(OR($D62&lt;&gt;"Serviço",AND(AUTOEVENTO="Manual",$M62=$A$15)),0,
         IF(OFFSET(CRONOPLE!$F$15,$M62-$A$15,BL$13)="",10^12,OFFSET(CRONOPLE!$F$15,$M62-$A$15,BL$13)))</f>
        <v>1000000000000</v>
      </c>
      <c r="BM62" s="178">
        <f ca="1">IF(OR($D62&lt;&gt;"Serviço",AND(AUTOEVENTO="Manual",$M62=$A$15)),0,
         IF(OFFSET(CRONOPLE!$F$15,$M62-$A$15,BM$13)="",10^12,OFFSET(CRONOPLE!$F$15,$M62-$A$15,BM$13)))</f>
        <v>1000000000000</v>
      </c>
      <c r="BN62" s="178">
        <f ca="1">IF(OR($D62&lt;&gt;"Serviço",AND(AUTOEVENTO="Manual",$M62=$A$15)),0,
         IF(OFFSET(CRONOPLE!$F$15,$M62-$A$15,BN$13)="",10^12,OFFSET(CRONOPLE!$F$15,$M62-$A$15,BN$13)))</f>
        <v>1000000000000</v>
      </c>
      <c r="BO62" s="178">
        <f ca="1">IF(OR($D62&lt;&gt;"Serviço",AND(AUTOEVENTO="Manual",$M62=$A$15)),0,
         IF(OFFSET(CRONOPLE!$F$15,$M62-$A$15,BO$13)="",10^12,OFFSET(CRONOPLE!$F$15,$M62-$A$15,BO$13)))</f>
        <v>1000000000000</v>
      </c>
      <c r="BP62" s="178">
        <f ca="1">IF(OR($D62&lt;&gt;"Serviço",AND(AUTOEVENTO="Manual",$M62=$A$15)),0,
         IF(OFFSET(CRONOPLE!$F$15,$M62-$A$15,BP$13)="",10^12,OFFSET(CRONOPLE!$F$15,$M62-$A$15,BP$13)))</f>
        <v>1000000000000</v>
      </c>
      <c r="BQ62" s="178">
        <f ca="1">IF(OR($D62&lt;&gt;"Serviço",AND(AUTOEVENTO="Manual",$M62=$A$15)),0,
         IF(OFFSET(CRONOPLE!$F$15,$M62-$A$15,BQ$13)="",10^12,OFFSET(CRONOPLE!$F$15,$M62-$A$15,BQ$13)))</f>
        <v>1000000000000</v>
      </c>
      <c r="BR62" s="178">
        <f ca="1">IF(OR($D62&lt;&gt;"Serviço",AND(AUTOEVENTO="Manual",$M62=$A$15)),0,
         IF(OFFSET(CRONOPLE!$F$15,$M62-$A$15,BR$13)="",10^12,OFFSET(CRONOPLE!$F$15,$M62-$A$15,BR$13)))</f>
        <v>1000000000000</v>
      </c>
      <c r="BS62" s="178">
        <f ca="1">IF(OR($D62&lt;&gt;"Serviço",AND(AUTOEVENTO="Manual",$M62=$A$15)),0,
         IF(OFFSET(CRONOPLE!$F$15,$M62-$A$15,BS$13)="",10^12,OFFSET(CRONOPLE!$F$15,$M62-$A$15,BS$13)))</f>
        <v>1000000000000</v>
      </c>
      <c r="BT62" s="178">
        <f ca="1">IF(OR($D62&lt;&gt;"Serviço",AND(AUTOEVENTO="Manual",$M62=$A$15)),0,
         IF(OFFSET(CRONOPLE!$F$15,$M62-$A$15,BT$13)="",10^12,OFFSET(CRONOPLE!$F$15,$M62-$A$15,BT$13)))</f>
        <v>1000000000000</v>
      </c>
      <c r="BV62" s="179">
        <f ca="1">IF(OR($D62&lt;&gt;"Serviço",AND(AUTOEVENTO="Manual",$M62=$A$15),$M62&gt;(ROW(PLE.lastrow)-ROW(PLE.firstrow))),0,
           IF(OFFSET(PLE!$G$15,$M62-$A$15,BV$13)="",10^12,OFFSET(PLE!$G$15,$M62-$A$15,BV$13)))</f>
        <v>1000000000000</v>
      </c>
      <c r="BW62" s="179">
        <f ca="1">IF(OR($D62&lt;&gt;"Serviço",AND(AUTOEVENTO="Manual",$M62=$A$15),$M62&gt;(ROW(PLE.lastrow)-ROW(PLE.firstrow))),0,
           IF(OFFSET(PLE!$G$15,$M62-$A$15,BW$13)="",10^12,OFFSET(PLE!$G$15,$M62-$A$15,BW$13)))</f>
        <v>1000000000000</v>
      </c>
      <c r="BX62" s="179">
        <f ca="1">IF(OR($D62&lt;&gt;"Serviço",AND(AUTOEVENTO="Manual",$M62=$A$15),$M62&gt;(ROW(PLE.lastrow)-ROW(PLE.firstrow))),0,
           IF(OFFSET(PLE!$G$15,$M62-$A$15,BX$13)="",10^12,OFFSET(PLE!$G$15,$M62-$A$15,BX$13)))</f>
        <v>1000000000000</v>
      </c>
      <c r="BY62" s="179">
        <f ca="1">IF(OR($D62&lt;&gt;"Serviço",AND(AUTOEVENTO="Manual",$M62=$A$15),$M62&gt;(ROW(PLE.lastrow)-ROW(PLE.firstrow))),0,
           IF(OFFSET(PLE!$G$15,$M62-$A$15,BY$13)="",10^12,OFFSET(PLE!$G$15,$M62-$A$15,BY$13)))</f>
        <v>1000000000000</v>
      </c>
      <c r="BZ62" s="179">
        <f ca="1">IF(OR($D62&lt;&gt;"Serviço",AND(AUTOEVENTO="Manual",$M62=$A$15),$M62&gt;(ROW(PLE.lastrow)-ROW(PLE.firstrow))),0,
           IF(OFFSET(PLE!$G$15,$M62-$A$15,BZ$13)="",10^12,OFFSET(PLE!$G$15,$M62-$A$15,BZ$13)))</f>
        <v>1000000000000</v>
      </c>
      <c r="CA62" s="179">
        <f ca="1">IF(OR($D62&lt;&gt;"Serviço",AND(AUTOEVENTO="Manual",$M62=$A$15),$M62&gt;(ROW(PLE.lastrow)-ROW(PLE.firstrow))),0,
           IF(OFFSET(PLE!$G$15,$M62-$A$15,CA$13)="",10^12,OFFSET(PLE!$G$15,$M62-$A$15,CA$13)))</f>
        <v>1000000000000</v>
      </c>
      <c r="CB62" s="179">
        <f ca="1">IF(OR($D62&lt;&gt;"Serviço",AND(AUTOEVENTO="Manual",$M62=$A$15),$M62&gt;(ROW(PLE.lastrow)-ROW(PLE.firstrow))),0,
           IF(OFFSET(PLE!$G$15,$M62-$A$15,CB$13)="",10^12,OFFSET(PLE!$G$15,$M62-$A$15,CB$13)))</f>
        <v>1000000000000</v>
      </c>
      <c r="CC62" s="179">
        <f ca="1">IF(OR($D62&lt;&gt;"Serviço",AND(AUTOEVENTO="Manual",$M62=$A$15),$M62&gt;(ROW(PLE.lastrow)-ROW(PLE.firstrow))),0,
           IF(OFFSET(PLE!$G$15,$M62-$A$15,CC$13)="",10^12,OFFSET(PLE!$G$15,$M62-$A$15,CC$13)))</f>
        <v>1000000000000</v>
      </c>
      <c r="CD62" s="179">
        <f ca="1">IF(OR($D62&lt;&gt;"Serviço",AND(AUTOEVENTO="Manual",$M62=$A$15),$M62&gt;(ROW(PLE.lastrow)-ROW(PLE.firstrow))),0,
           IF(OFFSET(PLE!$G$15,$M62-$A$15,CD$13)="",10^12,OFFSET(PLE!$G$15,$M62-$A$15,CD$13)))</f>
        <v>1000000000000</v>
      </c>
      <c r="CE62" s="179">
        <f ca="1">IF(OR($D62&lt;&gt;"Serviço",AND(AUTOEVENTO="Manual",$M62=$A$15),$M62&gt;(ROW(PLE.lastrow)-ROW(PLE.firstrow))),0,
           IF(OFFSET(PLE!$G$15,$M62-$A$15,CE$13)="",10^12,OFFSET(PLE!$G$15,$M62-$A$15,CE$13)))</f>
        <v>1000000000000</v>
      </c>
      <c r="CF62" s="179">
        <f ca="1">IF(OR($D62&lt;&gt;"Serviço",AND(AUTOEVENTO="Manual",$M62=$A$15),$M62&gt;(ROW(PLE.lastrow)-ROW(PLE.firstrow))),0,
           IF(OFFSET(PLE!$G$15,$M62-$A$15,CF$13)="",10^12,OFFSET(PLE!$G$15,$M62-$A$15,CF$13)))</f>
        <v>1000000000000</v>
      </c>
      <c r="CG62" s="179">
        <f ca="1">IF(OR($D62&lt;&gt;"Serviço",AND(AUTOEVENTO="Manual",$M62=$A$15),$M62&gt;(ROW(PLE.lastrow)-ROW(PLE.firstrow))),0,
           IF(OFFSET(PLE!$G$15,$M62-$A$15,CG$13)="",10^12,OFFSET(PLE!$G$15,$M62-$A$15,CG$13)))</f>
        <v>1000000000000</v>
      </c>
      <c r="CH62" s="179">
        <f ca="1">IF(OR($D62&lt;&gt;"Serviço",AND(AUTOEVENTO="Manual",$M62=$A$15),$M62&gt;(ROW(PLE.lastrow)-ROW(PLE.firstrow))),0,
           IF(OFFSET(PLE!$G$15,$M62-$A$15,CH$13)="",10^12,OFFSET(PLE!$G$15,$M62-$A$15,CH$13)))</f>
        <v>1000000000000</v>
      </c>
      <c r="CI62" s="179">
        <f ca="1">IF(OR($D62&lt;&gt;"Serviço",AND(AUTOEVENTO="Manual",$M62=$A$15),$M62&gt;(ROW(PLE.lastrow)-ROW(PLE.firstrow))),0,
           IF(OFFSET(PLE!$G$15,$M62-$A$15,CI$13)="",10^12,OFFSET(PLE!$G$15,$M62-$A$15,CI$13)))</f>
        <v>1000000000000</v>
      </c>
      <c r="CJ62" s="179">
        <f ca="1">IF(OR($D62&lt;&gt;"Serviço",AND(AUTOEVENTO="Manual",$M62=$A$15),$M62&gt;(ROW(PLE.lastrow)-ROW(PLE.firstrow))),0,
           IF(OFFSET(PLE!$G$15,$M62-$A$15,CJ$13)="",10^12,OFFSET(PLE!$G$15,$M62-$A$15,CJ$13)))</f>
        <v>1000000000000</v>
      </c>
      <c r="CK62" s="179">
        <f ca="1">IF(OR($D62&lt;&gt;"Serviço",AND(AUTOEVENTO="Manual",$M62=$A$15),$M62&gt;(ROW(PLE.lastrow)-ROW(PLE.firstrow))),0,
           IF(OFFSET(PLE!$G$15,$M62-$A$15,CK$13)="",10^12,OFFSET(PLE!$G$15,$M62-$A$15,CK$13)))</f>
        <v>1000000000000</v>
      </c>
      <c r="CL62" s="179">
        <f ca="1">IF(OR($D62&lt;&gt;"Serviço",AND(AUTOEVENTO="Manual",$M62=$A$15),$M62&gt;(ROW(PLE.lastrow)-ROW(PLE.firstrow))),0,
           IF(OFFSET(PLE!$G$15,$M62-$A$15,CL$13)="",10^12,OFFSET(PLE!$G$15,$M62-$A$15,CL$13)))</f>
        <v>1000000000000</v>
      </c>
      <c r="CM62" s="179">
        <f ca="1">IF(OR($D62&lt;&gt;"Serviço",AND(AUTOEVENTO="Manual",$M62=$A$15),$M62&gt;(ROW(PLE.lastrow)-ROW(PLE.firstrow))),0,
           IF(OFFSET(PLE!$G$15,$M62-$A$15,CM$13)="",10^12,OFFSET(PLE!$G$15,$M62-$A$15,CM$13)))</f>
        <v>1000000000000</v>
      </c>
    </row>
    <row r="63" spans="1:91" ht="12.75" x14ac:dyDescent="0.2">
      <c r="A63" s="7" t="str">
        <f ca="1">IF(AUTOEVENTO="Manual",IF(K63&lt;&gt;"",MIN(VALUE(LEFT(K63,FIND(".",K63)-1)),COUNTA(EVENTOS.Lista)),0),IF(OR($B63&gt;AUTOEVENTO,$B63="S",$B63=0),SUBSTITUTE(OFFSET($A63,-1,0),IF($D63="Serviço",".",""),""),ROW(A63)-ROW($A$15)&amp;"."))</f>
        <v>48.</v>
      </c>
      <c r="B63" s="7">
        <f ca="1">OFFSET(ORÇAMENTO!C$15,ROW(B63)-ROW(B$15),0)</f>
        <v>2</v>
      </c>
      <c r="C63" s="7" t="str">
        <f ca="1">OFFSET(ORÇAMENTO!L$15,ROW(C63)-ROW(C$15),0)</f>
        <v>F</v>
      </c>
      <c r="D63" s="118" t="str">
        <f ca="1">OFFSET(ORÇAMENTO!N$15,ROW(D63)-ROW(D$15),0)</f>
        <v>Nível 2</v>
      </c>
      <c r="E63" s="119" t="str">
        <f ca="1">OFFSET(ORÇAMENTO!O$15,ROW(E63)-ROW(E$15),0)</f>
        <v>1.7.</v>
      </c>
      <c r="F63" s="170" t="str">
        <f ca="1">OFFSET(ORÇAMENTO!R$15,ROW(F63)-ROW(F$15),0)</f>
        <v>ESQUADRIAS</v>
      </c>
      <c r="G63" s="171" t="str">
        <f ca="1">IF($D63&lt;&gt;"Serviço","",OFFSET(ORÇAMENTO!S$15,ROW(G63)-ROW(G$15),0))</f>
        <v/>
      </c>
      <c r="H63" s="124" cm="1">
        <f t="array" aca="1" ref="H63" ca="1">IF($D63&lt;&gt;"Serviço",0,IF(_xlfn.SINGLE(ACOMPANHAMENTO)="BM",ROUND(OFFSET(ORÇAMENTO!AJ$15,ROW(H63)-ROW(H$15),0),15-13*ORÇAMENTO!$AF$7),SUMPRODUCT(($Q$1:$AI$1)*ROUND($Q63:$AI63,15-13*ORÇAMENTO!$AF$7))))</f>
        <v>0</v>
      </c>
      <c r="I63" s="500"/>
      <c r="J63" s="632" t="str" cm="1">
        <f t="array" aca="1" ref="J63" ca="1">IF(B63&lt;&gt;"S","",IF(AND(ACOMPANHAMENTO="PLE",AUTOEVENTO="Manual",OR(H63&gt;0,ORÇAMENTO!AC63="QUANT."),OR(K63="",M63=0,N63="")),"►",IF(AND(ACOMPANHAMENTO="PLE",ORÇAMENTO!AC63="QUANT."),"►►",IF(AND(COUNTIF($P$11:$AI$11,"▼")=0,H63&gt;0,I63=""),"◄",""))))</f>
        <v/>
      </c>
      <c r="K63" s="624"/>
      <c r="L63" s="172" t="s">
        <v>253</v>
      </c>
      <c r="M63" s="173" t="str">
        <f ca="1">IF($D63&lt;&gt;"Serviço","",
          IF(AUTOEVENTO="manual",$A63,
                IF(ISERROR(MATCH($A63,$A$15:OFFSET($A63,-1,0),0)),MAX($M$15:OFFSET(M63,-1,0))+1,
                      INDEX($M$15:OFFSET(M63,-1,0),MATCH($A63,$A$15:OFFSET($A63,-1,0),0)))))</f>
        <v/>
      </c>
      <c r="N63" s="174" t="str">
        <f ca="1">IF($D63&lt;&gt;"Serviço","",
         IF(AUTOEVENTO="Manual",
                IF($A63=0,"&lt;-- defina o número do agrupador",
                       OFFSET(EVENTOS!$D$15,$A63-$A$15,0)),
                OFFSET($F$15,$A63,0)))</f>
        <v/>
      </c>
      <c r="O63" s="175"/>
      <c r="Q63" s="175"/>
      <c r="R63" s="176"/>
      <c r="S63" s="176"/>
      <c r="T63" s="176"/>
      <c r="U63" s="176"/>
      <c r="V63" s="176"/>
      <c r="W63" s="176"/>
      <c r="X63" s="176"/>
      <c r="Y63" s="176"/>
      <c r="Z63" s="177"/>
      <c r="AA63" s="176"/>
      <c r="AB63" s="176"/>
      <c r="AC63" s="176"/>
      <c r="AD63" s="176"/>
      <c r="AE63" s="176"/>
      <c r="AF63" s="176"/>
      <c r="AG63" s="176"/>
      <c r="AH63" s="177"/>
      <c r="AJ63" s="485">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85">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L63" s="485">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0</v>
      </c>
      <c r="AM63" s="485">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0</v>
      </c>
      <c r="AN63" s="485">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85">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85">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85">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85">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85">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85">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85">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85">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85">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85">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85">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85">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85">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8">
        <f ca="1">IF(OR($D63&lt;&gt;"Serviço",AND(AUTOEVENTO="Manual",$M63=$A$15)),0,
         IF(OFFSET(CRONOPLE!$F$15,$M63-$A$15,BC$13)="",10^12,OFFSET(CRONOPLE!$F$15,$M63-$A$15,BC$13)))</f>
        <v>0</v>
      </c>
      <c r="BD63" s="178">
        <f ca="1">IF(OR($D63&lt;&gt;"Serviço",AND(AUTOEVENTO="Manual",$M63=$A$15)),0,
         IF(OFFSET(CRONOPLE!$F$15,$M63-$A$15,BD$13)="",10^12,OFFSET(CRONOPLE!$F$15,$M63-$A$15,BD$13)))</f>
        <v>0</v>
      </c>
      <c r="BE63" s="178">
        <f ca="1">IF(OR($D63&lt;&gt;"Serviço",AND(AUTOEVENTO="Manual",$M63=$A$15)),0,
         IF(OFFSET(CRONOPLE!$F$15,$M63-$A$15,BE$13)="",10^12,OFFSET(CRONOPLE!$F$15,$M63-$A$15,BE$13)))</f>
        <v>0</v>
      </c>
      <c r="BF63" s="178">
        <f ca="1">IF(OR($D63&lt;&gt;"Serviço",AND(AUTOEVENTO="Manual",$M63=$A$15)),0,
         IF(OFFSET(CRONOPLE!$F$15,$M63-$A$15,BF$13)="",10^12,OFFSET(CRONOPLE!$F$15,$M63-$A$15,BF$13)))</f>
        <v>0</v>
      </c>
      <c r="BG63" s="178">
        <f ca="1">IF(OR($D63&lt;&gt;"Serviço",AND(AUTOEVENTO="Manual",$M63=$A$15)),0,
         IF(OFFSET(CRONOPLE!$F$15,$M63-$A$15,BG$13)="",10^12,OFFSET(CRONOPLE!$F$15,$M63-$A$15,BG$13)))</f>
        <v>0</v>
      </c>
      <c r="BH63" s="178">
        <f ca="1">IF(OR($D63&lt;&gt;"Serviço",AND(AUTOEVENTO="Manual",$M63=$A$15)),0,
         IF(OFFSET(CRONOPLE!$F$15,$M63-$A$15,BH$13)="",10^12,OFFSET(CRONOPLE!$F$15,$M63-$A$15,BH$13)))</f>
        <v>0</v>
      </c>
      <c r="BI63" s="178">
        <f ca="1">IF(OR($D63&lt;&gt;"Serviço",AND(AUTOEVENTO="Manual",$M63=$A$15)),0,
         IF(OFFSET(CRONOPLE!$F$15,$M63-$A$15,BI$13)="",10^12,OFFSET(CRONOPLE!$F$15,$M63-$A$15,BI$13)))</f>
        <v>0</v>
      </c>
      <c r="BJ63" s="178">
        <f ca="1">IF(OR($D63&lt;&gt;"Serviço",AND(AUTOEVENTO="Manual",$M63=$A$15)),0,
         IF(OFFSET(CRONOPLE!$F$15,$M63-$A$15,BJ$13)="",10^12,OFFSET(CRONOPLE!$F$15,$M63-$A$15,BJ$13)))</f>
        <v>0</v>
      </c>
      <c r="BK63" s="178">
        <f ca="1">IF(OR($D63&lt;&gt;"Serviço",AND(AUTOEVENTO="Manual",$M63=$A$15)),0,
         IF(OFFSET(CRONOPLE!$F$15,$M63-$A$15,BK$13)="",10^12,OFFSET(CRONOPLE!$F$15,$M63-$A$15,BK$13)))</f>
        <v>0</v>
      </c>
      <c r="BL63" s="178">
        <f ca="1">IF(OR($D63&lt;&gt;"Serviço",AND(AUTOEVENTO="Manual",$M63=$A$15)),0,
         IF(OFFSET(CRONOPLE!$F$15,$M63-$A$15,BL$13)="",10^12,OFFSET(CRONOPLE!$F$15,$M63-$A$15,BL$13)))</f>
        <v>0</v>
      </c>
      <c r="BM63" s="178">
        <f ca="1">IF(OR($D63&lt;&gt;"Serviço",AND(AUTOEVENTO="Manual",$M63=$A$15)),0,
         IF(OFFSET(CRONOPLE!$F$15,$M63-$A$15,BM$13)="",10^12,OFFSET(CRONOPLE!$F$15,$M63-$A$15,BM$13)))</f>
        <v>0</v>
      </c>
      <c r="BN63" s="178">
        <f ca="1">IF(OR($D63&lt;&gt;"Serviço",AND(AUTOEVENTO="Manual",$M63=$A$15)),0,
         IF(OFFSET(CRONOPLE!$F$15,$M63-$A$15,BN$13)="",10^12,OFFSET(CRONOPLE!$F$15,$M63-$A$15,BN$13)))</f>
        <v>0</v>
      </c>
      <c r="BO63" s="178">
        <f ca="1">IF(OR($D63&lt;&gt;"Serviço",AND(AUTOEVENTO="Manual",$M63=$A$15)),0,
         IF(OFFSET(CRONOPLE!$F$15,$M63-$A$15,BO$13)="",10^12,OFFSET(CRONOPLE!$F$15,$M63-$A$15,BO$13)))</f>
        <v>0</v>
      </c>
      <c r="BP63" s="178">
        <f ca="1">IF(OR($D63&lt;&gt;"Serviço",AND(AUTOEVENTO="Manual",$M63=$A$15)),0,
         IF(OFFSET(CRONOPLE!$F$15,$M63-$A$15,BP$13)="",10^12,OFFSET(CRONOPLE!$F$15,$M63-$A$15,BP$13)))</f>
        <v>0</v>
      </c>
      <c r="BQ63" s="178">
        <f ca="1">IF(OR($D63&lt;&gt;"Serviço",AND(AUTOEVENTO="Manual",$M63=$A$15)),0,
         IF(OFFSET(CRONOPLE!$F$15,$M63-$A$15,BQ$13)="",10^12,OFFSET(CRONOPLE!$F$15,$M63-$A$15,BQ$13)))</f>
        <v>0</v>
      </c>
      <c r="BR63" s="178">
        <f ca="1">IF(OR($D63&lt;&gt;"Serviço",AND(AUTOEVENTO="Manual",$M63=$A$15)),0,
         IF(OFFSET(CRONOPLE!$F$15,$M63-$A$15,BR$13)="",10^12,OFFSET(CRONOPLE!$F$15,$M63-$A$15,BR$13)))</f>
        <v>0</v>
      </c>
      <c r="BS63" s="178">
        <f ca="1">IF(OR($D63&lt;&gt;"Serviço",AND(AUTOEVENTO="Manual",$M63=$A$15)),0,
         IF(OFFSET(CRONOPLE!$F$15,$M63-$A$15,BS$13)="",10^12,OFFSET(CRONOPLE!$F$15,$M63-$A$15,BS$13)))</f>
        <v>0</v>
      </c>
      <c r="BT63" s="178">
        <f ca="1">IF(OR($D63&lt;&gt;"Serviço",AND(AUTOEVENTO="Manual",$M63=$A$15)),0,
         IF(OFFSET(CRONOPLE!$F$15,$M63-$A$15,BT$13)="",10^12,OFFSET(CRONOPLE!$F$15,$M63-$A$15,BT$13)))</f>
        <v>0</v>
      </c>
      <c r="BV63" s="179">
        <f ca="1">IF(OR($D63&lt;&gt;"Serviço",AND(AUTOEVENTO="Manual",$M63=$A$15),$M63&gt;(ROW(PLE.lastrow)-ROW(PLE.firstrow))),0,
           IF(OFFSET(PLE!$G$15,$M63-$A$15,BV$13)="",10^12,OFFSET(PLE!$G$15,$M63-$A$15,BV$13)))</f>
        <v>0</v>
      </c>
      <c r="BW63" s="179">
        <f ca="1">IF(OR($D63&lt;&gt;"Serviço",AND(AUTOEVENTO="Manual",$M63=$A$15),$M63&gt;(ROW(PLE.lastrow)-ROW(PLE.firstrow))),0,
           IF(OFFSET(PLE!$G$15,$M63-$A$15,BW$13)="",10^12,OFFSET(PLE!$G$15,$M63-$A$15,BW$13)))</f>
        <v>0</v>
      </c>
      <c r="BX63" s="179">
        <f ca="1">IF(OR($D63&lt;&gt;"Serviço",AND(AUTOEVENTO="Manual",$M63=$A$15),$M63&gt;(ROW(PLE.lastrow)-ROW(PLE.firstrow))),0,
           IF(OFFSET(PLE!$G$15,$M63-$A$15,BX$13)="",10^12,OFFSET(PLE!$G$15,$M63-$A$15,BX$13)))</f>
        <v>0</v>
      </c>
      <c r="BY63" s="179">
        <f ca="1">IF(OR($D63&lt;&gt;"Serviço",AND(AUTOEVENTO="Manual",$M63=$A$15),$M63&gt;(ROW(PLE.lastrow)-ROW(PLE.firstrow))),0,
           IF(OFFSET(PLE!$G$15,$M63-$A$15,BY$13)="",10^12,OFFSET(PLE!$G$15,$M63-$A$15,BY$13)))</f>
        <v>0</v>
      </c>
      <c r="BZ63" s="179">
        <f ca="1">IF(OR($D63&lt;&gt;"Serviço",AND(AUTOEVENTO="Manual",$M63=$A$15),$M63&gt;(ROW(PLE.lastrow)-ROW(PLE.firstrow))),0,
           IF(OFFSET(PLE!$G$15,$M63-$A$15,BZ$13)="",10^12,OFFSET(PLE!$G$15,$M63-$A$15,BZ$13)))</f>
        <v>0</v>
      </c>
      <c r="CA63" s="179">
        <f ca="1">IF(OR($D63&lt;&gt;"Serviço",AND(AUTOEVENTO="Manual",$M63=$A$15),$M63&gt;(ROW(PLE.lastrow)-ROW(PLE.firstrow))),0,
           IF(OFFSET(PLE!$G$15,$M63-$A$15,CA$13)="",10^12,OFFSET(PLE!$G$15,$M63-$A$15,CA$13)))</f>
        <v>0</v>
      </c>
      <c r="CB63" s="179">
        <f ca="1">IF(OR($D63&lt;&gt;"Serviço",AND(AUTOEVENTO="Manual",$M63=$A$15),$M63&gt;(ROW(PLE.lastrow)-ROW(PLE.firstrow))),0,
           IF(OFFSET(PLE!$G$15,$M63-$A$15,CB$13)="",10^12,OFFSET(PLE!$G$15,$M63-$A$15,CB$13)))</f>
        <v>0</v>
      </c>
      <c r="CC63" s="179">
        <f ca="1">IF(OR($D63&lt;&gt;"Serviço",AND(AUTOEVENTO="Manual",$M63=$A$15),$M63&gt;(ROW(PLE.lastrow)-ROW(PLE.firstrow))),0,
           IF(OFFSET(PLE!$G$15,$M63-$A$15,CC$13)="",10^12,OFFSET(PLE!$G$15,$M63-$A$15,CC$13)))</f>
        <v>0</v>
      </c>
      <c r="CD63" s="179">
        <f ca="1">IF(OR($D63&lt;&gt;"Serviço",AND(AUTOEVENTO="Manual",$M63=$A$15),$M63&gt;(ROW(PLE.lastrow)-ROW(PLE.firstrow))),0,
           IF(OFFSET(PLE!$G$15,$M63-$A$15,CD$13)="",10^12,OFFSET(PLE!$G$15,$M63-$A$15,CD$13)))</f>
        <v>0</v>
      </c>
      <c r="CE63" s="179">
        <f ca="1">IF(OR($D63&lt;&gt;"Serviço",AND(AUTOEVENTO="Manual",$M63=$A$15),$M63&gt;(ROW(PLE.lastrow)-ROW(PLE.firstrow))),0,
           IF(OFFSET(PLE!$G$15,$M63-$A$15,CE$13)="",10^12,OFFSET(PLE!$G$15,$M63-$A$15,CE$13)))</f>
        <v>0</v>
      </c>
      <c r="CF63" s="179">
        <f ca="1">IF(OR($D63&lt;&gt;"Serviço",AND(AUTOEVENTO="Manual",$M63=$A$15),$M63&gt;(ROW(PLE.lastrow)-ROW(PLE.firstrow))),0,
           IF(OFFSET(PLE!$G$15,$M63-$A$15,CF$13)="",10^12,OFFSET(PLE!$G$15,$M63-$A$15,CF$13)))</f>
        <v>0</v>
      </c>
      <c r="CG63" s="179">
        <f ca="1">IF(OR($D63&lt;&gt;"Serviço",AND(AUTOEVENTO="Manual",$M63=$A$15),$M63&gt;(ROW(PLE.lastrow)-ROW(PLE.firstrow))),0,
           IF(OFFSET(PLE!$G$15,$M63-$A$15,CG$13)="",10^12,OFFSET(PLE!$G$15,$M63-$A$15,CG$13)))</f>
        <v>0</v>
      </c>
      <c r="CH63" s="179">
        <f ca="1">IF(OR($D63&lt;&gt;"Serviço",AND(AUTOEVENTO="Manual",$M63=$A$15),$M63&gt;(ROW(PLE.lastrow)-ROW(PLE.firstrow))),0,
           IF(OFFSET(PLE!$G$15,$M63-$A$15,CH$13)="",10^12,OFFSET(PLE!$G$15,$M63-$A$15,CH$13)))</f>
        <v>0</v>
      </c>
      <c r="CI63" s="179">
        <f ca="1">IF(OR($D63&lt;&gt;"Serviço",AND(AUTOEVENTO="Manual",$M63=$A$15),$M63&gt;(ROW(PLE.lastrow)-ROW(PLE.firstrow))),0,
           IF(OFFSET(PLE!$G$15,$M63-$A$15,CI$13)="",10^12,OFFSET(PLE!$G$15,$M63-$A$15,CI$13)))</f>
        <v>0</v>
      </c>
      <c r="CJ63" s="179">
        <f ca="1">IF(OR($D63&lt;&gt;"Serviço",AND(AUTOEVENTO="Manual",$M63=$A$15),$M63&gt;(ROW(PLE.lastrow)-ROW(PLE.firstrow))),0,
           IF(OFFSET(PLE!$G$15,$M63-$A$15,CJ$13)="",10^12,OFFSET(PLE!$G$15,$M63-$A$15,CJ$13)))</f>
        <v>0</v>
      </c>
      <c r="CK63" s="179">
        <f ca="1">IF(OR($D63&lt;&gt;"Serviço",AND(AUTOEVENTO="Manual",$M63=$A$15),$M63&gt;(ROW(PLE.lastrow)-ROW(PLE.firstrow))),0,
           IF(OFFSET(PLE!$G$15,$M63-$A$15,CK$13)="",10^12,OFFSET(PLE!$G$15,$M63-$A$15,CK$13)))</f>
        <v>0</v>
      </c>
      <c r="CL63" s="179">
        <f ca="1">IF(OR($D63&lt;&gt;"Serviço",AND(AUTOEVENTO="Manual",$M63=$A$15),$M63&gt;(ROW(PLE.lastrow)-ROW(PLE.firstrow))),0,
           IF(OFFSET(PLE!$G$15,$M63-$A$15,CL$13)="",10^12,OFFSET(PLE!$G$15,$M63-$A$15,CL$13)))</f>
        <v>0</v>
      </c>
      <c r="CM63" s="179">
        <f ca="1">IF(OR($D63&lt;&gt;"Serviço",AND(AUTOEVENTO="Manual",$M63=$A$15),$M63&gt;(ROW(PLE.lastrow)-ROW(PLE.firstrow))),0,
           IF(OFFSET(PLE!$G$15,$M63-$A$15,CM$13)="",10^12,OFFSET(PLE!$G$15,$M63-$A$15,CM$13)))</f>
        <v>0</v>
      </c>
    </row>
    <row r="64" spans="1:91" ht="38.25" x14ac:dyDescent="0.2">
      <c r="A64" s="7" t="str">
        <f ca="1">IF(AUTOEVENTO="Manual",IF(K64&lt;&gt;"",MIN(VALUE(LEFT(K64,FIND(".",K64)-1)),COUNTA(EVENTOS.Lista)),0),IF(OR($B64&gt;AUTOEVENTO,$B64="S",$B64=0),SUBSTITUTE(OFFSET($A64,-1,0),IF($D64="Serviço",".",""),""),ROW(A64)-ROW($A$15)&amp;"."))</f>
        <v>48</v>
      </c>
      <c r="B64" s="7" t="str">
        <f ca="1">OFFSET(ORÇAMENTO!C$15,ROW(B64)-ROW(B$15),0)</f>
        <v>S</v>
      </c>
      <c r="C64" s="7" t="str">
        <f ca="1">OFFSET(ORÇAMENTO!L$15,ROW(C64)-ROW(C$15),0)</f>
        <v>F</v>
      </c>
      <c r="D64" s="118" t="str">
        <f ca="1">OFFSET(ORÇAMENTO!N$15,ROW(D64)-ROW(D$15),0)</f>
        <v>Serviço</v>
      </c>
      <c r="E64" s="119" t="str">
        <f ca="1">OFFSET(ORÇAMENTO!O$15,ROW(E64)-ROW(E$15),0)</f>
        <v>1.7.0.0.1.</v>
      </c>
      <c r="F64" s="170" t="str">
        <f ca="1">OFFSET(ORÇAMENTO!R$15,ROW(F64)-ROW(F$15),0)</f>
        <v>JANELA RETANGULAR FIXA EM ALUMÍNIO BRANCO 60 X 90 CM COM GUARNIÇÃO EM PRETA E VIDRO FIXO INCOLOR 4 MM. INCLUSO FORNECIMENTO E INSTALAÇÃO</v>
      </c>
      <c r="G64" s="171" t="str">
        <f ca="1">IF($D64&lt;&gt;"Serviço","",OFFSET(ORÇAMENTO!S$15,ROW(G64)-ROW(G$15),0))</f>
        <v>M2</v>
      </c>
      <c r="H64" s="124" cm="1">
        <f t="array" aca="1" ref="H64" ca="1">IF($D64&lt;&gt;"Serviço",0,IF(_xlfn.SINGLE(ACOMPANHAMENTO)="BM",ROUND(OFFSET(ORÇAMENTO!AJ$15,ROW(H64)-ROW(H$15),0),15-13*ORÇAMENTO!$AF$7),SUMPRODUCT(($Q$1:$AI$1)*ROUND($Q64:$AI64,15-13*ORÇAMENTO!$AF$7))))</f>
        <v>34.56</v>
      </c>
      <c r="I64" s="500" t="s">
        <v>1007</v>
      </c>
      <c r="J64" s="632" t="str" cm="1">
        <f t="array" aca="1" ref="J64" ca="1">IF(B64&lt;&gt;"S","",IF(AND(ACOMPANHAMENTO="PLE",AUTOEVENTO="Manual",OR(H64&gt;0,ORÇAMENTO!AC64="QUANT."),OR(K64="",M64=0,N64="")),"►",IF(AND(ACOMPANHAMENTO="PLE",ORÇAMENTO!AC64="QUANT."),"►►",IF(AND(COUNTIF($P$11:$AI$11,"▼")=0,H64&gt;0,I64=""),"◄",""))))</f>
        <v/>
      </c>
      <c r="K64" s="624"/>
      <c r="L64" s="172" t="s">
        <v>253</v>
      </c>
      <c r="M64" s="173">
        <f ca="1">IF($D64&lt;&gt;"Serviço","",
          IF(AUTOEVENTO="manual",$A64,
                IF(ISERROR(MATCH($A64,$A$15:OFFSET($A64,-1,0),0)),MAX($M$15:OFFSET(M64,-1,0))+1,
                      INDEX($M$15:OFFSET(M64,-1,0),MATCH($A64,$A$15:OFFSET($A64,-1,0),0)))))</f>
        <v>7</v>
      </c>
      <c r="N64" s="174" t="str">
        <f ca="1">IF($D64&lt;&gt;"Serviço","",
         IF(AUTOEVENTO="Manual",
                IF($A64=0,"&lt;-- defina o número do agrupador",
                       OFFSET(EVENTOS!$D$15,$A64-$A$15,0)),
                OFFSET($F$15,$A64,0)))</f>
        <v>ESQUADRIAS</v>
      </c>
      <c r="O64" s="175"/>
      <c r="Q64" s="175"/>
      <c r="R64" s="176"/>
      <c r="S64" s="176"/>
      <c r="T64" s="176">
        <v>34.56</v>
      </c>
      <c r="U64" s="176"/>
      <c r="V64" s="176"/>
      <c r="W64" s="176"/>
      <c r="X64" s="176"/>
      <c r="Y64" s="176"/>
      <c r="Z64" s="177"/>
      <c r="AA64" s="176"/>
      <c r="AB64" s="176"/>
      <c r="AC64" s="176"/>
      <c r="AD64" s="176"/>
      <c r="AE64" s="176"/>
      <c r="AF64" s="176"/>
      <c r="AG64" s="176"/>
      <c r="AH64" s="177"/>
      <c r="AJ64" s="485">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85">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L64" s="485">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0</v>
      </c>
      <c r="AM64" s="485">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35832.15</v>
      </c>
      <c r="AN64" s="485">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85">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85">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85">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85">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85">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85">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85">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85">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85">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85">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85">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85">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85">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8">
        <f ca="1">IF(OR($D64&lt;&gt;"Serviço",AND(AUTOEVENTO="Manual",$M64=$A$15)),0,
         IF(OFFSET(CRONOPLE!$F$15,$M64-$A$15,BC$13)="",10^12,OFFSET(CRONOPLE!$F$15,$M64-$A$15,BC$13)))</f>
        <v>1</v>
      </c>
      <c r="BD64" s="178">
        <f ca="1">IF(OR($D64&lt;&gt;"Serviço",AND(AUTOEVENTO="Manual",$M64=$A$15)),0,
         IF(OFFSET(CRONOPLE!$F$15,$M64-$A$15,BD$13)="",10^12,OFFSET(CRONOPLE!$F$15,$M64-$A$15,BD$13)))</f>
        <v>2</v>
      </c>
      <c r="BE64" s="178">
        <f ca="1">IF(OR($D64&lt;&gt;"Serviço",AND(AUTOEVENTO="Manual",$M64=$A$15)),0,
         IF(OFFSET(CRONOPLE!$F$15,$M64-$A$15,BE$13)="",10^12,OFFSET(CRONOPLE!$F$15,$M64-$A$15,BE$13)))</f>
        <v>1000000000000</v>
      </c>
      <c r="BF64" s="178">
        <f ca="1">IF(OR($D64&lt;&gt;"Serviço",AND(AUTOEVENTO="Manual",$M64=$A$15)),0,
         IF(OFFSET(CRONOPLE!$F$15,$M64-$A$15,BF$13)="",10^12,OFFSET(CRONOPLE!$F$15,$M64-$A$15,BF$13)))</f>
        <v>4</v>
      </c>
      <c r="BG64" s="178">
        <f ca="1">IF(OR($D64&lt;&gt;"Serviço",AND(AUTOEVENTO="Manual",$M64=$A$15)),0,
         IF(OFFSET(CRONOPLE!$F$15,$M64-$A$15,BG$13)="",10^12,OFFSET(CRONOPLE!$F$15,$M64-$A$15,BG$13)))</f>
        <v>5</v>
      </c>
      <c r="BH64" s="178">
        <f ca="1">IF(OR($D64&lt;&gt;"Serviço",AND(AUTOEVENTO="Manual",$M64=$A$15)),0,
         IF(OFFSET(CRONOPLE!$F$15,$M64-$A$15,BH$13)="",10^12,OFFSET(CRONOPLE!$F$15,$M64-$A$15,BH$13)))</f>
        <v>1000000000000</v>
      </c>
      <c r="BI64" s="178">
        <f ca="1">IF(OR($D64&lt;&gt;"Serviço",AND(AUTOEVENTO="Manual",$M64=$A$15)),0,
         IF(OFFSET(CRONOPLE!$F$15,$M64-$A$15,BI$13)="",10^12,OFFSET(CRONOPLE!$F$15,$M64-$A$15,BI$13)))</f>
        <v>1000000000000</v>
      </c>
      <c r="BJ64" s="178">
        <f ca="1">IF(OR($D64&lt;&gt;"Serviço",AND(AUTOEVENTO="Manual",$M64=$A$15)),0,
         IF(OFFSET(CRONOPLE!$F$15,$M64-$A$15,BJ$13)="",10^12,OFFSET(CRONOPLE!$F$15,$M64-$A$15,BJ$13)))</f>
        <v>1000000000000</v>
      </c>
      <c r="BK64" s="178">
        <f ca="1">IF(OR($D64&lt;&gt;"Serviço",AND(AUTOEVENTO="Manual",$M64=$A$15)),0,
         IF(OFFSET(CRONOPLE!$F$15,$M64-$A$15,BK$13)="",10^12,OFFSET(CRONOPLE!$F$15,$M64-$A$15,BK$13)))</f>
        <v>1000000000000</v>
      </c>
      <c r="BL64" s="178">
        <f ca="1">IF(OR($D64&lt;&gt;"Serviço",AND(AUTOEVENTO="Manual",$M64=$A$15)),0,
         IF(OFFSET(CRONOPLE!$F$15,$M64-$A$15,BL$13)="",10^12,OFFSET(CRONOPLE!$F$15,$M64-$A$15,BL$13)))</f>
        <v>1000000000000</v>
      </c>
      <c r="BM64" s="178">
        <f ca="1">IF(OR($D64&lt;&gt;"Serviço",AND(AUTOEVENTO="Manual",$M64=$A$15)),0,
         IF(OFFSET(CRONOPLE!$F$15,$M64-$A$15,BM$13)="",10^12,OFFSET(CRONOPLE!$F$15,$M64-$A$15,BM$13)))</f>
        <v>1000000000000</v>
      </c>
      <c r="BN64" s="178">
        <f ca="1">IF(OR($D64&lt;&gt;"Serviço",AND(AUTOEVENTO="Manual",$M64=$A$15)),0,
         IF(OFFSET(CRONOPLE!$F$15,$M64-$A$15,BN$13)="",10^12,OFFSET(CRONOPLE!$F$15,$M64-$A$15,BN$13)))</f>
        <v>1000000000000</v>
      </c>
      <c r="BO64" s="178">
        <f ca="1">IF(OR($D64&lt;&gt;"Serviço",AND(AUTOEVENTO="Manual",$M64=$A$15)),0,
         IF(OFFSET(CRONOPLE!$F$15,$M64-$A$15,BO$13)="",10^12,OFFSET(CRONOPLE!$F$15,$M64-$A$15,BO$13)))</f>
        <v>1000000000000</v>
      </c>
      <c r="BP64" s="178">
        <f ca="1">IF(OR($D64&lt;&gt;"Serviço",AND(AUTOEVENTO="Manual",$M64=$A$15)),0,
         IF(OFFSET(CRONOPLE!$F$15,$M64-$A$15,BP$13)="",10^12,OFFSET(CRONOPLE!$F$15,$M64-$A$15,BP$13)))</f>
        <v>1000000000000</v>
      </c>
      <c r="BQ64" s="178">
        <f ca="1">IF(OR($D64&lt;&gt;"Serviço",AND(AUTOEVENTO="Manual",$M64=$A$15)),0,
         IF(OFFSET(CRONOPLE!$F$15,$M64-$A$15,BQ$13)="",10^12,OFFSET(CRONOPLE!$F$15,$M64-$A$15,BQ$13)))</f>
        <v>1000000000000</v>
      </c>
      <c r="BR64" s="178">
        <f ca="1">IF(OR($D64&lt;&gt;"Serviço",AND(AUTOEVENTO="Manual",$M64=$A$15)),0,
         IF(OFFSET(CRONOPLE!$F$15,$M64-$A$15,BR$13)="",10^12,OFFSET(CRONOPLE!$F$15,$M64-$A$15,BR$13)))</f>
        <v>1000000000000</v>
      </c>
      <c r="BS64" s="178">
        <f ca="1">IF(OR($D64&lt;&gt;"Serviço",AND(AUTOEVENTO="Manual",$M64=$A$15)),0,
         IF(OFFSET(CRONOPLE!$F$15,$M64-$A$15,BS$13)="",10^12,OFFSET(CRONOPLE!$F$15,$M64-$A$15,BS$13)))</f>
        <v>1000000000000</v>
      </c>
      <c r="BT64" s="178">
        <f ca="1">IF(OR($D64&lt;&gt;"Serviço",AND(AUTOEVENTO="Manual",$M64=$A$15)),0,
         IF(OFFSET(CRONOPLE!$F$15,$M64-$A$15,BT$13)="",10^12,OFFSET(CRONOPLE!$F$15,$M64-$A$15,BT$13)))</f>
        <v>1000000000000</v>
      </c>
      <c r="BV64" s="179">
        <f ca="1">IF(OR($D64&lt;&gt;"Serviço",AND(AUTOEVENTO="Manual",$M64=$A$15),$M64&gt;(ROW(PLE.lastrow)-ROW(PLE.firstrow))),0,
           IF(OFFSET(PLE!$G$15,$M64-$A$15,BV$13)="",10^12,OFFSET(PLE!$G$15,$M64-$A$15,BV$13)))</f>
        <v>1000000000000</v>
      </c>
      <c r="BW64" s="179">
        <f ca="1">IF(OR($D64&lt;&gt;"Serviço",AND(AUTOEVENTO="Manual",$M64=$A$15),$M64&gt;(ROW(PLE.lastrow)-ROW(PLE.firstrow))),0,
           IF(OFFSET(PLE!$G$15,$M64-$A$15,BW$13)="",10^12,OFFSET(PLE!$G$15,$M64-$A$15,BW$13)))</f>
        <v>1000000000000</v>
      </c>
      <c r="BX64" s="179">
        <f ca="1">IF(OR($D64&lt;&gt;"Serviço",AND(AUTOEVENTO="Manual",$M64=$A$15),$M64&gt;(ROW(PLE.lastrow)-ROW(PLE.firstrow))),0,
           IF(OFFSET(PLE!$G$15,$M64-$A$15,BX$13)="",10^12,OFFSET(PLE!$G$15,$M64-$A$15,BX$13)))</f>
        <v>1000000000000</v>
      </c>
      <c r="BY64" s="179">
        <f ca="1">IF(OR($D64&lt;&gt;"Serviço",AND(AUTOEVENTO="Manual",$M64=$A$15),$M64&gt;(ROW(PLE.lastrow)-ROW(PLE.firstrow))),0,
           IF(OFFSET(PLE!$G$15,$M64-$A$15,BY$13)="",10^12,OFFSET(PLE!$G$15,$M64-$A$15,BY$13)))</f>
        <v>1000000000000</v>
      </c>
      <c r="BZ64" s="179">
        <f ca="1">IF(OR($D64&lt;&gt;"Serviço",AND(AUTOEVENTO="Manual",$M64=$A$15),$M64&gt;(ROW(PLE.lastrow)-ROW(PLE.firstrow))),0,
           IF(OFFSET(PLE!$G$15,$M64-$A$15,BZ$13)="",10^12,OFFSET(PLE!$G$15,$M64-$A$15,BZ$13)))</f>
        <v>1000000000000</v>
      </c>
      <c r="CA64" s="179">
        <f ca="1">IF(OR($D64&lt;&gt;"Serviço",AND(AUTOEVENTO="Manual",$M64=$A$15),$M64&gt;(ROW(PLE.lastrow)-ROW(PLE.firstrow))),0,
           IF(OFFSET(PLE!$G$15,$M64-$A$15,CA$13)="",10^12,OFFSET(PLE!$G$15,$M64-$A$15,CA$13)))</f>
        <v>1000000000000</v>
      </c>
      <c r="CB64" s="179">
        <f ca="1">IF(OR($D64&lt;&gt;"Serviço",AND(AUTOEVENTO="Manual",$M64=$A$15),$M64&gt;(ROW(PLE.lastrow)-ROW(PLE.firstrow))),0,
           IF(OFFSET(PLE!$G$15,$M64-$A$15,CB$13)="",10^12,OFFSET(PLE!$G$15,$M64-$A$15,CB$13)))</f>
        <v>1000000000000</v>
      </c>
      <c r="CC64" s="179">
        <f ca="1">IF(OR($D64&lt;&gt;"Serviço",AND(AUTOEVENTO="Manual",$M64=$A$15),$M64&gt;(ROW(PLE.lastrow)-ROW(PLE.firstrow))),0,
           IF(OFFSET(PLE!$G$15,$M64-$A$15,CC$13)="",10^12,OFFSET(PLE!$G$15,$M64-$A$15,CC$13)))</f>
        <v>1000000000000</v>
      </c>
      <c r="CD64" s="179">
        <f ca="1">IF(OR($D64&lt;&gt;"Serviço",AND(AUTOEVENTO="Manual",$M64=$A$15),$M64&gt;(ROW(PLE.lastrow)-ROW(PLE.firstrow))),0,
           IF(OFFSET(PLE!$G$15,$M64-$A$15,CD$13)="",10^12,OFFSET(PLE!$G$15,$M64-$A$15,CD$13)))</f>
        <v>1000000000000</v>
      </c>
      <c r="CE64" s="179">
        <f ca="1">IF(OR($D64&lt;&gt;"Serviço",AND(AUTOEVENTO="Manual",$M64=$A$15),$M64&gt;(ROW(PLE.lastrow)-ROW(PLE.firstrow))),0,
           IF(OFFSET(PLE!$G$15,$M64-$A$15,CE$13)="",10^12,OFFSET(PLE!$G$15,$M64-$A$15,CE$13)))</f>
        <v>1000000000000</v>
      </c>
      <c r="CF64" s="179">
        <f ca="1">IF(OR($D64&lt;&gt;"Serviço",AND(AUTOEVENTO="Manual",$M64=$A$15),$M64&gt;(ROW(PLE.lastrow)-ROW(PLE.firstrow))),0,
           IF(OFFSET(PLE!$G$15,$M64-$A$15,CF$13)="",10^12,OFFSET(PLE!$G$15,$M64-$A$15,CF$13)))</f>
        <v>1000000000000</v>
      </c>
      <c r="CG64" s="179">
        <f ca="1">IF(OR($D64&lt;&gt;"Serviço",AND(AUTOEVENTO="Manual",$M64=$A$15),$M64&gt;(ROW(PLE.lastrow)-ROW(PLE.firstrow))),0,
           IF(OFFSET(PLE!$G$15,$M64-$A$15,CG$13)="",10^12,OFFSET(PLE!$G$15,$M64-$A$15,CG$13)))</f>
        <v>1000000000000</v>
      </c>
      <c r="CH64" s="179">
        <f ca="1">IF(OR($D64&lt;&gt;"Serviço",AND(AUTOEVENTO="Manual",$M64=$A$15),$M64&gt;(ROW(PLE.lastrow)-ROW(PLE.firstrow))),0,
           IF(OFFSET(PLE!$G$15,$M64-$A$15,CH$13)="",10^12,OFFSET(PLE!$G$15,$M64-$A$15,CH$13)))</f>
        <v>1000000000000</v>
      </c>
      <c r="CI64" s="179">
        <f ca="1">IF(OR($D64&lt;&gt;"Serviço",AND(AUTOEVENTO="Manual",$M64=$A$15),$M64&gt;(ROW(PLE.lastrow)-ROW(PLE.firstrow))),0,
           IF(OFFSET(PLE!$G$15,$M64-$A$15,CI$13)="",10^12,OFFSET(PLE!$G$15,$M64-$A$15,CI$13)))</f>
        <v>1000000000000</v>
      </c>
      <c r="CJ64" s="179">
        <f ca="1">IF(OR($D64&lt;&gt;"Serviço",AND(AUTOEVENTO="Manual",$M64=$A$15),$M64&gt;(ROW(PLE.lastrow)-ROW(PLE.firstrow))),0,
           IF(OFFSET(PLE!$G$15,$M64-$A$15,CJ$13)="",10^12,OFFSET(PLE!$G$15,$M64-$A$15,CJ$13)))</f>
        <v>1000000000000</v>
      </c>
      <c r="CK64" s="179">
        <f ca="1">IF(OR($D64&lt;&gt;"Serviço",AND(AUTOEVENTO="Manual",$M64=$A$15),$M64&gt;(ROW(PLE.lastrow)-ROW(PLE.firstrow))),0,
           IF(OFFSET(PLE!$G$15,$M64-$A$15,CK$13)="",10^12,OFFSET(PLE!$G$15,$M64-$A$15,CK$13)))</f>
        <v>1000000000000</v>
      </c>
      <c r="CL64" s="179">
        <f ca="1">IF(OR($D64&lt;&gt;"Serviço",AND(AUTOEVENTO="Manual",$M64=$A$15),$M64&gt;(ROW(PLE.lastrow)-ROW(PLE.firstrow))),0,
           IF(OFFSET(PLE!$G$15,$M64-$A$15,CL$13)="",10^12,OFFSET(PLE!$G$15,$M64-$A$15,CL$13)))</f>
        <v>1000000000000</v>
      </c>
      <c r="CM64" s="179">
        <f ca="1">IF(OR($D64&lt;&gt;"Serviço",AND(AUTOEVENTO="Manual",$M64=$A$15),$M64&gt;(ROW(PLE.lastrow)-ROW(PLE.firstrow))),0,
           IF(OFFSET(PLE!$G$15,$M64-$A$15,CM$13)="",10^12,OFFSET(PLE!$G$15,$M64-$A$15,CM$13)))</f>
        <v>1000000000000</v>
      </c>
    </row>
    <row r="65" spans="1:91" ht="12.75" x14ac:dyDescent="0.2">
      <c r="A65" s="7" t="str">
        <f ca="1">IF(AUTOEVENTO="Manual",IF(K65&lt;&gt;"",MIN(VALUE(LEFT(K65,FIND(".",K65)-1)),COUNTA(EVENTOS.Lista)),0),IF(OR($B65&gt;AUTOEVENTO,$B65="S",$B65=0),SUBSTITUTE(OFFSET($A65,-1,0),IF($D65="Serviço",".",""),""),ROW(A65)-ROW($A$15)&amp;"."))</f>
        <v>50.</v>
      </c>
      <c r="B65" s="7">
        <f ca="1">OFFSET(ORÇAMENTO!C$15,ROW(B65)-ROW(B$15),0)</f>
        <v>2</v>
      </c>
      <c r="C65" s="7" t="str">
        <f ca="1">OFFSET(ORÇAMENTO!L$15,ROW(C65)-ROW(C$15),0)</f>
        <v>F</v>
      </c>
      <c r="D65" s="118" t="str">
        <f ca="1">OFFSET(ORÇAMENTO!N$15,ROW(D65)-ROW(D$15),0)</f>
        <v>Nível 2</v>
      </c>
      <c r="E65" s="119" t="str">
        <f ca="1">OFFSET(ORÇAMENTO!O$15,ROW(E65)-ROW(E$15),0)</f>
        <v>1.8.</v>
      </c>
      <c r="F65" s="170" t="str">
        <f ca="1">OFFSET(ORÇAMENTO!R$15,ROW(F65)-ROW(F$15),0)</f>
        <v>PINTURA</v>
      </c>
      <c r="G65" s="171" t="str">
        <f ca="1">IF($D65&lt;&gt;"Serviço","",OFFSET(ORÇAMENTO!S$15,ROW(G65)-ROW(G$15),0))</f>
        <v/>
      </c>
      <c r="H65" s="124" cm="1">
        <f t="array" aca="1" ref="H65" ca="1">IF($D65&lt;&gt;"Serviço",0,IF(_xlfn.SINGLE(ACOMPANHAMENTO)="BM",ROUND(OFFSET(ORÇAMENTO!AJ$15,ROW(H65)-ROW(H$15),0),15-13*ORÇAMENTO!$AF$7),SUMPRODUCT(($Q$1:$AI$1)*ROUND($Q65:$AI65,15-13*ORÇAMENTO!$AF$7))))</f>
        <v>0</v>
      </c>
      <c r="I65" s="500"/>
      <c r="J65" s="632" t="str" cm="1">
        <f t="array" aca="1" ref="J65" ca="1">IF(B65&lt;&gt;"S","",IF(AND(ACOMPANHAMENTO="PLE",AUTOEVENTO="Manual",OR(H65&gt;0,ORÇAMENTO!AC65="QUANT."),OR(K65="",M65=0,N65="")),"►",IF(AND(ACOMPANHAMENTO="PLE",ORÇAMENTO!AC65="QUANT."),"►►",IF(AND(COUNTIF($P$11:$AI$11,"▼")=0,H65&gt;0,I65=""),"◄",""))))</f>
        <v/>
      </c>
      <c r="K65" s="624"/>
      <c r="L65" s="172" t="s">
        <v>253</v>
      </c>
      <c r="M65" s="173" t="str">
        <f ca="1">IF($D65&lt;&gt;"Serviço","",
          IF(AUTOEVENTO="manual",$A65,
                IF(ISERROR(MATCH($A65,$A$15:OFFSET($A65,-1,0),0)),MAX($M$15:OFFSET(M65,-1,0))+1,
                      INDEX($M$15:OFFSET(M65,-1,0),MATCH($A65,$A$15:OFFSET($A65,-1,0),0)))))</f>
        <v/>
      </c>
      <c r="N65" s="174" t="str">
        <f ca="1">IF($D65&lt;&gt;"Serviço","",
         IF(AUTOEVENTO="Manual",
                IF($A65=0,"&lt;-- defina o número do agrupador",
                       OFFSET(EVENTOS!$D$15,$A65-$A$15,0)),
                OFFSET($F$15,$A65,0)))</f>
        <v/>
      </c>
      <c r="O65" s="175"/>
      <c r="Q65" s="175"/>
      <c r="R65" s="176"/>
      <c r="S65" s="176"/>
      <c r="T65" s="176"/>
      <c r="U65" s="176"/>
      <c r="V65" s="176"/>
      <c r="W65" s="176"/>
      <c r="X65" s="176"/>
      <c r="Y65" s="176"/>
      <c r="Z65" s="177"/>
      <c r="AA65" s="176"/>
      <c r="AB65" s="176"/>
      <c r="AC65" s="176"/>
      <c r="AD65" s="176"/>
      <c r="AE65" s="176"/>
      <c r="AF65" s="176"/>
      <c r="AG65" s="176"/>
      <c r="AH65" s="177"/>
      <c r="AJ65" s="485">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85">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L65" s="485">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0</v>
      </c>
      <c r="AM65" s="485">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0</v>
      </c>
      <c r="AN65" s="485">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0</v>
      </c>
      <c r="AO65" s="485">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85">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85">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85">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85">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85">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85">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85">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85">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85">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85">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85">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85">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8">
        <f ca="1">IF(OR($D65&lt;&gt;"Serviço",AND(AUTOEVENTO="Manual",$M65=$A$15)),0,
         IF(OFFSET(CRONOPLE!$F$15,$M65-$A$15,BC$13)="",10^12,OFFSET(CRONOPLE!$F$15,$M65-$A$15,BC$13)))</f>
        <v>0</v>
      </c>
      <c r="BD65" s="178">
        <f ca="1">IF(OR($D65&lt;&gt;"Serviço",AND(AUTOEVENTO="Manual",$M65=$A$15)),0,
         IF(OFFSET(CRONOPLE!$F$15,$M65-$A$15,BD$13)="",10^12,OFFSET(CRONOPLE!$F$15,$M65-$A$15,BD$13)))</f>
        <v>0</v>
      </c>
      <c r="BE65" s="178">
        <f ca="1">IF(OR($D65&lt;&gt;"Serviço",AND(AUTOEVENTO="Manual",$M65=$A$15)),0,
         IF(OFFSET(CRONOPLE!$F$15,$M65-$A$15,BE$13)="",10^12,OFFSET(CRONOPLE!$F$15,$M65-$A$15,BE$13)))</f>
        <v>0</v>
      </c>
      <c r="BF65" s="178">
        <f ca="1">IF(OR($D65&lt;&gt;"Serviço",AND(AUTOEVENTO="Manual",$M65=$A$15)),0,
         IF(OFFSET(CRONOPLE!$F$15,$M65-$A$15,BF$13)="",10^12,OFFSET(CRONOPLE!$F$15,$M65-$A$15,BF$13)))</f>
        <v>0</v>
      </c>
      <c r="BG65" s="178">
        <f ca="1">IF(OR($D65&lt;&gt;"Serviço",AND(AUTOEVENTO="Manual",$M65=$A$15)),0,
         IF(OFFSET(CRONOPLE!$F$15,$M65-$A$15,BG$13)="",10^12,OFFSET(CRONOPLE!$F$15,$M65-$A$15,BG$13)))</f>
        <v>0</v>
      </c>
      <c r="BH65" s="178">
        <f ca="1">IF(OR($D65&lt;&gt;"Serviço",AND(AUTOEVENTO="Manual",$M65=$A$15)),0,
         IF(OFFSET(CRONOPLE!$F$15,$M65-$A$15,BH$13)="",10^12,OFFSET(CRONOPLE!$F$15,$M65-$A$15,BH$13)))</f>
        <v>0</v>
      </c>
      <c r="BI65" s="178">
        <f ca="1">IF(OR($D65&lt;&gt;"Serviço",AND(AUTOEVENTO="Manual",$M65=$A$15)),0,
         IF(OFFSET(CRONOPLE!$F$15,$M65-$A$15,BI$13)="",10^12,OFFSET(CRONOPLE!$F$15,$M65-$A$15,BI$13)))</f>
        <v>0</v>
      </c>
      <c r="BJ65" s="178">
        <f ca="1">IF(OR($D65&lt;&gt;"Serviço",AND(AUTOEVENTO="Manual",$M65=$A$15)),0,
         IF(OFFSET(CRONOPLE!$F$15,$M65-$A$15,BJ$13)="",10^12,OFFSET(CRONOPLE!$F$15,$M65-$A$15,BJ$13)))</f>
        <v>0</v>
      </c>
      <c r="BK65" s="178">
        <f ca="1">IF(OR($D65&lt;&gt;"Serviço",AND(AUTOEVENTO="Manual",$M65=$A$15)),0,
         IF(OFFSET(CRONOPLE!$F$15,$M65-$A$15,BK$13)="",10^12,OFFSET(CRONOPLE!$F$15,$M65-$A$15,BK$13)))</f>
        <v>0</v>
      </c>
      <c r="BL65" s="178">
        <f ca="1">IF(OR($D65&lt;&gt;"Serviço",AND(AUTOEVENTO="Manual",$M65=$A$15)),0,
         IF(OFFSET(CRONOPLE!$F$15,$M65-$A$15,BL$13)="",10^12,OFFSET(CRONOPLE!$F$15,$M65-$A$15,BL$13)))</f>
        <v>0</v>
      </c>
      <c r="BM65" s="178">
        <f ca="1">IF(OR($D65&lt;&gt;"Serviço",AND(AUTOEVENTO="Manual",$M65=$A$15)),0,
         IF(OFFSET(CRONOPLE!$F$15,$M65-$A$15,BM$13)="",10^12,OFFSET(CRONOPLE!$F$15,$M65-$A$15,BM$13)))</f>
        <v>0</v>
      </c>
      <c r="BN65" s="178">
        <f ca="1">IF(OR($D65&lt;&gt;"Serviço",AND(AUTOEVENTO="Manual",$M65=$A$15)),0,
         IF(OFFSET(CRONOPLE!$F$15,$M65-$A$15,BN$13)="",10^12,OFFSET(CRONOPLE!$F$15,$M65-$A$15,BN$13)))</f>
        <v>0</v>
      </c>
      <c r="BO65" s="178">
        <f ca="1">IF(OR($D65&lt;&gt;"Serviço",AND(AUTOEVENTO="Manual",$M65=$A$15)),0,
         IF(OFFSET(CRONOPLE!$F$15,$M65-$A$15,BO$13)="",10^12,OFFSET(CRONOPLE!$F$15,$M65-$A$15,BO$13)))</f>
        <v>0</v>
      </c>
      <c r="BP65" s="178">
        <f ca="1">IF(OR($D65&lt;&gt;"Serviço",AND(AUTOEVENTO="Manual",$M65=$A$15)),0,
         IF(OFFSET(CRONOPLE!$F$15,$M65-$A$15,BP$13)="",10^12,OFFSET(CRONOPLE!$F$15,$M65-$A$15,BP$13)))</f>
        <v>0</v>
      </c>
      <c r="BQ65" s="178">
        <f ca="1">IF(OR($D65&lt;&gt;"Serviço",AND(AUTOEVENTO="Manual",$M65=$A$15)),0,
         IF(OFFSET(CRONOPLE!$F$15,$M65-$A$15,BQ$13)="",10^12,OFFSET(CRONOPLE!$F$15,$M65-$A$15,BQ$13)))</f>
        <v>0</v>
      </c>
      <c r="BR65" s="178">
        <f ca="1">IF(OR($D65&lt;&gt;"Serviço",AND(AUTOEVENTO="Manual",$M65=$A$15)),0,
         IF(OFFSET(CRONOPLE!$F$15,$M65-$A$15,BR$13)="",10^12,OFFSET(CRONOPLE!$F$15,$M65-$A$15,BR$13)))</f>
        <v>0</v>
      </c>
      <c r="BS65" s="178">
        <f ca="1">IF(OR($D65&lt;&gt;"Serviço",AND(AUTOEVENTO="Manual",$M65=$A$15)),0,
         IF(OFFSET(CRONOPLE!$F$15,$M65-$A$15,BS$13)="",10^12,OFFSET(CRONOPLE!$F$15,$M65-$A$15,BS$13)))</f>
        <v>0</v>
      </c>
      <c r="BT65" s="178">
        <f ca="1">IF(OR($D65&lt;&gt;"Serviço",AND(AUTOEVENTO="Manual",$M65=$A$15)),0,
         IF(OFFSET(CRONOPLE!$F$15,$M65-$A$15,BT$13)="",10^12,OFFSET(CRONOPLE!$F$15,$M65-$A$15,BT$13)))</f>
        <v>0</v>
      </c>
      <c r="BV65" s="179">
        <f ca="1">IF(OR($D65&lt;&gt;"Serviço",AND(AUTOEVENTO="Manual",$M65=$A$15),$M65&gt;(ROW(PLE.lastrow)-ROW(PLE.firstrow))),0,
           IF(OFFSET(PLE!$G$15,$M65-$A$15,BV$13)="",10^12,OFFSET(PLE!$G$15,$M65-$A$15,BV$13)))</f>
        <v>0</v>
      </c>
      <c r="BW65" s="179">
        <f ca="1">IF(OR($D65&lt;&gt;"Serviço",AND(AUTOEVENTO="Manual",$M65=$A$15),$M65&gt;(ROW(PLE.lastrow)-ROW(PLE.firstrow))),0,
           IF(OFFSET(PLE!$G$15,$M65-$A$15,BW$13)="",10^12,OFFSET(PLE!$G$15,$M65-$A$15,BW$13)))</f>
        <v>0</v>
      </c>
      <c r="BX65" s="179">
        <f ca="1">IF(OR($D65&lt;&gt;"Serviço",AND(AUTOEVENTO="Manual",$M65=$A$15),$M65&gt;(ROW(PLE.lastrow)-ROW(PLE.firstrow))),0,
           IF(OFFSET(PLE!$G$15,$M65-$A$15,BX$13)="",10^12,OFFSET(PLE!$G$15,$M65-$A$15,BX$13)))</f>
        <v>0</v>
      </c>
      <c r="BY65" s="179">
        <f ca="1">IF(OR($D65&lt;&gt;"Serviço",AND(AUTOEVENTO="Manual",$M65=$A$15),$M65&gt;(ROW(PLE.lastrow)-ROW(PLE.firstrow))),0,
           IF(OFFSET(PLE!$G$15,$M65-$A$15,BY$13)="",10^12,OFFSET(PLE!$G$15,$M65-$A$15,BY$13)))</f>
        <v>0</v>
      </c>
      <c r="BZ65" s="179">
        <f ca="1">IF(OR($D65&lt;&gt;"Serviço",AND(AUTOEVENTO="Manual",$M65=$A$15),$M65&gt;(ROW(PLE.lastrow)-ROW(PLE.firstrow))),0,
           IF(OFFSET(PLE!$G$15,$M65-$A$15,BZ$13)="",10^12,OFFSET(PLE!$G$15,$M65-$A$15,BZ$13)))</f>
        <v>0</v>
      </c>
      <c r="CA65" s="179">
        <f ca="1">IF(OR($D65&lt;&gt;"Serviço",AND(AUTOEVENTO="Manual",$M65=$A$15),$M65&gt;(ROW(PLE.lastrow)-ROW(PLE.firstrow))),0,
           IF(OFFSET(PLE!$G$15,$M65-$A$15,CA$13)="",10^12,OFFSET(PLE!$G$15,$M65-$A$15,CA$13)))</f>
        <v>0</v>
      </c>
      <c r="CB65" s="179">
        <f ca="1">IF(OR($D65&lt;&gt;"Serviço",AND(AUTOEVENTO="Manual",$M65=$A$15),$M65&gt;(ROW(PLE.lastrow)-ROW(PLE.firstrow))),0,
           IF(OFFSET(PLE!$G$15,$M65-$A$15,CB$13)="",10^12,OFFSET(PLE!$G$15,$M65-$A$15,CB$13)))</f>
        <v>0</v>
      </c>
      <c r="CC65" s="179">
        <f ca="1">IF(OR($D65&lt;&gt;"Serviço",AND(AUTOEVENTO="Manual",$M65=$A$15),$M65&gt;(ROW(PLE.lastrow)-ROW(PLE.firstrow))),0,
           IF(OFFSET(PLE!$G$15,$M65-$A$15,CC$13)="",10^12,OFFSET(PLE!$G$15,$M65-$A$15,CC$13)))</f>
        <v>0</v>
      </c>
      <c r="CD65" s="179">
        <f ca="1">IF(OR($D65&lt;&gt;"Serviço",AND(AUTOEVENTO="Manual",$M65=$A$15),$M65&gt;(ROW(PLE.lastrow)-ROW(PLE.firstrow))),0,
           IF(OFFSET(PLE!$G$15,$M65-$A$15,CD$13)="",10^12,OFFSET(PLE!$G$15,$M65-$A$15,CD$13)))</f>
        <v>0</v>
      </c>
      <c r="CE65" s="179">
        <f ca="1">IF(OR($D65&lt;&gt;"Serviço",AND(AUTOEVENTO="Manual",$M65=$A$15),$M65&gt;(ROW(PLE.lastrow)-ROW(PLE.firstrow))),0,
           IF(OFFSET(PLE!$G$15,$M65-$A$15,CE$13)="",10^12,OFFSET(PLE!$G$15,$M65-$A$15,CE$13)))</f>
        <v>0</v>
      </c>
      <c r="CF65" s="179">
        <f ca="1">IF(OR($D65&lt;&gt;"Serviço",AND(AUTOEVENTO="Manual",$M65=$A$15),$M65&gt;(ROW(PLE.lastrow)-ROW(PLE.firstrow))),0,
           IF(OFFSET(PLE!$G$15,$M65-$A$15,CF$13)="",10^12,OFFSET(PLE!$G$15,$M65-$A$15,CF$13)))</f>
        <v>0</v>
      </c>
      <c r="CG65" s="179">
        <f ca="1">IF(OR($D65&lt;&gt;"Serviço",AND(AUTOEVENTO="Manual",$M65=$A$15),$M65&gt;(ROW(PLE.lastrow)-ROW(PLE.firstrow))),0,
           IF(OFFSET(PLE!$G$15,$M65-$A$15,CG$13)="",10^12,OFFSET(PLE!$G$15,$M65-$A$15,CG$13)))</f>
        <v>0</v>
      </c>
      <c r="CH65" s="179">
        <f ca="1">IF(OR($D65&lt;&gt;"Serviço",AND(AUTOEVENTO="Manual",$M65=$A$15),$M65&gt;(ROW(PLE.lastrow)-ROW(PLE.firstrow))),0,
           IF(OFFSET(PLE!$G$15,$M65-$A$15,CH$13)="",10^12,OFFSET(PLE!$G$15,$M65-$A$15,CH$13)))</f>
        <v>0</v>
      </c>
      <c r="CI65" s="179">
        <f ca="1">IF(OR($D65&lt;&gt;"Serviço",AND(AUTOEVENTO="Manual",$M65=$A$15),$M65&gt;(ROW(PLE.lastrow)-ROW(PLE.firstrow))),0,
           IF(OFFSET(PLE!$G$15,$M65-$A$15,CI$13)="",10^12,OFFSET(PLE!$G$15,$M65-$A$15,CI$13)))</f>
        <v>0</v>
      </c>
      <c r="CJ65" s="179">
        <f ca="1">IF(OR($D65&lt;&gt;"Serviço",AND(AUTOEVENTO="Manual",$M65=$A$15),$M65&gt;(ROW(PLE.lastrow)-ROW(PLE.firstrow))),0,
           IF(OFFSET(PLE!$G$15,$M65-$A$15,CJ$13)="",10^12,OFFSET(PLE!$G$15,$M65-$A$15,CJ$13)))</f>
        <v>0</v>
      </c>
      <c r="CK65" s="179">
        <f ca="1">IF(OR($D65&lt;&gt;"Serviço",AND(AUTOEVENTO="Manual",$M65=$A$15),$M65&gt;(ROW(PLE.lastrow)-ROW(PLE.firstrow))),0,
           IF(OFFSET(PLE!$G$15,$M65-$A$15,CK$13)="",10^12,OFFSET(PLE!$G$15,$M65-$A$15,CK$13)))</f>
        <v>0</v>
      </c>
      <c r="CL65" s="179">
        <f ca="1">IF(OR($D65&lt;&gt;"Serviço",AND(AUTOEVENTO="Manual",$M65=$A$15),$M65&gt;(ROW(PLE.lastrow)-ROW(PLE.firstrow))),0,
           IF(OFFSET(PLE!$G$15,$M65-$A$15,CL$13)="",10^12,OFFSET(PLE!$G$15,$M65-$A$15,CL$13)))</f>
        <v>0</v>
      </c>
      <c r="CM65" s="179">
        <f ca="1">IF(OR($D65&lt;&gt;"Serviço",AND(AUTOEVENTO="Manual",$M65=$A$15),$M65&gt;(ROW(PLE.lastrow)-ROW(PLE.firstrow))),0,
           IF(OFFSET(PLE!$G$15,$M65-$A$15,CM$13)="",10^12,OFFSET(PLE!$G$15,$M65-$A$15,CM$13)))</f>
        <v>0</v>
      </c>
    </row>
    <row r="66" spans="1:91" ht="25.5" x14ac:dyDescent="0.2">
      <c r="A66" s="7" t="str">
        <f ca="1">IF(AUTOEVENTO="Manual",IF(K66&lt;&gt;"",MIN(VALUE(LEFT(K66,FIND(".",K66)-1)),COUNTA(EVENTOS.Lista)),0),IF(OR($B66&gt;AUTOEVENTO,$B66="S",$B66=0),SUBSTITUTE(OFFSET($A66,-1,0),IF($D66="Serviço",".",""),""),ROW(A66)-ROW($A$15)&amp;"."))</f>
        <v>50</v>
      </c>
      <c r="B66" s="7" t="str">
        <f ca="1">OFFSET(ORÇAMENTO!C$15,ROW(B66)-ROW(B$15),0)</f>
        <v>S</v>
      </c>
      <c r="C66" s="7" t="str">
        <f ca="1">OFFSET(ORÇAMENTO!L$15,ROW(C66)-ROW(C$15),0)</f>
        <v>F</v>
      </c>
      <c r="D66" s="118" t="str">
        <f ca="1">OFFSET(ORÇAMENTO!N$15,ROW(D66)-ROW(D$15),0)</f>
        <v>Serviço</v>
      </c>
      <c r="E66" s="119" t="str">
        <f ca="1">OFFSET(ORÇAMENTO!O$15,ROW(E66)-ROW(E$15),0)</f>
        <v>1.8.0.0.1.</v>
      </c>
      <c r="F66" s="170" t="str">
        <f ca="1">OFFSET(ORÇAMENTO!R$15,ROW(F66)-ROW(F$15),0)</f>
        <v>EMASSAMENTO COM MASSA LÁTEX, APLICAÇÃO EM PAREDE, DUAS DEMÃOS, LIXAMENTO MANUAL. AF_04/2023</v>
      </c>
      <c r="G66" s="171" t="str">
        <f ca="1">IF($D66&lt;&gt;"Serviço","",OFFSET(ORÇAMENTO!S$15,ROW(G66)-ROW(G$15),0))</f>
        <v>M2</v>
      </c>
      <c r="H66" s="124" cm="1">
        <f t="array" aca="1" ref="H66" ca="1">IF($D66&lt;&gt;"Serviço",0,IF(_xlfn.SINGLE(ACOMPANHAMENTO)="BM",ROUND(OFFSET(ORÇAMENTO!AJ$15,ROW(H66)-ROW(H$15),0),15-13*ORÇAMENTO!$AF$7),SUMPRODUCT(($Q$1:$AI$1)*ROUND($Q66:$AI66,15-13*ORÇAMENTO!$AF$7))))</f>
        <v>311.29000000000002</v>
      </c>
      <c r="I66" s="500" t="s">
        <v>1004</v>
      </c>
      <c r="J66" s="632" t="str" cm="1">
        <f t="array" aca="1" ref="J66" ca="1">IF(B66&lt;&gt;"S","",IF(AND(ACOMPANHAMENTO="PLE",AUTOEVENTO="Manual",OR(H66&gt;0,ORÇAMENTO!AC66="QUANT."),OR(K66="",M66=0,N66="")),"►",IF(AND(ACOMPANHAMENTO="PLE",ORÇAMENTO!AC66="QUANT."),"►►",IF(AND(COUNTIF($P$11:$AI$11,"▼")=0,H66&gt;0,I66=""),"◄",""))))</f>
        <v/>
      </c>
      <c r="K66" s="624"/>
      <c r="L66" s="172" t="s">
        <v>253</v>
      </c>
      <c r="M66" s="173">
        <f ca="1">IF($D66&lt;&gt;"Serviço","",
          IF(AUTOEVENTO="manual",$A66,
                IF(ISERROR(MATCH($A66,$A$15:OFFSET($A66,-1,0),0)),MAX($M$15:OFFSET(M66,-1,0))+1,
                      INDEX($M$15:OFFSET(M66,-1,0),MATCH($A66,$A$15:OFFSET($A66,-1,0),0)))))</f>
        <v>8</v>
      </c>
      <c r="N66" s="174" t="str">
        <f ca="1">IF($D66&lt;&gt;"Serviço","",
         IF(AUTOEVENTO="Manual",
                IF($A66=0,"&lt;-- defina o número do agrupador",
                       OFFSET(EVENTOS!$D$15,$A66-$A$15,0)),
                OFFSET($F$15,$A66,0)))</f>
        <v>PINTURA</v>
      </c>
      <c r="O66" s="175"/>
      <c r="Q66" s="175"/>
      <c r="R66" s="176"/>
      <c r="S66" s="176"/>
      <c r="T66" s="176"/>
      <c r="U66" s="176">
        <v>311.29000000000002</v>
      </c>
      <c r="V66" s="176"/>
      <c r="W66" s="176"/>
      <c r="X66" s="176"/>
      <c r="Y66" s="176"/>
      <c r="Z66" s="177"/>
      <c r="AA66" s="176"/>
      <c r="AB66" s="176"/>
      <c r="AC66" s="176"/>
      <c r="AD66" s="176"/>
      <c r="AE66" s="176"/>
      <c r="AF66" s="176"/>
      <c r="AG66" s="176"/>
      <c r="AH66" s="177"/>
      <c r="AJ66" s="485">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85">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85">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85">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85">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8342.57</v>
      </c>
      <c r="AO66" s="485">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85">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85">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85">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85">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85">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85">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85">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85">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85">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85">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85">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85">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8">
        <f ca="1">IF(OR($D66&lt;&gt;"Serviço",AND(AUTOEVENTO="Manual",$M66=$A$15)),0,
         IF(OFFSET(CRONOPLE!$F$15,$M66-$A$15,BC$13)="",10^12,OFFSET(CRONOPLE!$F$15,$M66-$A$15,BC$13)))</f>
        <v>1</v>
      </c>
      <c r="BD66" s="178">
        <f ca="1">IF(OR($D66&lt;&gt;"Serviço",AND(AUTOEVENTO="Manual",$M66=$A$15)),0,
         IF(OFFSET(CRONOPLE!$F$15,$M66-$A$15,BD$13)="",10^12,OFFSET(CRONOPLE!$F$15,$M66-$A$15,BD$13)))</f>
        <v>2</v>
      </c>
      <c r="BE66" s="178">
        <f ca="1">IF(OR($D66&lt;&gt;"Serviço",AND(AUTOEVENTO="Manual",$M66=$A$15)),0,
         IF(OFFSET(CRONOPLE!$F$15,$M66-$A$15,BE$13)="",10^12,OFFSET(CRONOPLE!$F$15,$M66-$A$15,BE$13)))</f>
        <v>3</v>
      </c>
      <c r="BF66" s="178">
        <f ca="1">IF(OR($D66&lt;&gt;"Serviço",AND(AUTOEVENTO="Manual",$M66=$A$15)),0,
         IF(OFFSET(CRONOPLE!$F$15,$M66-$A$15,BF$13)="",10^12,OFFSET(CRONOPLE!$F$15,$M66-$A$15,BF$13)))</f>
        <v>4</v>
      </c>
      <c r="BG66" s="178">
        <f ca="1">IF(OR($D66&lt;&gt;"Serviço",AND(AUTOEVENTO="Manual",$M66=$A$15)),0,
         IF(OFFSET(CRONOPLE!$F$15,$M66-$A$15,BG$13)="",10^12,OFFSET(CRONOPLE!$F$15,$M66-$A$15,BG$13)))</f>
        <v>5</v>
      </c>
      <c r="BH66" s="178">
        <f ca="1">IF(OR($D66&lt;&gt;"Serviço",AND(AUTOEVENTO="Manual",$M66=$A$15)),0,
         IF(OFFSET(CRONOPLE!$F$15,$M66-$A$15,BH$13)="",10^12,OFFSET(CRONOPLE!$F$15,$M66-$A$15,BH$13)))</f>
        <v>6</v>
      </c>
      <c r="BI66" s="178">
        <f ca="1">IF(OR($D66&lt;&gt;"Serviço",AND(AUTOEVENTO="Manual",$M66=$A$15)),0,
         IF(OFFSET(CRONOPLE!$F$15,$M66-$A$15,BI$13)="",10^12,OFFSET(CRONOPLE!$F$15,$M66-$A$15,BI$13)))</f>
        <v>1000000000000</v>
      </c>
      <c r="BJ66" s="178">
        <f ca="1">IF(OR($D66&lt;&gt;"Serviço",AND(AUTOEVENTO="Manual",$M66=$A$15)),0,
         IF(OFFSET(CRONOPLE!$F$15,$M66-$A$15,BJ$13)="",10^12,OFFSET(CRONOPLE!$F$15,$M66-$A$15,BJ$13)))</f>
        <v>1000000000000</v>
      </c>
      <c r="BK66" s="178">
        <f ca="1">IF(OR($D66&lt;&gt;"Serviço",AND(AUTOEVENTO="Manual",$M66=$A$15)),0,
         IF(OFFSET(CRONOPLE!$F$15,$M66-$A$15,BK$13)="",10^12,OFFSET(CRONOPLE!$F$15,$M66-$A$15,BK$13)))</f>
        <v>1000000000000</v>
      </c>
      <c r="BL66" s="178">
        <f ca="1">IF(OR($D66&lt;&gt;"Serviço",AND(AUTOEVENTO="Manual",$M66=$A$15)),0,
         IF(OFFSET(CRONOPLE!$F$15,$M66-$A$15,BL$13)="",10^12,OFFSET(CRONOPLE!$F$15,$M66-$A$15,BL$13)))</f>
        <v>1000000000000</v>
      </c>
      <c r="BM66" s="178">
        <f ca="1">IF(OR($D66&lt;&gt;"Serviço",AND(AUTOEVENTO="Manual",$M66=$A$15)),0,
         IF(OFFSET(CRONOPLE!$F$15,$M66-$A$15,BM$13)="",10^12,OFFSET(CRONOPLE!$F$15,$M66-$A$15,BM$13)))</f>
        <v>1000000000000</v>
      </c>
      <c r="BN66" s="178">
        <f ca="1">IF(OR($D66&lt;&gt;"Serviço",AND(AUTOEVENTO="Manual",$M66=$A$15)),0,
         IF(OFFSET(CRONOPLE!$F$15,$M66-$A$15,BN$13)="",10^12,OFFSET(CRONOPLE!$F$15,$M66-$A$15,BN$13)))</f>
        <v>1000000000000</v>
      </c>
      <c r="BO66" s="178">
        <f ca="1">IF(OR($D66&lt;&gt;"Serviço",AND(AUTOEVENTO="Manual",$M66=$A$15)),0,
         IF(OFFSET(CRONOPLE!$F$15,$M66-$A$15,BO$13)="",10^12,OFFSET(CRONOPLE!$F$15,$M66-$A$15,BO$13)))</f>
        <v>1000000000000</v>
      </c>
      <c r="BP66" s="178">
        <f ca="1">IF(OR($D66&lt;&gt;"Serviço",AND(AUTOEVENTO="Manual",$M66=$A$15)),0,
         IF(OFFSET(CRONOPLE!$F$15,$M66-$A$15,BP$13)="",10^12,OFFSET(CRONOPLE!$F$15,$M66-$A$15,BP$13)))</f>
        <v>1000000000000</v>
      </c>
      <c r="BQ66" s="178">
        <f ca="1">IF(OR($D66&lt;&gt;"Serviço",AND(AUTOEVENTO="Manual",$M66=$A$15)),0,
         IF(OFFSET(CRONOPLE!$F$15,$M66-$A$15,BQ$13)="",10^12,OFFSET(CRONOPLE!$F$15,$M66-$A$15,BQ$13)))</f>
        <v>1000000000000</v>
      </c>
      <c r="BR66" s="178">
        <f ca="1">IF(OR($D66&lt;&gt;"Serviço",AND(AUTOEVENTO="Manual",$M66=$A$15)),0,
         IF(OFFSET(CRONOPLE!$F$15,$M66-$A$15,BR$13)="",10^12,OFFSET(CRONOPLE!$F$15,$M66-$A$15,BR$13)))</f>
        <v>1000000000000</v>
      </c>
      <c r="BS66" s="178">
        <f ca="1">IF(OR($D66&lt;&gt;"Serviço",AND(AUTOEVENTO="Manual",$M66=$A$15)),0,
         IF(OFFSET(CRONOPLE!$F$15,$M66-$A$15,BS$13)="",10^12,OFFSET(CRONOPLE!$F$15,$M66-$A$15,BS$13)))</f>
        <v>1000000000000</v>
      </c>
      <c r="BT66" s="178">
        <f ca="1">IF(OR($D66&lt;&gt;"Serviço",AND(AUTOEVENTO="Manual",$M66=$A$15)),0,
         IF(OFFSET(CRONOPLE!$F$15,$M66-$A$15,BT$13)="",10^12,OFFSET(CRONOPLE!$F$15,$M66-$A$15,BT$13)))</f>
        <v>1000000000000</v>
      </c>
      <c r="BV66" s="179">
        <f ca="1">IF(OR($D66&lt;&gt;"Serviço",AND(AUTOEVENTO="Manual",$M66=$A$15),$M66&gt;(ROW(PLE.lastrow)-ROW(PLE.firstrow))),0,
           IF(OFFSET(PLE!$G$15,$M66-$A$15,BV$13)="",10^12,OFFSET(PLE!$G$15,$M66-$A$15,BV$13)))</f>
        <v>1000000000000</v>
      </c>
      <c r="BW66" s="179">
        <f ca="1">IF(OR($D66&lt;&gt;"Serviço",AND(AUTOEVENTO="Manual",$M66=$A$15),$M66&gt;(ROW(PLE.lastrow)-ROW(PLE.firstrow))),0,
           IF(OFFSET(PLE!$G$15,$M66-$A$15,BW$13)="",10^12,OFFSET(PLE!$G$15,$M66-$A$15,BW$13)))</f>
        <v>1000000000000</v>
      </c>
      <c r="BX66" s="179">
        <f ca="1">IF(OR($D66&lt;&gt;"Serviço",AND(AUTOEVENTO="Manual",$M66=$A$15),$M66&gt;(ROW(PLE.lastrow)-ROW(PLE.firstrow))),0,
           IF(OFFSET(PLE!$G$15,$M66-$A$15,BX$13)="",10^12,OFFSET(PLE!$G$15,$M66-$A$15,BX$13)))</f>
        <v>1000000000000</v>
      </c>
      <c r="BY66" s="179">
        <f ca="1">IF(OR($D66&lt;&gt;"Serviço",AND(AUTOEVENTO="Manual",$M66=$A$15),$M66&gt;(ROW(PLE.lastrow)-ROW(PLE.firstrow))),0,
           IF(OFFSET(PLE!$G$15,$M66-$A$15,BY$13)="",10^12,OFFSET(PLE!$G$15,$M66-$A$15,BY$13)))</f>
        <v>1000000000000</v>
      </c>
      <c r="BZ66" s="179">
        <f ca="1">IF(OR($D66&lt;&gt;"Serviço",AND(AUTOEVENTO="Manual",$M66=$A$15),$M66&gt;(ROW(PLE.lastrow)-ROW(PLE.firstrow))),0,
           IF(OFFSET(PLE!$G$15,$M66-$A$15,BZ$13)="",10^12,OFFSET(PLE!$G$15,$M66-$A$15,BZ$13)))</f>
        <v>1000000000000</v>
      </c>
      <c r="CA66" s="179">
        <f ca="1">IF(OR($D66&lt;&gt;"Serviço",AND(AUTOEVENTO="Manual",$M66=$A$15),$M66&gt;(ROW(PLE.lastrow)-ROW(PLE.firstrow))),0,
           IF(OFFSET(PLE!$G$15,$M66-$A$15,CA$13)="",10^12,OFFSET(PLE!$G$15,$M66-$A$15,CA$13)))</f>
        <v>1000000000000</v>
      </c>
      <c r="CB66" s="179">
        <f ca="1">IF(OR($D66&lt;&gt;"Serviço",AND(AUTOEVENTO="Manual",$M66=$A$15),$M66&gt;(ROW(PLE.lastrow)-ROW(PLE.firstrow))),0,
           IF(OFFSET(PLE!$G$15,$M66-$A$15,CB$13)="",10^12,OFFSET(PLE!$G$15,$M66-$A$15,CB$13)))</f>
        <v>1000000000000</v>
      </c>
      <c r="CC66" s="179">
        <f ca="1">IF(OR($D66&lt;&gt;"Serviço",AND(AUTOEVENTO="Manual",$M66=$A$15),$M66&gt;(ROW(PLE.lastrow)-ROW(PLE.firstrow))),0,
           IF(OFFSET(PLE!$G$15,$M66-$A$15,CC$13)="",10^12,OFFSET(PLE!$G$15,$M66-$A$15,CC$13)))</f>
        <v>1000000000000</v>
      </c>
      <c r="CD66" s="179">
        <f ca="1">IF(OR($D66&lt;&gt;"Serviço",AND(AUTOEVENTO="Manual",$M66=$A$15),$M66&gt;(ROW(PLE.lastrow)-ROW(PLE.firstrow))),0,
           IF(OFFSET(PLE!$G$15,$M66-$A$15,CD$13)="",10^12,OFFSET(PLE!$G$15,$M66-$A$15,CD$13)))</f>
        <v>1000000000000</v>
      </c>
      <c r="CE66" s="179">
        <f ca="1">IF(OR($D66&lt;&gt;"Serviço",AND(AUTOEVENTO="Manual",$M66=$A$15),$M66&gt;(ROW(PLE.lastrow)-ROW(PLE.firstrow))),0,
           IF(OFFSET(PLE!$G$15,$M66-$A$15,CE$13)="",10^12,OFFSET(PLE!$G$15,$M66-$A$15,CE$13)))</f>
        <v>1000000000000</v>
      </c>
      <c r="CF66" s="179">
        <f ca="1">IF(OR($D66&lt;&gt;"Serviço",AND(AUTOEVENTO="Manual",$M66=$A$15),$M66&gt;(ROW(PLE.lastrow)-ROW(PLE.firstrow))),0,
           IF(OFFSET(PLE!$G$15,$M66-$A$15,CF$13)="",10^12,OFFSET(PLE!$G$15,$M66-$A$15,CF$13)))</f>
        <v>1000000000000</v>
      </c>
      <c r="CG66" s="179">
        <f ca="1">IF(OR($D66&lt;&gt;"Serviço",AND(AUTOEVENTO="Manual",$M66=$A$15),$M66&gt;(ROW(PLE.lastrow)-ROW(PLE.firstrow))),0,
           IF(OFFSET(PLE!$G$15,$M66-$A$15,CG$13)="",10^12,OFFSET(PLE!$G$15,$M66-$A$15,CG$13)))</f>
        <v>1000000000000</v>
      </c>
      <c r="CH66" s="179">
        <f ca="1">IF(OR($D66&lt;&gt;"Serviço",AND(AUTOEVENTO="Manual",$M66=$A$15),$M66&gt;(ROW(PLE.lastrow)-ROW(PLE.firstrow))),0,
           IF(OFFSET(PLE!$G$15,$M66-$A$15,CH$13)="",10^12,OFFSET(PLE!$G$15,$M66-$A$15,CH$13)))</f>
        <v>1000000000000</v>
      </c>
      <c r="CI66" s="179">
        <f ca="1">IF(OR($D66&lt;&gt;"Serviço",AND(AUTOEVENTO="Manual",$M66=$A$15),$M66&gt;(ROW(PLE.lastrow)-ROW(PLE.firstrow))),0,
           IF(OFFSET(PLE!$G$15,$M66-$A$15,CI$13)="",10^12,OFFSET(PLE!$G$15,$M66-$A$15,CI$13)))</f>
        <v>1000000000000</v>
      </c>
      <c r="CJ66" s="179">
        <f ca="1">IF(OR($D66&lt;&gt;"Serviço",AND(AUTOEVENTO="Manual",$M66=$A$15),$M66&gt;(ROW(PLE.lastrow)-ROW(PLE.firstrow))),0,
           IF(OFFSET(PLE!$G$15,$M66-$A$15,CJ$13)="",10^12,OFFSET(PLE!$G$15,$M66-$A$15,CJ$13)))</f>
        <v>1000000000000</v>
      </c>
      <c r="CK66" s="179">
        <f ca="1">IF(OR($D66&lt;&gt;"Serviço",AND(AUTOEVENTO="Manual",$M66=$A$15),$M66&gt;(ROW(PLE.lastrow)-ROW(PLE.firstrow))),0,
           IF(OFFSET(PLE!$G$15,$M66-$A$15,CK$13)="",10^12,OFFSET(PLE!$G$15,$M66-$A$15,CK$13)))</f>
        <v>1000000000000</v>
      </c>
      <c r="CL66" s="179">
        <f ca="1">IF(OR($D66&lt;&gt;"Serviço",AND(AUTOEVENTO="Manual",$M66=$A$15),$M66&gt;(ROW(PLE.lastrow)-ROW(PLE.firstrow))),0,
           IF(OFFSET(PLE!$G$15,$M66-$A$15,CL$13)="",10^12,OFFSET(PLE!$G$15,$M66-$A$15,CL$13)))</f>
        <v>1000000000000</v>
      </c>
      <c r="CM66" s="179">
        <f ca="1">IF(OR($D66&lt;&gt;"Serviço",AND(AUTOEVENTO="Manual",$M66=$A$15),$M66&gt;(ROW(PLE.lastrow)-ROW(PLE.firstrow))),0,
           IF(OFFSET(PLE!$G$15,$M66-$A$15,CM$13)="",10^12,OFFSET(PLE!$G$15,$M66-$A$15,CM$13)))</f>
        <v>1000000000000</v>
      </c>
    </row>
    <row r="67" spans="1:91" ht="25.5" x14ac:dyDescent="0.2">
      <c r="A67" s="7" t="str">
        <f ca="1">IF(AUTOEVENTO="Manual",IF(K67&lt;&gt;"",MIN(VALUE(LEFT(K67,FIND(".",K67)-1)),COUNTA(EVENTOS.Lista)),0),IF(OR($B67&gt;AUTOEVENTO,$B67="S",$B67=0),SUBSTITUTE(OFFSET($A67,-1,0),IF($D67="Serviço",".",""),""),ROW(A67)-ROW($A$15)&amp;"."))</f>
        <v>50</v>
      </c>
      <c r="B67" s="7" t="str">
        <f ca="1">OFFSET(ORÇAMENTO!C$15,ROW(B67)-ROW(B$15),0)</f>
        <v>S</v>
      </c>
      <c r="C67" s="7" t="str">
        <f ca="1">OFFSET(ORÇAMENTO!L$15,ROW(C67)-ROW(C$15),0)</f>
        <v>F</v>
      </c>
      <c r="D67" s="118" t="str">
        <f ca="1">OFFSET(ORÇAMENTO!N$15,ROW(D67)-ROW(D$15),0)</f>
        <v>Serviço</v>
      </c>
      <c r="E67" s="119" t="str">
        <f ca="1">OFFSET(ORÇAMENTO!O$15,ROW(E67)-ROW(E$15),0)</f>
        <v>1.8.0.0.2.</v>
      </c>
      <c r="F67" s="170" t="str">
        <f ca="1">OFFSET(ORÇAMENTO!R$15,ROW(F67)-ROW(F$15),0)</f>
        <v>APLICAÇÃO MANUAL DE FUNDO SELADOR ACRÍLICO EM PAREDES EXTERNAS DE CASAS. AF_03/2024</v>
      </c>
      <c r="G67" s="171" t="str">
        <f ca="1">IF($D67&lt;&gt;"Serviço","",OFFSET(ORÇAMENTO!S$15,ROW(G67)-ROW(G$15),0))</f>
        <v>M2</v>
      </c>
      <c r="H67" s="124" cm="1">
        <f t="array" aca="1" ref="H67" ca="1">IF($D67&lt;&gt;"Serviço",0,IF(_xlfn.SINGLE(ACOMPANHAMENTO)="BM",ROUND(OFFSET(ORÇAMENTO!AJ$15,ROW(H67)-ROW(H$15),0),15-13*ORÇAMENTO!$AF$7),SUMPRODUCT(($Q$1:$AI$1)*ROUND($Q67:$AI67,15-13*ORÇAMENTO!$AF$7))))</f>
        <v>311.29000000000002</v>
      </c>
      <c r="I67" s="500" t="s">
        <v>1004</v>
      </c>
      <c r="J67" s="632" t="str" cm="1">
        <f t="array" aca="1" ref="J67" ca="1">IF(B67&lt;&gt;"S","",IF(AND(ACOMPANHAMENTO="PLE",AUTOEVENTO="Manual",OR(H67&gt;0,ORÇAMENTO!AC67="QUANT."),OR(K67="",M67=0,N67="")),"►",IF(AND(ACOMPANHAMENTO="PLE",ORÇAMENTO!AC67="QUANT."),"►►",IF(AND(COUNTIF($P$11:$AI$11,"▼")=0,H67&gt;0,I67=""),"◄",""))))</f>
        <v/>
      </c>
      <c r="K67" s="624"/>
      <c r="L67" s="172" t="s">
        <v>253</v>
      </c>
      <c r="M67" s="173">
        <f ca="1">IF($D67&lt;&gt;"Serviço","",
          IF(AUTOEVENTO="manual",$A67,
                IF(ISERROR(MATCH($A67,$A$15:OFFSET($A67,-1,0),0)),MAX($M$15:OFFSET(M67,-1,0))+1,
                      INDEX($M$15:OFFSET(M67,-1,0),MATCH($A67,$A$15:OFFSET($A67,-1,0),0)))))</f>
        <v>8</v>
      </c>
      <c r="N67" s="174" t="str">
        <f ca="1">IF($D67&lt;&gt;"Serviço","",
         IF(AUTOEVENTO="Manual",
                IF($A67=0,"&lt;-- defina o número do agrupador",
                       OFFSET(EVENTOS!$D$15,$A67-$A$15,0)),
                OFFSET($F$15,$A67,0)))</f>
        <v>PINTURA</v>
      </c>
      <c r="O67" s="175"/>
      <c r="Q67" s="175"/>
      <c r="R67" s="176"/>
      <c r="S67" s="176"/>
      <c r="T67" s="176"/>
      <c r="U67" s="176">
        <v>311.29000000000002</v>
      </c>
      <c r="V67" s="176"/>
      <c r="W67" s="176"/>
      <c r="X67" s="176"/>
      <c r="Y67" s="176"/>
      <c r="Z67" s="177"/>
      <c r="AA67" s="176"/>
      <c r="AB67" s="176"/>
      <c r="AC67" s="176"/>
      <c r="AD67" s="176"/>
      <c r="AE67" s="176"/>
      <c r="AF67" s="176"/>
      <c r="AG67" s="176"/>
      <c r="AH67" s="177"/>
      <c r="AJ67" s="485">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85">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L67" s="485">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0</v>
      </c>
      <c r="AM67" s="485">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0</v>
      </c>
      <c r="AN67" s="485">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1761.9</v>
      </c>
      <c r="AO67" s="485">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85">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85">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85">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85">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85">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85">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85">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85">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85">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85">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85">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85">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8">
        <f ca="1">IF(OR($D67&lt;&gt;"Serviço",AND(AUTOEVENTO="Manual",$M67=$A$15)),0,
         IF(OFFSET(CRONOPLE!$F$15,$M67-$A$15,BC$13)="",10^12,OFFSET(CRONOPLE!$F$15,$M67-$A$15,BC$13)))</f>
        <v>1</v>
      </c>
      <c r="BD67" s="178">
        <f ca="1">IF(OR($D67&lt;&gt;"Serviço",AND(AUTOEVENTO="Manual",$M67=$A$15)),0,
         IF(OFFSET(CRONOPLE!$F$15,$M67-$A$15,BD$13)="",10^12,OFFSET(CRONOPLE!$F$15,$M67-$A$15,BD$13)))</f>
        <v>2</v>
      </c>
      <c r="BE67" s="178">
        <f ca="1">IF(OR($D67&lt;&gt;"Serviço",AND(AUTOEVENTO="Manual",$M67=$A$15)),0,
         IF(OFFSET(CRONOPLE!$F$15,$M67-$A$15,BE$13)="",10^12,OFFSET(CRONOPLE!$F$15,$M67-$A$15,BE$13)))</f>
        <v>3</v>
      </c>
      <c r="BF67" s="178">
        <f ca="1">IF(OR($D67&lt;&gt;"Serviço",AND(AUTOEVENTO="Manual",$M67=$A$15)),0,
         IF(OFFSET(CRONOPLE!$F$15,$M67-$A$15,BF$13)="",10^12,OFFSET(CRONOPLE!$F$15,$M67-$A$15,BF$13)))</f>
        <v>4</v>
      </c>
      <c r="BG67" s="178">
        <f ca="1">IF(OR($D67&lt;&gt;"Serviço",AND(AUTOEVENTO="Manual",$M67=$A$15)),0,
         IF(OFFSET(CRONOPLE!$F$15,$M67-$A$15,BG$13)="",10^12,OFFSET(CRONOPLE!$F$15,$M67-$A$15,BG$13)))</f>
        <v>5</v>
      </c>
      <c r="BH67" s="178">
        <f ca="1">IF(OR($D67&lt;&gt;"Serviço",AND(AUTOEVENTO="Manual",$M67=$A$15)),0,
         IF(OFFSET(CRONOPLE!$F$15,$M67-$A$15,BH$13)="",10^12,OFFSET(CRONOPLE!$F$15,$M67-$A$15,BH$13)))</f>
        <v>6</v>
      </c>
      <c r="BI67" s="178">
        <f ca="1">IF(OR($D67&lt;&gt;"Serviço",AND(AUTOEVENTO="Manual",$M67=$A$15)),0,
         IF(OFFSET(CRONOPLE!$F$15,$M67-$A$15,BI$13)="",10^12,OFFSET(CRONOPLE!$F$15,$M67-$A$15,BI$13)))</f>
        <v>1000000000000</v>
      </c>
      <c r="BJ67" s="178">
        <f ca="1">IF(OR($D67&lt;&gt;"Serviço",AND(AUTOEVENTO="Manual",$M67=$A$15)),0,
         IF(OFFSET(CRONOPLE!$F$15,$M67-$A$15,BJ$13)="",10^12,OFFSET(CRONOPLE!$F$15,$M67-$A$15,BJ$13)))</f>
        <v>1000000000000</v>
      </c>
      <c r="BK67" s="178">
        <f ca="1">IF(OR($D67&lt;&gt;"Serviço",AND(AUTOEVENTO="Manual",$M67=$A$15)),0,
         IF(OFFSET(CRONOPLE!$F$15,$M67-$A$15,BK$13)="",10^12,OFFSET(CRONOPLE!$F$15,$M67-$A$15,BK$13)))</f>
        <v>1000000000000</v>
      </c>
      <c r="BL67" s="178">
        <f ca="1">IF(OR($D67&lt;&gt;"Serviço",AND(AUTOEVENTO="Manual",$M67=$A$15)),0,
         IF(OFFSET(CRONOPLE!$F$15,$M67-$A$15,BL$13)="",10^12,OFFSET(CRONOPLE!$F$15,$M67-$A$15,BL$13)))</f>
        <v>1000000000000</v>
      </c>
      <c r="BM67" s="178">
        <f ca="1">IF(OR($D67&lt;&gt;"Serviço",AND(AUTOEVENTO="Manual",$M67=$A$15)),0,
         IF(OFFSET(CRONOPLE!$F$15,$M67-$A$15,BM$13)="",10^12,OFFSET(CRONOPLE!$F$15,$M67-$A$15,BM$13)))</f>
        <v>1000000000000</v>
      </c>
      <c r="BN67" s="178">
        <f ca="1">IF(OR($D67&lt;&gt;"Serviço",AND(AUTOEVENTO="Manual",$M67=$A$15)),0,
         IF(OFFSET(CRONOPLE!$F$15,$M67-$A$15,BN$13)="",10^12,OFFSET(CRONOPLE!$F$15,$M67-$A$15,BN$13)))</f>
        <v>1000000000000</v>
      </c>
      <c r="BO67" s="178">
        <f ca="1">IF(OR($D67&lt;&gt;"Serviço",AND(AUTOEVENTO="Manual",$M67=$A$15)),0,
         IF(OFFSET(CRONOPLE!$F$15,$M67-$A$15,BO$13)="",10^12,OFFSET(CRONOPLE!$F$15,$M67-$A$15,BO$13)))</f>
        <v>1000000000000</v>
      </c>
      <c r="BP67" s="178">
        <f ca="1">IF(OR($D67&lt;&gt;"Serviço",AND(AUTOEVENTO="Manual",$M67=$A$15)),0,
         IF(OFFSET(CRONOPLE!$F$15,$M67-$A$15,BP$13)="",10^12,OFFSET(CRONOPLE!$F$15,$M67-$A$15,BP$13)))</f>
        <v>1000000000000</v>
      </c>
      <c r="BQ67" s="178">
        <f ca="1">IF(OR($D67&lt;&gt;"Serviço",AND(AUTOEVENTO="Manual",$M67=$A$15)),0,
         IF(OFFSET(CRONOPLE!$F$15,$M67-$A$15,BQ$13)="",10^12,OFFSET(CRONOPLE!$F$15,$M67-$A$15,BQ$13)))</f>
        <v>1000000000000</v>
      </c>
      <c r="BR67" s="178">
        <f ca="1">IF(OR($D67&lt;&gt;"Serviço",AND(AUTOEVENTO="Manual",$M67=$A$15)),0,
         IF(OFFSET(CRONOPLE!$F$15,$M67-$A$15,BR$13)="",10^12,OFFSET(CRONOPLE!$F$15,$M67-$A$15,BR$13)))</f>
        <v>1000000000000</v>
      </c>
      <c r="BS67" s="178">
        <f ca="1">IF(OR($D67&lt;&gt;"Serviço",AND(AUTOEVENTO="Manual",$M67=$A$15)),0,
         IF(OFFSET(CRONOPLE!$F$15,$M67-$A$15,BS$13)="",10^12,OFFSET(CRONOPLE!$F$15,$M67-$A$15,BS$13)))</f>
        <v>1000000000000</v>
      </c>
      <c r="BT67" s="178">
        <f ca="1">IF(OR($D67&lt;&gt;"Serviço",AND(AUTOEVENTO="Manual",$M67=$A$15)),0,
         IF(OFFSET(CRONOPLE!$F$15,$M67-$A$15,BT$13)="",10^12,OFFSET(CRONOPLE!$F$15,$M67-$A$15,BT$13)))</f>
        <v>1000000000000</v>
      </c>
      <c r="BV67" s="179">
        <f ca="1">IF(OR($D67&lt;&gt;"Serviço",AND(AUTOEVENTO="Manual",$M67=$A$15),$M67&gt;(ROW(PLE.lastrow)-ROW(PLE.firstrow))),0,
           IF(OFFSET(PLE!$G$15,$M67-$A$15,BV$13)="",10^12,OFFSET(PLE!$G$15,$M67-$A$15,BV$13)))</f>
        <v>1000000000000</v>
      </c>
      <c r="BW67" s="179">
        <f ca="1">IF(OR($D67&lt;&gt;"Serviço",AND(AUTOEVENTO="Manual",$M67=$A$15),$M67&gt;(ROW(PLE.lastrow)-ROW(PLE.firstrow))),0,
           IF(OFFSET(PLE!$G$15,$M67-$A$15,BW$13)="",10^12,OFFSET(PLE!$G$15,$M67-$A$15,BW$13)))</f>
        <v>1000000000000</v>
      </c>
      <c r="BX67" s="179">
        <f ca="1">IF(OR($D67&lt;&gt;"Serviço",AND(AUTOEVENTO="Manual",$M67=$A$15),$M67&gt;(ROW(PLE.lastrow)-ROW(PLE.firstrow))),0,
           IF(OFFSET(PLE!$G$15,$M67-$A$15,BX$13)="",10^12,OFFSET(PLE!$G$15,$M67-$A$15,BX$13)))</f>
        <v>1000000000000</v>
      </c>
      <c r="BY67" s="179">
        <f ca="1">IF(OR($D67&lt;&gt;"Serviço",AND(AUTOEVENTO="Manual",$M67=$A$15),$M67&gt;(ROW(PLE.lastrow)-ROW(PLE.firstrow))),0,
           IF(OFFSET(PLE!$G$15,$M67-$A$15,BY$13)="",10^12,OFFSET(PLE!$G$15,$M67-$A$15,BY$13)))</f>
        <v>1000000000000</v>
      </c>
      <c r="BZ67" s="179">
        <f ca="1">IF(OR($D67&lt;&gt;"Serviço",AND(AUTOEVENTO="Manual",$M67=$A$15),$M67&gt;(ROW(PLE.lastrow)-ROW(PLE.firstrow))),0,
           IF(OFFSET(PLE!$G$15,$M67-$A$15,BZ$13)="",10^12,OFFSET(PLE!$G$15,$M67-$A$15,BZ$13)))</f>
        <v>1000000000000</v>
      </c>
      <c r="CA67" s="179">
        <f ca="1">IF(OR($D67&lt;&gt;"Serviço",AND(AUTOEVENTO="Manual",$M67=$A$15),$M67&gt;(ROW(PLE.lastrow)-ROW(PLE.firstrow))),0,
           IF(OFFSET(PLE!$G$15,$M67-$A$15,CA$13)="",10^12,OFFSET(PLE!$G$15,$M67-$A$15,CA$13)))</f>
        <v>1000000000000</v>
      </c>
      <c r="CB67" s="179">
        <f ca="1">IF(OR($D67&lt;&gt;"Serviço",AND(AUTOEVENTO="Manual",$M67=$A$15),$M67&gt;(ROW(PLE.lastrow)-ROW(PLE.firstrow))),0,
           IF(OFFSET(PLE!$G$15,$M67-$A$15,CB$13)="",10^12,OFFSET(PLE!$G$15,$M67-$A$15,CB$13)))</f>
        <v>1000000000000</v>
      </c>
      <c r="CC67" s="179">
        <f ca="1">IF(OR($D67&lt;&gt;"Serviço",AND(AUTOEVENTO="Manual",$M67=$A$15),$M67&gt;(ROW(PLE.lastrow)-ROW(PLE.firstrow))),0,
           IF(OFFSET(PLE!$G$15,$M67-$A$15,CC$13)="",10^12,OFFSET(PLE!$G$15,$M67-$A$15,CC$13)))</f>
        <v>1000000000000</v>
      </c>
      <c r="CD67" s="179">
        <f ca="1">IF(OR($D67&lt;&gt;"Serviço",AND(AUTOEVENTO="Manual",$M67=$A$15),$M67&gt;(ROW(PLE.lastrow)-ROW(PLE.firstrow))),0,
           IF(OFFSET(PLE!$G$15,$M67-$A$15,CD$13)="",10^12,OFFSET(PLE!$G$15,$M67-$A$15,CD$13)))</f>
        <v>1000000000000</v>
      </c>
      <c r="CE67" s="179">
        <f ca="1">IF(OR($D67&lt;&gt;"Serviço",AND(AUTOEVENTO="Manual",$M67=$A$15),$M67&gt;(ROW(PLE.lastrow)-ROW(PLE.firstrow))),0,
           IF(OFFSET(PLE!$G$15,$M67-$A$15,CE$13)="",10^12,OFFSET(PLE!$G$15,$M67-$A$15,CE$13)))</f>
        <v>1000000000000</v>
      </c>
      <c r="CF67" s="179">
        <f ca="1">IF(OR($D67&lt;&gt;"Serviço",AND(AUTOEVENTO="Manual",$M67=$A$15),$M67&gt;(ROW(PLE.lastrow)-ROW(PLE.firstrow))),0,
           IF(OFFSET(PLE!$G$15,$M67-$A$15,CF$13)="",10^12,OFFSET(PLE!$G$15,$M67-$A$15,CF$13)))</f>
        <v>1000000000000</v>
      </c>
      <c r="CG67" s="179">
        <f ca="1">IF(OR($D67&lt;&gt;"Serviço",AND(AUTOEVENTO="Manual",$M67=$A$15),$M67&gt;(ROW(PLE.lastrow)-ROW(PLE.firstrow))),0,
           IF(OFFSET(PLE!$G$15,$M67-$A$15,CG$13)="",10^12,OFFSET(PLE!$G$15,$M67-$A$15,CG$13)))</f>
        <v>1000000000000</v>
      </c>
      <c r="CH67" s="179">
        <f ca="1">IF(OR($D67&lt;&gt;"Serviço",AND(AUTOEVENTO="Manual",$M67=$A$15),$M67&gt;(ROW(PLE.lastrow)-ROW(PLE.firstrow))),0,
           IF(OFFSET(PLE!$G$15,$M67-$A$15,CH$13)="",10^12,OFFSET(PLE!$G$15,$M67-$A$15,CH$13)))</f>
        <v>1000000000000</v>
      </c>
      <c r="CI67" s="179">
        <f ca="1">IF(OR($D67&lt;&gt;"Serviço",AND(AUTOEVENTO="Manual",$M67=$A$15),$M67&gt;(ROW(PLE.lastrow)-ROW(PLE.firstrow))),0,
           IF(OFFSET(PLE!$G$15,$M67-$A$15,CI$13)="",10^12,OFFSET(PLE!$G$15,$M67-$A$15,CI$13)))</f>
        <v>1000000000000</v>
      </c>
      <c r="CJ67" s="179">
        <f ca="1">IF(OR($D67&lt;&gt;"Serviço",AND(AUTOEVENTO="Manual",$M67=$A$15),$M67&gt;(ROW(PLE.lastrow)-ROW(PLE.firstrow))),0,
           IF(OFFSET(PLE!$G$15,$M67-$A$15,CJ$13)="",10^12,OFFSET(PLE!$G$15,$M67-$A$15,CJ$13)))</f>
        <v>1000000000000</v>
      </c>
      <c r="CK67" s="179">
        <f ca="1">IF(OR($D67&lt;&gt;"Serviço",AND(AUTOEVENTO="Manual",$M67=$A$15),$M67&gt;(ROW(PLE.lastrow)-ROW(PLE.firstrow))),0,
           IF(OFFSET(PLE!$G$15,$M67-$A$15,CK$13)="",10^12,OFFSET(PLE!$G$15,$M67-$A$15,CK$13)))</f>
        <v>1000000000000</v>
      </c>
      <c r="CL67" s="179">
        <f ca="1">IF(OR($D67&lt;&gt;"Serviço",AND(AUTOEVENTO="Manual",$M67=$A$15),$M67&gt;(ROW(PLE.lastrow)-ROW(PLE.firstrow))),0,
           IF(OFFSET(PLE!$G$15,$M67-$A$15,CL$13)="",10^12,OFFSET(PLE!$G$15,$M67-$A$15,CL$13)))</f>
        <v>1000000000000</v>
      </c>
      <c r="CM67" s="179">
        <f ca="1">IF(OR($D67&lt;&gt;"Serviço",AND(AUTOEVENTO="Manual",$M67=$A$15),$M67&gt;(ROW(PLE.lastrow)-ROW(PLE.firstrow))),0,
           IF(OFFSET(PLE!$G$15,$M67-$A$15,CM$13)="",10^12,OFFSET(PLE!$G$15,$M67-$A$15,CM$13)))</f>
        <v>1000000000000</v>
      </c>
    </row>
    <row r="68" spans="1:91" ht="25.5" x14ac:dyDescent="0.2">
      <c r="A68" s="7" t="str">
        <f ca="1">IF(AUTOEVENTO="Manual",IF(K68&lt;&gt;"",MIN(VALUE(LEFT(K68,FIND(".",K68)-1)),COUNTA(EVENTOS.Lista)),0),IF(OR($B68&gt;AUTOEVENTO,$B68="S",$B68=0),SUBSTITUTE(OFFSET($A68,-1,0),IF($D68="Serviço",".",""),""),ROW(A68)-ROW($A$15)&amp;"."))</f>
        <v>50</v>
      </c>
      <c r="B68" s="7" t="str">
        <f ca="1">OFFSET(ORÇAMENTO!C$15,ROW(B68)-ROW(B$15),0)</f>
        <v>S</v>
      </c>
      <c r="C68" s="7" t="str">
        <f ca="1">OFFSET(ORÇAMENTO!L$15,ROW(C68)-ROW(C$15),0)</f>
        <v>F</v>
      </c>
      <c r="D68" s="118" t="str">
        <f ca="1">OFFSET(ORÇAMENTO!N$15,ROW(D68)-ROW(D$15),0)</f>
        <v>Serviço</v>
      </c>
      <c r="E68" s="119" t="str">
        <f ca="1">OFFSET(ORÇAMENTO!O$15,ROW(E68)-ROW(E$15),0)</f>
        <v>1.8.0.0.3.</v>
      </c>
      <c r="F68" s="170" t="str">
        <f ca="1">OFFSET(ORÇAMENTO!R$15,ROW(F68)-ROW(F$15),0)</f>
        <v>PINTURA LÁTEX ACRÍLICA PREMIUM, APLICAÇÃO MANUAL EM PAREDES, DUAS DEMÃOS. AF_04/2023</v>
      </c>
      <c r="G68" s="171" t="str">
        <f ca="1">IF($D68&lt;&gt;"Serviço","",OFFSET(ORÇAMENTO!S$15,ROW(G68)-ROW(G$15),0))</f>
        <v>M2</v>
      </c>
      <c r="H68" s="124" cm="1">
        <f t="array" aca="1" ref="H68" ca="1">IF($D68&lt;&gt;"Serviço",0,IF(_xlfn.SINGLE(ACOMPANHAMENTO)="BM",ROUND(OFFSET(ORÇAMENTO!AJ$15,ROW(H68)-ROW(H$15),0),15-13*ORÇAMENTO!$AF$7),SUMPRODUCT(($Q$1:$AI$1)*ROUND($Q68:$AI68,15-13*ORÇAMENTO!$AF$7))))</f>
        <v>311.29000000000002</v>
      </c>
      <c r="I68" s="500" t="s">
        <v>1004</v>
      </c>
      <c r="J68" s="632" t="str" cm="1">
        <f t="array" aca="1" ref="J68" ca="1">IF(B68&lt;&gt;"S","",IF(AND(ACOMPANHAMENTO="PLE",AUTOEVENTO="Manual",OR(H68&gt;0,ORÇAMENTO!AC68="QUANT."),OR(K68="",M68=0,N68="")),"►",IF(AND(ACOMPANHAMENTO="PLE",ORÇAMENTO!AC68="QUANT."),"►►",IF(AND(COUNTIF($P$11:$AI$11,"▼")=0,H68&gt;0,I68=""),"◄",""))))</f>
        <v/>
      </c>
      <c r="K68" s="624"/>
      <c r="L68" s="172" t="s">
        <v>253</v>
      </c>
      <c r="M68" s="173">
        <f ca="1">IF($D68&lt;&gt;"Serviço","",
          IF(AUTOEVENTO="manual",$A68,
                IF(ISERROR(MATCH($A68,$A$15:OFFSET($A68,-1,0),0)),MAX($M$15:OFFSET(M68,-1,0))+1,
                      INDEX($M$15:OFFSET(M68,-1,0),MATCH($A68,$A$15:OFFSET($A68,-1,0),0)))))</f>
        <v>8</v>
      </c>
      <c r="N68" s="174" t="str">
        <f ca="1">IF($D68&lt;&gt;"Serviço","",
         IF(AUTOEVENTO="Manual",
                IF($A68=0,"&lt;-- defina o número do agrupador",
                       OFFSET(EVENTOS!$D$15,$A68-$A$15,0)),
                OFFSET($F$15,$A68,0)))</f>
        <v>PINTURA</v>
      </c>
      <c r="O68" s="175"/>
      <c r="Q68" s="175"/>
      <c r="R68" s="176"/>
      <c r="S68" s="176"/>
      <c r="T68" s="176"/>
      <c r="U68" s="176">
        <v>311.29000000000002</v>
      </c>
      <c r="V68" s="176"/>
      <c r="W68" s="176"/>
      <c r="X68" s="176"/>
      <c r="Y68" s="176"/>
      <c r="Z68" s="177"/>
      <c r="AA68" s="176"/>
      <c r="AB68" s="176"/>
      <c r="AC68" s="176"/>
      <c r="AD68" s="176"/>
      <c r="AE68" s="176"/>
      <c r="AF68" s="176"/>
      <c r="AG68" s="176"/>
      <c r="AH68" s="177"/>
      <c r="AJ68" s="485">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85">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85">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85">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0</v>
      </c>
      <c r="AN68" s="485">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5301.27</v>
      </c>
      <c r="AO68" s="485">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85">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85">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85">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85">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85">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85">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85">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85">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85">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85">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85">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85">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8">
        <f ca="1">IF(OR($D68&lt;&gt;"Serviço",AND(AUTOEVENTO="Manual",$M68=$A$15)),0,
         IF(OFFSET(CRONOPLE!$F$15,$M68-$A$15,BC$13)="",10^12,OFFSET(CRONOPLE!$F$15,$M68-$A$15,BC$13)))</f>
        <v>1</v>
      </c>
      <c r="BD68" s="178">
        <f ca="1">IF(OR($D68&lt;&gt;"Serviço",AND(AUTOEVENTO="Manual",$M68=$A$15)),0,
         IF(OFFSET(CRONOPLE!$F$15,$M68-$A$15,BD$13)="",10^12,OFFSET(CRONOPLE!$F$15,$M68-$A$15,BD$13)))</f>
        <v>2</v>
      </c>
      <c r="BE68" s="178">
        <f ca="1">IF(OR($D68&lt;&gt;"Serviço",AND(AUTOEVENTO="Manual",$M68=$A$15)),0,
         IF(OFFSET(CRONOPLE!$F$15,$M68-$A$15,BE$13)="",10^12,OFFSET(CRONOPLE!$F$15,$M68-$A$15,BE$13)))</f>
        <v>3</v>
      </c>
      <c r="BF68" s="178">
        <f ca="1">IF(OR($D68&lt;&gt;"Serviço",AND(AUTOEVENTO="Manual",$M68=$A$15)),0,
         IF(OFFSET(CRONOPLE!$F$15,$M68-$A$15,BF$13)="",10^12,OFFSET(CRONOPLE!$F$15,$M68-$A$15,BF$13)))</f>
        <v>4</v>
      </c>
      <c r="BG68" s="178">
        <f ca="1">IF(OR($D68&lt;&gt;"Serviço",AND(AUTOEVENTO="Manual",$M68=$A$15)),0,
         IF(OFFSET(CRONOPLE!$F$15,$M68-$A$15,BG$13)="",10^12,OFFSET(CRONOPLE!$F$15,$M68-$A$15,BG$13)))</f>
        <v>5</v>
      </c>
      <c r="BH68" s="178">
        <f ca="1">IF(OR($D68&lt;&gt;"Serviço",AND(AUTOEVENTO="Manual",$M68=$A$15)),0,
         IF(OFFSET(CRONOPLE!$F$15,$M68-$A$15,BH$13)="",10^12,OFFSET(CRONOPLE!$F$15,$M68-$A$15,BH$13)))</f>
        <v>6</v>
      </c>
      <c r="BI68" s="178">
        <f ca="1">IF(OR($D68&lt;&gt;"Serviço",AND(AUTOEVENTO="Manual",$M68=$A$15)),0,
         IF(OFFSET(CRONOPLE!$F$15,$M68-$A$15,BI$13)="",10^12,OFFSET(CRONOPLE!$F$15,$M68-$A$15,BI$13)))</f>
        <v>1000000000000</v>
      </c>
      <c r="BJ68" s="178">
        <f ca="1">IF(OR($D68&lt;&gt;"Serviço",AND(AUTOEVENTO="Manual",$M68=$A$15)),0,
         IF(OFFSET(CRONOPLE!$F$15,$M68-$A$15,BJ$13)="",10^12,OFFSET(CRONOPLE!$F$15,$M68-$A$15,BJ$13)))</f>
        <v>1000000000000</v>
      </c>
      <c r="BK68" s="178">
        <f ca="1">IF(OR($D68&lt;&gt;"Serviço",AND(AUTOEVENTO="Manual",$M68=$A$15)),0,
         IF(OFFSET(CRONOPLE!$F$15,$M68-$A$15,BK$13)="",10^12,OFFSET(CRONOPLE!$F$15,$M68-$A$15,BK$13)))</f>
        <v>1000000000000</v>
      </c>
      <c r="BL68" s="178">
        <f ca="1">IF(OR($D68&lt;&gt;"Serviço",AND(AUTOEVENTO="Manual",$M68=$A$15)),0,
         IF(OFFSET(CRONOPLE!$F$15,$M68-$A$15,BL$13)="",10^12,OFFSET(CRONOPLE!$F$15,$M68-$A$15,BL$13)))</f>
        <v>1000000000000</v>
      </c>
      <c r="BM68" s="178">
        <f ca="1">IF(OR($D68&lt;&gt;"Serviço",AND(AUTOEVENTO="Manual",$M68=$A$15)),0,
         IF(OFFSET(CRONOPLE!$F$15,$M68-$A$15,BM$13)="",10^12,OFFSET(CRONOPLE!$F$15,$M68-$A$15,BM$13)))</f>
        <v>1000000000000</v>
      </c>
      <c r="BN68" s="178">
        <f ca="1">IF(OR($D68&lt;&gt;"Serviço",AND(AUTOEVENTO="Manual",$M68=$A$15)),0,
         IF(OFFSET(CRONOPLE!$F$15,$M68-$A$15,BN$13)="",10^12,OFFSET(CRONOPLE!$F$15,$M68-$A$15,BN$13)))</f>
        <v>1000000000000</v>
      </c>
      <c r="BO68" s="178">
        <f ca="1">IF(OR($D68&lt;&gt;"Serviço",AND(AUTOEVENTO="Manual",$M68=$A$15)),0,
         IF(OFFSET(CRONOPLE!$F$15,$M68-$A$15,BO$13)="",10^12,OFFSET(CRONOPLE!$F$15,$M68-$A$15,BO$13)))</f>
        <v>1000000000000</v>
      </c>
      <c r="BP68" s="178">
        <f ca="1">IF(OR($D68&lt;&gt;"Serviço",AND(AUTOEVENTO="Manual",$M68=$A$15)),0,
         IF(OFFSET(CRONOPLE!$F$15,$M68-$A$15,BP$13)="",10^12,OFFSET(CRONOPLE!$F$15,$M68-$A$15,BP$13)))</f>
        <v>1000000000000</v>
      </c>
      <c r="BQ68" s="178">
        <f ca="1">IF(OR($D68&lt;&gt;"Serviço",AND(AUTOEVENTO="Manual",$M68=$A$15)),0,
         IF(OFFSET(CRONOPLE!$F$15,$M68-$A$15,BQ$13)="",10^12,OFFSET(CRONOPLE!$F$15,$M68-$A$15,BQ$13)))</f>
        <v>1000000000000</v>
      </c>
      <c r="BR68" s="178">
        <f ca="1">IF(OR($D68&lt;&gt;"Serviço",AND(AUTOEVENTO="Manual",$M68=$A$15)),0,
         IF(OFFSET(CRONOPLE!$F$15,$M68-$A$15,BR$13)="",10^12,OFFSET(CRONOPLE!$F$15,$M68-$A$15,BR$13)))</f>
        <v>1000000000000</v>
      </c>
      <c r="BS68" s="178">
        <f ca="1">IF(OR($D68&lt;&gt;"Serviço",AND(AUTOEVENTO="Manual",$M68=$A$15)),0,
         IF(OFFSET(CRONOPLE!$F$15,$M68-$A$15,BS$13)="",10^12,OFFSET(CRONOPLE!$F$15,$M68-$A$15,BS$13)))</f>
        <v>1000000000000</v>
      </c>
      <c r="BT68" s="178">
        <f ca="1">IF(OR($D68&lt;&gt;"Serviço",AND(AUTOEVENTO="Manual",$M68=$A$15)),0,
         IF(OFFSET(CRONOPLE!$F$15,$M68-$A$15,BT$13)="",10^12,OFFSET(CRONOPLE!$F$15,$M68-$A$15,BT$13)))</f>
        <v>1000000000000</v>
      </c>
      <c r="BV68" s="179">
        <f ca="1">IF(OR($D68&lt;&gt;"Serviço",AND(AUTOEVENTO="Manual",$M68=$A$15),$M68&gt;(ROW(PLE.lastrow)-ROW(PLE.firstrow))),0,
           IF(OFFSET(PLE!$G$15,$M68-$A$15,BV$13)="",10^12,OFFSET(PLE!$G$15,$M68-$A$15,BV$13)))</f>
        <v>1000000000000</v>
      </c>
      <c r="BW68" s="179">
        <f ca="1">IF(OR($D68&lt;&gt;"Serviço",AND(AUTOEVENTO="Manual",$M68=$A$15),$M68&gt;(ROW(PLE.lastrow)-ROW(PLE.firstrow))),0,
           IF(OFFSET(PLE!$G$15,$M68-$A$15,BW$13)="",10^12,OFFSET(PLE!$G$15,$M68-$A$15,BW$13)))</f>
        <v>1000000000000</v>
      </c>
      <c r="BX68" s="179">
        <f ca="1">IF(OR($D68&lt;&gt;"Serviço",AND(AUTOEVENTO="Manual",$M68=$A$15),$M68&gt;(ROW(PLE.lastrow)-ROW(PLE.firstrow))),0,
           IF(OFFSET(PLE!$G$15,$M68-$A$15,BX$13)="",10^12,OFFSET(PLE!$G$15,$M68-$A$15,BX$13)))</f>
        <v>1000000000000</v>
      </c>
      <c r="BY68" s="179">
        <f ca="1">IF(OR($D68&lt;&gt;"Serviço",AND(AUTOEVENTO="Manual",$M68=$A$15),$M68&gt;(ROW(PLE.lastrow)-ROW(PLE.firstrow))),0,
           IF(OFFSET(PLE!$G$15,$M68-$A$15,BY$13)="",10^12,OFFSET(PLE!$G$15,$M68-$A$15,BY$13)))</f>
        <v>1000000000000</v>
      </c>
      <c r="BZ68" s="179">
        <f ca="1">IF(OR($D68&lt;&gt;"Serviço",AND(AUTOEVENTO="Manual",$M68=$A$15),$M68&gt;(ROW(PLE.lastrow)-ROW(PLE.firstrow))),0,
           IF(OFFSET(PLE!$G$15,$M68-$A$15,BZ$13)="",10^12,OFFSET(PLE!$G$15,$M68-$A$15,BZ$13)))</f>
        <v>1000000000000</v>
      </c>
      <c r="CA68" s="179">
        <f ca="1">IF(OR($D68&lt;&gt;"Serviço",AND(AUTOEVENTO="Manual",$M68=$A$15),$M68&gt;(ROW(PLE.lastrow)-ROW(PLE.firstrow))),0,
           IF(OFFSET(PLE!$G$15,$M68-$A$15,CA$13)="",10^12,OFFSET(PLE!$G$15,$M68-$A$15,CA$13)))</f>
        <v>1000000000000</v>
      </c>
      <c r="CB68" s="179">
        <f ca="1">IF(OR($D68&lt;&gt;"Serviço",AND(AUTOEVENTO="Manual",$M68=$A$15),$M68&gt;(ROW(PLE.lastrow)-ROW(PLE.firstrow))),0,
           IF(OFFSET(PLE!$G$15,$M68-$A$15,CB$13)="",10^12,OFFSET(PLE!$G$15,$M68-$A$15,CB$13)))</f>
        <v>1000000000000</v>
      </c>
      <c r="CC68" s="179">
        <f ca="1">IF(OR($D68&lt;&gt;"Serviço",AND(AUTOEVENTO="Manual",$M68=$A$15),$M68&gt;(ROW(PLE.lastrow)-ROW(PLE.firstrow))),0,
           IF(OFFSET(PLE!$G$15,$M68-$A$15,CC$13)="",10^12,OFFSET(PLE!$G$15,$M68-$A$15,CC$13)))</f>
        <v>1000000000000</v>
      </c>
      <c r="CD68" s="179">
        <f ca="1">IF(OR($D68&lt;&gt;"Serviço",AND(AUTOEVENTO="Manual",$M68=$A$15),$M68&gt;(ROW(PLE.lastrow)-ROW(PLE.firstrow))),0,
           IF(OFFSET(PLE!$G$15,$M68-$A$15,CD$13)="",10^12,OFFSET(PLE!$G$15,$M68-$A$15,CD$13)))</f>
        <v>1000000000000</v>
      </c>
      <c r="CE68" s="179">
        <f ca="1">IF(OR($D68&lt;&gt;"Serviço",AND(AUTOEVENTO="Manual",$M68=$A$15),$M68&gt;(ROW(PLE.lastrow)-ROW(PLE.firstrow))),0,
           IF(OFFSET(PLE!$G$15,$M68-$A$15,CE$13)="",10^12,OFFSET(PLE!$G$15,$M68-$A$15,CE$13)))</f>
        <v>1000000000000</v>
      </c>
      <c r="CF68" s="179">
        <f ca="1">IF(OR($D68&lt;&gt;"Serviço",AND(AUTOEVENTO="Manual",$M68=$A$15),$M68&gt;(ROW(PLE.lastrow)-ROW(PLE.firstrow))),0,
           IF(OFFSET(PLE!$G$15,$M68-$A$15,CF$13)="",10^12,OFFSET(PLE!$G$15,$M68-$A$15,CF$13)))</f>
        <v>1000000000000</v>
      </c>
      <c r="CG68" s="179">
        <f ca="1">IF(OR($D68&lt;&gt;"Serviço",AND(AUTOEVENTO="Manual",$M68=$A$15),$M68&gt;(ROW(PLE.lastrow)-ROW(PLE.firstrow))),0,
           IF(OFFSET(PLE!$G$15,$M68-$A$15,CG$13)="",10^12,OFFSET(PLE!$G$15,$M68-$A$15,CG$13)))</f>
        <v>1000000000000</v>
      </c>
      <c r="CH68" s="179">
        <f ca="1">IF(OR($D68&lt;&gt;"Serviço",AND(AUTOEVENTO="Manual",$M68=$A$15),$M68&gt;(ROW(PLE.lastrow)-ROW(PLE.firstrow))),0,
           IF(OFFSET(PLE!$G$15,$M68-$A$15,CH$13)="",10^12,OFFSET(PLE!$G$15,$M68-$A$15,CH$13)))</f>
        <v>1000000000000</v>
      </c>
      <c r="CI68" s="179">
        <f ca="1">IF(OR($D68&lt;&gt;"Serviço",AND(AUTOEVENTO="Manual",$M68=$A$15),$M68&gt;(ROW(PLE.lastrow)-ROW(PLE.firstrow))),0,
           IF(OFFSET(PLE!$G$15,$M68-$A$15,CI$13)="",10^12,OFFSET(PLE!$G$15,$M68-$A$15,CI$13)))</f>
        <v>1000000000000</v>
      </c>
      <c r="CJ68" s="179">
        <f ca="1">IF(OR($D68&lt;&gt;"Serviço",AND(AUTOEVENTO="Manual",$M68=$A$15),$M68&gt;(ROW(PLE.lastrow)-ROW(PLE.firstrow))),0,
           IF(OFFSET(PLE!$G$15,$M68-$A$15,CJ$13)="",10^12,OFFSET(PLE!$G$15,$M68-$A$15,CJ$13)))</f>
        <v>1000000000000</v>
      </c>
      <c r="CK68" s="179">
        <f ca="1">IF(OR($D68&lt;&gt;"Serviço",AND(AUTOEVENTO="Manual",$M68=$A$15),$M68&gt;(ROW(PLE.lastrow)-ROW(PLE.firstrow))),0,
           IF(OFFSET(PLE!$G$15,$M68-$A$15,CK$13)="",10^12,OFFSET(PLE!$G$15,$M68-$A$15,CK$13)))</f>
        <v>1000000000000</v>
      </c>
      <c r="CL68" s="179">
        <f ca="1">IF(OR($D68&lt;&gt;"Serviço",AND(AUTOEVENTO="Manual",$M68=$A$15),$M68&gt;(ROW(PLE.lastrow)-ROW(PLE.firstrow))),0,
           IF(OFFSET(PLE!$G$15,$M68-$A$15,CL$13)="",10^12,OFFSET(PLE!$G$15,$M68-$A$15,CL$13)))</f>
        <v>1000000000000</v>
      </c>
      <c r="CM68" s="179">
        <f ca="1">IF(OR($D68&lt;&gt;"Serviço",AND(AUTOEVENTO="Manual",$M68=$A$15),$M68&gt;(ROW(PLE.lastrow)-ROW(PLE.firstrow))),0,
           IF(OFFSET(PLE!$G$15,$M68-$A$15,CM$13)="",10^12,OFFSET(PLE!$G$15,$M68-$A$15,CM$13)))</f>
        <v>1000000000000</v>
      </c>
    </row>
    <row r="69" spans="1:91" ht="25.5" x14ac:dyDescent="0.2">
      <c r="A69" s="7" t="str">
        <f ca="1">IF(AUTOEVENTO="Manual",IF(K69&lt;&gt;"",MIN(VALUE(LEFT(K69,FIND(".",K69)-1)),COUNTA(EVENTOS.Lista)),0),IF(OR($B69&gt;AUTOEVENTO,$B69="S",$B69=0),SUBSTITUTE(OFFSET($A69,-1,0),IF($D69="Serviço",".",""),""),ROW(A69)-ROW($A$15)&amp;"."))</f>
        <v>50</v>
      </c>
      <c r="B69" s="7" t="str">
        <f ca="1">OFFSET(ORÇAMENTO!C$15,ROW(B69)-ROW(B$15),0)</f>
        <v>S</v>
      </c>
      <c r="C69" s="7" t="str">
        <f ca="1">OFFSET(ORÇAMENTO!L$15,ROW(C69)-ROW(C$15),0)</f>
        <v>F</v>
      </c>
      <c r="D69" s="118" t="str">
        <f ca="1">OFFSET(ORÇAMENTO!N$15,ROW(D69)-ROW(D$15),0)</f>
        <v>Serviço</v>
      </c>
      <c r="E69" s="119" t="str">
        <f ca="1">OFFSET(ORÇAMENTO!O$15,ROW(E69)-ROW(E$15),0)</f>
        <v>1.8.0.0.4.</v>
      </c>
      <c r="F69" s="170" t="str">
        <f ca="1">OFFSET(ORÇAMENTO!R$15,ROW(F69)-ROW(F$15),0)</f>
        <v>PINTURA LÁTEX ACRÍLICA PREMIUM, APLICAÇÃO MANUAL EM PAREDES, DUAS DEMÃOS. AF_04/2023</v>
      </c>
      <c r="G69" s="171" t="str">
        <f ca="1">IF($D69&lt;&gt;"Serviço","",OFFSET(ORÇAMENTO!S$15,ROW(G69)-ROW(G$15),0))</f>
        <v>M2</v>
      </c>
      <c r="H69" s="124" cm="1">
        <f t="array" aca="1" ref="H69" ca="1">IF($D69&lt;&gt;"Serviço",0,IF(_xlfn.SINGLE(ACOMPANHAMENTO)="BM",ROUND(OFFSET(ORÇAMENTO!AJ$15,ROW(H69)-ROW(H$15),0),15-13*ORÇAMENTO!$AF$7),SUMPRODUCT(($Q$1:$AI$1)*ROUND($Q69:$AI69,15-13*ORÇAMENTO!$AF$7))))</f>
        <v>7.84</v>
      </c>
      <c r="I69" s="500" t="s">
        <v>1004</v>
      </c>
      <c r="J69" s="632" t="str" cm="1">
        <f t="array" aca="1" ref="J69" ca="1">IF(B69&lt;&gt;"S","",IF(AND(ACOMPANHAMENTO="PLE",AUTOEVENTO="Manual",OR(H69&gt;0,ORÇAMENTO!AC69="QUANT."),OR(K69="",M69=0,N69="")),"►",IF(AND(ACOMPANHAMENTO="PLE",ORÇAMENTO!AC69="QUANT."),"►►",IF(AND(COUNTIF($P$11:$AI$11,"▼")=0,H69&gt;0,I69=""),"◄",""))))</f>
        <v/>
      </c>
      <c r="K69" s="624"/>
      <c r="L69" s="172" t="s">
        <v>253</v>
      </c>
      <c r="M69" s="173">
        <f ca="1">IF($D69&lt;&gt;"Serviço","",
          IF(AUTOEVENTO="manual",$A69,
                IF(ISERROR(MATCH($A69,$A$15:OFFSET($A69,-1,0),0)),MAX($M$15:OFFSET(M69,-1,0))+1,
                      INDEX($M$15:OFFSET(M69,-1,0),MATCH($A69,$A$15:OFFSET($A69,-1,0),0)))))</f>
        <v>8</v>
      </c>
      <c r="N69" s="174" t="str">
        <f ca="1">IF($D69&lt;&gt;"Serviço","",
         IF(AUTOEVENTO="Manual",
                IF($A69=0,"&lt;-- defina o número do agrupador",
                       OFFSET(EVENTOS!$D$15,$A69-$A$15,0)),
                OFFSET($F$15,$A69,0)))</f>
        <v>PINTURA</v>
      </c>
      <c r="O69" s="175"/>
      <c r="Q69" s="175"/>
      <c r="R69" s="176"/>
      <c r="S69" s="176"/>
      <c r="T69" s="176"/>
      <c r="U69" s="176">
        <v>7.84</v>
      </c>
      <c r="V69" s="176"/>
      <c r="W69" s="176"/>
      <c r="X69" s="176"/>
      <c r="Y69" s="176"/>
      <c r="Z69" s="177"/>
      <c r="AA69" s="176"/>
      <c r="AB69" s="176"/>
      <c r="AC69" s="176"/>
      <c r="AD69" s="176"/>
      <c r="AE69" s="176"/>
      <c r="AF69" s="176"/>
      <c r="AG69" s="176"/>
      <c r="AH69" s="177"/>
      <c r="AJ69" s="485">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85">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L69" s="485">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0</v>
      </c>
      <c r="AM69" s="485">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0</v>
      </c>
      <c r="AN69" s="485">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133.52000000000001</v>
      </c>
      <c r="AO69" s="485">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85">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85">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85">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85">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85">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85">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85">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85">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85">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85">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85">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85">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8">
        <f ca="1">IF(OR($D69&lt;&gt;"Serviço",AND(AUTOEVENTO="Manual",$M69=$A$15)),0,
         IF(OFFSET(CRONOPLE!$F$15,$M69-$A$15,BC$13)="",10^12,OFFSET(CRONOPLE!$F$15,$M69-$A$15,BC$13)))</f>
        <v>1</v>
      </c>
      <c r="BD69" s="178">
        <f ca="1">IF(OR($D69&lt;&gt;"Serviço",AND(AUTOEVENTO="Manual",$M69=$A$15)),0,
         IF(OFFSET(CRONOPLE!$F$15,$M69-$A$15,BD$13)="",10^12,OFFSET(CRONOPLE!$F$15,$M69-$A$15,BD$13)))</f>
        <v>2</v>
      </c>
      <c r="BE69" s="178">
        <f ca="1">IF(OR($D69&lt;&gt;"Serviço",AND(AUTOEVENTO="Manual",$M69=$A$15)),0,
         IF(OFFSET(CRONOPLE!$F$15,$M69-$A$15,BE$13)="",10^12,OFFSET(CRONOPLE!$F$15,$M69-$A$15,BE$13)))</f>
        <v>3</v>
      </c>
      <c r="BF69" s="178">
        <f ca="1">IF(OR($D69&lt;&gt;"Serviço",AND(AUTOEVENTO="Manual",$M69=$A$15)),0,
         IF(OFFSET(CRONOPLE!$F$15,$M69-$A$15,BF$13)="",10^12,OFFSET(CRONOPLE!$F$15,$M69-$A$15,BF$13)))</f>
        <v>4</v>
      </c>
      <c r="BG69" s="178">
        <f ca="1">IF(OR($D69&lt;&gt;"Serviço",AND(AUTOEVENTO="Manual",$M69=$A$15)),0,
         IF(OFFSET(CRONOPLE!$F$15,$M69-$A$15,BG$13)="",10^12,OFFSET(CRONOPLE!$F$15,$M69-$A$15,BG$13)))</f>
        <v>5</v>
      </c>
      <c r="BH69" s="178">
        <f ca="1">IF(OR($D69&lt;&gt;"Serviço",AND(AUTOEVENTO="Manual",$M69=$A$15)),0,
         IF(OFFSET(CRONOPLE!$F$15,$M69-$A$15,BH$13)="",10^12,OFFSET(CRONOPLE!$F$15,$M69-$A$15,BH$13)))</f>
        <v>6</v>
      </c>
      <c r="BI69" s="178">
        <f ca="1">IF(OR($D69&lt;&gt;"Serviço",AND(AUTOEVENTO="Manual",$M69=$A$15)),0,
         IF(OFFSET(CRONOPLE!$F$15,$M69-$A$15,BI$13)="",10^12,OFFSET(CRONOPLE!$F$15,$M69-$A$15,BI$13)))</f>
        <v>1000000000000</v>
      </c>
      <c r="BJ69" s="178">
        <f ca="1">IF(OR($D69&lt;&gt;"Serviço",AND(AUTOEVENTO="Manual",$M69=$A$15)),0,
         IF(OFFSET(CRONOPLE!$F$15,$M69-$A$15,BJ$13)="",10^12,OFFSET(CRONOPLE!$F$15,$M69-$A$15,BJ$13)))</f>
        <v>1000000000000</v>
      </c>
      <c r="BK69" s="178">
        <f ca="1">IF(OR($D69&lt;&gt;"Serviço",AND(AUTOEVENTO="Manual",$M69=$A$15)),0,
         IF(OFFSET(CRONOPLE!$F$15,$M69-$A$15,BK$13)="",10^12,OFFSET(CRONOPLE!$F$15,$M69-$A$15,BK$13)))</f>
        <v>1000000000000</v>
      </c>
      <c r="BL69" s="178">
        <f ca="1">IF(OR($D69&lt;&gt;"Serviço",AND(AUTOEVENTO="Manual",$M69=$A$15)),0,
         IF(OFFSET(CRONOPLE!$F$15,$M69-$A$15,BL$13)="",10^12,OFFSET(CRONOPLE!$F$15,$M69-$A$15,BL$13)))</f>
        <v>1000000000000</v>
      </c>
      <c r="BM69" s="178">
        <f ca="1">IF(OR($D69&lt;&gt;"Serviço",AND(AUTOEVENTO="Manual",$M69=$A$15)),0,
         IF(OFFSET(CRONOPLE!$F$15,$M69-$A$15,BM$13)="",10^12,OFFSET(CRONOPLE!$F$15,$M69-$A$15,BM$13)))</f>
        <v>1000000000000</v>
      </c>
      <c r="BN69" s="178">
        <f ca="1">IF(OR($D69&lt;&gt;"Serviço",AND(AUTOEVENTO="Manual",$M69=$A$15)),0,
         IF(OFFSET(CRONOPLE!$F$15,$M69-$A$15,BN$13)="",10^12,OFFSET(CRONOPLE!$F$15,$M69-$A$15,BN$13)))</f>
        <v>1000000000000</v>
      </c>
      <c r="BO69" s="178">
        <f ca="1">IF(OR($D69&lt;&gt;"Serviço",AND(AUTOEVENTO="Manual",$M69=$A$15)),0,
         IF(OFFSET(CRONOPLE!$F$15,$M69-$A$15,BO$13)="",10^12,OFFSET(CRONOPLE!$F$15,$M69-$A$15,BO$13)))</f>
        <v>1000000000000</v>
      </c>
      <c r="BP69" s="178">
        <f ca="1">IF(OR($D69&lt;&gt;"Serviço",AND(AUTOEVENTO="Manual",$M69=$A$15)),0,
         IF(OFFSET(CRONOPLE!$F$15,$M69-$A$15,BP$13)="",10^12,OFFSET(CRONOPLE!$F$15,$M69-$A$15,BP$13)))</f>
        <v>1000000000000</v>
      </c>
      <c r="BQ69" s="178">
        <f ca="1">IF(OR($D69&lt;&gt;"Serviço",AND(AUTOEVENTO="Manual",$M69=$A$15)),0,
         IF(OFFSET(CRONOPLE!$F$15,$M69-$A$15,BQ$13)="",10^12,OFFSET(CRONOPLE!$F$15,$M69-$A$15,BQ$13)))</f>
        <v>1000000000000</v>
      </c>
      <c r="BR69" s="178">
        <f ca="1">IF(OR($D69&lt;&gt;"Serviço",AND(AUTOEVENTO="Manual",$M69=$A$15)),0,
         IF(OFFSET(CRONOPLE!$F$15,$M69-$A$15,BR$13)="",10^12,OFFSET(CRONOPLE!$F$15,$M69-$A$15,BR$13)))</f>
        <v>1000000000000</v>
      </c>
      <c r="BS69" s="178">
        <f ca="1">IF(OR($D69&lt;&gt;"Serviço",AND(AUTOEVENTO="Manual",$M69=$A$15)),0,
         IF(OFFSET(CRONOPLE!$F$15,$M69-$A$15,BS$13)="",10^12,OFFSET(CRONOPLE!$F$15,$M69-$A$15,BS$13)))</f>
        <v>1000000000000</v>
      </c>
      <c r="BT69" s="178">
        <f ca="1">IF(OR($D69&lt;&gt;"Serviço",AND(AUTOEVENTO="Manual",$M69=$A$15)),0,
         IF(OFFSET(CRONOPLE!$F$15,$M69-$A$15,BT$13)="",10^12,OFFSET(CRONOPLE!$F$15,$M69-$A$15,BT$13)))</f>
        <v>1000000000000</v>
      </c>
      <c r="BV69" s="179">
        <f ca="1">IF(OR($D69&lt;&gt;"Serviço",AND(AUTOEVENTO="Manual",$M69=$A$15),$M69&gt;(ROW(PLE.lastrow)-ROW(PLE.firstrow))),0,
           IF(OFFSET(PLE!$G$15,$M69-$A$15,BV$13)="",10^12,OFFSET(PLE!$G$15,$M69-$A$15,BV$13)))</f>
        <v>1000000000000</v>
      </c>
      <c r="BW69" s="179">
        <f ca="1">IF(OR($D69&lt;&gt;"Serviço",AND(AUTOEVENTO="Manual",$M69=$A$15),$M69&gt;(ROW(PLE.lastrow)-ROW(PLE.firstrow))),0,
           IF(OFFSET(PLE!$G$15,$M69-$A$15,BW$13)="",10^12,OFFSET(PLE!$G$15,$M69-$A$15,BW$13)))</f>
        <v>1000000000000</v>
      </c>
      <c r="BX69" s="179">
        <f ca="1">IF(OR($D69&lt;&gt;"Serviço",AND(AUTOEVENTO="Manual",$M69=$A$15),$M69&gt;(ROW(PLE.lastrow)-ROW(PLE.firstrow))),0,
           IF(OFFSET(PLE!$G$15,$M69-$A$15,BX$13)="",10^12,OFFSET(PLE!$G$15,$M69-$A$15,BX$13)))</f>
        <v>1000000000000</v>
      </c>
      <c r="BY69" s="179">
        <f ca="1">IF(OR($D69&lt;&gt;"Serviço",AND(AUTOEVENTO="Manual",$M69=$A$15),$M69&gt;(ROW(PLE.lastrow)-ROW(PLE.firstrow))),0,
           IF(OFFSET(PLE!$G$15,$M69-$A$15,BY$13)="",10^12,OFFSET(PLE!$G$15,$M69-$A$15,BY$13)))</f>
        <v>1000000000000</v>
      </c>
      <c r="BZ69" s="179">
        <f ca="1">IF(OR($D69&lt;&gt;"Serviço",AND(AUTOEVENTO="Manual",$M69=$A$15),$M69&gt;(ROW(PLE.lastrow)-ROW(PLE.firstrow))),0,
           IF(OFFSET(PLE!$G$15,$M69-$A$15,BZ$13)="",10^12,OFFSET(PLE!$G$15,$M69-$A$15,BZ$13)))</f>
        <v>1000000000000</v>
      </c>
      <c r="CA69" s="179">
        <f ca="1">IF(OR($D69&lt;&gt;"Serviço",AND(AUTOEVENTO="Manual",$M69=$A$15),$M69&gt;(ROW(PLE.lastrow)-ROW(PLE.firstrow))),0,
           IF(OFFSET(PLE!$G$15,$M69-$A$15,CA$13)="",10^12,OFFSET(PLE!$G$15,$M69-$A$15,CA$13)))</f>
        <v>1000000000000</v>
      </c>
      <c r="CB69" s="179">
        <f ca="1">IF(OR($D69&lt;&gt;"Serviço",AND(AUTOEVENTO="Manual",$M69=$A$15),$M69&gt;(ROW(PLE.lastrow)-ROW(PLE.firstrow))),0,
           IF(OFFSET(PLE!$G$15,$M69-$A$15,CB$13)="",10^12,OFFSET(PLE!$G$15,$M69-$A$15,CB$13)))</f>
        <v>1000000000000</v>
      </c>
      <c r="CC69" s="179">
        <f ca="1">IF(OR($D69&lt;&gt;"Serviço",AND(AUTOEVENTO="Manual",$M69=$A$15),$M69&gt;(ROW(PLE.lastrow)-ROW(PLE.firstrow))),0,
           IF(OFFSET(PLE!$G$15,$M69-$A$15,CC$13)="",10^12,OFFSET(PLE!$G$15,$M69-$A$15,CC$13)))</f>
        <v>1000000000000</v>
      </c>
      <c r="CD69" s="179">
        <f ca="1">IF(OR($D69&lt;&gt;"Serviço",AND(AUTOEVENTO="Manual",$M69=$A$15),$M69&gt;(ROW(PLE.lastrow)-ROW(PLE.firstrow))),0,
           IF(OFFSET(PLE!$G$15,$M69-$A$15,CD$13)="",10^12,OFFSET(PLE!$G$15,$M69-$A$15,CD$13)))</f>
        <v>1000000000000</v>
      </c>
      <c r="CE69" s="179">
        <f ca="1">IF(OR($D69&lt;&gt;"Serviço",AND(AUTOEVENTO="Manual",$M69=$A$15),$M69&gt;(ROW(PLE.lastrow)-ROW(PLE.firstrow))),0,
           IF(OFFSET(PLE!$G$15,$M69-$A$15,CE$13)="",10^12,OFFSET(PLE!$G$15,$M69-$A$15,CE$13)))</f>
        <v>1000000000000</v>
      </c>
      <c r="CF69" s="179">
        <f ca="1">IF(OR($D69&lt;&gt;"Serviço",AND(AUTOEVENTO="Manual",$M69=$A$15),$M69&gt;(ROW(PLE.lastrow)-ROW(PLE.firstrow))),0,
           IF(OFFSET(PLE!$G$15,$M69-$A$15,CF$13)="",10^12,OFFSET(PLE!$G$15,$M69-$A$15,CF$13)))</f>
        <v>1000000000000</v>
      </c>
      <c r="CG69" s="179">
        <f ca="1">IF(OR($D69&lt;&gt;"Serviço",AND(AUTOEVENTO="Manual",$M69=$A$15),$M69&gt;(ROW(PLE.lastrow)-ROW(PLE.firstrow))),0,
           IF(OFFSET(PLE!$G$15,$M69-$A$15,CG$13)="",10^12,OFFSET(PLE!$G$15,$M69-$A$15,CG$13)))</f>
        <v>1000000000000</v>
      </c>
      <c r="CH69" s="179">
        <f ca="1">IF(OR($D69&lt;&gt;"Serviço",AND(AUTOEVENTO="Manual",$M69=$A$15),$M69&gt;(ROW(PLE.lastrow)-ROW(PLE.firstrow))),0,
           IF(OFFSET(PLE!$G$15,$M69-$A$15,CH$13)="",10^12,OFFSET(PLE!$G$15,$M69-$A$15,CH$13)))</f>
        <v>1000000000000</v>
      </c>
      <c r="CI69" s="179">
        <f ca="1">IF(OR($D69&lt;&gt;"Serviço",AND(AUTOEVENTO="Manual",$M69=$A$15),$M69&gt;(ROW(PLE.lastrow)-ROW(PLE.firstrow))),0,
           IF(OFFSET(PLE!$G$15,$M69-$A$15,CI$13)="",10^12,OFFSET(PLE!$G$15,$M69-$A$15,CI$13)))</f>
        <v>1000000000000</v>
      </c>
      <c r="CJ69" s="179">
        <f ca="1">IF(OR($D69&lt;&gt;"Serviço",AND(AUTOEVENTO="Manual",$M69=$A$15),$M69&gt;(ROW(PLE.lastrow)-ROW(PLE.firstrow))),0,
           IF(OFFSET(PLE!$G$15,$M69-$A$15,CJ$13)="",10^12,OFFSET(PLE!$G$15,$M69-$A$15,CJ$13)))</f>
        <v>1000000000000</v>
      </c>
      <c r="CK69" s="179">
        <f ca="1">IF(OR($D69&lt;&gt;"Serviço",AND(AUTOEVENTO="Manual",$M69=$A$15),$M69&gt;(ROW(PLE.lastrow)-ROW(PLE.firstrow))),0,
           IF(OFFSET(PLE!$G$15,$M69-$A$15,CK$13)="",10^12,OFFSET(PLE!$G$15,$M69-$A$15,CK$13)))</f>
        <v>1000000000000</v>
      </c>
      <c r="CL69" s="179">
        <f ca="1">IF(OR($D69&lt;&gt;"Serviço",AND(AUTOEVENTO="Manual",$M69=$A$15),$M69&gt;(ROW(PLE.lastrow)-ROW(PLE.firstrow))),0,
           IF(OFFSET(PLE!$G$15,$M69-$A$15,CL$13)="",10^12,OFFSET(PLE!$G$15,$M69-$A$15,CL$13)))</f>
        <v>1000000000000</v>
      </c>
      <c r="CM69" s="179">
        <f ca="1">IF(OR($D69&lt;&gt;"Serviço",AND(AUTOEVENTO="Manual",$M69=$A$15),$M69&gt;(ROW(PLE.lastrow)-ROW(PLE.firstrow))),0,
           IF(OFFSET(PLE!$G$15,$M69-$A$15,CM$13)="",10^12,OFFSET(PLE!$G$15,$M69-$A$15,CM$13)))</f>
        <v>1000000000000</v>
      </c>
    </row>
    <row r="70" spans="1:91" ht="12.75" x14ac:dyDescent="0.2">
      <c r="A70" s="7" t="str">
        <f ca="1">IF(AUTOEVENTO="Manual",IF(K70&lt;&gt;"",MIN(VALUE(LEFT(K70,FIND(".",K70)-1)),COUNTA(EVENTOS.Lista)),0),IF(OR($B70&gt;AUTOEVENTO,$B70="S",$B70=0),SUBSTITUTE(OFFSET($A70,-1,0),IF($D70="Serviço",".",""),""),ROW(A70)-ROW($A$15)&amp;"."))</f>
        <v>55.</v>
      </c>
      <c r="B70" s="7">
        <f ca="1">OFFSET(ORÇAMENTO!C$15,ROW(B70)-ROW(B$15),0)</f>
        <v>2</v>
      </c>
      <c r="C70" s="7" t="str">
        <f ca="1">OFFSET(ORÇAMENTO!L$15,ROW(C70)-ROW(C$15),0)</f>
        <v>F</v>
      </c>
      <c r="D70" s="118" t="str">
        <f ca="1">OFFSET(ORÇAMENTO!N$15,ROW(D70)-ROW(D$15),0)</f>
        <v>Nível 2</v>
      </c>
      <c r="E70" s="119" t="str">
        <f ca="1">OFFSET(ORÇAMENTO!O$15,ROW(E70)-ROW(E$15),0)</f>
        <v>1.9.</v>
      </c>
      <c r="F70" s="170" t="str">
        <f ca="1">OFFSET(ORÇAMENTO!R$15,ROW(F70)-ROW(F$15),0)</f>
        <v>EQUIPAMENTOS E MOBILIÁRIOS URBANOS</v>
      </c>
      <c r="G70" s="171" t="str">
        <f ca="1">IF($D70&lt;&gt;"Serviço","",OFFSET(ORÇAMENTO!S$15,ROW(G70)-ROW(G$15),0))</f>
        <v/>
      </c>
      <c r="H70" s="124" cm="1">
        <f t="array" aca="1" ref="H70" ca="1">IF($D70&lt;&gt;"Serviço",0,IF(_xlfn.SINGLE(ACOMPANHAMENTO)="BM",ROUND(OFFSET(ORÇAMENTO!AJ$15,ROW(H70)-ROW(H$15),0),15-13*ORÇAMENTO!$AF$7),SUMPRODUCT(($Q$1:$AI$1)*ROUND($Q70:$AI70,15-13*ORÇAMENTO!$AF$7))))</f>
        <v>0</v>
      </c>
      <c r="I70" s="500"/>
      <c r="J70" s="632" t="str" cm="1">
        <f t="array" aca="1" ref="J70" ca="1">IF(B70&lt;&gt;"S","",IF(AND(ACOMPANHAMENTO="PLE",AUTOEVENTO="Manual",OR(H70&gt;0,ORÇAMENTO!AC70="QUANT."),OR(K70="",M70=0,N70="")),"►",IF(AND(ACOMPANHAMENTO="PLE",ORÇAMENTO!AC70="QUANT."),"►►",IF(AND(COUNTIF($P$11:$AI$11,"▼")=0,H70&gt;0,I70=""),"◄",""))))</f>
        <v/>
      </c>
      <c r="K70" s="624"/>
      <c r="L70" s="172" t="s">
        <v>253</v>
      </c>
      <c r="M70" s="173" t="str">
        <f ca="1">IF($D70&lt;&gt;"Serviço","",
          IF(AUTOEVENTO="manual",$A70,
                IF(ISERROR(MATCH($A70,$A$15:OFFSET($A70,-1,0),0)),MAX($M$15:OFFSET(M70,-1,0))+1,
                      INDEX($M$15:OFFSET(M70,-1,0),MATCH($A70,$A$15:OFFSET($A70,-1,0),0)))))</f>
        <v/>
      </c>
      <c r="N70" s="174" t="str">
        <f ca="1">IF($D70&lt;&gt;"Serviço","",
         IF(AUTOEVENTO="Manual",
                IF($A70=0,"&lt;-- defina o número do agrupador",
                       OFFSET(EVENTOS!$D$15,$A70-$A$15,0)),
                OFFSET($F$15,$A70,0)))</f>
        <v/>
      </c>
      <c r="O70" s="175"/>
      <c r="Q70" s="175"/>
      <c r="R70" s="176"/>
      <c r="S70" s="176"/>
      <c r="T70" s="176"/>
      <c r="U70" s="176"/>
      <c r="V70" s="176"/>
      <c r="W70" s="176"/>
      <c r="X70" s="176"/>
      <c r="Y70" s="176"/>
      <c r="Z70" s="177"/>
      <c r="AA70" s="176"/>
      <c r="AB70" s="176"/>
      <c r="AC70" s="176"/>
      <c r="AD70" s="176"/>
      <c r="AE70" s="176"/>
      <c r="AF70" s="176"/>
      <c r="AG70" s="176"/>
      <c r="AH70" s="177"/>
      <c r="AJ70" s="485">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85">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L70" s="485">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0</v>
      </c>
      <c r="AM70" s="485">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0</v>
      </c>
      <c r="AN70" s="485">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0</v>
      </c>
      <c r="AO70" s="485">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85">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85">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85">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85">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85">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85">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85">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85">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85">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85">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85">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85">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8">
        <f ca="1">IF(OR($D70&lt;&gt;"Serviço",AND(AUTOEVENTO="Manual",$M70=$A$15)),0,
         IF(OFFSET(CRONOPLE!$F$15,$M70-$A$15,BC$13)="",10^12,OFFSET(CRONOPLE!$F$15,$M70-$A$15,BC$13)))</f>
        <v>0</v>
      </c>
      <c r="BD70" s="178">
        <f ca="1">IF(OR($D70&lt;&gt;"Serviço",AND(AUTOEVENTO="Manual",$M70=$A$15)),0,
         IF(OFFSET(CRONOPLE!$F$15,$M70-$A$15,BD$13)="",10^12,OFFSET(CRONOPLE!$F$15,$M70-$A$15,BD$13)))</f>
        <v>0</v>
      </c>
      <c r="BE70" s="178">
        <f ca="1">IF(OR($D70&lt;&gt;"Serviço",AND(AUTOEVENTO="Manual",$M70=$A$15)),0,
         IF(OFFSET(CRONOPLE!$F$15,$M70-$A$15,BE$13)="",10^12,OFFSET(CRONOPLE!$F$15,$M70-$A$15,BE$13)))</f>
        <v>0</v>
      </c>
      <c r="BF70" s="178">
        <f ca="1">IF(OR($D70&lt;&gt;"Serviço",AND(AUTOEVENTO="Manual",$M70=$A$15)),0,
         IF(OFFSET(CRONOPLE!$F$15,$M70-$A$15,BF$13)="",10^12,OFFSET(CRONOPLE!$F$15,$M70-$A$15,BF$13)))</f>
        <v>0</v>
      </c>
      <c r="BG70" s="178">
        <f ca="1">IF(OR($D70&lt;&gt;"Serviço",AND(AUTOEVENTO="Manual",$M70=$A$15)),0,
         IF(OFFSET(CRONOPLE!$F$15,$M70-$A$15,BG$13)="",10^12,OFFSET(CRONOPLE!$F$15,$M70-$A$15,BG$13)))</f>
        <v>0</v>
      </c>
      <c r="BH70" s="178">
        <f ca="1">IF(OR($D70&lt;&gt;"Serviço",AND(AUTOEVENTO="Manual",$M70=$A$15)),0,
         IF(OFFSET(CRONOPLE!$F$15,$M70-$A$15,BH$13)="",10^12,OFFSET(CRONOPLE!$F$15,$M70-$A$15,BH$13)))</f>
        <v>0</v>
      </c>
      <c r="BI70" s="178">
        <f ca="1">IF(OR($D70&lt;&gt;"Serviço",AND(AUTOEVENTO="Manual",$M70=$A$15)),0,
         IF(OFFSET(CRONOPLE!$F$15,$M70-$A$15,BI$13)="",10^12,OFFSET(CRONOPLE!$F$15,$M70-$A$15,BI$13)))</f>
        <v>0</v>
      </c>
      <c r="BJ70" s="178">
        <f ca="1">IF(OR($D70&lt;&gt;"Serviço",AND(AUTOEVENTO="Manual",$M70=$A$15)),0,
         IF(OFFSET(CRONOPLE!$F$15,$M70-$A$15,BJ$13)="",10^12,OFFSET(CRONOPLE!$F$15,$M70-$A$15,BJ$13)))</f>
        <v>0</v>
      </c>
      <c r="BK70" s="178">
        <f ca="1">IF(OR($D70&lt;&gt;"Serviço",AND(AUTOEVENTO="Manual",$M70=$A$15)),0,
         IF(OFFSET(CRONOPLE!$F$15,$M70-$A$15,BK$13)="",10^12,OFFSET(CRONOPLE!$F$15,$M70-$A$15,BK$13)))</f>
        <v>0</v>
      </c>
      <c r="BL70" s="178">
        <f ca="1">IF(OR($D70&lt;&gt;"Serviço",AND(AUTOEVENTO="Manual",$M70=$A$15)),0,
         IF(OFFSET(CRONOPLE!$F$15,$M70-$A$15,BL$13)="",10^12,OFFSET(CRONOPLE!$F$15,$M70-$A$15,BL$13)))</f>
        <v>0</v>
      </c>
      <c r="BM70" s="178">
        <f ca="1">IF(OR($D70&lt;&gt;"Serviço",AND(AUTOEVENTO="Manual",$M70=$A$15)),0,
         IF(OFFSET(CRONOPLE!$F$15,$M70-$A$15,BM$13)="",10^12,OFFSET(CRONOPLE!$F$15,$M70-$A$15,BM$13)))</f>
        <v>0</v>
      </c>
      <c r="BN70" s="178">
        <f ca="1">IF(OR($D70&lt;&gt;"Serviço",AND(AUTOEVENTO="Manual",$M70=$A$15)),0,
         IF(OFFSET(CRONOPLE!$F$15,$M70-$A$15,BN$13)="",10^12,OFFSET(CRONOPLE!$F$15,$M70-$A$15,BN$13)))</f>
        <v>0</v>
      </c>
      <c r="BO70" s="178">
        <f ca="1">IF(OR($D70&lt;&gt;"Serviço",AND(AUTOEVENTO="Manual",$M70=$A$15)),0,
         IF(OFFSET(CRONOPLE!$F$15,$M70-$A$15,BO$13)="",10^12,OFFSET(CRONOPLE!$F$15,$M70-$A$15,BO$13)))</f>
        <v>0</v>
      </c>
      <c r="BP70" s="178">
        <f ca="1">IF(OR($D70&lt;&gt;"Serviço",AND(AUTOEVENTO="Manual",$M70=$A$15)),0,
         IF(OFFSET(CRONOPLE!$F$15,$M70-$A$15,BP$13)="",10^12,OFFSET(CRONOPLE!$F$15,$M70-$A$15,BP$13)))</f>
        <v>0</v>
      </c>
      <c r="BQ70" s="178">
        <f ca="1">IF(OR($D70&lt;&gt;"Serviço",AND(AUTOEVENTO="Manual",$M70=$A$15)),0,
         IF(OFFSET(CRONOPLE!$F$15,$M70-$A$15,BQ$13)="",10^12,OFFSET(CRONOPLE!$F$15,$M70-$A$15,BQ$13)))</f>
        <v>0</v>
      </c>
      <c r="BR70" s="178">
        <f ca="1">IF(OR($D70&lt;&gt;"Serviço",AND(AUTOEVENTO="Manual",$M70=$A$15)),0,
         IF(OFFSET(CRONOPLE!$F$15,$M70-$A$15,BR$13)="",10^12,OFFSET(CRONOPLE!$F$15,$M70-$A$15,BR$13)))</f>
        <v>0</v>
      </c>
      <c r="BS70" s="178">
        <f ca="1">IF(OR($D70&lt;&gt;"Serviço",AND(AUTOEVENTO="Manual",$M70=$A$15)),0,
         IF(OFFSET(CRONOPLE!$F$15,$M70-$A$15,BS$13)="",10^12,OFFSET(CRONOPLE!$F$15,$M70-$A$15,BS$13)))</f>
        <v>0</v>
      </c>
      <c r="BT70" s="178">
        <f ca="1">IF(OR($D70&lt;&gt;"Serviço",AND(AUTOEVENTO="Manual",$M70=$A$15)),0,
         IF(OFFSET(CRONOPLE!$F$15,$M70-$A$15,BT$13)="",10^12,OFFSET(CRONOPLE!$F$15,$M70-$A$15,BT$13)))</f>
        <v>0</v>
      </c>
      <c r="BV70" s="179">
        <f ca="1">IF(OR($D70&lt;&gt;"Serviço",AND(AUTOEVENTO="Manual",$M70=$A$15),$M70&gt;(ROW(PLE.lastrow)-ROW(PLE.firstrow))),0,
           IF(OFFSET(PLE!$G$15,$M70-$A$15,BV$13)="",10^12,OFFSET(PLE!$G$15,$M70-$A$15,BV$13)))</f>
        <v>0</v>
      </c>
      <c r="BW70" s="179">
        <f ca="1">IF(OR($D70&lt;&gt;"Serviço",AND(AUTOEVENTO="Manual",$M70=$A$15),$M70&gt;(ROW(PLE.lastrow)-ROW(PLE.firstrow))),0,
           IF(OFFSET(PLE!$G$15,$M70-$A$15,BW$13)="",10^12,OFFSET(PLE!$G$15,$M70-$A$15,BW$13)))</f>
        <v>0</v>
      </c>
      <c r="BX70" s="179">
        <f ca="1">IF(OR($D70&lt;&gt;"Serviço",AND(AUTOEVENTO="Manual",$M70=$A$15),$M70&gt;(ROW(PLE.lastrow)-ROW(PLE.firstrow))),0,
           IF(OFFSET(PLE!$G$15,$M70-$A$15,BX$13)="",10^12,OFFSET(PLE!$G$15,$M70-$A$15,BX$13)))</f>
        <v>0</v>
      </c>
      <c r="BY70" s="179">
        <f ca="1">IF(OR($D70&lt;&gt;"Serviço",AND(AUTOEVENTO="Manual",$M70=$A$15),$M70&gt;(ROW(PLE.lastrow)-ROW(PLE.firstrow))),0,
           IF(OFFSET(PLE!$G$15,$M70-$A$15,BY$13)="",10^12,OFFSET(PLE!$G$15,$M70-$A$15,BY$13)))</f>
        <v>0</v>
      </c>
      <c r="BZ70" s="179">
        <f ca="1">IF(OR($D70&lt;&gt;"Serviço",AND(AUTOEVENTO="Manual",$M70=$A$15),$M70&gt;(ROW(PLE.lastrow)-ROW(PLE.firstrow))),0,
           IF(OFFSET(PLE!$G$15,$M70-$A$15,BZ$13)="",10^12,OFFSET(PLE!$G$15,$M70-$A$15,BZ$13)))</f>
        <v>0</v>
      </c>
      <c r="CA70" s="179">
        <f ca="1">IF(OR($D70&lt;&gt;"Serviço",AND(AUTOEVENTO="Manual",$M70=$A$15),$M70&gt;(ROW(PLE.lastrow)-ROW(PLE.firstrow))),0,
           IF(OFFSET(PLE!$G$15,$M70-$A$15,CA$13)="",10^12,OFFSET(PLE!$G$15,$M70-$A$15,CA$13)))</f>
        <v>0</v>
      </c>
      <c r="CB70" s="179">
        <f ca="1">IF(OR($D70&lt;&gt;"Serviço",AND(AUTOEVENTO="Manual",$M70=$A$15),$M70&gt;(ROW(PLE.lastrow)-ROW(PLE.firstrow))),0,
           IF(OFFSET(PLE!$G$15,$M70-$A$15,CB$13)="",10^12,OFFSET(PLE!$G$15,$M70-$A$15,CB$13)))</f>
        <v>0</v>
      </c>
      <c r="CC70" s="179">
        <f ca="1">IF(OR($D70&lt;&gt;"Serviço",AND(AUTOEVENTO="Manual",$M70=$A$15),$M70&gt;(ROW(PLE.lastrow)-ROW(PLE.firstrow))),0,
           IF(OFFSET(PLE!$G$15,$M70-$A$15,CC$13)="",10^12,OFFSET(PLE!$G$15,$M70-$A$15,CC$13)))</f>
        <v>0</v>
      </c>
      <c r="CD70" s="179">
        <f ca="1">IF(OR($D70&lt;&gt;"Serviço",AND(AUTOEVENTO="Manual",$M70=$A$15),$M70&gt;(ROW(PLE.lastrow)-ROW(PLE.firstrow))),0,
           IF(OFFSET(PLE!$G$15,$M70-$A$15,CD$13)="",10^12,OFFSET(PLE!$G$15,$M70-$A$15,CD$13)))</f>
        <v>0</v>
      </c>
      <c r="CE70" s="179">
        <f ca="1">IF(OR($D70&lt;&gt;"Serviço",AND(AUTOEVENTO="Manual",$M70=$A$15),$M70&gt;(ROW(PLE.lastrow)-ROW(PLE.firstrow))),0,
           IF(OFFSET(PLE!$G$15,$M70-$A$15,CE$13)="",10^12,OFFSET(PLE!$G$15,$M70-$A$15,CE$13)))</f>
        <v>0</v>
      </c>
      <c r="CF70" s="179">
        <f ca="1">IF(OR($D70&lt;&gt;"Serviço",AND(AUTOEVENTO="Manual",$M70=$A$15),$M70&gt;(ROW(PLE.lastrow)-ROW(PLE.firstrow))),0,
           IF(OFFSET(PLE!$G$15,$M70-$A$15,CF$13)="",10^12,OFFSET(PLE!$G$15,$M70-$A$15,CF$13)))</f>
        <v>0</v>
      </c>
      <c r="CG70" s="179">
        <f ca="1">IF(OR($D70&lt;&gt;"Serviço",AND(AUTOEVENTO="Manual",$M70=$A$15),$M70&gt;(ROW(PLE.lastrow)-ROW(PLE.firstrow))),0,
           IF(OFFSET(PLE!$G$15,$M70-$A$15,CG$13)="",10^12,OFFSET(PLE!$G$15,$M70-$A$15,CG$13)))</f>
        <v>0</v>
      </c>
      <c r="CH70" s="179">
        <f ca="1">IF(OR($D70&lt;&gt;"Serviço",AND(AUTOEVENTO="Manual",$M70=$A$15),$M70&gt;(ROW(PLE.lastrow)-ROW(PLE.firstrow))),0,
           IF(OFFSET(PLE!$G$15,$M70-$A$15,CH$13)="",10^12,OFFSET(PLE!$G$15,$M70-$A$15,CH$13)))</f>
        <v>0</v>
      </c>
      <c r="CI70" s="179">
        <f ca="1">IF(OR($D70&lt;&gt;"Serviço",AND(AUTOEVENTO="Manual",$M70=$A$15),$M70&gt;(ROW(PLE.lastrow)-ROW(PLE.firstrow))),0,
           IF(OFFSET(PLE!$G$15,$M70-$A$15,CI$13)="",10^12,OFFSET(PLE!$G$15,$M70-$A$15,CI$13)))</f>
        <v>0</v>
      </c>
      <c r="CJ70" s="179">
        <f ca="1">IF(OR($D70&lt;&gt;"Serviço",AND(AUTOEVENTO="Manual",$M70=$A$15),$M70&gt;(ROW(PLE.lastrow)-ROW(PLE.firstrow))),0,
           IF(OFFSET(PLE!$G$15,$M70-$A$15,CJ$13)="",10^12,OFFSET(PLE!$G$15,$M70-$A$15,CJ$13)))</f>
        <v>0</v>
      </c>
      <c r="CK70" s="179">
        <f ca="1">IF(OR($D70&lt;&gt;"Serviço",AND(AUTOEVENTO="Manual",$M70=$A$15),$M70&gt;(ROW(PLE.lastrow)-ROW(PLE.firstrow))),0,
           IF(OFFSET(PLE!$G$15,$M70-$A$15,CK$13)="",10^12,OFFSET(PLE!$G$15,$M70-$A$15,CK$13)))</f>
        <v>0</v>
      </c>
      <c r="CL70" s="179">
        <f ca="1">IF(OR($D70&lt;&gt;"Serviço",AND(AUTOEVENTO="Manual",$M70=$A$15),$M70&gt;(ROW(PLE.lastrow)-ROW(PLE.firstrow))),0,
           IF(OFFSET(PLE!$G$15,$M70-$A$15,CL$13)="",10^12,OFFSET(PLE!$G$15,$M70-$A$15,CL$13)))</f>
        <v>0</v>
      </c>
      <c r="CM70" s="179">
        <f ca="1">IF(OR($D70&lt;&gt;"Serviço",AND(AUTOEVENTO="Manual",$M70=$A$15),$M70&gt;(ROW(PLE.lastrow)-ROW(PLE.firstrow))),0,
           IF(OFFSET(PLE!$G$15,$M70-$A$15,CM$13)="",10^12,OFFSET(PLE!$G$15,$M70-$A$15,CM$13)))</f>
        <v>0</v>
      </c>
    </row>
    <row r="71" spans="1:91" ht="38.25" x14ac:dyDescent="0.2">
      <c r="A71" s="7" t="str">
        <f ca="1">IF(AUTOEVENTO="Manual",IF(K71&lt;&gt;"",MIN(VALUE(LEFT(K71,FIND(".",K71)-1)),COUNTA(EVENTOS.Lista)),0),IF(OR($B71&gt;AUTOEVENTO,$B71="S",$B71=0),SUBSTITUTE(OFFSET($A71,-1,0),IF($D71="Serviço",".",""),""),ROW(A71)-ROW($A$15)&amp;"."))</f>
        <v>55</v>
      </c>
      <c r="B71" s="7" t="str">
        <f ca="1">OFFSET(ORÇAMENTO!C$15,ROW(B71)-ROW(B$15),0)</f>
        <v>S</v>
      </c>
      <c r="C71" s="7" t="str">
        <f ca="1">OFFSET(ORÇAMENTO!L$15,ROW(C71)-ROW(C$15),0)</f>
        <v>F</v>
      </c>
      <c r="D71" s="118" t="str">
        <f ca="1">OFFSET(ORÇAMENTO!N$15,ROW(D71)-ROW(D$15),0)</f>
        <v>Serviço</v>
      </c>
      <c r="E71" s="119" t="str">
        <f ca="1">OFFSET(ORÇAMENTO!O$15,ROW(E71)-ROW(E$15),0)</f>
        <v>1.9.0.0.1.</v>
      </c>
      <c r="F71" s="170" t="str">
        <f ca="1">OFFSET(ORÇAMENTO!R$15,ROW(F71)-ROW(F$15),0)</f>
        <v>GUARDA-CORPO DE FERRO COM FORMATO PERSONALIZADO E PINTURA ELETROSTÁTICA NA COR PRETA, FRABRICAÇÃO E INSTALAÇÃO.</v>
      </c>
      <c r="G71" s="171" t="str">
        <f ca="1">IF($D71&lt;&gt;"Serviço","",OFFSET(ORÇAMENTO!S$15,ROW(G71)-ROW(G$15),0))</f>
        <v>UN</v>
      </c>
      <c r="H71" s="124" cm="1">
        <f t="array" aca="1" ref="H71" ca="1">IF($D71&lt;&gt;"Serviço",0,IF(_xlfn.SINGLE(ACOMPANHAMENTO)="BM",ROUND(OFFSET(ORÇAMENTO!AJ$15,ROW(H71)-ROW(H$15),0),15-13*ORÇAMENTO!$AF$7),SUMPRODUCT(($Q$1:$AI$1)*ROUND($Q71:$AI71,15-13*ORÇAMENTO!$AF$7))))</f>
        <v>1</v>
      </c>
      <c r="I71" s="500" t="s">
        <v>999</v>
      </c>
      <c r="J71" s="632" t="str" cm="1">
        <f t="array" aca="1" ref="J71" ca="1">IF(B71&lt;&gt;"S","",IF(AND(ACOMPANHAMENTO="PLE",AUTOEVENTO="Manual",OR(H71&gt;0,ORÇAMENTO!AC71="QUANT."),OR(K71="",M71=0,N71="")),"►",IF(AND(ACOMPANHAMENTO="PLE",ORÇAMENTO!AC71="QUANT."),"►►",IF(AND(COUNTIF($P$11:$AI$11,"▼")=0,H71&gt;0,I71=""),"◄",""))))</f>
        <v/>
      </c>
      <c r="K71" s="624"/>
      <c r="L71" s="172" t="s">
        <v>253</v>
      </c>
      <c r="M71" s="173">
        <f ca="1">IF($D71&lt;&gt;"Serviço","",
          IF(AUTOEVENTO="manual",$A71,
                IF(ISERROR(MATCH($A71,$A$15:OFFSET($A71,-1,0),0)),MAX($M$15:OFFSET(M71,-1,0))+1,
                      INDEX($M$15:OFFSET(M71,-1,0),MATCH($A71,$A$15:OFFSET($A71,-1,0),0)))))</f>
        <v>9</v>
      </c>
      <c r="N71" s="174" t="str">
        <f ca="1">IF($D71&lt;&gt;"Serviço","",
         IF(AUTOEVENTO="Manual",
                IF($A71=0,"&lt;-- defina o número do agrupador",
                       OFFSET(EVENTOS!$D$15,$A71-$A$15,0)),
                OFFSET($F$15,$A71,0)))</f>
        <v>EQUIPAMENTOS E MOBILIÁRIOS URBANOS</v>
      </c>
      <c r="O71" s="175"/>
      <c r="Q71" s="175"/>
      <c r="R71" s="176"/>
      <c r="S71" s="176"/>
      <c r="T71" s="176"/>
      <c r="U71" s="176">
        <v>1</v>
      </c>
      <c r="V71" s="176"/>
      <c r="W71" s="176"/>
      <c r="X71" s="176"/>
      <c r="Y71" s="176"/>
      <c r="Z71" s="177"/>
      <c r="AA71" s="176"/>
      <c r="AB71" s="176"/>
      <c r="AC71" s="176"/>
      <c r="AD71" s="176"/>
      <c r="AE71" s="176"/>
      <c r="AF71" s="176"/>
      <c r="AG71" s="176"/>
      <c r="AH71" s="177"/>
      <c r="AJ71" s="485">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85">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85">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85">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0</v>
      </c>
      <c r="AN71" s="485">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55962.04</v>
      </c>
      <c r="AO71" s="485">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85">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85">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85">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85">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85">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85">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85">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85">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85">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85">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85">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85">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8">
        <f ca="1">IF(OR($D71&lt;&gt;"Serviço",AND(AUTOEVENTO="Manual",$M71=$A$15)),0,
         IF(OFFSET(CRONOPLE!$F$15,$M71-$A$15,BC$13)="",10^12,OFFSET(CRONOPLE!$F$15,$M71-$A$15,BC$13)))</f>
        <v>1</v>
      </c>
      <c r="BD71" s="178">
        <f ca="1">IF(OR($D71&lt;&gt;"Serviço",AND(AUTOEVENTO="Manual",$M71=$A$15)),0,
         IF(OFFSET(CRONOPLE!$F$15,$M71-$A$15,BD$13)="",10^12,OFFSET(CRONOPLE!$F$15,$M71-$A$15,BD$13)))</f>
        <v>2</v>
      </c>
      <c r="BE71" s="178">
        <f ca="1">IF(OR($D71&lt;&gt;"Serviço",AND(AUTOEVENTO="Manual",$M71=$A$15)),0,
         IF(OFFSET(CRONOPLE!$F$15,$M71-$A$15,BE$13)="",10^12,OFFSET(CRONOPLE!$F$15,$M71-$A$15,BE$13)))</f>
        <v>3</v>
      </c>
      <c r="BF71" s="178">
        <f ca="1">IF(OR($D71&lt;&gt;"Serviço",AND(AUTOEVENTO="Manual",$M71=$A$15)),0,
         IF(OFFSET(CRONOPLE!$F$15,$M71-$A$15,BF$13)="",10^12,OFFSET(CRONOPLE!$F$15,$M71-$A$15,BF$13)))</f>
        <v>4</v>
      </c>
      <c r="BG71" s="178">
        <f ca="1">IF(OR($D71&lt;&gt;"Serviço",AND(AUTOEVENTO="Manual",$M71=$A$15)),0,
         IF(OFFSET(CRONOPLE!$F$15,$M71-$A$15,BG$13)="",10^12,OFFSET(CRONOPLE!$F$15,$M71-$A$15,BG$13)))</f>
        <v>5</v>
      </c>
      <c r="BH71" s="178">
        <f ca="1">IF(OR($D71&lt;&gt;"Serviço",AND(AUTOEVENTO="Manual",$M71=$A$15)),0,
         IF(OFFSET(CRONOPLE!$F$15,$M71-$A$15,BH$13)="",10^12,OFFSET(CRONOPLE!$F$15,$M71-$A$15,BH$13)))</f>
        <v>6</v>
      </c>
      <c r="BI71" s="178">
        <f ca="1">IF(OR($D71&lt;&gt;"Serviço",AND(AUTOEVENTO="Manual",$M71=$A$15)),0,
         IF(OFFSET(CRONOPLE!$F$15,$M71-$A$15,BI$13)="",10^12,OFFSET(CRONOPLE!$F$15,$M71-$A$15,BI$13)))</f>
        <v>7</v>
      </c>
      <c r="BJ71" s="178">
        <f ca="1">IF(OR($D71&lt;&gt;"Serviço",AND(AUTOEVENTO="Manual",$M71=$A$15)),0,
         IF(OFFSET(CRONOPLE!$F$15,$M71-$A$15,BJ$13)="",10^12,OFFSET(CRONOPLE!$F$15,$M71-$A$15,BJ$13)))</f>
        <v>1000000000000</v>
      </c>
      <c r="BK71" s="178">
        <f ca="1">IF(OR($D71&lt;&gt;"Serviço",AND(AUTOEVENTO="Manual",$M71=$A$15)),0,
         IF(OFFSET(CRONOPLE!$F$15,$M71-$A$15,BK$13)="",10^12,OFFSET(CRONOPLE!$F$15,$M71-$A$15,BK$13)))</f>
        <v>1000000000000</v>
      </c>
      <c r="BL71" s="178">
        <f ca="1">IF(OR($D71&lt;&gt;"Serviço",AND(AUTOEVENTO="Manual",$M71=$A$15)),0,
         IF(OFFSET(CRONOPLE!$F$15,$M71-$A$15,BL$13)="",10^12,OFFSET(CRONOPLE!$F$15,$M71-$A$15,BL$13)))</f>
        <v>1000000000000</v>
      </c>
      <c r="BM71" s="178">
        <f ca="1">IF(OR($D71&lt;&gt;"Serviço",AND(AUTOEVENTO="Manual",$M71=$A$15)),0,
         IF(OFFSET(CRONOPLE!$F$15,$M71-$A$15,BM$13)="",10^12,OFFSET(CRONOPLE!$F$15,$M71-$A$15,BM$13)))</f>
        <v>1000000000000</v>
      </c>
      <c r="BN71" s="178">
        <f ca="1">IF(OR($D71&lt;&gt;"Serviço",AND(AUTOEVENTO="Manual",$M71=$A$15)),0,
         IF(OFFSET(CRONOPLE!$F$15,$M71-$A$15,BN$13)="",10^12,OFFSET(CRONOPLE!$F$15,$M71-$A$15,BN$13)))</f>
        <v>1000000000000</v>
      </c>
      <c r="BO71" s="178">
        <f ca="1">IF(OR($D71&lt;&gt;"Serviço",AND(AUTOEVENTO="Manual",$M71=$A$15)),0,
         IF(OFFSET(CRONOPLE!$F$15,$M71-$A$15,BO$13)="",10^12,OFFSET(CRONOPLE!$F$15,$M71-$A$15,BO$13)))</f>
        <v>1000000000000</v>
      </c>
      <c r="BP71" s="178">
        <f ca="1">IF(OR($D71&lt;&gt;"Serviço",AND(AUTOEVENTO="Manual",$M71=$A$15)),0,
         IF(OFFSET(CRONOPLE!$F$15,$M71-$A$15,BP$13)="",10^12,OFFSET(CRONOPLE!$F$15,$M71-$A$15,BP$13)))</f>
        <v>1000000000000</v>
      </c>
      <c r="BQ71" s="178">
        <f ca="1">IF(OR($D71&lt;&gt;"Serviço",AND(AUTOEVENTO="Manual",$M71=$A$15)),0,
         IF(OFFSET(CRONOPLE!$F$15,$M71-$A$15,BQ$13)="",10^12,OFFSET(CRONOPLE!$F$15,$M71-$A$15,BQ$13)))</f>
        <v>1000000000000</v>
      </c>
      <c r="BR71" s="178">
        <f ca="1">IF(OR($D71&lt;&gt;"Serviço",AND(AUTOEVENTO="Manual",$M71=$A$15)),0,
         IF(OFFSET(CRONOPLE!$F$15,$M71-$A$15,BR$13)="",10^12,OFFSET(CRONOPLE!$F$15,$M71-$A$15,BR$13)))</f>
        <v>1000000000000</v>
      </c>
      <c r="BS71" s="178">
        <f ca="1">IF(OR($D71&lt;&gt;"Serviço",AND(AUTOEVENTO="Manual",$M71=$A$15)),0,
         IF(OFFSET(CRONOPLE!$F$15,$M71-$A$15,BS$13)="",10^12,OFFSET(CRONOPLE!$F$15,$M71-$A$15,BS$13)))</f>
        <v>1000000000000</v>
      </c>
      <c r="BT71" s="178">
        <f ca="1">IF(OR($D71&lt;&gt;"Serviço",AND(AUTOEVENTO="Manual",$M71=$A$15)),0,
         IF(OFFSET(CRONOPLE!$F$15,$M71-$A$15,BT$13)="",10^12,OFFSET(CRONOPLE!$F$15,$M71-$A$15,BT$13)))</f>
        <v>1000000000000</v>
      </c>
      <c r="BV71" s="179">
        <f ca="1">IF(OR($D71&lt;&gt;"Serviço",AND(AUTOEVENTO="Manual",$M71=$A$15),$M71&gt;(ROW(PLE.lastrow)-ROW(PLE.firstrow))),0,
           IF(OFFSET(PLE!$G$15,$M71-$A$15,BV$13)="",10^12,OFFSET(PLE!$G$15,$M71-$A$15,BV$13)))</f>
        <v>1000000000000</v>
      </c>
      <c r="BW71" s="179">
        <f ca="1">IF(OR($D71&lt;&gt;"Serviço",AND(AUTOEVENTO="Manual",$M71=$A$15),$M71&gt;(ROW(PLE.lastrow)-ROW(PLE.firstrow))),0,
           IF(OFFSET(PLE!$G$15,$M71-$A$15,BW$13)="",10^12,OFFSET(PLE!$G$15,$M71-$A$15,BW$13)))</f>
        <v>1000000000000</v>
      </c>
      <c r="BX71" s="179">
        <f ca="1">IF(OR($D71&lt;&gt;"Serviço",AND(AUTOEVENTO="Manual",$M71=$A$15),$M71&gt;(ROW(PLE.lastrow)-ROW(PLE.firstrow))),0,
           IF(OFFSET(PLE!$G$15,$M71-$A$15,BX$13)="",10^12,OFFSET(PLE!$G$15,$M71-$A$15,BX$13)))</f>
        <v>1000000000000</v>
      </c>
      <c r="BY71" s="179">
        <f ca="1">IF(OR($D71&lt;&gt;"Serviço",AND(AUTOEVENTO="Manual",$M71=$A$15),$M71&gt;(ROW(PLE.lastrow)-ROW(PLE.firstrow))),0,
           IF(OFFSET(PLE!$G$15,$M71-$A$15,BY$13)="",10^12,OFFSET(PLE!$G$15,$M71-$A$15,BY$13)))</f>
        <v>1000000000000</v>
      </c>
      <c r="BZ71" s="179">
        <f ca="1">IF(OR($D71&lt;&gt;"Serviço",AND(AUTOEVENTO="Manual",$M71=$A$15),$M71&gt;(ROW(PLE.lastrow)-ROW(PLE.firstrow))),0,
           IF(OFFSET(PLE!$G$15,$M71-$A$15,BZ$13)="",10^12,OFFSET(PLE!$G$15,$M71-$A$15,BZ$13)))</f>
        <v>1000000000000</v>
      </c>
      <c r="CA71" s="179">
        <f ca="1">IF(OR($D71&lt;&gt;"Serviço",AND(AUTOEVENTO="Manual",$M71=$A$15),$M71&gt;(ROW(PLE.lastrow)-ROW(PLE.firstrow))),0,
           IF(OFFSET(PLE!$G$15,$M71-$A$15,CA$13)="",10^12,OFFSET(PLE!$G$15,$M71-$A$15,CA$13)))</f>
        <v>1000000000000</v>
      </c>
      <c r="CB71" s="179">
        <f ca="1">IF(OR($D71&lt;&gt;"Serviço",AND(AUTOEVENTO="Manual",$M71=$A$15),$M71&gt;(ROW(PLE.lastrow)-ROW(PLE.firstrow))),0,
           IF(OFFSET(PLE!$G$15,$M71-$A$15,CB$13)="",10^12,OFFSET(PLE!$G$15,$M71-$A$15,CB$13)))</f>
        <v>1000000000000</v>
      </c>
      <c r="CC71" s="179">
        <f ca="1">IF(OR($D71&lt;&gt;"Serviço",AND(AUTOEVENTO="Manual",$M71=$A$15),$M71&gt;(ROW(PLE.lastrow)-ROW(PLE.firstrow))),0,
           IF(OFFSET(PLE!$G$15,$M71-$A$15,CC$13)="",10^12,OFFSET(PLE!$G$15,$M71-$A$15,CC$13)))</f>
        <v>1000000000000</v>
      </c>
      <c r="CD71" s="179">
        <f ca="1">IF(OR($D71&lt;&gt;"Serviço",AND(AUTOEVENTO="Manual",$M71=$A$15),$M71&gt;(ROW(PLE.lastrow)-ROW(PLE.firstrow))),0,
           IF(OFFSET(PLE!$G$15,$M71-$A$15,CD$13)="",10^12,OFFSET(PLE!$G$15,$M71-$A$15,CD$13)))</f>
        <v>1000000000000</v>
      </c>
      <c r="CE71" s="179">
        <f ca="1">IF(OR($D71&lt;&gt;"Serviço",AND(AUTOEVENTO="Manual",$M71=$A$15),$M71&gt;(ROW(PLE.lastrow)-ROW(PLE.firstrow))),0,
           IF(OFFSET(PLE!$G$15,$M71-$A$15,CE$13)="",10^12,OFFSET(PLE!$G$15,$M71-$A$15,CE$13)))</f>
        <v>1000000000000</v>
      </c>
      <c r="CF71" s="179">
        <f ca="1">IF(OR($D71&lt;&gt;"Serviço",AND(AUTOEVENTO="Manual",$M71=$A$15),$M71&gt;(ROW(PLE.lastrow)-ROW(PLE.firstrow))),0,
           IF(OFFSET(PLE!$G$15,$M71-$A$15,CF$13)="",10^12,OFFSET(PLE!$G$15,$M71-$A$15,CF$13)))</f>
        <v>1000000000000</v>
      </c>
      <c r="CG71" s="179">
        <f ca="1">IF(OR($D71&lt;&gt;"Serviço",AND(AUTOEVENTO="Manual",$M71=$A$15),$M71&gt;(ROW(PLE.lastrow)-ROW(PLE.firstrow))),0,
           IF(OFFSET(PLE!$G$15,$M71-$A$15,CG$13)="",10^12,OFFSET(PLE!$G$15,$M71-$A$15,CG$13)))</f>
        <v>1000000000000</v>
      </c>
      <c r="CH71" s="179">
        <f ca="1">IF(OR($D71&lt;&gt;"Serviço",AND(AUTOEVENTO="Manual",$M71=$A$15),$M71&gt;(ROW(PLE.lastrow)-ROW(PLE.firstrow))),0,
           IF(OFFSET(PLE!$G$15,$M71-$A$15,CH$13)="",10^12,OFFSET(PLE!$G$15,$M71-$A$15,CH$13)))</f>
        <v>1000000000000</v>
      </c>
      <c r="CI71" s="179">
        <f ca="1">IF(OR($D71&lt;&gt;"Serviço",AND(AUTOEVENTO="Manual",$M71=$A$15),$M71&gt;(ROW(PLE.lastrow)-ROW(PLE.firstrow))),0,
           IF(OFFSET(PLE!$G$15,$M71-$A$15,CI$13)="",10^12,OFFSET(PLE!$G$15,$M71-$A$15,CI$13)))</f>
        <v>1000000000000</v>
      </c>
      <c r="CJ71" s="179">
        <f ca="1">IF(OR($D71&lt;&gt;"Serviço",AND(AUTOEVENTO="Manual",$M71=$A$15),$M71&gt;(ROW(PLE.lastrow)-ROW(PLE.firstrow))),0,
           IF(OFFSET(PLE!$G$15,$M71-$A$15,CJ$13)="",10^12,OFFSET(PLE!$G$15,$M71-$A$15,CJ$13)))</f>
        <v>1000000000000</v>
      </c>
      <c r="CK71" s="179">
        <f ca="1">IF(OR($D71&lt;&gt;"Serviço",AND(AUTOEVENTO="Manual",$M71=$A$15),$M71&gt;(ROW(PLE.lastrow)-ROW(PLE.firstrow))),0,
           IF(OFFSET(PLE!$G$15,$M71-$A$15,CK$13)="",10^12,OFFSET(PLE!$G$15,$M71-$A$15,CK$13)))</f>
        <v>1000000000000</v>
      </c>
      <c r="CL71" s="179">
        <f ca="1">IF(OR($D71&lt;&gt;"Serviço",AND(AUTOEVENTO="Manual",$M71=$A$15),$M71&gt;(ROW(PLE.lastrow)-ROW(PLE.firstrow))),0,
           IF(OFFSET(PLE!$G$15,$M71-$A$15,CL$13)="",10^12,OFFSET(PLE!$G$15,$M71-$A$15,CL$13)))</f>
        <v>1000000000000</v>
      </c>
      <c r="CM71" s="179">
        <f ca="1">IF(OR($D71&lt;&gt;"Serviço",AND(AUTOEVENTO="Manual",$M71=$A$15),$M71&gt;(ROW(PLE.lastrow)-ROW(PLE.firstrow))),0,
           IF(OFFSET(PLE!$G$15,$M71-$A$15,CM$13)="",10^12,OFFSET(PLE!$G$15,$M71-$A$15,CM$13)))</f>
        <v>1000000000000</v>
      </c>
    </row>
    <row r="72" spans="1:91" ht="51" x14ac:dyDescent="0.2">
      <c r="A72" s="7" t="str">
        <f ca="1">IF(AUTOEVENTO="Manual",IF(K72&lt;&gt;"",MIN(VALUE(LEFT(K72,FIND(".",K72)-1)),COUNTA(EVENTOS.Lista)),0),IF(OR($B72&gt;AUTOEVENTO,$B72="S",$B72=0),SUBSTITUTE(OFFSET($A72,-1,0),IF($D72="Serviço",".",""),""),ROW(A72)-ROW($A$15)&amp;"."))</f>
        <v>55</v>
      </c>
      <c r="B72" s="7" t="str">
        <f ca="1">OFFSET(ORÇAMENTO!C$15,ROW(B72)-ROW(B$15),0)</f>
        <v>S</v>
      </c>
      <c r="C72" s="7" t="str">
        <f ca="1">OFFSET(ORÇAMENTO!L$15,ROW(C72)-ROW(C$15),0)</f>
        <v>F</v>
      </c>
      <c r="D72" s="118" t="str">
        <f ca="1">OFFSET(ORÇAMENTO!N$15,ROW(D72)-ROW(D$15),0)</f>
        <v>Serviço</v>
      </c>
      <c r="E72" s="119" t="str">
        <f ca="1">OFFSET(ORÇAMENTO!O$15,ROW(E72)-ROW(E$15),0)</f>
        <v>1.9.0.0.2.</v>
      </c>
      <c r="F72" s="170" t="str">
        <f ca="1">OFFSET(ORÇAMENTO!R$15,ROW(F72)-ROW(F$15),0)</f>
        <v>INSTALAÇÃO DE LIXEIRA METÁLICA DUPLA, CAPACIDADE DE 60 L, EM TUBO DE AÇO CARBONO E CESTOS EM CHAPA DE AÇO COM PINTURA ELETROSTÁTICA, SOBRE PISO DE CONCRETO EXISTENTE. AF_11/2021</v>
      </c>
      <c r="G72" s="171" t="str">
        <f ca="1">IF($D72&lt;&gt;"Serviço","",OFFSET(ORÇAMENTO!S$15,ROW(G72)-ROW(G$15),0))</f>
        <v>UN</v>
      </c>
      <c r="H72" s="124" cm="1">
        <f t="array" aca="1" ref="H72" ca="1">IF($D72&lt;&gt;"Serviço",0,IF(_xlfn.SINGLE(ACOMPANHAMENTO)="BM",ROUND(OFFSET(ORÇAMENTO!AJ$15,ROW(H72)-ROW(H$15),0),15-13*ORÇAMENTO!$AF$7),SUMPRODUCT(($Q$1:$AI$1)*ROUND($Q72:$AI72,15-13*ORÇAMENTO!$AF$7))))</f>
        <v>4</v>
      </c>
      <c r="I72" s="500" t="s">
        <v>1000</v>
      </c>
      <c r="J72" s="632" t="str" cm="1">
        <f t="array" aca="1" ref="J72" ca="1">IF(B72&lt;&gt;"S","",IF(AND(ACOMPANHAMENTO="PLE",AUTOEVENTO="Manual",OR(H72&gt;0,ORÇAMENTO!AC72="QUANT."),OR(K72="",M72=0,N72="")),"►",IF(AND(ACOMPANHAMENTO="PLE",ORÇAMENTO!AC72="QUANT."),"►►",IF(AND(COUNTIF($P$11:$AI$11,"▼")=0,H72&gt;0,I72=""),"◄",""))))</f>
        <v/>
      </c>
      <c r="K72" s="624"/>
      <c r="L72" s="172" t="s">
        <v>253</v>
      </c>
      <c r="M72" s="173">
        <f ca="1">IF($D72&lt;&gt;"Serviço","",
          IF(AUTOEVENTO="manual",$A72,
                IF(ISERROR(MATCH($A72,$A$15:OFFSET($A72,-1,0),0)),MAX($M$15:OFFSET(M72,-1,0))+1,
                      INDEX($M$15:OFFSET(M72,-1,0),MATCH($A72,$A$15:OFFSET($A72,-1,0),0)))))</f>
        <v>9</v>
      </c>
      <c r="N72" s="174" t="str">
        <f ca="1">IF($D72&lt;&gt;"Serviço","",
         IF(AUTOEVENTO="Manual",
                IF($A72=0,"&lt;-- defina o número do agrupador",
                       OFFSET(EVENTOS!$D$15,$A72-$A$15,0)),
                OFFSET($F$15,$A72,0)))</f>
        <v>EQUIPAMENTOS E MOBILIÁRIOS URBANOS</v>
      </c>
      <c r="O72" s="175"/>
      <c r="Q72" s="175"/>
      <c r="R72" s="176"/>
      <c r="S72" s="176"/>
      <c r="T72" s="176"/>
      <c r="U72" s="176">
        <v>4</v>
      </c>
      <c r="V72" s="176"/>
      <c r="W72" s="176"/>
      <c r="X72" s="176"/>
      <c r="Y72" s="176"/>
      <c r="Z72" s="177"/>
      <c r="AA72" s="176"/>
      <c r="AB72" s="176"/>
      <c r="AC72" s="176"/>
      <c r="AD72" s="176"/>
      <c r="AE72" s="176"/>
      <c r="AF72" s="176"/>
      <c r="AG72" s="176"/>
      <c r="AH72" s="177"/>
      <c r="AJ72" s="485">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85">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L72" s="485">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0</v>
      </c>
      <c r="AM72" s="485">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0</v>
      </c>
      <c r="AN72" s="485">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6744.2</v>
      </c>
      <c r="AO72" s="485">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85">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85">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85">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85">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85">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85">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85">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85">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85">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85">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85">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85">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8">
        <f ca="1">IF(OR($D72&lt;&gt;"Serviço",AND(AUTOEVENTO="Manual",$M72=$A$15)),0,
         IF(OFFSET(CRONOPLE!$F$15,$M72-$A$15,BC$13)="",10^12,OFFSET(CRONOPLE!$F$15,$M72-$A$15,BC$13)))</f>
        <v>1</v>
      </c>
      <c r="BD72" s="178">
        <f ca="1">IF(OR($D72&lt;&gt;"Serviço",AND(AUTOEVENTO="Manual",$M72=$A$15)),0,
         IF(OFFSET(CRONOPLE!$F$15,$M72-$A$15,BD$13)="",10^12,OFFSET(CRONOPLE!$F$15,$M72-$A$15,BD$13)))</f>
        <v>2</v>
      </c>
      <c r="BE72" s="178">
        <f ca="1">IF(OR($D72&lt;&gt;"Serviço",AND(AUTOEVENTO="Manual",$M72=$A$15)),0,
         IF(OFFSET(CRONOPLE!$F$15,$M72-$A$15,BE$13)="",10^12,OFFSET(CRONOPLE!$F$15,$M72-$A$15,BE$13)))</f>
        <v>3</v>
      </c>
      <c r="BF72" s="178">
        <f ca="1">IF(OR($D72&lt;&gt;"Serviço",AND(AUTOEVENTO="Manual",$M72=$A$15)),0,
         IF(OFFSET(CRONOPLE!$F$15,$M72-$A$15,BF$13)="",10^12,OFFSET(CRONOPLE!$F$15,$M72-$A$15,BF$13)))</f>
        <v>4</v>
      </c>
      <c r="BG72" s="178">
        <f ca="1">IF(OR($D72&lt;&gt;"Serviço",AND(AUTOEVENTO="Manual",$M72=$A$15)),0,
         IF(OFFSET(CRONOPLE!$F$15,$M72-$A$15,BG$13)="",10^12,OFFSET(CRONOPLE!$F$15,$M72-$A$15,BG$13)))</f>
        <v>5</v>
      </c>
      <c r="BH72" s="178">
        <f ca="1">IF(OR($D72&lt;&gt;"Serviço",AND(AUTOEVENTO="Manual",$M72=$A$15)),0,
         IF(OFFSET(CRONOPLE!$F$15,$M72-$A$15,BH$13)="",10^12,OFFSET(CRONOPLE!$F$15,$M72-$A$15,BH$13)))</f>
        <v>6</v>
      </c>
      <c r="BI72" s="178">
        <f ca="1">IF(OR($D72&lt;&gt;"Serviço",AND(AUTOEVENTO="Manual",$M72=$A$15)),0,
         IF(OFFSET(CRONOPLE!$F$15,$M72-$A$15,BI$13)="",10^12,OFFSET(CRONOPLE!$F$15,$M72-$A$15,BI$13)))</f>
        <v>7</v>
      </c>
      <c r="BJ72" s="178">
        <f ca="1">IF(OR($D72&lt;&gt;"Serviço",AND(AUTOEVENTO="Manual",$M72=$A$15)),0,
         IF(OFFSET(CRONOPLE!$F$15,$M72-$A$15,BJ$13)="",10^12,OFFSET(CRONOPLE!$F$15,$M72-$A$15,BJ$13)))</f>
        <v>1000000000000</v>
      </c>
      <c r="BK72" s="178">
        <f ca="1">IF(OR($D72&lt;&gt;"Serviço",AND(AUTOEVENTO="Manual",$M72=$A$15)),0,
         IF(OFFSET(CRONOPLE!$F$15,$M72-$A$15,BK$13)="",10^12,OFFSET(CRONOPLE!$F$15,$M72-$A$15,BK$13)))</f>
        <v>1000000000000</v>
      </c>
      <c r="BL72" s="178">
        <f ca="1">IF(OR($D72&lt;&gt;"Serviço",AND(AUTOEVENTO="Manual",$M72=$A$15)),0,
         IF(OFFSET(CRONOPLE!$F$15,$M72-$A$15,BL$13)="",10^12,OFFSET(CRONOPLE!$F$15,$M72-$A$15,BL$13)))</f>
        <v>1000000000000</v>
      </c>
      <c r="BM72" s="178">
        <f ca="1">IF(OR($D72&lt;&gt;"Serviço",AND(AUTOEVENTO="Manual",$M72=$A$15)),0,
         IF(OFFSET(CRONOPLE!$F$15,$M72-$A$15,BM$13)="",10^12,OFFSET(CRONOPLE!$F$15,$M72-$A$15,BM$13)))</f>
        <v>1000000000000</v>
      </c>
      <c r="BN72" s="178">
        <f ca="1">IF(OR($D72&lt;&gt;"Serviço",AND(AUTOEVENTO="Manual",$M72=$A$15)),0,
         IF(OFFSET(CRONOPLE!$F$15,$M72-$A$15,BN$13)="",10^12,OFFSET(CRONOPLE!$F$15,$M72-$A$15,BN$13)))</f>
        <v>1000000000000</v>
      </c>
      <c r="BO72" s="178">
        <f ca="1">IF(OR($D72&lt;&gt;"Serviço",AND(AUTOEVENTO="Manual",$M72=$A$15)),0,
         IF(OFFSET(CRONOPLE!$F$15,$M72-$A$15,BO$13)="",10^12,OFFSET(CRONOPLE!$F$15,$M72-$A$15,BO$13)))</f>
        <v>1000000000000</v>
      </c>
      <c r="BP72" s="178">
        <f ca="1">IF(OR($D72&lt;&gt;"Serviço",AND(AUTOEVENTO="Manual",$M72=$A$15)),0,
         IF(OFFSET(CRONOPLE!$F$15,$M72-$A$15,BP$13)="",10^12,OFFSET(CRONOPLE!$F$15,$M72-$A$15,BP$13)))</f>
        <v>1000000000000</v>
      </c>
      <c r="BQ72" s="178">
        <f ca="1">IF(OR($D72&lt;&gt;"Serviço",AND(AUTOEVENTO="Manual",$M72=$A$15)),0,
         IF(OFFSET(CRONOPLE!$F$15,$M72-$A$15,BQ$13)="",10^12,OFFSET(CRONOPLE!$F$15,$M72-$A$15,BQ$13)))</f>
        <v>1000000000000</v>
      </c>
      <c r="BR72" s="178">
        <f ca="1">IF(OR($D72&lt;&gt;"Serviço",AND(AUTOEVENTO="Manual",$M72=$A$15)),0,
         IF(OFFSET(CRONOPLE!$F$15,$M72-$A$15,BR$13)="",10^12,OFFSET(CRONOPLE!$F$15,$M72-$A$15,BR$13)))</f>
        <v>1000000000000</v>
      </c>
      <c r="BS72" s="178">
        <f ca="1">IF(OR($D72&lt;&gt;"Serviço",AND(AUTOEVENTO="Manual",$M72=$A$15)),0,
         IF(OFFSET(CRONOPLE!$F$15,$M72-$A$15,BS$13)="",10^12,OFFSET(CRONOPLE!$F$15,$M72-$A$15,BS$13)))</f>
        <v>1000000000000</v>
      </c>
      <c r="BT72" s="178">
        <f ca="1">IF(OR($D72&lt;&gt;"Serviço",AND(AUTOEVENTO="Manual",$M72=$A$15)),0,
         IF(OFFSET(CRONOPLE!$F$15,$M72-$A$15,BT$13)="",10^12,OFFSET(CRONOPLE!$F$15,$M72-$A$15,BT$13)))</f>
        <v>1000000000000</v>
      </c>
      <c r="BV72" s="179">
        <f ca="1">IF(OR($D72&lt;&gt;"Serviço",AND(AUTOEVENTO="Manual",$M72=$A$15),$M72&gt;(ROW(PLE.lastrow)-ROW(PLE.firstrow))),0,
           IF(OFFSET(PLE!$G$15,$M72-$A$15,BV$13)="",10^12,OFFSET(PLE!$G$15,$M72-$A$15,BV$13)))</f>
        <v>1000000000000</v>
      </c>
      <c r="BW72" s="179">
        <f ca="1">IF(OR($D72&lt;&gt;"Serviço",AND(AUTOEVENTO="Manual",$M72=$A$15),$M72&gt;(ROW(PLE.lastrow)-ROW(PLE.firstrow))),0,
           IF(OFFSET(PLE!$G$15,$M72-$A$15,BW$13)="",10^12,OFFSET(PLE!$G$15,$M72-$A$15,BW$13)))</f>
        <v>1000000000000</v>
      </c>
      <c r="BX72" s="179">
        <f ca="1">IF(OR($D72&lt;&gt;"Serviço",AND(AUTOEVENTO="Manual",$M72=$A$15),$M72&gt;(ROW(PLE.lastrow)-ROW(PLE.firstrow))),0,
           IF(OFFSET(PLE!$G$15,$M72-$A$15,BX$13)="",10^12,OFFSET(PLE!$G$15,$M72-$A$15,BX$13)))</f>
        <v>1000000000000</v>
      </c>
      <c r="BY72" s="179">
        <f ca="1">IF(OR($D72&lt;&gt;"Serviço",AND(AUTOEVENTO="Manual",$M72=$A$15),$M72&gt;(ROW(PLE.lastrow)-ROW(PLE.firstrow))),0,
           IF(OFFSET(PLE!$G$15,$M72-$A$15,BY$13)="",10^12,OFFSET(PLE!$G$15,$M72-$A$15,BY$13)))</f>
        <v>1000000000000</v>
      </c>
      <c r="BZ72" s="179">
        <f ca="1">IF(OR($D72&lt;&gt;"Serviço",AND(AUTOEVENTO="Manual",$M72=$A$15),$M72&gt;(ROW(PLE.lastrow)-ROW(PLE.firstrow))),0,
           IF(OFFSET(PLE!$G$15,$M72-$A$15,BZ$13)="",10^12,OFFSET(PLE!$G$15,$M72-$A$15,BZ$13)))</f>
        <v>1000000000000</v>
      </c>
      <c r="CA72" s="179">
        <f ca="1">IF(OR($D72&lt;&gt;"Serviço",AND(AUTOEVENTO="Manual",$M72=$A$15),$M72&gt;(ROW(PLE.lastrow)-ROW(PLE.firstrow))),0,
           IF(OFFSET(PLE!$G$15,$M72-$A$15,CA$13)="",10^12,OFFSET(PLE!$G$15,$M72-$A$15,CA$13)))</f>
        <v>1000000000000</v>
      </c>
      <c r="CB72" s="179">
        <f ca="1">IF(OR($D72&lt;&gt;"Serviço",AND(AUTOEVENTO="Manual",$M72=$A$15),$M72&gt;(ROW(PLE.lastrow)-ROW(PLE.firstrow))),0,
           IF(OFFSET(PLE!$G$15,$M72-$A$15,CB$13)="",10^12,OFFSET(PLE!$G$15,$M72-$A$15,CB$13)))</f>
        <v>1000000000000</v>
      </c>
      <c r="CC72" s="179">
        <f ca="1">IF(OR($D72&lt;&gt;"Serviço",AND(AUTOEVENTO="Manual",$M72=$A$15),$M72&gt;(ROW(PLE.lastrow)-ROW(PLE.firstrow))),0,
           IF(OFFSET(PLE!$G$15,$M72-$A$15,CC$13)="",10^12,OFFSET(PLE!$G$15,$M72-$A$15,CC$13)))</f>
        <v>1000000000000</v>
      </c>
      <c r="CD72" s="179">
        <f ca="1">IF(OR($D72&lt;&gt;"Serviço",AND(AUTOEVENTO="Manual",$M72=$A$15),$M72&gt;(ROW(PLE.lastrow)-ROW(PLE.firstrow))),0,
           IF(OFFSET(PLE!$G$15,$M72-$A$15,CD$13)="",10^12,OFFSET(PLE!$G$15,$M72-$A$15,CD$13)))</f>
        <v>1000000000000</v>
      </c>
      <c r="CE72" s="179">
        <f ca="1">IF(OR($D72&lt;&gt;"Serviço",AND(AUTOEVENTO="Manual",$M72=$A$15),$M72&gt;(ROW(PLE.lastrow)-ROW(PLE.firstrow))),0,
           IF(OFFSET(PLE!$G$15,$M72-$A$15,CE$13)="",10^12,OFFSET(PLE!$G$15,$M72-$A$15,CE$13)))</f>
        <v>1000000000000</v>
      </c>
      <c r="CF72" s="179">
        <f ca="1">IF(OR($D72&lt;&gt;"Serviço",AND(AUTOEVENTO="Manual",$M72=$A$15),$M72&gt;(ROW(PLE.lastrow)-ROW(PLE.firstrow))),0,
           IF(OFFSET(PLE!$G$15,$M72-$A$15,CF$13)="",10^12,OFFSET(PLE!$G$15,$M72-$A$15,CF$13)))</f>
        <v>1000000000000</v>
      </c>
      <c r="CG72" s="179">
        <f ca="1">IF(OR($D72&lt;&gt;"Serviço",AND(AUTOEVENTO="Manual",$M72=$A$15),$M72&gt;(ROW(PLE.lastrow)-ROW(PLE.firstrow))),0,
           IF(OFFSET(PLE!$G$15,$M72-$A$15,CG$13)="",10^12,OFFSET(PLE!$G$15,$M72-$A$15,CG$13)))</f>
        <v>1000000000000</v>
      </c>
      <c r="CH72" s="179">
        <f ca="1">IF(OR($D72&lt;&gt;"Serviço",AND(AUTOEVENTO="Manual",$M72=$A$15),$M72&gt;(ROW(PLE.lastrow)-ROW(PLE.firstrow))),0,
           IF(OFFSET(PLE!$G$15,$M72-$A$15,CH$13)="",10^12,OFFSET(PLE!$G$15,$M72-$A$15,CH$13)))</f>
        <v>1000000000000</v>
      </c>
      <c r="CI72" s="179">
        <f ca="1">IF(OR($D72&lt;&gt;"Serviço",AND(AUTOEVENTO="Manual",$M72=$A$15),$M72&gt;(ROW(PLE.lastrow)-ROW(PLE.firstrow))),0,
           IF(OFFSET(PLE!$G$15,$M72-$A$15,CI$13)="",10^12,OFFSET(PLE!$G$15,$M72-$A$15,CI$13)))</f>
        <v>1000000000000</v>
      </c>
      <c r="CJ72" s="179">
        <f ca="1">IF(OR($D72&lt;&gt;"Serviço",AND(AUTOEVENTO="Manual",$M72=$A$15),$M72&gt;(ROW(PLE.lastrow)-ROW(PLE.firstrow))),0,
           IF(OFFSET(PLE!$G$15,$M72-$A$15,CJ$13)="",10^12,OFFSET(PLE!$G$15,$M72-$A$15,CJ$13)))</f>
        <v>1000000000000</v>
      </c>
      <c r="CK72" s="179">
        <f ca="1">IF(OR($D72&lt;&gt;"Serviço",AND(AUTOEVENTO="Manual",$M72=$A$15),$M72&gt;(ROW(PLE.lastrow)-ROW(PLE.firstrow))),0,
           IF(OFFSET(PLE!$G$15,$M72-$A$15,CK$13)="",10^12,OFFSET(PLE!$G$15,$M72-$A$15,CK$13)))</f>
        <v>1000000000000</v>
      </c>
      <c r="CL72" s="179">
        <f ca="1">IF(OR($D72&lt;&gt;"Serviço",AND(AUTOEVENTO="Manual",$M72=$A$15),$M72&gt;(ROW(PLE.lastrow)-ROW(PLE.firstrow))),0,
           IF(OFFSET(PLE!$G$15,$M72-$A$15,CL$13)="",10^12,OFFSET(PLE!$G$15,$M72-$A$15,CL$13)))</f>
        <v>1000000000000</v>
      </c>
      <c r="CM72" s="179">
        <f ca="1">IF(OR($D72&lt;&gt;"Serviço",AND(AUTOEVENTO="Manual",$M72=$A$15),$M72&gt;(ROW(PLE.lastrow)-ROW(PLE.firstrow))),0,
           IF(OFFSET(PLE!$G$15,$M72-$A$15,CM$13)="",10^12,OFFSET(PLE!$G$15,$M72-$A$15,CM$13)))</f>
        <v>1000000000000</v>
      </c>
    </row>
    <row r="73" spans="1:91" ht="25.5" x14ac:dyDescent="0.2">
      <c r="A73" s="7" t="str">
        <f ca="1">IF(AUTOEVENTO="Manual",IF(K73&lt;&gt;"",MIN(VALUE(LEFT(K73,FIND(".",K73)-1)),COUNTA(EVENTOS.Lista)),0),IF(OR($B73&gt;AUTOEVENTO,$B73="S",$B73=0),SUBSTITUTE(OFFSET($A73,-1,0),IF($D73="Serviço",".",""),""),ROW(A73)-ROW($A$15)&amp;"."))</f>
        <v>55</v>
      </c>
      <c r="B73" s="7" t="str">
        <f ca="1">OFFSET(ORÇAMENTO!C$15,ROW(B73)-ROW(B$15),0)</f>
        <v>S</v>
      </c>
      <c r="C73" s="7" t="str">
        <f ca="1">OFFSET(ORÇAMENTO!L$15,ROW(C73)-ROW(C$15),0)</f>
        <v>F</v>
      </c>
      <c r="D73" s="118" t="str">
        <f ca="1">OFFSET(ORÇAMENTO!N$15,ROW(D73)-ROW(D$15),0)</f>
        <v>Serviço</v>
      </c>
      <c r="E73" s="119" t="str">
        <f ca="1">OFFSET(ORÇAMENTO!O$15,ROW(E73)-ROW(E$15),0)</f>
        <v>1.9.0.0.3.</v>
      </c>
      <c r="F73" s="170" t="str">
        <f ca="1">OFFSET(ORÇAMENTO!R$15,ROW(F73)-ROW(F$15),0)</f>
        <v>BANCO DE MADEIRA-PLÁSTICA SEM ENCOSTO COM BASE EM CONCRETO DESEMPENADO</v>
      </c>
      <c r="G73" s="171" t="str">
        <f ca="1">IF($D73&lt;&gt;"Serviço","",OFFSET(ORÇAMENTO!S$15,ROW(G73)-ROW(G$15),0))</f>
        <v>UN</v>
      </c>
      <c r="H73" s="124" cm="1">
        <f t="array" aca="1" ref="H73" ca="1">IF($D73&lt;&gt;"Serviço",0,IF(_xlfn.SINGLE(ACOMPANHAMENTO)="BM",ROUND(OFFSET(ORÇAMENTO!AJ$15,ROW(H73)-ROW(H$15),0),15-13*ORÇAMENTO!$AF$7),SUMPRODUCT(($Q$1:$AI$1)*ROUND($Q73:$AI73,15-13*ORÇAMENTO!$AF$7))))</f>
        <v>6</v>
      </c>
      <c r="I73" s="500" t="s">
        <v>997</v>
      </c>
      <c r="J73" s="632" t="str" cm="1">
        <f t="array" aca="1" ref="J73" ca="1">IF(B73&lt;&gt;"S","",IF(AND(ACOMPANHAMENTO="PLE",AUTOEVENTO="Manual",OR(H73&gt;0,ORÇAMENTO!AC73="QUANT."),OR(K73="",M73=0,N73="")),"►",IF(AND(ACOMPANHAMENTO="PLE",ORÇAMENTO!AC73="QUANT."),"►►",IF(AND(COUNTIF($P$11:$AI$11,"▼")=0,H73&gt;0,I73=""),"◄",""))))</f>
        <v/>
      </c>
      <c r="K73" s="624"/>
      <c r="L73" s="172" t="s">
        <v>253</v>
      </c>
      <c r="M73" s="173">
        <f ca="1">IF($D73&lt;&gt;"Serviço","",
          IF(AUTOEVENTO="manual",$A73,
                IF(ISERROR(MATCH($A73,$A$15:OFFSET($A73,-1,0),0)),MAX($M$15:OFFSET(M73,-1,0))+1,
                      INDEX($M$15:OFFSET(M73,-1,0),MATCH($A73,$A$15:OFFSET($A73,-1,0),0)))))</f>
        <v>9</v>
      </c>
      <c r="N73" s="174" t="str">
        <f ca="1">IF($D73&lt;&gt;"Serviço","",
         IF(AUTOEVENTO="Manual",
                IF($A73=0,"&lt;-- defina o número do agrupador",
                       OFFSET(EVENTOS!$D$15,$A73-$A$15,0)),
                OFFSET($F$15,$A73,0)))</f>
        <v>EQUIPAMENTOS E MOBILIÁRIOS URBANOS</v>
      </c>
      <c r="O73" s="175"/>
      <c r="Q73" s="175"/>
      <c r="R73" s="176"/>
      <c r="S73" s="176"/>
      <c r="T73" s="176"/>
      <c r="U73" s="176">
        <v>6</v>
      </c>
      <c r="V73" s="176"/>
      <c r="W73" s="176"/>
      <c r="X73" s="176"/>
      <c r="Y73" s="176"/>
      <c r="Z73" s="177"/>
      <c r="AA73" s="176"/>
      <c r="AB73" s="176"/>
      <c r="AC73" s="176"/>
      <c r="AD73" s="176"/>
      <c r="AE73" s="176"/>
      <c r="AF73" s="176"/>
      <c r="AG73" s="176"/>
      <c r="AH73" s="177"/>
      <c r="AJ73" s="485">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85">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L73" s="485">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0</v>
      </c>
      <c r="AM73" s="485">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0</v>
      </c>
      <c r="AN73" s="485">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7471.8</v>
      </c>
      <c r="AO73" s="485">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85">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85">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85">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85">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85">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85">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85">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85">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85">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85">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85">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85">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8">
        <f ca="1">IF(OR($D73&lt;&gt;"Serviço",AND(AUTOEVENTO="Manual",$M73=$A$15)),0,
         IF(OFFSET(CRONOPLE!$F$15,$M73-$A$15,BC$13)="",10^12,OFFSET(CRONOPLE!$F$15,$M73-$A$15,BC$13)))</f>
        <v>1</v>
      </c>
      <c r="BD73" s="178">
        <f ca="1">IF(OR($D73&lt;&gt;"Serviço",AND(AUTOEVENTO="Manual",$M73=$A$15)),0,
         IF(OFFSET(CRONOPLE!$F$15,$M73-$A$15,BD$13)="",10^12,OFFSET(CRONOPLE!$F$15,$M73-$A$15,BD$13)))</f>
        <v>2</v>
      </c>
      <c r="BE73" s="178">
        <f ca="1">IF(OR($D73&lt;&gt;"Serviço",AND(AUTOEVENTO="Manual",$M73=$A$15)),0,
         IF(OFFSET(CRONOPLE!$F$15,$M73-$A$15,BE$13)="",10^12,OFFSET(CRONOPLE!$F$15,$M73-$A$15,BE$13)))</f>
        <v>3</v>
      </c>
      <c r="BF73" s="178">
        <f ca="1">IF(OR($D73&lt;&gt;"Serviço",AND(AUTOEVENTO="Manual",$M73=$A$15)),0,
         IF(OFFSET(CRONOPLE!$F$15,$M73-$A$15,BF$13)="",10^12,OFFSET(CRONOPLE!$F$15,$M73-$A$15,BF$13)))</f>
        <v>4</v>
      </c>
      <c r="BG73" s="178">
        <f ca="1">IF(OR($D73&lt;&gt;"Serviço",AND(AUTOEVENTO="Manual",$M73=$A$15)),0,
         IF(OFFSET(CRONOPLE!$F$15,$M73-$A$15,BG$13)="",10^12,OFFSET(CRONOPLE!$F$15,$M73-$A$15,BG$13)))</f>
        <v>5</v>
      </c>
      <c r="BH73" s="178">
        <f ca="1">IF(OR($D73&lt;&gt;"Serviço",AND(AUTOEVENTO="Manual",$M73=$A$15)),0,
         IF(OFFSET(CRONOPLE!$F$15,$M73-$A$15,BH$13)="",10^12,OFFSET(CRONOPLE!$F$15,$M73-$A$15,BH$13)))</f>
        <v>6</v>
      </c>
      <c r="BI73" s="178">
        <f ca="1">IF(OR($D73&lt;&gt;"Serviço",AND(AUTOEVENTO="Manual",$M73=$A$15)),0,
         IF(OFFSET(CRONOPLE!$F$15,$M73-$A$15,BI$13)="",10^12,OFFSET(CRONOPLE!$F$15,$M73-$A$15,BI$13)))</f>
        <v>7</v>
      </c>
      <c r="BJ73" s="178">
        <f ca="1">IF(OR($D73&lt;&gt;"Serviço",AND(AUTOEVENTO="Manual",$M73=$A$15)),0,
         IF(OFFSET(CRONOPLE!$F$15,$M73-$A$15,BJ$13)="",10^12,OFFSET(CRONOPLE!$F$15,$M73-$A$15,BJ$13)))</f>
        <v>1000000000000</v>
      </c>
      <c r="BK73" s="178">
        <f ca="1">IF(OR($D73&lt;&gt;"Serviço",AND(AUTOEVENTO="Manual",$M73=$A$15)),0,
         IF(OFFSET(CRONOPLE!$F$15,$M73-$A$15,BK$13)="",10^12,OFFSET(CRONOPLE!$F$15,$M73-$A$15,BK$13)))</f>
        <v>1000000000000</v>
      </c>
      <c r="BL73" s="178">
        <f ca="1">IF(OR($D73&lt;&gt;"Serviço",AND(AUTOEVENTO="Manual",$M73=$A$15)),0,
         IF(OFFSET(CRONOPLE!$F$15,$M73-$A$15,BL$13)="",10^12,OFFSET(CRONOPLE!$F$15,$M73-$A$15,BL$13)))</f>
        <v>1000000000000</v>
      </c>
      <c r="BM73" s="178">
        <f ca="1">IF(OR($D73&lt;&gt;"Serviço",AND(AUTOEVENTO="Manual",$M73=$A$15)),0,
         IF(OFFSET(CRONOPLE!$F$15,$M73-$A$15,BM$13)="",10^12,OFFSET(CRONOPLE!$F$15,$M73-$A$15,BM$13)))</f>
        <v>1000000000000</v>
      </c>
      <c r="BN73" s="178">
        <f ca="1">IF(OR($D73&lt;&gt;"Serviço",AND(AUTOEVENTO="Manual",$M73=$A$15)),0,
         IF(OFFSET(CRONOPLE!$F$15,$M73-$A$15,BN$13)="",10^12,OFFSET(CRONOPLE!$F$15,$M73-$A$15,BN$13)))</f>
        <v>1000000000000</v>
      </c>
      <c r="BO73" s="178">
        <f ca="1">IF(OR($D73&lt;&gt;"Serviço",AND(AUTOEVENTO="Manual",$M73=$A$15)),0,
         IF(OFFSET(CRONOPLE!$F$15,$M73-$A$15,BO$13)="",10^12,OFFSET(CRONOPLE!$F$15,$M73-$A$15,BO$13)))</f>
        <v>1000000000000</v>
      </c>
      <c r="BP73" s="178">
        <f ca="1">IF(OR($D73&lt;&gt;"Serviço",AND(AUTOEVENTO="Manual",$M73=$A$15)),0,
         IF(OFFSET(CRONOPLE!$F$15,$M73-$A$15,BP$13)="",10^12,OFFSET(CRONOPLE!$F$15,$M73-$A$15,BP$13)))</f>
        <v>1000000000000</v>
      </c>
      <c r="BQ73" s="178">
        <f ca="1">IF(OR($D73&lt;&gt;"Serviço",AND(AUTOEVENTO="Manual",$M73=$A$15)),0,
         IF(OFFSET(CRONOPLE!$F$15,$M73-$A$15,BQ$13)="",10^12,OFFSET(CRONOPLE!$F$15,$M73-$A$15,BQ$13)))</f>
        <v>1000000000000</v>
      </c>
      <c r="BR73" s="178">
        <f ca="1">IF(OR($D73&lt;&gt;"Serviço",AND(AUTOEVENTO="Manual",$M73=$A$15)),0,
         IF(OFFSET(CRONOPLE!$F$15,$M73-$A$15,BR$13)="",10^12,OFFSET(CRONOPLE!$F$15,$M73-$A$15,BR$13)))</f>
        <v>1000000000000</v>
      </c>
      <c r="BS73" s="178">
        <f ca="1">IF(OR($D73&lt;&gt;"Serviço",AND(AUTOEVENTO="Manual",$M73=$A$15)),0,
         IF(OFFSET(CRONOPLE!$F$15,$M73-$A$15,BS$13)="",10^12,OFFSET(CRONOPLE!$F$15,$M73-$A$15,BS$13)))</f>
        <v>1000000000000</v>
      </c>
      <c r="BT73" s="178">
        <f ca="1">IF(OR($D73&lt;&gt;"Serviço",AND(AUTOEVENTO="Manual",$M73=$A$15)),0,
         IF(OFFSET(CRONOPLE!$F$15,$M73-$A$15,BT$13)="",10^12,OFFSET(CRONOPLE!$F$15,$M73-$A$15,BT$13)))</f>
        <v>1000000000000</v>
      </c>
      <c r="BV73" s="179">
        <f ca="1">IF(OR($D73&lt;&gt;"Serviço",AND(AUTOEVENTO="Manual",$M73=$A$15),$M73&gt;(ROW(PLE.lastrow)-ROW(PLE.firstrow))),0,
           IF(OFFSET(PLE!$G$15,$M73-$A$15,BV$13)="",10^12,OFFSET(PLE!$G$15,$M73-$A$15,BV$13)))</f>
        <v>1000000000000</v>
      </c>
      <c r="BW73" s="179">
        <f ca="1">IF(OR($D73&lt;&gt;"Serviço",AND(AUTOEVENTO="Manual",$M73=$A$15),$M73&gt;(ROW(PLE.lastrow)-ROW(PLE.firstrow))),0,
           IF(OFFSET(PLE!$G$15,$M73-$A$15,BW$13)="",10^12,OFFSET(PLE!$G$15,$M73-$A$15,BW$13)))</f>
        <v>1000000000000</v>
      </c>
      <c r="BX73" s="179">
        <f ca="1">IF(OR($D73&lt;&gt;"Serviço",AND(AUTOEVENTO="Manual",$M73=$A$15),$M73&gt;(ROW(PLE.lastrow)-ROW(PLE.firstrow))),0,
           IF(OFFSET(PLE!$G$15,$M73-$A$15,BX$13)="",10^12,OFFSET(PLE!$G$15,$M73-$A$15,BX$13)))</f>
        <v>1000000000000</v>
      </c>
      <c r="BY73" s="179">
        <f ca="1">IF(OR($D73&lt;&gt;"Serviço",AND(AUTOEVENTO="Manual",$M73=$A$15),$M73&gt;(ROW(PLE.lastrow)-ROW(PLE.firstrow))),0,
           IF(OFFSET(PLE!$G$15,$M73-$A$15,BY$13)="",10^12,OFFSET(PLE!$G$15,$M73-$A$15,BY$13)))</f>
        <v>1000000000000</v>
      </c>
      <c r="BZ73" s="179">
        <f ca="1">IF(OR($D73&lt;&gt;"Serviço",AND(AUTOEVENTO="Manual",$M73=$A$15),$M73&gt;(ROW(PLE.lastrow)-ROW(PLE.firstrow))),0,
           IF(OFFSET(PLE!$G$15,$M73-$A$15,BZ$13)="",10^12,OFFSET(PLE!$G$15,$M73-$A$15,BZ$13)))</f>
        <v>1000000000000</v>
      </c>
      <c r="CA73" s="179">
        <f ca="1">IF(OR($D73&lt;&gt;"Serviço",AND(AUTOEVENTO="Manual",$M73=$A$15),$M73&gt;(ROW(PLE.lastrow)-ROW(PLE.firstrow))),0,
           IF(OFFSET(PLE!$G$15,$M73-$A$15,CA$13)="",10^12,OFFSET(PLE!$G$15,$M73-$A$15,CA$13)))</f>
        <v>1000000000000</v>
      </c>
      <c r="CB73" s="179">
        <f ca="1">IF(OR($D73&lt;&gt;"Serviço",AND(AUTOEVENTO="Manual",$M73=$A$15),$M73&gt;(ROW(PLE.lastrow)-ROW(PLE.firstrow))),0,
           IF(OFFSET(PLE!$G$15,$M73-$A$15,CB$13)="",10^12,OFFSET(PLE!$G$15,$M73-$A$15,CB$13)))</f>
        <v>1000000000000</v>
      </c>
      <c r="CC73" s="179">
        <f ca="1">IF(OR($D73&lt;&gt;"Serviço",AND(AUTOEVENTO="Manual",$M73=$A$15),$M73&gt;(ROW(PLE.lastrow)-ROW(PLE.firstrow))),0,
           IF(OFFSET(PLE!$G$15,$M73-$A$15,CC$13)="",10^12,OFFSET(PLE!$G$15,$M73-$A$15,CC$13)))</f>
        <v>1000000000000</v>
      </c>
      <c r="CD73" s="179">
        <f ca="1">IF(OR($D73&lt;&gt;"Serviço",AND(AUTOEVENTO="Manual",$M73=$A$15),$M73&gt;(ROW(PLE.lastrow)-ROW(PLE.firstrow))),0,
           IF(OFFSET(PLE!$G$15,$M73-$A$15,CD$13)="",10^12,OFFSET(PLE!$G$15,$M73-$A$15,CD$13)))</f>
        <v>1000000000000</v>
      </c>
      <c r="CE73" s="179">
        <f ca="1">IF(OR($D73&lt;&gt;"Serviço",AND(AUTOEVENTO="Manual",$M73=$A$15),$M73&gt;(ROW(PLE.lastrow)-ROW(PLE.firstrow))),0,
           IF(OFFSET(PLE!$G$15,$M73-$A$15,CE$13)="",10^12,OFFSET(PLE!$G$15,$M73-$A$15,CE$13)))</f>
        <v>1000000000000</v>
      </c>
      <c r="CF73" s="179">
        <f ca="1">IF(OR($D73&lt;&gt;"Serviço",AND(AUTOEVENTO="Manual",$M73=$A$15),$M73&gt;(ROW(PLE.lastrow)-ROW(PLE.firstrow))),0,
           IF(OFFSET(PLE!$G$15,$M73-$A$15,CF$13)="",10^12,OFFSET(PLE!$G$15,$M73-$A$15,CF$13)))</f>
        <v>1000000000000</v>
      </c>
      <c r="CG73" s="179">
        <f ca="1">IF(OR($D73&lt;&gt;"Serviço",AND(AUTOEVENTO="Manual",$M73=$A$15),$M73&gt;(ROW(PLE.lastrow)-ROW(PLE.firstrow))),0,
           IF(OFFSET(PLE!$G$15,$M73-$A$15,CG$13)="",10^12,OFFSET(PLE!$G$15,$M73-$A$15,CG$13)))</f>
        <v>1000000000000</v>
      </c>
      <c r="CH73" s="179">
        <f ca="1">IF(OR($D73&lt;&gt;"Serviço",AND(AUTOEVENTO="Manual",$M73=$A$15),$M73&gt;(ROW(PLE.lastrow)-ROW(PLE.firstrow))),0,
           IF(OFFSET(PLE!$G$15,$M73-$A$15,CH$13)="",10^12,OFFSET(PLE!$G$15,$M73-$A$15,CH$13)))</f>
        <v>1000000000000</v>
      </c>
      <c r="CI73" s="179">
        <f ca="1">IF(OR($D73&lt;&gt;"Serviço",AND(AUTOEVENTO="Manual",$M73=$A$15),$M73&gt;(ROW(PLE.lastrow)-ROW(PLE.firstrow))),0,
           IF(OFFSET(PLE!$G$15,$M73-$A$15,CI$13)="",10^12,OFFSET(PLE!$G$15,$M73-$A$15,CI$13)))</f>
        <v>1000000000000</v>
      </c>
      <c r="CJ73" s="179">
        <f ca="1">IF(OR($D73&lt;&gt;"Serviço",AND(AUTOEVENTO="Manual",$M73=$A$15),$M73&gt;(ROW(PLE.lastrow)-ROW(PLE.firstrow))),0,
           IF(OFFSET(PLE!$G$15,$M73-$A$15,CJ$13)="",10^12,OFFSET(PLE!$G$15,$M73-$A$15,CJ$13)))</f>
        <v>1000000000000</v>
      </c>
      <c r="CK73" s="179">
        <f ca="1">IF(OR($D73&lt;&gt;"Serviço",AND(AUTOEVENTO="Manual",$M73=$A$15),$M73&gt;(ROW(PLE.lastrow)-ROW(PLE.firstrow))),0,
           IF(OFFSET(PLE!$G$15,$M73-$A$15,CK$13)="",10^12,OFFSET(PLE!$G$15,$M73-$A$15,CK$13)))</f>
        <v>1000000000000</v>
      </c>
      <c r="CL73" s="179">
        <f ca="1">IF(OR($D73&lt;&gt;"Serviço",AND(AUTOEVENTO="Manual",$M73=$A$15),$M73&gt;(ROW(PLE.lastrow)-ROW(PLE.firstrow))),0,
           IF(OFFSET(PLE!$G$15,$M73-$A$15,CL$13)="",10^12,OFFSET(PLE!$G$15,$M73-$A$15,CL$13)))</f>
        <v>1000000000000</v>
      </c>
      <c r="CM73" s="179">
        <f ca="1">IF(OR($D73&lt;&gt;"Serviço",AND(AUTOEVENTO="Manual",$M73=$A$15),$M73&gt;(ROW(PLE.lastrow)-ROW(PLE.firstrow))),0,
           IF(OFFSET(PLE!$G$15,$M73-$A$15,CM$13)="",10^12,OFFSET(PLE!$G$15,$M73-$A$15,CM$13)))</f>
        <v>1000000000000</v>
      </c>
    </row>
    <row r="74" spans="1:91" ht="25.5" x14ac:dyDescent="0.2">
      <c r="A74" s="7" t="str">
        <f ca="1">IF(AUTOEVENTO="Manual",IF(K74&lt;&gt;"",MIN(VALUE(LEFT(K74,FIND(".",K74)-1)),COUNTA(EVENTOS.Lista)),0),IF(OR($B74&gt;AUTOEVENTO,$B74="S",$B74=0),SUBSTITUTE(OFFSET($A74,-1,0),IF($D74="Serviço",".",""),""),ROW(A74)-ROW($A$15)&amp;"."))</f>
        <v>55</v>
      </c>
      <c r="B74" s="7" t="str">
        <f ca="1">OFFSET(ORÇAMENTO!C$15,ROW(B74)-ROW(B$15),0)</f>
        <v>S</v>
      </c>
      <c r="C74" s="7" t="str">
        <f ca="1">OFFSET(ORÇAMENTO!L$15,ROW(C74)-ROW(C$15),0)</f>
        <v>F</v>
      </c>
      <c r="D74" s="118" t="str">
        <f ca="1">OFFSET(ORÇAMENTO!N$15,ROW(D74)-ROW(D$15),0)</f>
        <v>Serviço</v>
      </c>
      <c r="E74" s="119" t="str">
        <f ca="1">OFFSET(ORÇAMENTO!O$15,ROW(E74)-ROW(E$15),0)</f>
        <v>1.9.0.0.4.</v>
      </c>
      <c r="F74" s="170" t="str">
        <f ca="1">OFFSET(ORÇAMENTO!R$15,ROW(F74)-ROW(F$15),0)</f>
        <v>BANCO DE MADEIRA-PLÁSTICA SEM ENCOSTO COM BASE EM CONCRETO DESEMPENADO</v>
      </c>
      <c r="G74" s="171" t="str">
        <f ca="1">IF($D74&lt;&gt;"Serviço","",OFFSET(ORÇAMENTO!S$15,ROW(G74)-ROW(G$15),0))</f>
        <v>UN</v>
      </c>
      <c r="H74" s="124" cm="1">
        <f t="array" aca="1" ref="H74" ca="1">IF($D74&lt;&gt;"Serviço",0,IF(_xlfn.SINGLE(ACOMPANHAMENTO)="BM",ROUND(OFFSET(ORÇAMENTO!AJ$15,ROW(H74)-ROW(H$15),0),15-13*ORÇAMENTO!$AF$7),SUMPRODUCT(($Q$1:$AI$1)*ROUND($Q74:$AI74,15-13*ORÇAMENTO!$AF$7))))</f>
        <v>2</v>
      </c>
      <c r="I74" s="500" t="s">
        <v>998</v>
      </c>
      <c r="J74" s="632" t="str" cm="1">
        <f t="array" aca="1" ref="J74" ca="1">IF(B74&lt;&gt;"S","",IF(AND(ACOMPANHAMENTO="PLE",AUTOEVENTO="Manual",OR(H74&gt;0,ORÇAMENTO!AC74="QUANT."),OR(K74="",M74=0,N74="")),"►",IF(AND(ACOMPANHAMENTO="PLE",ORÇAMENTO!AC74="QUANT."),"►►",IF(AND(COUNTIF($P$11:$AI$11,"▼")=0,H74&gt;0,I74=""),"◄",""))))</f>
        <v/>
      </c>
      <c r="K74" s="624"/>
      <c r="L74" s="172" t="s">
        <v>253</v>
      </c>
      <c r="M74" s="173">
        <f ca="1">IF($D74&lt;&gt;"Serviço","",
          IF(AUTOEVENTO="manual",$A74,
                IF(ISERROR(MATCH($A74,$A$15:OFFSET($A74,-1,0),0)),MAX($M$15:OFFSET(M74,-1,0))+1,
                      INDEX($M$15:OFFSET(M74,-1,0),MATCH($A74,$A$15:OFFSET($A74,-1,0),0)))))</f>
        <v>9</v>
      </c>
      <c r="N74" s="174" t="str">
        <f ca="1">IF($D74&lt;&gt;"Serviço","",
         IF(AUTOEVENTO="Manual",
                IF($A74=0,"&lt;-- defina o número do agrupador",
                       OFFSET(EVENTOS!$D$15,$A74-$A$15,0)),
                OFFSET($F$15,$A74,0)))</f>
        <v>EQUIPAMENTOS E MOBILIÁRIOS URBANOS</v>
      </c>
      <c r="O74" s="175"/>
      <c r="Q74" s="175"/>
      <c r="R74" s="176"/>
      <c r="S74" s="176"/>
      <c r="T74" s="176"/>
      <c r="U74" s="176">
        <v>2</v>
      </c>
      <c r="V74" s="176"/>
      <c r="W74" s="176"/>
      <c r="X74" s="176"/>
      <c r="Y74" s="176"/>
      <c r="Z74" s="177"/>
      <c r="AA74" s="176"/>
      <c r="AB74" s="176"/>
      <c r="AC74" s="176"/>
      <c r="AD74" s="176"/>
      <c r="AE74" s="176"/>
      <c r="AF74" s="176"/>
      <c r="AG74" s="176"/>
      <c r="AH74" s="177"/>
      <c r="AJ74" s="485">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85">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L74" s="485">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0</v>
      </c>
      <c r="AM74" s="485">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0</v>
      </c>
      <c r="AN74" s="485">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2490.6</v>
      </c>
      <c r="AO74" s="485">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85">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85">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85">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85">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85">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85">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85">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85">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85">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85">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85">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85">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8">
        <f ca="1">IF(OR($D74&lt;&gt;"Serviço",AND(AUTOEVENTO="Manual",$M74=$A$15)),0,
         IF(OFFSET(CRONOPLE!$F$15,$M74-$A$15,BC$13)="",10^12,OFFSET(CRONOPLE!$F$15,$M74-$A$15,BC$13)))</f>
        <v>1</v>
      </c>
      <c r="BD74" s="178">
        <f ca="1">IF(OR($D74&lt;&gt;"Serviço",AND(AUTOEVENTO="Manual",$M74=$A$15)),0,
         IF(OFFSET(CRONOPLE!$F$15,$M74-$A$15,BD$13)="",10^12,OFFSET(CRONOPLE!$F$15,$M74-$A$15,BD$13)))</f>
        <v>2</v>
      </c>
      <c r="BE74" s="178">
        <f ca="1">IF(OR($D74&lt;&gt;"Serviço",AND(AUTOEVENTO="Manual",$M74=$A$15)),0,
         IF(OFFSET(CRONOPLE!$F$15,$M74-$A$15,BE$13)="",10^12,OFFSET(CRONOPLE!$F$15,$M74-$A$15,BE$13)))</f>
        <v>3</v>
      </c>
      <c r="BF74" s="178">
        <f ca="1">IF(OR($D74&lt;&gt;"Serviço",AND(AUTOEVENTO="Manual",$M74=$A$15)),0,
         IF(OFFSET(CRONOPLE!$F$15,$M74-$A$15,BF$13)="",10^12,OFFSET(CRONOPLE!$F$15,$M74-$A$15,BF$13)))</f>
        <v>4</v>
      </c>
      <c r="BG74" s="178">
        <f ca="1">IF(OR($D74&lt;&gt;"Serviço",AND(AUTOEVENTO="Manual",$M74=$A$15)),0,
         IF(OFFSET(CRONOPLE!$F$15,$M74-$A$15,BG$13)="",10^12,OFFSET(CRONOPLE!$F$15,$M74-$A$15,BG$13)))</f>
        <v>5</v>
      </c>
      <c r="BH74" s="178">
        <f ca="1">IF(OR($D74&lt;&gt;"Serviço",AND(AUTOEVENTO="Manual",$M74=$A$15)),0,
         IF(OFFSET(CRONOPLE!$F$15,$M74-$A$15,BH$13)="",10^12,OFFSET(CRONOPLE!$F$15,$M74-$A$15,BH$13)))</f>
        <v>6</v>
      </c>
      <c r="BI74" s="178">
        <f ca="1">IF(OR($D74&lt;&gt;"Serviço",AND(AUTOEVENTO="Manual",$M74=$A$15)),0,
         IF(OFFSET(CRONOPLE!$F$15,$M74-$A$15,BI$13)="",10^12,OFFSET(CRONOPLE!$F$15,$M74-$A$15,BI$13)))</f>
        <v>7</v>
      </c>
      <c r="BJ74" s="178">
        <f ca="1">IF(OR($D74&lt;&gt;"Serviço",AND(AUTOEVENTO="Manual",$M74=$A$15)),0,
         IF(OFFSET(CRONOPLE!$F$15,$M74-$A$15,BJ$13)="",10^12,OFFSET(CRONOPLE!$F$15,$M74-$A$15,BJ$13)))</f>
        <v>1000000000000</v>
      </c>
      <c r="BK74" s="178">
        <f ca="1">IF(OR($D74&lt;&gt;"Serviço",AND(AUTOEVENTO="Manual",$M74=$A$15)),0,
         IF(OFFSET(CRONOPLE!$F$15,$M74-$A$15,BK$13)="",10^12,OFFSET(CRONOPLE!$F$15,$M74-$A$15,BK$13)))</f>
        <v>1000000000000</v>
      </c>
      <c r="BL74" s="178">
        <f ca="1">IF(OR($D74&lt;&gt;"Serviço",AND(AUTOEVENTO="Manual",$M74=$A$15)),0,
         IF(OFFSET(CRONOPLE!$F$15,$M74-$A$15,BL$13)="",10^12,OFFSET(CRONOPLE!$F$15,$M74-$A$15,BL$13)))</f>
        <v>1000000000000</v>
      </c>
      <c r="BM74" s="178">
        <f ca="1">IF(OR($D74&lt;&gt;"Serviço",AND(AUTOEVENTO="Manual",$M74=$A$15)),0,
         IF(OFFSET(CRONOPLE!$F$15,$M74-$A$15,BM$13)="",10^12,OFFSET(CRONOPLE!$F$15,$M74-$A$15,BM$13)))</f>
        <v>1000000000000</v>
      </c>
      <c r="BN74" s="178">
        <f ca="1">IF(OR($D74&lt;&gt;"Serviço",AND(AUTOEVENTO="Manual",$M74=$A$15)),0,
         IF(OFFSET(CRONOPLE!$F$15,$M74-$A$15,BN$13)="",10^12,OFFSET(CRONOPLE!$F$15,$M74-$A$15,BN$13)))</f>
        <v>1000000000000</v>
      </c>
      <c r="BO74" s="178">
        <f ca="1">IF(OR($D74&lt;&gt;"Serviço",AND(AUTOEVENTO="Manual",$M74=$A$15)),0,
         IF(OFFSET(CRONOPLE!$F$15,$M74-$A$15,BO$13)="",10^12,OFFSET(CRONOPLE!$F$15,$M74-$A$15,BO$13)))</f>
        <v>1000000000000</v>
      </c>
      <c r="BP74" s="178">
        <f ca="1">IF(OR($D74&lt;&gt;"Serviço",AND(AUTOEVENTO="Manual",$M74=$A$15)),0,
         IF(OFFSET(CRONOPLE!$F$15,$M74-$A$15,BP$13)="",10^12,OFFSET(CRONOPLE!$F$15,$M74-$A$15,BP$13)))</f>
        <v>1000000000000</v>
      </c>
      <c r="BQ74" s="178">
        <f ca="1">IF(OR($D74&lt;&gt;"Serviço",AND(AUTOEVENTO="Manual",$M74=$A$15)),0,
         IF(OFFSET(CRONOPLE!$F$15,$M74-$A$15,BQ$13)="",10^12,OFFSET(CRONOPLE!$F$15,$M74-$A$15,BQ$13)))</f>
        <v>1000000000000</v>
      </c>
      <c r="BR74" s="178">
        <f ca="1">IF(OR($D74&lt;&gt;"Serviço",AND(AUTOEVENTO="Manual",$M74=$A$15)),0,
         IF(OFFSET(CRONOPLE!$F$15,$M74-$A$15,BR$13)="",10^12,OFFSET(CRONOPLE!$F$15,$M74-$A$15,BR$13)))</f>
        <v>1000000000000</v>
      </c>
      <c r="BS74" s="178">
        <f ca="1">IF(OR($D74&lt;&gt;"Serviço",AND(AUTOEVENTO="Manual",$M74=$A$15)),0,
         IF(OFFSET(CRONOPLE!$F$15,$M74-$A$15,BS$13)="",10^12,OFFSET(CRONOPLE!$F$15,$M74-$A$15,BS$13)))</f>
        <v>1000000000000</v>
      </c>
      <c r="BT74" s="178">
        <f ca="1">IF(OR($D74&lt;&gt;"Serviço",AND(AUTOEVENTO="Manual",$M74=$A$15)),0,
         IF(OFFSET(CRONOPLE!$F$15,$M74-$A$15,BT$13)="",10^12,OFFSET(CRONOPLE!$F$15,$M74-$A$15,BT$13)))</f>
        <v>1000000000000</v>
      </c>
      <c r="BV74" s="179">
        <f ca="1">IF(OR($D74&lt;&gt;"Serviço",AND(AUTOEVENTO="Manual",$M74=$A$15),$M74&gt;(ROW(PLE.lastrow)-ROW(PLE.firstrow))),0,
           IF(OFFSET(PLE!$G$15,$M74-$A$15,BV$13)="",10^12,OFFSET(PLE!$G$15,$M74-$A$15,BV$13)))</f>
        <v>1000000000000</v>
      </c>
      <c r="BW74" s="179">
        <f ca="1">IF(OR($D74&lt;&gt;"Serviço",AND(AUTOEVENTO="Manual",$M74=$A$15),$M74&gt;(ROW(PLE.lastrow)-ROW(PLE.firstrow))),0,
           IF(OFFSET(PLE!$G$15,$M74-$A$15,BW$13)="",10^12,OFFSET(PLE!$G$15,$M74-$A$15,BW$13)))</f>
        <v>1000000000000</v>
      </c>
      <c r="BX74" s="179">
        <f ca="1">IF(OR($D74&lt;&gt;"Serviço",AND(AUTOEVENTO="Manual",$M74=$A$15),$M74&gt;(ROW(PLE.lastrow)-ROW(PLE.firstrow))),0,
           IF(OFFSET(PLE!$G$15,$M74-$A$15,BX$13)="",10^12,OFFSET(PLE!$G$15,$M74-$A$15,BX$13)))</f>
        <v>1000000000000</v>
      </c>
      <c r="BY74" s="179">
        <f ca="1">IF(OR($D74&lt;&gt;"Serviço",AND(AUTOEVENTO="Manual",$M74=$A$15),$M74&gt;(ROW(PLE.lastrow)-ROW(PLE.firstrow))),0,
           IF(OFFSET(PLE!$G$15,$M74-$A$15,BY$13)="",10^12,OFFSET(PLE!$G$15,$M74-$A$15,BY$13)))</f>
        <v>1000000000000</v>
      </c>
      <c r="BZ74" s="179">
        <f ca="1">IF(OR($D74&lt;&gt;"Serviço",AND(AUTOEVENTO="Manual",$M74=$A$15),$M74&gt;(ROW(PLE.lastrow)-ROW(PLE.firstrow))),0,
           IF(OFFSET(PLE!$G$15,$M74-$A$15,BZ$13)="",10^12,OFFSET(PLE!$G$15,$M74-$A$15,BZ$13)))</f>
        <v>1000000000000</v>
      </c>
      <c r="CA74" s="179">
        <f ca="1">IF(OR($D74&lt;&gt;"Serviço",AND(AUTOEVENTO="Manual",$M74=$A$15),$M74&gt;(ROW(PLE.lastrow)-ROW(PLE.firstrow))),0,
           IF(OFFSET(PLE!$G$15,$M74-$A$15,CA$13)="",10^12,OFFSET(PLE!$G$15,$M74-$A$15,CA$13)))</f>
        <v>1000000000000</v>
      </c>
      <c r="CB74" s="179">
        <f ca="1">IF(OR($D74&lt;&gt;"Serviço",AND(AUTOEVENTO="Manual",$M74=$A$15),$M74&gt;(ROW(PLE.lastrow)-ROW(PLE.firstrow))),0,
           IF(OFFSET(PLE!$G$15,$M74-$A$15,CB$13)="",10^12,OFFSET(PLE!$G$15,$M74-$A$15,CB$13)))</f>
        <v>1000000000000</v>
      </c>
      <c r="CC74" s="179">
        <f ca="1">IF(OR($D74&lt;&gt;"Serviço",AND(AUTOEVENTO="Manual",$M74=$A$15),$M74&gt;(ROW(PLE.lastrow)-ROW(PLE.firstrow))),0,
           IF(OFFSET(PLE!$G$15,$M74-$A$15,CC$13)="",10^12,OFFSET(PLE!$G$15,$M74-$A$15,CC$13)))</f>
        <v>1000000000000</v>
      </c>
      <c r="CD74" s="179">
        <f ca="1">IF(OR($D74&lt;&gt;"Serviço",AND(AUTOEVENTO="Manual",$M74=$A$15),$M74&gt;(ROW(PLE.lastrow)-ROW(PLE.firstrow))),0,
           IF(OFFSET(PLE!$G$15,$M74-$A$15,CD$13)="",10^12,OFFSET(PLE!$G$15,$M74-$A$15,CD$13)))</f>
        <v>1000000000000</v>
      </c>
      <c r="CE74" s="179">
        <f ca="1">IF(OR($D74&lt;&gt;"Serviço",AND(AUTOEVENTO="Manual",$M74=$A$15),$M74&gt;(ROW(PLE.lastrow)-ROW(PLE.firstrow))),0,
           IF(OFFSET(PLE!$G$15,$M74-$A$15,CE$13)="",10^12,OFFSET(PLE!$G$15,$M74-$A$15,CE$13)))</f>
        <v>1000000000000</v>
      </c>
      <c r="CF74" s="179">
        <f ca="1">IF(OR($D74&lt;&gt;"Serviço",AND(AUTOEVENTO="Manual",$M74=$A$15),$M74&gt;(ROW(PLE.lastrow)-ROW(PLE.firstrow))),0,
           IF(OFFSET(PLE!$G$15,$M74-$A$15,CF$13)="",10^12,OFFSET(PLE!$G$15,$M74-$A$15,CF$13)))</f>
        <v>1000000000000</v>
      </c>
      <c r="CG74" s="179">
        <f ca="1">IF(OR($D74&lt;&gt;"Serviço",AND(AUTOEVENTO="Manual",$M74=$A$15),$M74&gt;(ROW(PLE.lastrow)-ROW(PLE.firstrow))),0,
           IF(OFFSET(PLE!$G$15,$M74-$A$15,CG$13)="",10^12,OFFSET(PLE!$G$15,$M74-$A$15,CG$13)))</f>
        <v>1000000000000</v>
      </c>
      <c r="CH74" s="179">
        <f ca="1">IF(OR($D74&lt;&gt;"Serviço",AND(AUTOEVENTO="Manual",$M74=$A$15),$M74&gt;(ROW(PLE.lastrow)-ROW(PLE.firstrow))),0,
           IF(OFFSET(PLE!$G$15,$M74-$A$15,CH$13)="",10^12,OFFSET(PLE!$G$15,$M74-$A$15,CH$13)))</f>
        <v>1000000000000</v>
      </c>
      <c r="CI74" s="179">
        <f ca="1">IF(OR($D74&lt;&gt;"Serviço",AND(AUTOEVENTO="Manual",$M74=$A$15),$M74&gt;(ROW(PLE.lastrow)-ROW(PLE.firstrow))),0,
           IF(OFFSET(PLE!$G$15,$M74-$A$15,CI$13)="",10^12,OFFSET(PLE!$G$15,$M74-$A$15,CI$13)))</f>
        <v>1000000000000</v>
      </c>
      <c r="CJ74" s="179">
        <f ca="1">IF(OR($D74&lt;&gt;"Serviço",AND(AUTOEVENTO="Manual",$M74=$A$15),$M74&gt;(ROW(PLE.lastrow)-ROW(PLE.firstrow))),0,
           IF(OFFSET(PLE!$G$15,$M74-$A$15,CJ$13)="",10^12,OFFSET(PLE!$G$15,$M74-$A$15,CJ$13)))</f>
        <v>1000000000000</v>
      </c>
      <c r="CK74" s="179">
        <f ca="1">IF(OR($D74&lt;&gt;"Serviço",AND(AUTOEVENTO="Manual",$M74=$A$15),$M74&gt;(ROW(PLE.lastrow)-ROW(PLE.firstrow))),0,
           IF(OFFSET(PLE!$G$15,$M74-$A$15,CK$13)="",10^12,OFFSET(PLE!$G$15,$M74-$A$15,CK$13)))</f>
        <v>1000000000000</v>
      </c>
      <c r="CL74" s="179">
        <f ca="1">IF(OR($D74&lt;&gt;"Serviço",AND(AUTOEVENTO="Manual",$M74=$A$15),$M74&gt;(ROW(PLE.lastrow)-ROW(PLE.firstrow))),0,
           IF(OFFSET(PLE!$G$15,$M74-$A$15,CL$13)="",10^12,OFFSET(PLE!$G$15,$M74-$A$15,CL$13)))</f>
        <v>1000000000000</v>
      </c>
      <c r="CM74" s="179">
        <f ca="1">IF(OR($D74&lt;&gt;"Serviço",AND(AUTOEVENTO="Manual",$M74=$A$15),$M74&gt;(ROW(PLE.lastrow)-ROW(PLE.firstrow))),0,
           IF(OFFSET(PLE!$G$15,$M74-$A$15,CM$13)="",10^12,OFFSET(PLE!$G$15,$M74-$A$15,CM$13)))</f>
        <v>1000000000000</v>
      </c>
    </row>
    <row r="75" spans="1:91" ht="25.5" x14ac:dyDescent="0.2">
      <c r="A75" s="7" t="str">
        <f ca="1">IF(AUTOEVENTO="Manual",IF(K75&lt;&gt;"",MIN(VALUE(LEFT(K75,FIND(".",K75)-1)),COUNTA(EVENTOS.Lista)),0),IF(OR($B75&gt;AUTOEVENTO,$B75="S",$B75=0),SUBSTITUTE(OFFSET($A75,-1,0),IF($D75="Serviço",".",""),""),ROW(A75)-ROW($A$15)&amp;"."))</f>
        <v>55</v>
      </c>
      <c r="B75" s="7" t="str">
        <f ca="1">OFFSET(ORÇAMENTO!C$15,ROW(B75)-ROW(B$15),0)</f>
        <v>S</v>
      </c>
      <c r="C75" s="7" t="str">
        <f ca="1">OFFSET(ORÇAMENTO!L$15,ROW(C75)-ROW(C$15),0)</f>
        <v>F</v>
      </c>
      <c r="D75" s="118" t="str">
        <f ca="1">OFFSET(ORÇAMENTO!N$15,ROW(D75)-ROW(D$15),0)</f>
        <v>Serviço</v>
      </c>
      <c r="E75" s="119" t="str">
        <f ca="1">OFFSET(ORÇAMENTO!O$15,ROW(E75)-ROW(E$15),0)</f>
        <v>1.9.0.0.5.</v>
      </c>
      <c r="F75" s="170" t="str">
        <f ca="1">OFFSET(ORÇAMENTO!R$15,ROW(F75)-ROW(F$15),0)</f>
        <v>FLOREIRA CÔNICA ESTILO VASO DE FIBROCIMENTO ALTO H= 1,10 M COR CIMENTO APOIADA SOBRE O PISO. EXCLUSO FRETE</v>
      </c>
      <c r="G75" s="171" t="str">
        <f ca="1">IF($D75&lt;&gt;"Serviço","",OFFSET(ORÇAMENTO!S$15,ROW(G75)-ROW(G$15),0))</f>
        <v>UN</v>
      </c>
      <c r="H75" s="124" cm="1">
        <f t="array" aca="1" ref="H75" ca="1">IF($D75&lt;&gt;"Serviço",0,IF(_xlfn.SINGLE(ACOMPANHAMENTO)="BM",ROUND(OFFSET(ORÇAMENTO!AJ$15,ROW(H75)-ROW(H$15),0),15-13*ORÇAMENTO!$AF$7),SUMPRODUCT(($Q$1:$AI$1)*ROUND($Q75:$AI75,15-13*ORÇAMENTO!$AF$7))))</f>
        <v>2</v>
      </c>
      <c r="I75" s="500" t="s">
        <v>996</v>
      </c>
      <c r="J75" s="632" t="str" cm="1">
        <f t="array" aca="1" ref="J75" ca="1">IF(B75&lt;&gt;"S","",IF(AND(ACOMPANHAMENTO="PLE",AUTOEVENTO="Manual",OR(H75&gt;0,ORÇAMENTO!AC75="QUANT."),OR(K75="",M75=0,N75="")),"►",IF(AND(ACOMPANHAMENTO="PLE",ORÇAMENTO!AC75="QUANT."),"►►",IF(AND(COUNTIF($P$11:$AI$11,"▼")=0,H75&gt;0,I75=""),"◄",""))))</f>
        <v/>
      </c>
      <c r="K75" s="624"/>
      <c r="L75" s="172" t="s">
        <v>253</v>
      </c>
      <c r="M75" s="173">
        <f ca="1">IF($D75&lt;&gt;"Serviço","",
          IF(AUTOEVENTO="manual",$A75,
                IF(ISERROR(MATCH($A75,$A$15:OFFSET($A75,-1,0),0)),MAX($M$15:OFFSET(M75,-1,0))+1,
                      INDEX($M$15:OFFSET(M75,-1,0),MATCH($A75,$A$15:OFFSET($A75,-1,0),0)))))</f>
        <v>9</v>
      </c>
      <c r="N75" s="174" t="str">
        <f ca="1">IF($D75&lt;&gt;"Serviço","",
         IF(AUTOEVENTO="Manual",
                IF($A75=0,"&lt;-- defina o número do agrupador",
                       OFFSET(EVENTOS!$D$15,$A75-$A$15,0)),
                OFFSET($F$15,$A75,0)))</f>
        <v>EQUIPAMENTOS E MOBILIÁRIOS URBANOS</v>
      </c>
      <c r="O75" s="175"/>
      <c r="Q75" s="175"/>
      <c r="R75" s="176"/>
      <c r="S75" s="176"/>
      <c r="T75" s="176"/>
      <c r="U75" s="176">
        <v>2</v>
      </c>
      <c r="V75" s="176"/>
      <c r="W75" s="176"/>
      <c r="X75" s="176"/>
      <c r="Y75" s="176"/>
      <c r="Z75" s="177"/>
      <c r="AA75" s="176"/>
      <c r="AB75" s="176"/>
      <c r="AC75" s="176"/>
      <c r="AD75" s="176"/>
      <c r="AE75" s="176"/>
      <c r="AF75" s="176"/>
      <c r="AG75" s="176"/>
      <c r="AH75" s="177"/>
      <c r="AJ75" s="485">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85">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L75" s="485">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0</v>
      </c>
      <c r="AM75" s="485">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0</v>
      </c>
      <c r="AN75" s="485">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1237.04</v>
      </c>
      <c r="AO75" s="485">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85">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85">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85">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85">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85">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85">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85">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85">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85">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85">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85">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85">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8">
        <f ca="1">IF(OR($D75&lt;&gt;"Serviço",AND(AUTOEVENTO="Manual",$M75=$A$15)),0,
         IF(OFFSET(CRONOPLE!$F$15,$M75-$A$15,BC$13)="",10^12,OFFSET(CRONOPLE!$F$15,$M75-$A$15,BC$13)))</f>
        <v>1</v>
      </c>
      <c r="BD75" s="178">
        <f ca="1">IF(OR($D75&lt;&gt;"Serviço",AND(AUTOEVENTO="Manual",$M75=$A$15)),0,
         IF(OFFSET(CRONOPLE!$F$15,$M75-$A$15,BD$13)="",10^12,OFFSET(CRONOPLE!$F$15,$M75-$A$15,BD$13)))</f>
        <v>2</v>
      </c>
      <c r="BE75" s="178">
        <f ca="1">IF(OR($D75&lt;&gt;"Serviço",AND(AUTOEVENTO="Manual",$M75=$A$15)),0,
         IF(OFFSET(CRONOPLE!$F$15,$M75-$A$15,BE$13)="",10^12,OFFSET(CRONOPLE!$F$15,$M75-$A$15,BE$13)))</f>
        <v>3</v>
      </c>
      <c r="BF75" s="178">
        <f ca="1">IF(OR($D75&lt;&gt;"Serviço",AND(AUTOEVENTO="Manual",$M75=$A$15)),0,
         IF(OFFSET(CRONOPLE!$F$15,$M75-$A$15,BF$13)="",10^12,OFFSET(CRONOPLE!$F$15,$M75-$A$15,BF$13)))</f>
        <v>4</v>
      </c>
      <c r="BG75" s="178">
        <f ca="1">IF(OR($D75&lt;&gt;"Serviço",AND(AUTOEVENTO="Manual",$M75=$A$15)),0,
         IF(OFFSET(CRONOPLE!$F$15,$M75-$A$15,BG$13)="",10^12,OFFSET(CRONOPLE!$F$15,$M75-$A$15,BG$13)))</f>
        <v>5</v>
      </c>
      <c r="BH75" s="178">
        <f ca="1">IF(OR($D75&lt;&gt;"Serviço",AND(AUTOEVENTO="Manual",$M75=$A$15)),0,
         IF(OFFSET(CRONOPLE!$F$15,$M75-$A$15,BH$13)="",10^12,OFFSET(CRONOPLE!$F$15,$M75-$A$15,BH$13)))</f>
        <v>6</v>
      </c>
      <c r="BI75" s="178">
        <f ca="1">IF(OR($D75&lt;&gt;"Serviço",AND(AUTOEVENTO="Manual",$M75=$A$15)),0,
         IF(OFFSET(CRONOPLE!$F$15,$M75-$A$15,BI$13)="",10^12,OFFSET(CRONOPLE!$F$15,$M75-$A$15,BI$13)))</f>
        <v>7</v>
      </c>
      <c r="BJ75" s="178">
        <f ca="1">IF(OR($D75&lt;&gt;"Serviço",AND(AUTOEVENTO="Manual",$M75=$A$15)),0,
         IF(OFFSET(CRONOPLE!$F$15,$M75-$A$15,BJ$13)="",10^12,OFFSET(CRONOPLE!$F$15,$M75-$A$15,BJ$13)))</f>
        <v>1000000000000</v>
      </c>
      <c r="BK75" s="178">
        <f ca="1">IF(OR($D75&lt;&gt;"Serviço",AND(AUTOEVENTO="Manual",$M75=$A$15)),0,
         IF(OFFSET(CRONOPLE!$F$15,$M75-$A$15,BK$13)="",10^12,OFFSET(CRONOPLE!$F$15,$M75-$A$15,BK$13)))</f>
        <v>1000000000000</v>
      </c>
      <c r="BL75" s="178">
        <f ca="1">IF(OR($D75&lt;&gt;"Serviço",AND(AUTOEVENTO="Manual",$M75=$A$15)),0,
         IF(OFFSET(CRONOPLE!$F$15,$M75-$A$15,BL$13)="",10^12,OFFSET(CRONOPLE!$F$15,$M75-$A$15,BL$13)))</f>
        <v>1000000000000</v>
      </c>
      <c r="BM75" s="178">
        <f ca="1">IF(OR($D75&lt;&gt;"Serviço",AND(AUTOEVENTO="Manual",$M75=$A$15)),0,
         IF(OFFSET(CRONOPLE!$F$15,$M75-$A$15,BM$13)="",10^12,OFFSET(CRONOPLE!$F$15,$M75-$A$15,BM$13)))</f>
        <v>1000000000000</v>
      </c>
      <c r="BN75" s="178">
        <f ca="1">IF(OR($D75&lt;&gt;"Serviço",AND(AUTOEVENTO="Manual",$M75=$A$15)),0,
         IF(OFFSET(CRONOPLE!$F$15,$M75-$A$15,BN$13)="",10^12,OFFSET(CRONOPLE!$F$15,$M75-$A$15,BN$13)))</f>
        <v>1000000000000</v>
      </c>
      <c r="BO75" s="178">
        <f ca="1">IF(OR($D75&lt;&gt;"Serviço",AND(AUTOEVENTO="Manual",$M75=$A$15)),0,
         IF(OFFSET(CRONOPLE!$F$15,$M75-$A$15,BO$13)="",10^12,OFFSET(CRONOPLE!$F$15,$M75-$A$15,BO$13)))</f>
        <v>1000000000000</v>
      </c>
      <c r="BP75" s="178">
        <f ca="1">IF(OR($D75&lt;&gt;"Serviço",AND(AUTOEVENTO="Manual",$M75=$A$15)),0,
         IF(OFFSET(CRONOPLE!$F$15,$M75-$A$15,BP$13)="",10^12,OFFSET(CRONOPLE!$F$15,$M75-$A$15,BP$13)))</f>
        <v>1000000000000</v>
      </c>
      <c r="BQ75" s="178">
        <f ca="1">IF(OR($D75&lt;&gt;"Serviço",AND(AUTOEVENTO="Manual",$M75=$A$15)),0,
         IF(OFFSET(CRONOPLE!$F$15,$M75-$A$15,BQ$13)="",10^12,OFFSET(CRONOPLE!$F$15,$M75-$A$15,BQ$13)))</f>
        <v>1000000000000</v>
      </c>
      <c r="BR75" s="178">
        <f ca="1">IF(OR($D75&lt;&gt;"Serviço",AND(AUTOEVENTO="Manual",$M75=$A$15)),0,
         IF(OFFSET(CRONOPLE!$F$15,$M75-$A$15,BR$13)="",10^12,OFFSET(CRONOPLE!$F$15,$M75-$A$15,BR$13)))</f>
        <v>1000000000000</v>
      </c>
      <c r="BS75" s="178">
        <f ca="1">IF(OR($D75&lt;&gt;"Serviço",AND(AUTOEVENTO="Manual",$M75=$A$15)),0,
         IF(OFFSET(CRONOPLE!$F$15,$M75-$A$15,BS$13)="",10^12,OFFSET(CRONOPLE!$F$15,$M75-$A$15,BS$13)))</f>
        <v>1000000000000</v>
      </c>
      <c r="BT75" s="178">
        <f ca="1">IF(OR($D75&lt;&gt;"Serviço",AND(AUTOEVENTO="Manual",$M75=$A$15)),0,
         IF(OFFSET(CRONOPLE!$F$15,$M75-$A$15,BT$13)="",10^12,OFFSET(CRONOPLE!$F$15,$M75-$A$15,BT$13)))</f>
        <v>1000000000000</v>
      </c>
      <c r="BV75" s="179">
        <f ca="1">IF(OR($D75&lt;&gt;"Serviço",AND(AUTOEVENTO="Manual",$M75=$A$15),$M75&gt;(ROW(PLE.lastrow)-ROW(PLE.firstrow))),0,
           IF(OFFSET(PLE!$G$15,$M75-$A$15,BV$13)="",10^12,OFFSET(PLE!$G$15,$M75-$A$15,BV$13)))</f>
        <v>1000000000000</v>
      </c>
      <c r="BW75" s="179">
        <f ca="1">IF(OR($D75&lt;&gt;"Serviço",AND(AUTOEVENTO="Manual",$M75=$A$15),$M75&gt;(ROW(PLE.lastrow)-ROW(PLE.firstrow))),0,
           IF(OFFSET(PLE!$G$15,$M75-$A$15,BW$13)="",10^12,OFFSET(PLE!$G$15,$M75-$A$15,BW$13)))</f>
        <v>1000000000000</v>
      </c>
      <c r="BX75" s="179">
        <f ca="1">IF(OR($D75&lt;&gt;"Serviço",AND(AUTOEVENTO="Manual",$M75=$A$15),$M75&gt;(ROW(PLE.lastrow)-ROW(PLE.firstrow))),0,
           IF(OFFSET(PLE!$G$15,$M75-$A$15,BX$13)="",10^12,OFFSET(PLE!$G$15,$M75-$A$15,BX$13)))</f>
        <v>1000000000000</v>
      </c>
      <c r="BY75" s="179">
        <f ca="1">IF(OR($D75&lt;&gt;"Serviço",AND(AUTOEVENTO="Manual",$M75=$A$15),$M75&gt;(ROW(PLE.lastrow)-ROW(PLE.firstrow))),0,
           IF(OFFSET(PLE!$G$15,$M75-$A$15,BY$13)="",10^12,OFFSET(PLE!$G$15,$M75-$A$15,BY$13)))</f>
        <v>1000000000000</v>
      </c>
      <c r="BZ75" s="179">
        <f ca="1">IF(OR($D75&lt;&gt;"Serviço",AND(AUTOEVENTO="Manual",$M75=$A$15),$M75&gt;(ROW(PLE.lastrow)-ROW(PLE.firstrow))),0,
           IF(OFFSET(PLE!$G$15,$M75-$A$15,BZ$13)="",10^12,OFFSET(PLE!$G$15,$M75-$A$15,BZ$13)))</f>
        <v>1000000000000</v>
      </c>
      <c r="CA75" s="179">
        <f ca="1">IF(OR($D75&lt;&gt;"Serviço",AND(AUTOEVENTO="Manual",$M75=$A$15),$M75&gt;(ROW(PLE.lastrow)-ROW(PLE.firstrow))),0,
           IF(OFFSET(PLE!$G$15,$M75-$A$15,CA$13)="",10^12,OFFSET(PLE!$G$15,$M75-$A$15,CA$13)))</f>
        <v>1000000000000</v>
      </c>
      <c r="CB75" s="179">
        <f ca="1">IF(OR($D75&lt;&gt;"Serviço",AND(AUTOEVENTO="Manual",$M75=$A$15),$M75&gt;(ROW(PLE.lastrow)-ROW(PLE.firstrow))),0,
           IF(OFFSET(PLE!$G$15,$M75-$A$15,CB$13)="",10^12,OFFSET(PLE!$G$15,$M75-$A$15,CB$13)))</f>
        <v>1000000000000</v>
      </c>
      <c r="CC75" s="179">
        <f ca="1">IF(OR($D75&lt;&gt;"Serviço",AND(AUTOEVENTO="Manual",$M75=$A$15),$M75&gt;(ROW(PLE.lastrow)-ROW(PLE.firstrow))),0,
           IF(OFFSET(PLE!$G$15,$M75-$A$15,CC$13)="",10^12,OFFSET(PLE!$G$15,$M75-$A$15,CC$13)))</f>
        <v>1000000000000</v>
      </c>
      <c r="CD75" s="179">
        <f ca="1">IF(OR($D75&lt;&gt;"Serviço",AND(AUTOEVENTO="Manual",$M75=$A$15),$M75&gt;(ROW(PLE.lastrow)-ROW(PLE.firstrow))),0,
           IF(OFFSET(PLE!$G$15,$M75-$A$15,CD$13)="",10^12,OFFSET(PLE!$G$15,$M75-$A$15,CD$13)))</f>
        <v>1000000000000</v>
      </c>
      <c r="CE75" s="179">
        <f ca="1">IF(OR($D75&lt;&gt;"Serviço",AND(AUTOEVENTO="Manual",$M75=$A$15),$M75&gt;(ROW(PLE.lastrow)-ROW(PLE.firstrow))),0,
           IF(OFFSET(PLE!$G$15,$M75-$A$15,CE$13)="",10^12,OFFSET(PLE!$G$15,$M75-$A$15,CE$13)))</f>
        <v>1000000000000</v>
      </c>
      <c r="CF75" s="179">
        <f ca="1">IF(OR($D75&lt;&gt;"Serviço",AND(AUTOEVENTO="Manual",$M75=$A$15),$M75&gt;(ROW(PLE.lastrow)-ROW(PLE.firstrow))),0,
           IF(OFFSET(PLE!$G$15,$M75-$A$15,CF$13)="",10^12,OFFSET(PLE!$G$15,$M75-$A$15,CF$13)))</f>
        <v>1000000000000</v>
      </c>
      <c r="CG75" s="179">
        <f ca="1">IF(OR($D75&lt;&gt;"Serviço",AND(AUTOEVENTO="Manual",$M75=$A$15),$M75&gt;(ROW(PLE.lastrow)-ROW(PLE.firstrow))),0,
           IF(OFFSET(PLE!$G$15,$M75-$A$15,CG$13)="",10^12,OFFSET(PLE!$G$15,$M75-$A$15,CG$13)))</f>
        <v>1000000000000</v>
      </c>
      <c r="CH75" s="179">
        <f ca="1">IF(OR($D75&lt;&gt;"Serviço",AND(AUTOEVENTO="Manual",$M75=$A$15),$M75&gt;(ROW(PLE.lastrow)-ROW(PLE.firstrow))),0,
           IF(OFFSET(PLE!$G$15,$M75-$A$15,CH$13)="",10^12,OFFSET(PLE!$G$15,$M75-$A$15,CH$13)))</f>
        <v>1000000000000</v>
      </c>
      <c r="CI75" s="179">
        <f ca="1">IF(OR($D75&lt;&gt;"Serviço",AND(AUTOEVENTO="Manual",$M75=$A$15),$M75&gt;(ROW(PLE.lastrow)-ROW(PLE.firstrow))),0,
           IF(OFFSET(PLE!$G$15,$M75-$A$15,CI$13)="",10^12,OFFSET(PLE!$G$15,$M75-$A$15,CI$13)))</f>
        <v>1000000000000</v>
      </c>
      <c r="CJ75" s="179">
        <f ca="1">IF(OR($D75&lt;&gt;"Serviço",AND(AUTOEVENTO="Manual",$M75=$A$15),$M75&gt;(ROW(PLE.lastrow)-ROW(PLE.firstrow))),0,
           IF(OFFSET(PLE!$G$15,$M75-$A$15,CJ$13)="",10^12,OFFSET(PLE!$G$15,$M75-$A$15,CJ$13)))</f>
        <v>1000000000000</v>
      </c>
      <c r="CK75" s="179">
        <f ca="1">IF(OR($D75&lt;&gt;"Serviço",AND(AUTOEVENTO="Manual",$M75=$A$15),$M75&gt;(ROW(PLE.lastrow)-ROW(PLE.firstrow))),0,
           IF(OFFSET(PLE!$G$15,$M75-$A$15,CK$13)="",10^12,OFFSET(PLE!$G$15,$M75-$A$15,CK$13)))</f>
        <v>1000000000000</v>
      </c>
      <c r="CL75" s="179">
        <f ca="1">IF(OR($D75&lt;&gt;"Serviço",AND(AUTOEVENTO="Manual",$M75=$A$15),$M75&gt;(ROW(PLE.lastrow)-ROW(PLE.firstrow))),0,
           IF(OFFSET(PLE!$G$15,$M75-$A$15,CL$13)="",10^12,OFFSET(PLE!$G$15,$M75-$A$15,CL$13)))</f>
        <v>1000000000000</v>
      </c>
      <c r="CM75" s="179">
        <f ca="1">IF(OR($D75&lt;&gt;"Serviço",AND(AUTOEVENTO="Manual",$M75=$A$15),$M75&gt;(ROW(PLE.lastrow)-ROW(PLE.firstrow))),0,
           IF(OFFSET(PLE!$G$15,$M75-$A$15,CM$13)="",10^12,OFFSET(PLE!$G$15,$M75-$A$15,CM$13)))</f>
        <v>1000000000000</v>
      </c>
    </row>
    <row r="76" spans="1:91" ht="25.5" x14ac:dyDescent="0.2">
      <c r="A76" s="7" t="str">
        <f ca="1">IF(AUTOEVENTO="Manual",IF(K76&lt;&gt;"",MIN(VALUE(LEFT(K76,FIND(".",K76)-1)),COUNTA(EVENTOS.Lista)),0),IF(OR($B76&gt;AUTOEVENTO,$B76="S",$B76=0),SUBSTITUTE(OFFSET($A76,-1,0),IF($D76="Serviço",".",""),""),ROW(A76)-ROW($A$15)&amp;"."))</f>
        <v>55</v>
      </c>
      <c r="B76" s="7" t="str">
        <f ca="1">OFFSET(ORÇAMENTO!C$15,ROW(B76)-ROW(B$15),0)</f>
        <v>S</v>
      </c>
      <c r="C76" s="7" t="str">
        <f ca="1">OFFSET(ORÇAMENTO!L$15,ROW(C76)-ROW(C$15),0)</f>
        <v>F</v>
      </c>
      <c r="D76" s="118" t="str">
        <f ca="1">OFFSET(ORÇAMENTO!N$15,ROW(D76)-ROW(D$15),0)</f>
        <v>Serviço</v>
      </c>
      <c r="E76" s="119" t="str">
        <f ca="1">OFFSET(ORÇAMENTO!O$15,ROW(E76)-ROW(E$15),0)</f>
        <v>1.9.0.0.6.</v>
      </c>
      <c r="F76" s="170" t="str">
        <f ca="1">OFFSET(ORÇAMENTO!R$15,ROW(F76)-ROW(F$15),0)</f>
        <v>FLOREIRA CÔNICA ESTILO VASO DE FIBROCIMENTO BAIXO H= 0,58 M COR CIMENTO APOIADA SOBRE O PISO. EXCLUSO FRETE</v>
      </c>
      <c r="G76" s="171" t="str">
        <f ca="1">IF($D76&lt;&gt;"Serviço","",OFFSET(ORÇAMENTO!S$15,ROW(G76)-ROW(G$15),0))</f>
        <v>UN</v>
      </c>
      <c r="H76" s="124" cm="1">
        <f t="array" aca="1" ref="H76" ca="1">IF($D76&lt;&gt;"Serviço",0,IF(_xlfn.SINGLE(ACOMPANHAMENTO)="BM",ROUND(OFFSET(ORÇAMENTO!AJ$15,ROW(H76)-ROW(H$15),0),15-13*ORÇAMENTO!$AF$7),SUMPRODUCT(($Q$1:$AI$1)*ROUND($Q76:$AI76,15-13*ORÇAMENTO!$AF$7))))</f>
        <v>2</v>
      </c>
      <c r="I76" s="500" t="s">
        <v>996</v>
      </c>
      <c r="J76" s="632" t="str" cm="1">
        <f t="array" aca="1" ref="J76" ca="1">IF(B76&lt;&gt;"S","",IF(AND(ACOMPANHAMENTO="PLE",AUTOEVENTO="Manual",OR(H76&gt;0,ORÇAMENTO!AC76="QUANT."),OR(K76="",M76=0,N76="")),"►",IF(AND(ACOMPANHAMENTO="PLE",ORÇAMENTO!AC76="QUANT."),"►►",IF(AND(COUNTIF($P$11:$AI$11,"▼")=0,H76&gt;0,I76=""),"◄",""))))</f>
        <v/>
      </c>
      <c r="K76" s="624"/>
      <c r="L76" s="172" t="s">
        <v>253</v>
      </c>
      <c r="M76" s="173">
        <f ca="1">IF($D76&lt;&gt;"Serviço","",
          IF(AUTOEVENTO="manual",$A76,
                IF(ISERROR(MATCH($A76,$A$15:OFFSET($A76,-1,0),0)),MAX($M$15:OFFSET(M76,-1,0))+1,
                      INDEX($M$15:OFFSET(M76,-1,0),MATCH($A76,$A$15:OFFSET($A76,-1,0),0)))))</f>
        <v>9</v>
      </c>
      <c r="N76" s="174" t="str">
        <f ca="1">IF($D76&lt;&gt;"Serviço","",
         IF(AUTOEVENTO="Manual",
                IF($A76=0,"&lt;-- defina o número do agrupador",
                       OFFSET(EVENTOS!$D$15,$A76-$A$15,0)),
                OFFSET($F$15,$A76,0)))</f>
        <v>EQUIPAMENTOS E MOBILIÁRIOS URBANOS</v>
      </c>
      <c r="O76" s="175"/>
      <c r="Q76" s="175"/>
      <c r="R76" s="176"/>
      <c r="S76" s="176"/>
      <c r="T76" s="176"/>
      <c r="U76" s="176">
        <v>2</v>
      </c>
      <c r="V76" s="176"/>
      <c r="W76" s="176"/>
      <c r="X76" s="176"/>
      <c r="Y76" s="176"/>
      <c r="Z76" s="177"/>
      <c r="AA76" s="176"/>
      <c r="AB76" s="176"/>
      <c r="AC76" s="176"/>
      <c r="AD76" s="176"/>
      <c r="AE76" s="176"/>
      <c r="AF76" s="176"/>
      <c r="AG76" s="176"/>
      <c r="AH76" s="177"/>
      <c r="AJ76" s="485">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85">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85">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85">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0</v>
      </c>
      <c r="AN76" s="485">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869.4</v>
      </c>
      <c r="AO76" s="485">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85">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85">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85">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85">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85">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85">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85">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85">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85">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85">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85">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85">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8">
        <f ca="1">IF(OR($D76&lt;&gt;"Serviço",AND(AUTOEVENTO="Manual",$M76=$A$15)),0,
         IF(OFFSET(CRONOPLE!$F$15,$M76-$A$15,BC$13)="",10^12,OFFSET(CRONOPLE!$F$15,$M76-$A$15,BC$13)))</f>
        <v>1</v>
      </c>
      <c r="BD76" s="178">
        <f ca="1">IF(OR($D76&lt;&gt;"Serviço",AND(AUTOEVENTO="Manual",$M76=$A$15)),0,
         IF(OFFSET(CRONOPLE!$F$15,$M76-$A$15,BD$13)="",10^12,OFFSET(CRONOPLE!$F$15,$M76-$A$15,BD$13)))</f>
        <v>2</v>
      </c>
      <c r="BE76" s="178">
        <f ca="1">IF(OR($D76&lt;&gt;"Serviço",AND(AUTOEVENTO="Manual",$M76=$A$15)),0,
         IF(OFFSET(CRONOPLE!$F$15,$M76-$A$15,BE$13)="",10^12,OFFSET(CRONOPLE!$F$15,$M76-$A$15,BE$13)))</f>
        <v>3</v>
      </c>
      <c r="BF76" s="178">
        <f ca="1">IF(OR($D76&lt;&gt;"Serviço",AND(AUTOEVENTO="Manual",$M76=$A$15)),0,
         IF(OFFSET(CRONOPLE!$F$15,$M76-$A$15,BF$13)="",10^12,OFFSET(CRONOPLE!$F$15,$M76-$A$15,BF$13)))</f>
        <v>4</v>
      </c>
      <c r="BG76" s="178">
        <f ca="1">IF(OR($D76&lt;&gt;"Serviço",AND(AUTOEVENTO="Manual",$M76=$A$15)),0,
         IF(OFFSET(CRONOPLE!$F$15,$M76-$A$15,BG$13)="",10^12,OFFSET(CRONOPLE!$F$15,$M76-$A$15,BG$13)))</f>
        <v>5</v>
      </c>
      <c r="BH76" s="178">
        <f ca="1">IF(OR($D76&lt;&gt;"Serviço",AND(AUTOEVENTO="Manual",$M76=$A$15)),0,
         IF(OFFSET(CRONOPLE!$F$15,$M76-$A$15,BH$13)="",10^12,OFFSET(CRONOPLE!$F$15,$M76-$A$15,BH$13)))</f>
        <v>6</v>
      </c>
      <c r="BI76" s="178">
        <f ca="1">IF(OR($D76&lt;&gt;"Serviço",AND(AUTOEVENTO="Manual",$M76=$A$15)),0,
         IF(OFFSET(CRONOPLE!$F$15,$M76-$A$15,BI$13)="",10^12,OFFSET(CRONOPLE!$F$15,$M76-$A$15,BI$13)))</f>
        <v>7</v>
      </c>
      <c r="BJ76" s="178">
        <f ca="1">IF(OR($D76&lt;&gt;"Serviço",AND(AUTOEVENTO="Manual",$M76=$A$15)),0,
         IF(OFFSET(CRONOPLE!$F$15,$M76-$A$15,BJ$13)="",10^12,OFFSET(CRONOPLE!$F$15,$M76-$A$15,BJ$13)))</f>
        <v>1000000000000</v>
      </c>
      <c r="BK76" s="178">
        <f ca="1">IF(OR($D76&lt;&gt;"Serviço",AND(AUTOEVENTO="Manual",$M76=$A$15)),0,
         IF(OFFSET(CRONOPLE!$F$15,$M76-$A$15,BK$13)="",10^12,OFFSET(CRONOPLE!$F$15,$M76-$A$15,BK$13)))</f>
        <v>1000000000000</v>
      </c>
      <c r="BL76" s="178">
        <f ca="1">IF(OR($D76&lt;&gt;"Serviço",AND(AUTOEVENTO="Manual",$M76=$A$15)),0,
         IF(OFFSET(CRONOPLE!$F$15,$M76-$A$15,BL$13)="",10^12,OFFSET(CRONOPLE!$F$15,$M76-$A$15,BL$13)))</f>
        <v>1000000000000</v>
      </c>
      <c r="BM76" s="178">
        <f ca="1">IF(OR($D76&lt;&gt;"Serviço",AND(AUTOEVENTO="Manual",$M76=$A$15)),0,
         IF(OFFSET(CRONOPLE!$F$15,$M76-$A$15,BM$13)="",10^12,OFFSET(CRONOPLE!$F$15,$M76-$A$15,BM$13)))</f>
        <v>1000000000000</v>
      </c>
      <c r="BN76" s="178">
        <f ca="1">IF(OR($D76&lt;&gt;"Serviço",AND(AUTOEVENTO="Manual",$M76=$A$15)),0,
         IF(OFFSET(CRONOPLE!$F$15,$M76-$A$15,BN$13)="",10^12,OFFSET(CRONOPLE!$F$15,$M76-$A$15,BN$13)))</f>
        <v>1000000000000</v>
      </c>
      <c r="BO76" s="178">
        <f ca="1">IF(OR($D76&lt;&gt;"Serviço",AND(AUTOEVENTO="Manual",$M76=$A$15)),0,
         IF(OFFSET(CRONOPLE!$F$15,$M76-$A$15,BO$13)="",10^12,OFFSET(CRONOPLE!$F$15,$M76-$A$15,BO$13)))</f>
        <v>1000000000000</v>
      </c>
      <c r="BP76" s="178">
        <f ca="1">IF(OR($D76&lt;&gt;"Serviço",AND(AUTOEVENTO="Manual",$M76=$A$15)),0,
         IF(OFFSET(CRONOPLE!$F$15,$M76-$A$15,BP$13)="",10^12,OFFSET(CRONOPLE!$F$15,$M76-$A$15,BP$13)))</f>
        <v>1000000000000</v>
      </c>
      <c r="BQ76" s="178">
        <f ca="1">IF(OR($D76&lt;&gt;"Serviço",AND(AUTOEVENTO="Manual",$M76=$A$15)),0,
         IF(OFFSET(CRONOPLE!$F$15,$M76-$A$15,BQ$13)="",10^12,OFFSET(CRONOPLE!$F$15,$M76-$A$15,BQ$13)))</f>
        <v>1000000000000</v>
      </c>
      <c r="BR76" s="178">
        <f ca="1">IF(OR($D76&lt;&gt;"Serviço",AND(AUTOEVENTO="Manual",$M76=$A$15)),0,
         IF(OFFSET(CRONOPLE!$F$15,$M76-$A$15,BR$13)="",10^12,OFFSET(CRONOPLE!$F$15,$M76-$A$15,BR$13)))</f>
        <v>1000000000000</v>
      </c>
      <c r="BS76" s="178">
        <f ca="1">IF(OR($D76&lt;&gt;"Serviço",AND(AUTOEVENTO="Manual",$M76=$A$15)),0,
         IF(OFFSET(CRONOPLE!$F$15,$M76-$A$15,BS$13)="",10^12,OFFSET(CRONOPLE!$F$15,$M76-$A$15,BS$13)))</f>
        <v>1000000000000</v>
      </c>
      <c r="BT76" s="178">
        <f ca="1">IF(OR($D76&lt;&gt;"Serviço",AND(AUTOEVENTO="Manual",$M76=$A$15)),0,
         IF(OFFSET(CRONOPLE!$F$15,$M76-$A$15,BT$13)="",10^12,OFFSET(CRONOPLE!$F$15,$M76-$A$15,BT$13)))</f>
        <v>1000000000000</v>
      </c>
      <c r="BV76" s="179">
        <f ca="1">IF(OR($D76&lt;&gt;"Serviço",AND(AUTOEVENTO="Manual",$M76=$A$15),$M76&gt;(ROW(PLE.lastrow)-ROW(PLE.firstrow))),0,
           IF(OFFSET(PLE!$G$15,$M76-$A$15,BV$13)="",10^12,OFFSET(PLE!$G$15,$M76-$A$15,BV$13)))</f>
        <v>1000000000000</v>
      </c>
      <c r="BW76" s="179">
        <f ca="1">IF(OR($D76&lt;&gt;"Serviço",AND(AUTOEVENTO="Manual",$M76=$A$15),$M76&gt;(ROW(PLE.lastrow)-ROW(PLE.firstrow))),0,
           IF(OFFSET(PLE!$G$15,$M76-$A$15,BW$13)="",10^12,OFFSET(PLE!$G$15,$M76-$A$15,BW$13)))</f>
        <v>1000000000000</v>
      </c>
      <c r="BX76" s="179">
        <f ca="1">IF(OR($D76&lt;&gt;"Serviço",AND(AUTOEVENTO="Manual",$M76=$A$15),$M76&gt;(ROW(PLE.lastrow)-ROW(PLE.firstrow))),0,
           IF(OFFSET(PLE!$G$15,$M76-$A$15,BX$13)="",10^12,OFFSET(PLE!$G$15,$M76-$A$15,BX$13)))</f>
        <v>1000000000000</v>
      </c>
      <c r="BY76" s="179">
        <f ca="1">IF(OR($D76&lt;&gt;"Serviço",AND(AUTOEVENTO="Manual",$M76=$A$15),$M76&gt;(ROW(PLE.lastrow)-ROW(PLE.firstrow))),0,
           IF(OFFSET(PLE!$G$15,$M76-$A$15,BY$13)="",10^12,OFFSET(PLE!$G$15,$M76-$A$15,BY$13)))</f>
        <v>1000000000000</v>
      </c>
      <c r="BZ76" s="179">
        <f ca="1">IF(OR($D76&lt;&gt;"Serviço",AND(AUTOEVENTO="Manual",$M76=$A$15),$M76&gt;(ROW(PLE.lastrow)-ROW(PLE.firstrow))),0,
           IF(OFFSET(PLE!$G$15,$M76-$A$15,BZ$13)="",10^12,OFFSET(PLE!$G$15,$M76-$A$15,BZ$13)))</f>
        <v>1000000000000</v>
      </c>
      <c r="CA76" s="179">
        <f ca="1">IF(OR($D76&lt;&gt;"Serviço",AND(AUTOEVENTO="Manual",$M76=$A$15),$M76&gt;(ROW(PLE.lastrow)-ROW(PLE.firstrow))),0,
           IF(OFFSET(PLE!$G$15,$M76-$A$15,CA$13)="",10^12,OFFSET(PLE!$G$15,$M76-$A$15,CA$13)))</f>
        <v>1000000000000</v>
      </c>
      <c r="CB76" s="179">
        <f ca="1">IF(OR($D76&lt;&gt;"Serviço",AND(AUTOEVENTO="Manual",$M76=$A$15),$M76&gt;(ROW(PLE.lastrow)-ROW(PLE.firstrow))),0,
           IF(OFFSET(PLE!$G$15,$M76-$A$15,CB$13)="",10^12,OFFSET(PLE!$G$15,$M76-$A$15,CB$13)))</f>
        <v>1000000000000</v>
      </c>
      <c r="CC76" s="179">
        <f ca="1">IF(OR($D76&lt;&gt;"Serviço",AND(AUTOEVENTO="Manual",$M76=$A$15),$M76&gt;(ROW(PLE.lastrow)-ROW(PLE.firstrow))),0,
           IF(OFFSET(PLE!$G$15,$M76-$A$15,CC$13)="",10^12,OFFSET(PLE!$G$15,$M76-$A$15,CC$13)))</f>
        <v>1000000000000</v>
      </c>
      <c r="CD76" s="179">
        <f ca="1">IF(OR($D76&lt;&gt;"Serviço",AND(AUTOEVENTO="Manual",$M76=$A$15),$M76&gt;(ROW(PLE.lastrow)-ROW(PLE.firstrow))),0,
           IF(OFFSET(PLE!$G$15,$M76-$A$15,CD$13)="",10^12,OFFSET(PLE!$G$15,$M76-$A$15,CD$13)))</f>
        <v>1000000000000</v>
      </c>
      <c r="CE76" s="179">
        <f ca="1">IF(OR($D76&lt;&gt;"Serviço",AND(AUTOEVENTO="Manual",$M76=$A$15),$M76&gt;(ROW(PLE.lastrow)-ROW(PLE.firstrow))),0,
           IF(OFFSET(PLE!$G$15,$M76-$A$15,CE$13)="",10^12,OFFSET(PLE!$G$15,$M76-$A$15,CE$13)))</f>
        <v>1000000000000</v>
      </c>
      <c r="CF76" s="179">
        <f ca="1">IF(OR($D76&lt;&gt;"Serviço",AND(AUTOEVENTO="Manual",$M76=$A$15),$M76&gt;(ROW(PLE.lastrow)-ROW(PLE.firstrow))),0,
           IF(OFFSET(PLE!$G$15,$M76-$A$15,CF$13)="",10^12,OFFSET(PLE!$G$15,$M76-$A$15,CF$13)))</f>
        <v>1000000000000</v>
      </c>
      <c r="CG76" s="179">
        <f ca="1">IF(OR($D76&lt;&gt;"Serviço",AND(AUTOEVENTO="Manual",$M76=$A$15),$M76&gt;(ROW(PLE.lastrow)-ROW(PLE.firstrow))),0,
           IF(OFFSET(PLE!$G$15,$M76-$A$15,CG$13)="",10^12,OFFSET(PLE!$G$15,$M76-$A$15,CG$13)))</f>
        <v>1000000000000</v>
      </c>
      <c r="CH76" s="179">
        <f ca="1">IF(OR($D76&lt;&gt;"Serviço",AND(AUTOEVENTO="Manual",$M76=$A$15),$M76&gt;(ROW(PLE.lastrow)-ROW(PLE.firstrow))),0,
           IF(OFFSET(PLE!$G$15,$M76-$A$15,CH$13)="",10^12,OFFSET(PLE!$G$15,$M76-$A$15,CH$13)))</f>
        <v>1000000000000</v>
      </c>
      <c r="CI76" s="179">
        <f ca="1">IF(OR($D76&lt;&gt;"Serviço",AND(AUTOEVENTO="Manual",$M76=$A$15),$M76&gt;(ROW(PLE.lastrow)-ROW(PLE.firstrow))),0,
           IF(OFFSET(PLE!$G$15,$M76-$A$15,CI$13)="",10^12,OFFSET(PLE!$G$15,$M76-$A$15,CI$13)))</f>
        <v>1000000000000</v>
      </c>
      <c r="CJ76" s="179">
        <f ca="1">IF(OR($D76&lt;&gt;"Serviço",AND(AUTOEVENTO="Manual",$M76=$A$15),$M76&gt;(ROW(PLE.lastrow)-ROW(PLE.firstrow))),0,
           IF(OFFSET(PLE!$G$15,$M76-$A$15,CJ$13)="",10^12,OFFSET(PLE!$G$15,$M76-$A$15,CJ$13)))</f>
        <v>1000000000000</v>
      </c>
      <c r="CK76" s="179">
        <f ca="1">IF(OR($D76&lt;&gt;"Serviço",AND(AUTOEVENTO="Manual",$M76=$A$15),$M76&gt;(ROW(PLE.lastrow)-ROW(PLE.firstrow))),0,
           IF(OFFSET(PLE!$G$15,$M76-$A$15,CK$13)="",10^12,OFFSET(PLE!$G$15,$M76-$A$15,CK$13)))</f>
        <v>1000000000000</v>
      </c>
      <c r="CL76" s="179">
        <f ca="1">IF(OR($D76&lt;&gt;"Serviço",AND(AUTOEVENTO="Manual",$M76=$A$15),$M76&gt;(ROW(PLE.lastrow)-ROW(PLE.firstrow))),0,
           IF(OFFSET(PLE!$G$15,$M76-$A$15,CL$13)="",10^12,OFFSET(PLE!$G$15,$M76-$A$15,CL$13)))</f>
        <v>1000000000000</v>
      </c>
      <c r="CM76" s="179">
        <f ca="1">IF(OR($D76&lt;&gt;"Serviço",AND(AUTOEVENTO="Manual",$M76=$A$15),$M76&gt;(ROW(PLE.lastrow)-ROW(PLE.firstrow))),0,
           IF(OFFSET(PLE!$G$15,$M76-$A$15,CM$13)="",10^12,OFFSET(PLE!$G$15,$M76-$A$15,CM$13)))</f>
        <v>1000000000000</v>
      </c>
    </row>
    <row r="77" spans="1:91" ht="12.75" x14ac:dyDescent="0.2">
      <c r="A77" s="7" t="str">
        <f ca="1">IF(AUTOEVENTO="Manual",IF(K77&lt;&gt;"",MIN(VALUE(LEFT(K77,FIND(".",K77)-1)),COUNTA(EVENTOS.Lista)),0),IF(OR($B77&gt;AUTOEVENTO,$B77="S",$B77=0),SUBSTITUTE(OFFSET($A77,-1,0),IF($D77="Serviço",".",""),""),ROW(A77)-ROW($A$15)&amp;"."))</f>
        <v>62.</v>
      </c>
      <c r="B77" s="7">
        <f ca="1">OFFSET(ORÇAMENTO!C$15,ROW(B77)-ROW(B$15),0)</f>
        <v>2</v>
      </c>
      <c r="C77" s="7" t="str">
        <f ca="1">OFFSET(ORÇAMENTO!L$15,ROW(C77)-ROW(C$15),0)</f>
        <v>F</v>
      </c>
      <c r="D77" s="118" t="str">
        <f ca="1">OFFSET(ORÇAMENTO!N$15,ROW(D77)-ROW(D$15),0)</f>
        <v>Nível 2</v>
      </c>
      <c r="E77" s="119" t="str">
        <f ca="1">OFFSET(ORÇAMENTO!O$15,ROW(E77)-ROW(E$15),0)</f>
        <v>1.10.</v>
      </c>
      <c r="F77" s="170" t="str">
        <f ca="1">OFFSET(ORÇAMENTO!R$15,ROW(F77)-ROW(F$15),0)</f>
        <v>PAISAGISMO</v>
      </c>
      <c r="G77" s="171" t="str">
        <f ca="1">IF($D77&lt;&gt;"Serviço","",OFFSET(ORÇAMENTO!S$15,ROW(G77)-ROW(G$15),0))</f>
        <v/>
      </c>
      <c r="H77" s="124" cm="1">
        <f t="array" aca="1" ref="H77" ca="1">IF($D77&lt;&gt;"Serviço",0,IF(_xlfn.SINGLE(ACOMPANHAMENTO)="BM",ROUND(OFFSET(ORÇAMENTO!AJ$15,ROW(H77)-ROW(H$15),0),15-13*ORÇAMENTO!$AF$7),SUMPRODUCT(($Q$1:$AI$1)*ROUND($Q77:$AI77,15-13*ORÇAMENTO!$AF$7))))</f>
        <v>0</v>
      </c>
      <c r="I77" s="500"/>
      <c r="J77" s="632" t="str" cm="1">
        <f t="array" aca="1" ref="J77" ca="1">IF(B77&lt;&gt;"S","",IF(AND(ACOMPANHAMENTO="PLE",AUTOEVENTO="Manual",OR(H77&gt;0,ORÇAMENTO!AC77="QUANT."),OR(K77="",M77=0,N77="")),"►",IF(AND(ACOMPANHAMENTO="PLE",ORÇAMENTO!AC77="QUANT."),"►►",IF(AND(COUNTIF($P$11:$AI$11,"▼")=0,H77&gt;0,I77=""),"◄",""))))</f>
        <v/>
      </c>
      <c r="K77" s="624"/>
      <c r="L77" s="172" t="s">
        <v>253</v>
      </c>
      <c r="M77" s="173" t="str">
        <f ca="1">IF($D77&lt;&gt;"Serviço","",
          IF(AUTOEVENTO="manual",$A77,
                IF(ISERROR(MATCH($A77,$A$15:OFFSET($A77,-1,0),0)),MAX($M$15:OFFSET(M77,-1,0))+1,
                      INDEX($M$15:OFFSET(M77,-1,0),MATCH($A77,$A$15:OFFSET($A77,-1,0),0)))))</f>
        <v/>
      </c>
      <c r="N77" s="174" t="str">
        <f ca="1">IF($D77&lt;&gt;"Serviço","",
         IF(AUTOEVENTO="Manual",
                IF($A77=0,"&lt;-- defina o número do agrupador",
                       OFFSET(EVENTOS!$D$15,$A77-$A$15,0)),
                OFFSET($F$15,$A77,0)))</f>
        <v/>
      </c>
      <c r="O77" s="175"/>
      <c r="Q77" s="175"/>
      <c r="R77" s="176"/>
      <c r="S77" s="176"/>
      <c r="T77" s="176"/>
      <c r="U77" s="176"/>
      <c r="V77" s="176"/>
      <c r="W77" s="176"/>
      <c r="X77" s="176"/>
      <c r="Y77" s="176"/>
      <c r="Z77" s="177"/>
      <c r="AA77" s="176"/>
      <c r="AB77" s="176"/>
      <c r="AC77" s="176"/>
      <c r="AD77" s="176"/>
      <c r="AE77" s="176"/>
      <c r="AF77" s="176"/>
      <c r="AG77" s="176"/>
      <c r="AH77" s="177"/>
      <c r="AJ77" s="485">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85">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L77" s="485">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0</v>
      </c>
      <c r="AM77" s="485">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0</v>
      </c>
      <c r="AN77" s="485">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0</v>
      </c>
      <c r="AO77" s="485">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85">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85">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85">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85">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85">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85">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85">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85">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85">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85">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85">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85">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8">
        <f ca="1">IF(OR($D77&lt;&gt;"Serviço",AND(AUTOEVENTO="Manual",$M77=$A$15)),0,
         IF(OFFSET(CRONOPLE!$F$15,$M77-$A$15,BC$13)="",10^12,OFFSET(CRONOPLE!$F$15,$M77-$A$15,BC$13)))</f>
        <v>0</v>
      </c>
      <c r="BD77" s="178">
        <f ca="1">IF(OR($D77&lt;&gt;"Serviço",AND(AUTOEVENTO="Manual",$M77=$A$15)),0,
         IF(OFFSET(CRONOPLE!$F$15,$M77-$A$15,BD$13)="",10^12,OFFSET(CRONOPLE!$F$15,$M77-$A$15,BD$13)))</f>
        <v>0</v>
      </c>
      <c r="BE77" s="178">
        <f ca="1">IF(OR($D77&lt;&gt;"Serviço",AND(AUTOEVENTO="Manual",$M77=$A$15)),0,
         IF(OFFSET(CRONOPLE!$F$15,$M77-$A$15,BE$13)="",10^12,OFFSET(CRONOPLE!$F$15,$M77-$A$15,BE$13)))</f>
        <v>0</v>
      </c>
      <c r="BF77" s="178">
        <f ca="1">IF(OR($D77&lt;&gt;"Serviço",AND(AUTOEVENTO="Manual",$M77=$A$15)),0,
         IF(OFFSET(CRONOPLE!$F$15,$M77-$A$15,BF$13)="",10^12,OFFSET(CRONOPLE!$F$15,$M77-$A$15,BF$13)))</f>
        <v>0</v>
      </c>
      <c r="BG77" s="178">
        <f ca="1">IF(OR($D77&lt;&gt;"Serviço",AND(AUTOEVENTO="Manual",$M77=$A$15)),0,
         IF(OFFSET(CRONOPLE!$F$15,$M77-$A$15,BG$13)="",10^12,OFFSET(CRONOPLE!$F$15,$M77-$A$15,BG$13)))</f>
        <v>0</v>
      </c>
      <c r="BH77" s="178">
        <f ca="1">IF(OR($D77&lt;&gt;"Serviço",AND(AUTOEVENTO="Manual",$M77=$A$15)),0,
         IF(OFFSET(CRONOPLE!$F$15,$M77-$A$15,BH$13)="",10^12,OFFSET(CRONOPLE!$F$15,$M77-$A$15,BH$13)))</f>
        <v>0</v>
      </c>
      <c r="BI77" s="178">
        <f ca="1">IF(OR($D77&lt;&gt;"Serviço",AND(AUTOEVENTO="Manual",$M77=$A$15)),0,
         IF(OFFSET(CRONOPLE!$F$15,$M77-$A$15,BI$13)="",10^12,OFFSET(CRONOPLE!$F$15,$M77-$A$15,BI$13)))</f>
        <v>0</v>
      </c>
      <c r="BJ77" s="178">
        <f ca="1">IF(OR($D77&lt;&gt;"Serviço",AND(AUTOEVENTO="Manual",$M77=$A$15)),0,
         IF(OFFSET(CRONOPLE!$F$15,$M77-$A$15,BJ$13)="",10^12,OFFSET(CRONOPLE!$F$15,$M77-$A$15,BJ$13)))</f>
        <v>0</v>
      </c>
      <c r="BK77" s="178">
        <f ca="1">IF(OR($D77&lt;&gt;"Serviço",AND(AUTOEVENTO="Manual",$M77=$A$15)),0,
         IF(OFFSET(CRONOPLE!$F$15,$M77-$A$15,BK$13)="",10^12,OFFSET(CRONOPLE!$F$15,$M77-$A$15,BK$13)))</f>
        <v>0</v>
      </c>
      <c r="BL77" s="178">
        <f ca="1">IF(OR($D77&lt;&gt;"Serviço",AND(AUTOEVENTO="Manual",$M77=$A$15)),0,
         IF(OFFSET(CRONOPLE!$F$15,$M77-$A$15,BL$13)="",10^12,OFFSET(CRONOPLE!$F$15,$M77-$A$15,BL$13)))</f>
        <v>0</v>
      </c>
      <c r="BM77" s="178">
        <f ca="1">IF(OR($D77&lt;&gt;"Serviço",AND(AUTOEVENTO="Manual",$M77=$A$15)),0,
         IF(OFFSET(CRONOPLE!$F$15,$M77-$A$15,BM$13)="",10^12,OFFSET(CRONOPLE!$F$15,$M77-$A$15,BM$13)))</f>
        <v>0</v>
      </c>
      <c r="BN77" s="178">
        <f ca="1">IF(OR($D77&lt;&gt;"Serviço",AND(AUTOEVENTO="Manual",$M77=$A$15)),0,
         IF(OFFSET(CRONOPLE!$F$15,$M77-$A$15,BN$13)="",10^12,OFFSET(CRONOPLE!$F$15,$M77-$A$15,BN$13)))</f>
        <v>0</v>
      </c>
      <c r="BO77" s="178">
        <f ca="1">IF(OR($D77&lt;&gt;"Serviço",AND(AUTOEVENTO="Manual",$M77=$A$15)),0,
         IF(OFFSET(CRONOPLE!$F$15,$M77-$A$15,BO$13)="",10^12,OFFSET(CRONOPLE!$F$15,$M77-$A$15,BO$13)))</f>
        <v>0</v>
      </c>
      <c r="BP77" s="178">
        <f ca="1">IF(OR($D77&lt;&gt;"Serviço",AND(AUTOEVENTO="Manual",$M77=$A$15)),0,
         IF(OFFSET(CRONOPLE!$F$15,$M77-$A$15,BP$13)="",10^12,OFFSET(CRONOPLE!$F$15,$M77-$A$15,BP$13)))</f>
        <v>0</v>
      </c>
      <c r="BQ77" s="178">
        <f ca="1">IF(OR($D77&lt;&gt;"Serviço",AND(AUTOEVENTO="Manual",$M77=$A$15)),0,
         IF(OFFSET(CRONOPLE!$F$15,$M77-$A$15,BQ$13)="",10^12,OFFSET(CRONOPLE!$F$15,$M77-$A$15,BQ$13)))</f>
        <v>0</v>
      </c>
      <c r="BR77" s="178">
        <f ca="1">IF(OR($D77&lt;&gt;"Serviço",AND(AUTOEVENTO="Manual",$M77=$A$15)),0,
         IF(OFFSET(CRONOPLE!$F$15,$M77-$A$15,BR$13)="",10^12,OFFSET(CRONOPLE!$F$15,$M77-$A$15,BR$13)))</f>
        <v>0</v>
      </c>
      <c r="BS77" s="178">
        <f ca="1">IF(OR($D77&lt;&gt;"Serviço",AND(AUTOEVENTO="Manual",$M77=$A$15)),0,
         IF(OFFSET(CRONOPLE!$F$15,$M77-$A$15,BS$13)="",10^12,OFFSET(CRONOPLE!$F$15,$M77-$A$15,BS$13)))</f>
        <v>0</v>
      </c>
      <c r="BT77" s="178">
        <f ca="1">IF(OR($D77&lt;&gt;"Serviço",AND(AUTOEVENTO="Manual",$M77=$A$15)),0,
         IF(OFFSET(CRONOPLE!$F$15,$M77-$A$15,BT$13)="",10^12,OFFSET(CRONOPLE!$F$15,$M77-$A$15,BT$13)))</f>
        <v>0</v>
      </c>
      <c r="BV77" s="179">
        <f ca="1">IF(OR($D77&lt;&gt;"Serviço",AND(AUTOEVENTO="Manual",$M77=$A$15),$M77&gt;(ROW(PLE.lastrow)-ROW(PLE.firstrow))),0,
           IF(OFFSET(PLE!$G$15,$M77-$A$15,BV$13)="",10^12,OFFSET(PLE!$G$15,$M77-$A$15,BV$13)))</f>
        <v>0</v>
      </c>
      <c r="BW77" s="179">
        <f ca="1">IF(OR($D77&lt;&gt;"Serviço",AND(AUTOEVENTO="Manual",$M77=$A$15),$M77&gt;(ROW(PLE.lastrow)-ROW(PLE.firstrow))),0,
           IF(OFFSET(PLE!$G$15,$M77-$A$15,BW$13)="",10^12,OFFSET(PLE!$G$15,$M77-$A$15,BW$13)))</f>
        <v>0</v>
      </c>
      <c r="BX77" s="179">
        <f ca="1">IF(OR($D77&lt;&gt;"Serviço",AND(AUTOEVENTO="Manual",$M77=$A$15),$M77&gt;(ROW(PLE.lastrow)-ROW(PLE.firstrow))),0,
           IF(OFFSET(PLE!$G$15,$M77-$A$15,BX$13)="",10^12,OFFSET(PLE!$G$15,$M77-$A$15,BX$13)))</f>
        <v>0</v>
      </c>
      <c r="BY77" s="179">
        <f ca="1">IF(OR($D77&lt;&gt;"Serviço",AND(AUTOEVENTO="Manual",$M77=$A$15),$M77&gt;(ROW(PLE.lastrow)-ROW(PLE.firstrow))),0,
           IF(OFFSET(PLE!$G$15,$M77-$A$15,BY$13)="",10^12,OFFSET(PLE!$G$15,$M77-$A$15,BY$13)))</f>
        <v>0</v>
      </c>
      <c r="BZ77" s="179">
        <f ca="1">IF(OR($D77&lt;&gt;"Serviço",AND(AUTOEVENTO="Manual",$M77=$A$15),$M77&gt;(ROW(PLE.lastrow)-ROW(PLE.firstrow))),0,
           IF(OFFSET(PLE!$G$15,$M77-$A$15,BZ$13)="",10^12,OFFSET(PLE!$G$15,$M77-$A$15,BZ$13)))</f>
        <v>0</v>
      </c>
      <c r="CA77" s="179">
        <f ca="1">IF(OR($D77&lt;&gt;"Serviço",AND(AUTOEVENTO="Manual",$M77=$A$15),$M77&gt;(ROW(PLE.lastrow)-ROW(PLE.firstrow))),0,
           IF(OFFSET(PLE!$G$15,$M77-$A$15,CA$13)="",10^12,OFFSET(PLE!$G$15,$M77-$A$15,CA$13)))</f>
        <v>0</v>
      </c>
      <c r="CB77" s="179">
        <f ca="1">IF(OR($D77&lt;&gt;"Serviço",AND(AUTOEVENTO="Manual",$M77=$A$15),$M77&gt;(ROW(PLE.lastrow)-ROW(PLE.firstrow))),0,
           IF(OFFSET(PLE!$G$15,$M77-$A$15,CB$13)="",10^12,OFFSET(PLE!$G$15,$M77-$A$15,CB$13)))</f>
        <v>0</v>
      </c>
      <c r="CC77" s="179">
        <f ca="1">IF(OR($D77&lt;&gt;"Serviço",AND(AUTOEVENTO="Manual",$M77=$A$15),$M77&gt;(ROW(PLE.lastrow)-ROW(PLE.firstrow))),0,
           IF(OFFSET(PLE!$G$15,$M77-$A$15,CC$13)="",10^12,OFFSET(PLE!$G$15,$M77-$A$15,CC$13)))</f>
        <v>0</v>
      </c>
      <c r="CD77" s="179">
        <f ca="1">IF(OR($D77&lt;&gt;"Serviço",AND(AUTOEVENTO="Manual",$M77=$A$15),$M77&gt;(ROW(PLE.lastrow)-ROW(PLE.firstrow))),0,
           IF(OFFSET(PLE!$G$15,$M77-$A$15,CD$13)="",10^12,OFFSET(PLE!$G$15,$M77-$A$15,CD$13)))</f>
        <v>0</v>
      </c>
      <c r="CE77" s="179">
        <f ca="1">IF(OR($D77&lt;&gt;"Serviço",AND(AUTOEVENTO="Manual",$M77=$A$15),$M77&gt;(ROW(PLE.lastrow)-ROW(PLE.firstrow))),0,
           IF(OFFSET(PLE!$G$15,$M77-$A$15,CE$13)="",10^12,OFFSET(PLE!$G$15,$M77-$A$15,CE$13)))</f>
        <v>0</v>
      </c>
      <c r="CF77" s="179">
        <f ca="1">IF(OR($D77&lt;&gt;"Serviço",AND(AUTOEVENTO="Manual",$M77=$A$15),$M77&gt;(ROW(PLE.lastrow)-ROW(PLE.firstrow))),0,
           IF(OFFSET(PLE!$G$15,$M77-$A$15,CF$13)="",10^12,OFFSET(PLE!$G$15,$M77-$A$15,CF$13)))</f>
        <v>0</v>
      </c>
      <c r="CG77" s="179">
        <f ca="1">IF(OR($D77&lt;&gt;"Serviço",AND(AUTOEVENTO="Manual",$M77=$A$15),$M77&gt;(ROW(PLE.lastrow)-ROW(PLE.firstrow))),0,
           IF(OFFSET(PLE!$G$15,$M77-$A$15,CG$13)="",10^12,OFFSET(PLE!$G$15,$M77-$A$15,CG$13)))</f>
        <v>0</v>
      </c>
      <c r="CH77" s="179">
        <f ca="1">IF(OR($D77&lt;&gt;"Serviço",AND(AUTOEVENTO="Manual",$M77=$A$15),$M77&gt;(ROW(PLE.lastrow)-ROW(PLE.firstrow))),0,
           IF(OFFSET(PLE!$G$15,$M77-$A$15,CH$13)="",10^12,OFFSET(PLE!$G$15,$M77-$A$15,CH$13)))</f>
        <v>0</v>
      </c>
      <c r="CI77" s="179">
        <f ca="1">IF(OR($D77&lt;&gt;"Serviço",AND(AUTOEVENTO="Manual",$M77=$A$15),$M77&gt;(ROW(PLE.lastrow)-ROW(PLE.firstrow))),0,
           IF(OFFSET(PLE!$G$15,$M77-$A$15,CI$13)="",10^12,OFFSET(PLE!$G$15,$M77-$A$15,CI$13)))</f>
        <v>0</v>
      </c>
      <c r="CJ77" s="179">
        <f ca="1">IF(OR($D77&lt;&gt;"Serviço",AND(AUTOEVENTO="Manual",$M77=$A$15),$M77&gt;(ROW(PLE.lastrow)-ROW(PLE.firstrow))),0,
           IF(OFFSET(PLE!$G$15,$M77-$A$15,CJ$13)="",10^12,OFFSET(PLE!$G$15,$M77-$A$15,CJ$13)))</f>
        <v>0</v>
      </c>
      <c r="CK77" s="179">
        <f ca="1">IF(OR($D77&lt;&gt;"Serviço",AND(AUTOEVENTO="Manual",$M77=$A$15),$M77&gt;(ROW(PLE.lastrow)-ROW(PLE.firstrow))),0,
           IF(OFFSET(PLE!$G$15,$M77-$A$15,CK$13)="",10^12,OFFSET(PLE!$G$15,$M77-$A$15,CK$13)))</f>
        <v>0</v>
      </c>
      <c r="CL77" s="179">
        <f ca="1">IF(OR($D77&lt;&gt;"Serviço",AND(AUTOEVENTO="Manual",$M77=$A$15),$M77&gt;(ROW(PLE.lastrow)-ROW(PLE.firstrow))),0,
           IF(OFFSET(PLE!$G$15,$M77-$A$15,CL$13)="",10^12,OFFSET(PLE!$G$15,$M77-$A$15,CL$13)))</f>
        <v>0</v>
      </c>
      <c r="CM77" s="179">
        <f ca="1">IF(OR($D77&lt;&gt;"Serviço",AND(AUTOEVENTO="Manual",$M77=$A$15),$M77&gt;(ROW(PLE.lastrow)-ROW(PLE.firstrow))),0,
           IF(OFFSET(PLE!$G$15,$M77-$A$15,CM$13)="",10^12,OFFSET(PLE!$G$15,$M77-$A$15,CM$13)))</f>
        <v>0</v>
      </c>
    </row>
    <row r="78" spans="1:91" ht="12.75" x14ac:dyDescent="0.2">
      <c r="A78" s="7" t="str">
        <f ca="1">IF(AUTOEVENTO="Manual",IF(K78&lt;&gt;"",MIN(VALUE(LEFT(K78,FIND(".",K78)-1)),COUNTA(EVENTOS.Lista)),0),IF(OR($B78&gt;AUTOEVENTO,$B78="S",$B78=0),SUBSTITUTE(OFFSET($A78,-1,0),IF($D78="Serviço",".",""),""),ROW(A78)-ROW($A$15)&amp;"."))</f>
        <v>62</v>
      </c>
      <c r="B78" s="7" t="str">
        <f ca="1">OFFSET(ORÇAMENTO!C$15,ROW(B78)-ROW(B$15),0)</f>
        <v>S</v>
      </c>
      <c r="C78" s="7" t="str">
        <f ca="1">OFFSET(ORÇAMENTO!L$15,ROW(C78)-ROW(C$15),0)</f>
        <v>F</v>
      </c>
      <c r="D78" s="118" t="str">
        <f ca="1">OFFSET(ORÇAMENTO!N$15,ROW(D78)-ROW(D$15),0)</f>
        <v>Serviço</v>
      </c>
      <c r="E78" s="119" t="str">
        <f ca="1">OFFSET(ORÇAMENTO!O$15,ROW(E78)-ROW(E$15),0)</f>
        <v>1.10.0.0.1.</v>
      </c>
      <c r="F78" s="170" t="str">
        <f ca="1">OFFSET(ORÇAMENTO!R$15,ROW(F78)-ROW(F$15),0)</f>
        <v>ESPALHAMENTO DE TERRA VEGETAL PARA O PLANTIO. AF_07/2024</v>
      </c>
      <c r="G78" s="171" t="str">
        <f ca="1">IF($D78&lt;&gt;"Serviço","",OFFSET(ORÇAMENTO!S$15,ROW(G78)-ROW(G$15),0))</f>
        <v>M2</v>
      </c>
      <c r="H78" s="124" cm="1">
        <f t="array" aca="1" ref="H78" ca="1">IF($D78&lt;&gt;"Serviço",0,IF(_xlfn.SINGLE(ACOMPANHAMENTO)="BM",ROUND(OFFSET(ORÇAMENTO!AJ$15,ROW(H78)-ROW(H$15),0),15-13*ORÇAMENTO!$AF$7),SUMPRODUCT(($Q$1:$AI$1)*ROUND($Q78:$AI78,15-13*ORÇAMENTO!$AF$7))))</f>
        <v>94.54</v>
      </c>
      <c r="I78" s="500" t="s">
        <v>1070</v>
      </c>
      <c r="J78" s="632" t="str" cm="1">
        <f t="array" aca="1" ref="J78" ca="1">IF(B78&lt;&gt;"S","",IF(AND(ACOMPANHAMENTO="PLE",AUTOEVENTO="Manual",OR(H78&gt;0,ORÇAMENTO!AC78="QUANT."),OR(K78="",M78=0,N78="")),"►",IF(AND(ACOMPANHAMENTO="PLE",ORÇAMENTO!AC78="QUANT."),"►►",IF(AND(COUNTIF($P$11:$AI$11,"▼")=0,H78&gt;0,I78=""),"◄",""))))</f>
        <v/>
      </c>
      <c r="K78" s="624"/>
      <c r="L78" s="172" t="s">
        <v>253</v>
      </c>
      <c r="M78" s="173">
        <f ca="1">IF($D78&lt;&gt;"Serviço","",
          IF(AUTOEVENTO="manual",$A78,
                IF(ISERROR(MATCH($A78,$A$15:OFFSET($A78,-1,0),0)),MAX($M$15:OFFSET(M78,-1,0))+1,
                      INDEX($M$15:OFFSET(M78,-1,0),MATCH($A78,$A$15:OFFSET($A78,-1,0),0)))))</f>
        <v>10</v>
      </c>
      <c r="N78" s="174" t="str">
        <f ca="1">IF($D78&lt;&gt;"Serviço","",
         IF(AUTOEVENTO="Manual",
                IF($A78=0,"&lt;-- defina o número do agrupador",
                       OFFSET(EVENTOS!$D$15,$A78-$A$15,0)),
                OFFSET($F$15,$A78,0)))</f>
        <v>PAISAGISMO</v>
      </c>
      <c r="O78" s="175"/>
      <c r="Q78" s="175"/>
      <c r="R78" s="176"/>
      <c r="S78" s="176"/>
      <c r="T78" s="176"/>
      <c r="U78" s="176">
        <f>((14.09)*2)*2+(19.09*2)</f>
        <v>94.539999999999992</v>
      </c>
      <c r="V78" s="176"/>
      <c r="W78" s="176"/>
      <c r="X78" s="176"/>
      <c r="Y78" s="176"/>
      <c r="Z78" s="177"/>
      <c r="AA78" s="176"/>
      <c r="AB78" s="176"/>
      <c r="AC78" s="176"/>
      <c r="AD78" s="176"/>
      <c r="AE78" s="176"/>
      <c r="AF78" s="176"/>
      <c r="AG78" s="176"/>
      <c r="AH78" s="177"/>
      <c r="AJ78" s="485">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85">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85">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85">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0</v>
      </c>
      <c r="AN78" s="485">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534.15</v>
      </c>
      <c r="AO78" s="485">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85">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85">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85">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85">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85">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85">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85">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85">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85">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85">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85">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85">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8">
        <f ca="1">IF(OR($D78&lt;&gt;"Serviço",AND(AUTOEVENTO="Manual",$M78=$A$15)),0,
         IF(OFFSET(CRONOPLE!$F$15,$M78-$A$15,BC$13)="",10^12,OFFSET(CRONOPLE!$F$15,$M78-$A$15,BC$13)))</f>
        <v>1</v>
      </c>
      <c r="BD78" s="178">
        <f ca="1">IF(OR($D78&lt;&gt;"Serviço",AND(AUTOEVENTO="Manual",$M78=$A$15)),0,
         IF(OFFSET(CRONOPLE!$F$15,$M78-$A$15,BD$13)="",10^12,OFFSET(CRONOPLE!$F$15,$M78-$A$15,BD$13)))</f>
        <v>2</v>
      </c>
      <c r="BE78" s="178">
        <f ca="1">IF(OR($D78&lt;&gt;"Serviço",AND(AUTOEVENTO="Manual",$M78=$A$15)),0,
         IF(OFFSET(CRONOPLE!$F$15,$M78-$A$15,BE$13)="",10^12,OFFSET(CRONOPLE!$F$15,$M78-$A$15,BE$13)))</f>
        <v>1000000000000</v>
      </c>
      <c r="BF78" s="178">
        <f ca="1">IF(OR($D78&lt;&gt;"Serviço",AND(AUTOEVENTO="Manual",$M78=$A$15)),0,
         IF(OFFSET(CRONOPLE!$F$15,$M78-$A$15,BF$13)="",10^12,OFFSET(CRONOPLE!$F$15,$M78-$A$15,BF$13)))</f>
        <v>4</v>
      </c>
      <c r="BG78" s="178">
        <f ca="1">IF(OR($D78&lt;&gt;"Serviço",AND(AUTOEVENTO="Manual",$M78=$A$15)),0,
         IF(OFFSET(CRONOPLE!$F$15,$M78-$A$15,BG$13)="",10^12,OFFSET(CRONOPLE!$F$15,$M78-$A$15,BG$13)))</f>
        <v>5</v>
      </c>
      <c r="BH78" s="178">
        <f ca="1">IF(OR($D78&lt;&gt;"Serviço",AND(AUTOEVENTO="Manual",$M78=$A$15)),0,
         IF(OFFSET(CRONOPLE!$F$15,$M78-$A$15,BH$13)="",10^12,OFFSET(CRONOPLE!$F$15,$M78-$A$15,BH$13)))</f>
        <v>6</v>
      </c>
      <c r="BI78" s="178">
        <f ca="1">IF(OR($D78&lt;&gt;"Serviço",AND(AUTOEVENTO="Manual",$M78=$A$15)),0,
         IF(OFFSET(CRONOPLE!$F$15,$M78-$A$15,BI$13)="",10^12,OFFSET(CRONOPLE!$F$15,$M78-$A$15,BI$13)))</f>
        <v>7</v>
      </c>
      <c r="BJ78" s="178">
        <f ca="1">IF(OR($D78&lt;&gt;"Serviço",AND(AUTOEVENTO="Manual",$M78=$A$15)),0,
         IF(OFFSET(CRONOPLE!$F$15,$M78-$A$15,BJ$13)="",10^12,OFFSET(CRONOPLE!$F$15,$M78-$A$15,BJ$13)))</f>
        <v>1000000000000</v>
      </c>
      <c r="BK78" s="178">
        <f ca="1">IF(OR($D78&lt;&gt;"Serviço",AND(AUTOEVENTO="Manual",$M78=$A$15)),0,
         IF(OFFSET(CRONOPLE!$F$15,$M78-$A$15,BK$13)="",10^12,OFFSET(CRONOPLE!$F$15,$M78-$A$15,BK$13)))</f>
        <v>1000000000000</v>
      </c>
      <c r="BL78" s="178">
        <f ca="1">IF(OR($D78&lt;&gt;"Serviço",AND(AUTOEVENTO="Manual",$M78=$A$15)),0,
         IF(OFFSET(CRONOPLE!$F$15,$M78-$A$15,BL$13)="",10^12,OFFSET(CRONOPLE!$F$15,$M78-$A$15,BL$13)))</f>
        <v>1000000000000</v>
      </c>
      <c r="BM78" s="178">
        <f ca="1">IF(OR($D78&lt;&gt;"Serviço",AND(AUTOEVENTO="Manual",$M78=$A$15)),0,
         IF(OFFSET(CRONOPLE!$F$15,$M78-$A$15,BM$13)="",10^12,OFFSET(CRONOPLE!$F$15,$M78-$A$15,BM$13)))</f>
        <v>1000000000000</v>
      </c>
      <c r="BN78" s="178">
        <f ca="1">IF(OR($D78&lt;&gt;"Serviço",AND(AUTOEVENTO="Manual",$M78=$A$15)),0,
         IF(OFFSET(CRONOPLE!$F$15,$M78-$A$15,BN$13)="",10^12,OFFSET(CRONOPLE!$F$15,$M78-$A$15,BN$13)))</f>
        <v>1000000000000</v>
      </c>
      <c r="BO78" s="178">
        <f ca="1">IF(OR($D78&lt;&gt;"Serviço",AND(AUTOEVENTO="Manual",$M78=$A$15)),0,
         IF(OFFSET(CRONOPLE!$F$15,$M78-$A$15,BO$13)="",10^12,OFFSET(CRONOPLE!$F$15,$M78-$A$15,BO$13)))</f>
        <v>1000000000000</v>
      </c>
      <c r="BP78" s="178">
        <f ca="1">IF(OR($D78&lt;&gt;"Serviço",AND(AUTOEVENTO="Manual",$M78=$A$15)),0,
         IF(OFFSET(CRONOPLE!$F$15,$M78-$A$15,BP$13)="",10^12,OFFSET(CRONOPLE!$F$15,$M78-$A$15,BP$13)))</f>
        <v>1000000000000</v>
      </c>
      <c r="BQ78" s="178">
        <f ca="1">IF(OR($D78&lt;&gt;"Serviço",AND(AUTOEVENTO="Manual",$M78=$A$15)),0,
         IF(OFFSET(CRONOPLE!$F$15,$M78-$A$15,BQ$13)="",10^12,OFFSET(CRONOPLE!$F$15,$M78-$A$15,BQ$13)))</f>
        <v>15</v>
      </c>
      <c r="BR78" s="178">
        <f ca="1">IF(OR($D78&lt;&gt;"Serviço",AND(AUTOEVENTO="Manual",$M78=$A$15)),0,
         IF(OFFSET(CRONOPLE!$F$15,$M78-$A$15,BR$13)="",10^12,OFFSET(CRONOPLE!$F$15,$M78-$A$15,BR$13)))</f>
        <v>1000000000000</v>
      </c>
      <c r="BS78" s="178">
        <f ca="1">IF(OR($D78&lt;&gt;"Serviço",AND(AUTOEVENTO="Manual",$M78=$A$15)),0,
         IF(OFFSET(CRONOPLE!$F$15,$M78-$A$15,BS$13)="",10^12,OFFSET(CRONOPLE!$F$15,$M78-$A$15,BS$13)))</f>
        <v>1000000000000</v>
      </c>
      <c r="BT78" s="178">
        <f ca="1">IF(OR($D78&lt;&gt;"Serviço",AND(AUTOEVENTO="Manual",$M78=$A$15)),0,
         IF(OFFSET(CRONOPLE!$F$15,$M78-$A$15,BT$13)="",10^12,OFFSET(CRONOPLE!$F$15,$M78-$A$15,BT$13)))</f>
        <v>1000000000000</v>
      </c>
      <c r="BV78" s="179">
        <f ca="1">IF(OR($D78&lt;&gt;"Serviço",AND(AUTOEVENTO="Manual",$M78=$A$15),$M78&gt;(ROW(PLE.lastrow)-ROW(PLE.firstrow))),0,
           IF(OFFSET(PLE!$G$15,$M78-$A$15,BV$13)="",10^12,OFFSET(PLE!$G$15,$M78-$A$15,BV$13)))</f>
        <v>1000000000000</v>
      </c>
      <c r="BW78" s="179">
        <f ca="1">IF(OR($D78&lt;&gt;"Serviço",AND(AUTOEVENTO="Manual",$M78=$A$15),$M78&gt;(ROW(PLE.lastrow)-ROW(PLE.firstrow))),0,
           IF(OFFSET(PLE!$G$15,$M78-$A$15,BW$13)="",10^12,OFFSET(PLE!$G$15,$M78-$A$15,BW$13)))</f>
        <v>1000000000000</v>
      </c>
      <c r="BX78" s="179">
        <f ca="1">IF(OR($D78&lt;&gt;"Serviço",AND(AUTOEVENTO="Manual",$M78=$A$15),$M78&gt;(ROW(PLE.lastrow)-ROW(PLE.firstrow))),0,
           IF(OFFSET(PLE!$G$15,$M78-$A$15,BX$13)="",10^12,OFFSET(PLE!$G$15,$M78-$A$15,BX$13)))</f>
        <v>1000000000000</v>
      </c>
      <c r="BY78" s="179">
        <f ca="1">IF(OR($D78&lt;&gt;"Serviço",AND(AUTOEVENTO="Manual",$M78=$A$15),$M78&gt;(ROW(PLE.lastrow)-ROW(PLE.firstrow))),0,
           IF(OFFSET(PLE!$G$15,$M78-$A$15,BY$13)="",10^12,OFFSET(PLE!$G$15,$M78-$A$15,BY$13)))</f>
        <v>1000000000000</v>
      </c>
      <c r="BZ78" s="179">
        <f ca="1">IF(OR($D78&lt;&gt;"Serviço",AND(AUTOEVENTO="Manual",$M78=$A$15),$M78&gt;(ROW(PLE.lastrow)-ROW(PLE.firstrow))),0,
           IF(OFFSET(PLE!$G$15,$M78-$A$15,BZ$13)="",10^12,OFFSET(PLE!$G$15,$M78-$A$15,BZ$13)))</f>
        <v>1000000000000</v>
      </c>
      <c r="CA78" s="179">
        <f ca="1">IF(OR($D78&lt;&gt;"Serviço",AND(AUTOEVENTO="Manual",$M78=$A$15),$M78&gt;(ROW(PLE.lastrow)-ROW(PLE.firstrow))),0,
           IF(OFFSET(PLE!$G$15,$M78-$A$15,CA$13)="",10^12,OFFSET(PLE!$G$15,$M78-$A$15,CA$13)))</f>
        <v>1000000000000</v>
      </c>
      <c r="CB78" s="179">
        <f ca="1">IF(OR($D78&lt;&gt;"Serviço",AND(AUTOEVENTO="Manual",$M78=$A$15),$M78&gt;(ROW(PLE.lastrow)-ROW(PLE.firstrow))),0,
           IF(OFFSET(PLE!$G$15,$M78-$A$15,CB$13)="",10^12,OFFSET(PLE!$G$15,$M78-$A$15,CB$13)))</f>
        <v>1000000000000</v>
      </c>
      <c r="CC78" s="179">
        <f ca="1">IF(OR($D78&lt;&gt;"Serviço",AND(AUTOEVENTO="Manual",$M78=$A$15),$M78&gt;(ROW(PLE.lastrow)-ROW(PLE.firstrow))),0,
           IF(OFFSET(PLE!$G$15,$M78-$A$15,CC$13)="",10^12,OFFSET(PLE!$G$15,$M78-$A$15,CC$13)))</f>
        <v>1000000000000</v>
      </c>
      <c r="CD78" s="179">
        <f ca="1">IF(OR($D78&lt;&gt;"Serviço",AND(AUTOEVENTO="Manual",$M78=$A$15),$M78&gt;(ROW(PLE.lastrow)-ROW(PLE.firstrow))),0,
           IF(OFFSET(PLE!$G$15,$M78-$A$15,CD$13)="",10^12,OFFSET(PLE!$G$15,$M78-$A$15,CD$13)))</f>
        <v>1000000000000</v>
      </c>
      <c r="CE78" s="179">
        <f ca="1">IF(OR($D78&lt;&gt;"Serviço",AND(AUTOEVENTO="Manual",$M78=$A$15),$M78&gt;(ROW(PLE.lastrow)-ROW(PLE.firstrow))),0,
           IF(OFFSET(PLE!$G$15,$M78-$A$15,CE$13)="",10^12,OFFSET(PLE!$G$15,$M78-$A$15,CE$13)))</f>
        <v>1000000000000</v>
      </c>
      <c r="CF78" s="179">
        <f ca="1">IF(OR($D78&lt;&gt;"Serviço",AND(AUTOEVENTO="Manual",$M78=$A$15),$M78&gt;(ROW(PLE.lastrow)-ROW(PLE.firstrow))),0,
           IF(OFFSET(PLE!$G$15,$M78-$A$15,CF$13)="",10^12,OFFSET(PLE!$G$15,$M78-$A$15,CF$13)))</f>
        <v>1000000000000</v>
      </c>
      <c r="CG78" s="179">
        <f ca="1">IF(OR($D78&lt;&gt;"Serviço",AND(AUTOEVENTO="Manual",$M78=$A$15),$M78&gt;(ROW(PLE.lastrow)-ROW(PLE.firstrow))),0,
           IF(OFFSET(PLE!$G$15,$M78-$A$15,CG$13)="",10^12,OFFSET(PLE!$G$15,$M78-$A$15,CG$13)))</f>
        <v>1000000000000</v>
      </c>
      <c r="CH78" s="179">
        <f ca="1">IF(OR($D78&lt;&gt;"Serviço",AND(AUTOEVENTO="Manual",$M78=$A$15),$M78&gt;(ROW(PLE.lastrow)-ROW(PLE.firstrow))),0,
           IF(OFFSET(PLE!$G$15,$M78-$A$15,CH$13)="",10^12,OFFSET(PLE!$G$15,$M78-$A$15,CH$13)))</f>
        <v>1000000000000</v>
      </c>
      <c r="CI78" s="179">
        <f ca="1">IF(OR($D78&lt;&gt;"Serviço",AND(AUTOEVENTO="Manual",$M78=$A$15),$M78&gt;(ROW(PLE.lastrow)-ROW(PLE.firstrow))),0,
           IF(OFFSET(PLE!$G$15,$M78-$A$15,CI$13)="",10^12,OFFSET(PLE!$G$15,$M78-$A$15,CI$13)))</f>
        <v>1000000000000</v>
      </c>
      <c r="CJ78" s="179">
        <f ca="1">IF(OR($D78&lt;&gt;"Serviço",AND(AUTOEVENTO="Manual",$M78=$A$15),$M78&gt;(ROW(PLE.lastrow)-ROW(PLE.firstrow))),0,
           IF(OFFSET(PLE!$G$15,$M78-$A$15,CJ$13)="",10^12,OFFSET(PLE!$G$15,$M78-$A$15,CJ$13)))</f>
        <v>1000000000000</v>
      </c>
      <c r="CK78" s="179">
        <f ca="1">IF(OR($D78&lt;&gt;"Serviço",AND(AUTOEVENTO="Manual",$M78=$A$15),$M78&gt;(ROW(PLE.lastrow)-ROW(PLE.firstrow))),0,
           IF(OFFSET(PLE!$G$15,$M78-$A$15,CK$13)="",10^12,OFFSET(PLE!$G$15,$M78-$A$15,CK$13)))</f>
        <v>1000000000000</v>
      </c>
      <c r="CL78" s="179">
        <f ca="1">IF(OR($D78&lt;&gt;"Serviço",AND(AUTOEVENTO="Manual",$M78=$A$15),$M78&gt;(ROW(PLE.lastrow)-ROW(PLE.firstrow))),0,
           IF(OFFSET(PLE!$G$15,$M78-$A$15,CL$13)="",10^12,OFFSET(PLE!$G$15,$M78-$A$15,CL$13)))</f>
        <v>1000000000000</v>
      </c>
      <c r="CM78" s="179">
        <f ca="1">IF(OR($D78&lt;&gt;"Serviço",AND(AUTOEVENTO="Manual",$M78=$A$15),$M78&gt;(ROW(PLE.lastrow)-ROW(PLE.firstrow))),0,
           IF(OFFSET(PLE!$G$15,$M78-$A$15,CM$13)="",10^12,OFFSET(PLE!$G$15,$M78-$A$15,CM$13)))</f>
        <v>1000000000000</v>
      </c>
    </row>
    <row r="79" spans="1:91" ht="12.75" x14ac:dyDescent="0.2">
      <c r="A79" s="7" t="str">
        <f ca="1">IF(AUTOEVENTO="Manual",IF(K79&lt;&gt;"",MIN(VALUE(LEFT(K79,FIND(".",K79)-1)),COUNTA(EVENTOS.Lista)),0),IF(OR($B79&gt;AUTOEVENTO,$B79="S",$B79=0),SUBSTITUTE(OFFSET($A79,-1,0),IF($D79="Serviço",".",""),""),ROW(A79)-ROW($A$15)&amp;"."))</f>
        <v>62</v>
      </c>
      <c r="B79" s="7" t="str">
        <f ca="1">OFFSET(ORÇAMENTO!C$15,ROW(B79)-ROW(B$15),0)</f>
        <v>S</v>
      </c>
      <c r="C79" s="7" t="str">
        <f ca="1">OFFSET(ORÇAMENTO!L$15,ROW(C79)-ROW(C$15),0)</f>
        <v>F</v>
      </c>
      <c r="D79" s="118" t="str">
        <f ca="1">OFFSET(ORÇAMENTO!N$15,ROW(D79)-ROW(D$15),0)</f>
        <v>Serviço</v>
      </c>
      <c r="E79" s="119" t="str">
        <f ca="1">OFFSET(ORÇAMENTO!O$15,ROW(E79)-ROW(E$15),0)</f>
        <v>1.10.0.0.2.</v>
      </c>
      <c r="F79" s="170" t="str">
        <f ca="1">OFFSET(ORÇAMENTO!R$15,ROW(F79)-ROW(F$15),0)</f>
        <v>APLICAÇÃO DE ADUBO EM SOLO. AF_07/2024</v>
      </c>
      <c r="G79" s="171" t="str">
        <f ca="1">IF($D79&lt;&gt;"Serviço","",OFFSET(ORÇAMENTO!S$15,ROW(G79)-ROW(G$15),0))</f>
        <v>M2</v>
      </c>
      <c r="H79" s="124" cm="1">
        <f t="array" aca="1" ref="H79" ca="1">IF($D79&lt;&gt;"Serviço",0,IF(_xlfn.SINGLE(ACOMPANHAMENTO)="BM",ROUND(OFFSET(ORÇAMENTO!AJ$15,ROW(H79)-ROW(H$15),0),15-13*ORÇAMENTO!$AF$7),SUMPRODUCT(($Q$1:$AI$1)*ROUND($Q79:$AI79,15-13*ORÇAMENTO!$AF$7))))</f>
        <v>94.54</v>
      </c>
      <c r="I79" s="500" t="s">
        <v>1070</v>
      </c>
      <c r="J79" s="632" t="str" cm="1">
        <f t="array" aca="1" ref="J79" ca="1">IF(B79&lt;&gt;"S","",IF(AND(ACOMPANHAMENTO="PLE",AUTOEVENTO="Manual",OR(H79&gt;0,ORÇAMENTO!AC79="QUANT."),OR(K79="",M79=0,N79="")),"►",IF(AND(ACOMPANHAMENTO="PLE",ORÇAMENTO!AC79="QUANT."),"►►",IF(AND(COUNTIF($P$11:$AI$11,"▼")=0,H79&gt;0,I79=""),"◄",""))))</f>
        <v/>
      </c>
      <c r="K79" s="624"/>
      <c r="L79" s="172" t="s">
        <v>253</v>
      </c>
      <c r="M79" s="173">
        <f ca="1">IF($D79&lt;&gt;"Serviço","",
          IF(AUTOEVENTO="manual",$A79,
                IF(ISERROR(MATCH($A79,$A$15:OFFSET($A79,-1,0),0)),MAX($M$15:OFFSET(M79,-1,0))+1,
                      INDEX($M$15:OFFSET(M79,-1,0),MATCH($A79,$A$15:OFFSET($A79,-1,0),0)))))</f>
        <v>10</v>
      </c>
      <c r="N79" s="174" t="str">
        <f ca="1">IF($D79&lt;&gt;"Serviço","",
         IF(AUTOEVENTO="Manual",
                IF($A79=0,"&lt;-- defina o número do agrupador",
                       OFFSET(EVENTOS!$D$15,$A79-$A$15,0)),
                OFFSET($F$15,$A79,0)))</f>
        <v>PAISAGISMO</v>
      </c>
      <c r="O79" s="175"/>
      <c r="Q79" s="175"/>
      <c r="R79" s="176"/>
      <c r="S79" s="176"/>
      <c r="T79" s="176"/>
      <c r="U79" s="176">
        <f>((14.09)*2)*2+(19.09*2)</f>
        <v>94.539999999999992</v>
      </c>
      <c r="V79" s="176"/>
      <c r="W79" s="176"/>
      <c r="X79" s="176"/>
      <c r="Y79" s="176"/>
      <c r="Z79" s="177"/>
      <c r="AA79" s="176"/>
      <c r="AB79" s="176"/>
      <c r="AC79" s="176"/>
      <c r="AD79" s="176"/>
      <c r="AE79" s="176"/>
      <c r="AF79" s="176"/>
      <c r="AG79" s="176"/>
      <c r="AH79" s="177"/>
      <c r="AJ79" s="485">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85">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L79" s="485">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0</v>
      </c>
      <c r="AM79" s="485">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0</v>
      </c>
      <c r="AN79" s="485">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800.75</v>
      </c>
      <c r="AO79" s="485">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85">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85">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85">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85">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85">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85">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85">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85">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85">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85">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85">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85">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8">
        <f ca="1">IF(OR($D79&lt;&gt;"Serviço",AND(AUTOEVENTO="Manual",$M79=$A$15)),0,
         IF(OFFSET(CRONOPLE!$F$15,$M79-$A$15,BC$13)="",10^12,OFFSET(CRONOPLE!$F$15,$M79-$A$15,BC$13)))</f>
        <v>1</v>
      </c>
      <c r="BD79" s="178">
        <f ca="1">IF(OR($D79&lt;&gt;"Serviço",AND(AUTOEVENTO="Manual",$M79=$A$15)),0,
         IF(OFFSET(CRONOPLE!$F$15,$M79-$A$15,BD$13)="",10^12,OFFSET(CRONOPLE!$F$15,$M79-$A$15,BD$13)))</f>
        <v>2</v>
      </c>
      <c r="BE79" s="178">
        <f ca="1">IF(OR($D79&lt;&gt;"Serviço",AND(AUTOEVENTO="Manual",$M79=$A$15)),0,
         IF(OFFSET(CRONOPLE!$F$15,$M79-$A$15,BE$13)="",10^12,OFFSET(CRONOPLE!$F$15,$M79-$A$15,BE$13)))</f>
        <v>1000000000000</v>
      </c>
      <c r="BF79" s="178">
        <f ca="1">IF(OR($D79&lt;&gt;"Serviço",AND(AUTOEVENTO="Manual",$M79=$A$15)),0,
         IF(OFFSET(CRONOPLE!$F$15,$M79-$A$15,BF$13)="",10^12,OFFSET(CRONOPLE!$F$15,$M79-$A$15,BF$13)))</f>
        <v>4</v>
      </c>
      <c r="BG79" s="178">
        <f ca="1">IF(OR($D79&lt;&gt;"Serviço",AND(AUTOEVENTO="Manual",$M79=$A$15)),0,
         IF(OFFSET(CRONOPLE!$F$15,$M79-$A$15,BG$13)="",10^12,OFFSET(CRONOPLE!$F$15,$M79-$A$15,BG$13)))</f>
        <v>5</v>
      </c>
      <c r="BH79" s="178">
        <f ca="1">IF(OR($D79&lt;&gt;"Serviço",AND(AUTOEVENTO="Manual",$M79=$A$15)),0,
         IF(OFFSET(CRONOPLE!$F$15,$M79-$A$15,BH$13)="",10^12,OFFSET(CRONOPLE!$F$15,$M79-$A$15,BH$13)))</f>
        <v>6</v>
      </c>
      <c r="BI79" s="178">
        <f ca="1">IF(OR($D79&lt;&gt;"Serviço",AND(AUTOEVENTO="Manual",$M79=$A$15)),0,
         IF(OFFSET(CRONOPLE!$F$15,$M79-$A$15,BI$13)="",10^12,OFFSET(CRONOPLE!$F$15,$M79-$A$15,BI$13)))</f>
        <v>7</v>
      </c>
      <c r="BJ79" s="178">
        <f ca="1">IF(OR($D79&lt;&gt;"Serviço",AND(AUTOEVENTO="Manual",$M79=$A$15)),0,
         IF(OFFSET(CRONOPLE!$F$15,$M79-$A$15,BJ$13)="",10^12,OFFSET(CRONOPLE!$F$15,$M79-$A$15,BJ$13)))</f>
        <v>1000000000000</v>
      </c>
      <c r="BK79" s="178">
        <f ca="1">IF(OR($D79&lt;&gt;"Serviço",AND(AUTOEVENTO="Manual",$M79=$A$15)),0,
         IF(OFFSET(CRONOPLE!$F$15,$M79-$A$15,BK$13)="",10^12,OFFSET(CRONOPLE!$F$15,$M79-$A$15,BK$13)))</f>
        <v>1000000000000</v>
      </c>
      <c r="BL79" s="178">
        <f ca="1">IF(OR($D79&lt;&gt;"Serviço",AND(AUTOEVENTO="Manual",$M79=$A$15)),0,
         IF(OFFSET(CRONOPLE!$F$15,$M79-$A$15,BL$13)="",10^12,OFFSET(CRONOPLE!$F$15,$M79-$A$15,BL$13)))</f>
        <v>1000000000000</v>
      </c>
      <c r="BM79" s="178">
        <f ca="1">IF(OR($D79&lt;&gt;"Serviço",AND(AUTOEVENTO="Manual",$M79=$A$15)),0,
         IF(OFFSET(CRONOPLE!$F$15,$M79-$A$15,BM$13)="",10^12,OFFSET(CRONOPLE!$F$15,$M79-$A$15,BM$13)))</f>
        <v>1000000000000</v>
      </c>
      <c r="BN79" s="178">
        <f ca="1">IF(OR($D79&lt;&gt;"Serviço",AND(AUTOEVENTO="Manual",$M79=$A$15)),0,
         IF(OFFSET(CRONOPLE!$F$15,$M79-$A$15,BN$13)="",10^12,OFFSET(CRONOPLE!$F$15,$M79-$A$15,BN$13)))</f>
        <v>1000000000000</v>
      </c>
      <c r="BO79" s="178">
        <f ca="1">IF(OR($D79&lt;&gt;"Serviço",AND(AUTOEVENTO="Manual",$M79=$A$15)),0,
         IF(OFFSET(CRONOPLE!$F$15,$M79-$A$15,BO$13)="",10^12,OFFSET(CRONOPLE!$F$15,$M79-$A$15,BO$13)))</f>
        <v>1000000000000</v>
      </c>
      <c r="BP79" s="178">
        <f ca="1">IF(OR($D79&lt;&gt;"Serviço",AND(AUTOEVENTO="Manual",$M79=$A$15)),0,
         IF(OFFSET(CRONOPLE!$F$15,$M79-$A$15,BP$13)="",10^12,OFFSET(CRONOPLE!$F$15,$M79-$A$15,BP$13)))</f>
        <v>1000000000000</v>
      </c>
      <c r="BQ79" s="178">
        <f ca="1">IF(OR($D79&lt;&gt;"Serviço",AND(AUTOEVENTO="Manual",$M79=$A$15)),0,
         IF(OFFSET(CRONOPLE!$F$15,$M79-$A$15,BQ$13)="",10^12,OFFSET(CRONOPLE!$F$15,$M79-$A$15,BQ$13)))</f>
        <v>15</v>
      </c>
      <c r="BR79" s="178">
        <f ca="1">IF(OR($D79&lt;&gt;"Serviço",AND(AUTOEVENTO="Manual",$M79=$A$15)),0,
         IF(OFFSET(CRONOPLE!$F$15,$M79-$A$15,BR$13)="",10^12,OFFSET(CRONOPLE!$F$15,$M79-$A$15,BR$13)))</f>
        <v>1000000000000</v>
      </c>
      <c r="BS79" s="178">
        <f ca="1">IF(OR($D79&lt;&gt;"Serviço",AND(AUTOEVENTO="Manual",$M79=$A$15)),0,
         IF(OFFSET(CRONOPLE!$F$15,$M79-$A$15,BS$13)="",10^12,OFFSET(CRONOPLE!$F$15,$M79-$A$15,BS$13)))</f>
        <v>1000000000000</v>
      </c>
      <c r="BT79" s="178">
        <f ca="1">IF(OR($D79&lt;&gt;"Serviço",AND(AUTOEVENTO="Manual",$M79=$A$15)),0,
         IF(OFFSET(CRONOPLE!$F$15,$M79-$A$15,BT$13)="",10^12,OFFSET(CRONOPLE!$F$15,$M79-$A$15,BT$13)))</f>
        <v>1000000000000</v>
      </c>
      <c r="BV79" s="179">
        <f ca="1">IF(OR($D79&lt;&gt;"Serviço",AND(AUTOEVENTO="Manual",$M79=$A$15),$M79&gt;(ROW(PLE.lastrow)-ROW(PLE.firstrow))),0,
           IF(OFFSET(PLE!$G$15,$M79-$A$15,BV$13)="",10^12,OFFSET(PLE!$G$15,$M79-$A$15,BV$13)))</f>
        <v>1000000000000</v>
      </c>
      <c r="BW79" s="179">
        <f ca="1">IF(OR($D79&lt;&gt;"Serviço",AND(AUTOEVENTO="Manual",$M79=$A$15),$M79&gt;(ROW(PLE.lastrow)-ROW(PLE.firstrow))),0,
           IF(OFFSET(PLE!$G$15,$M79-$A$15,BW$13)="",10^12,OFFSET(PLE!$G$15,$M79-$A$15,BW$13)))</f>
        <v>1000000000000</v>
      </c>
      <c r="BX79" s="179">
        <f ca="1">IF(OR($D79&lt;&gt;"Serviço",AND(AUTOEVENTO="Manual",$M79=$A$15),$M79&gt;(ROW(PLE.lastrow)-ROW(PLE.firstrow))),0,
           IF(OFFSET(PLE!$G$15,$M79-$A$15,BX$13)="",10^12,OFFSET(PLE!$G$15,$M79-$A$15,BX$13)))</f>
        <v>1000000000000</v>
      </c>
      <c r="BY79" s="179">
        <f ca="1">IF(OR($D79&lt;&gt;"Serviço",AND(AUTOEVENTO="Manual",$M79=$A$15),$M79&gt;(ROW(PLE.lastrow)-ROW(PLE.firstrow))),0,
           IF(OFFSET(PLE!$G$15,$M79-$A$15,BY$13)="",10^12,OFFSET(PLE!$G$15,$M79-$A$15,BY$13)))</f>
        <v>1000000000000</v>
      </c>
      <c r="BZ79" s="179">
        <f ca="1">IF(OR($D79&lt;&gt;"Serviço",AND(AUTOEVENTO="Manual",$M79=$A$15),$M79&gt;(ROW(PLE.lastrow)-ROW(PLE.firstrow))),0,
           IF(OFFSET(PLE!$G$15,$M79-$A$15,BZ$13)="",10^12,OFFSET(PLE!$G$15,$M79-$A$15,BZ$13)))</f>
        <v>1000000000000</v>
      </c>
      <c r="CA79" s="179">
        <f ca="1">IF(OR($D79&lt;&gt;"Serviço",AND(AUTOEVENTO="Manual",$M79=$A$15),$M79&gt;(ROW(PLE.lastrow)-ROW(PLE.firstrow))),0,
           IF(OFFSET(PLE!$G$15,$M79-$A$15,CA$13)="",10^12,OFFSET(PLE!$G$15,$M79-$A$15,CA$13)))</f>
        <v>1000000000000</v>
      </c>
      <c r="CB79" s="179">
        <f ca="1">IF(OR($D79&lt;&gt;"Serviço",AND(AUTOEVENTO="Manual",$M79=$A$15),$M79&gt;(ROW(PLE.lastrow)-ROW(PLE.firstrow))),0,
           IF(OFFSET(PLE!$G$15,$M79-$A$15,CB$13)="",10^12,OFFSET(PLE!$G$15,$M79-$A$15,CB$13)))</f>
        <v>1000000000000</v>
      </c>
      <c r="CC79" s="179">
        <f ca="1">IF(OR($D79&lt;&gt;"Serviço",AND(AUTOEVENTO="Manual",$M79=$A$15),$M79&gt;(ROW(PLE.lastrow)-ROW(PLE.firstrow))),0,
           IF(OFFSET(PLE!$G$15,$M79-$A$15,CC$13)="",10^12,OFFSET(PLE!$G$15,$M79-$A$15,CC$13)))</f>
        <v>1000000000000</v>
      </c>
      <c r="CD79" s="179">
        <f ca="1">IF(OR($D79&lt;&gt;"Serviço",AND(AUTOEVENTO="Manual",$M79=$A$15),$M79&gt;(ROW(PLE.lastrow)-ROW(PLE.firstrow))),0,
           IF(OFFSET(PLE!$G$15,$M79-$A$15,CD$13)="",10^12,OFFSET(PLE!$G$15,$M79-$A$15,CD$13)))</f>
        <v>1000000000000</v>
      </c>
      <c r="CE79" s="179">
        <f ca="1">IF(OR($D79&lt;&gt;"Serviço",AND(AUTOEVENTO="Manual",$M79=$A$15),$M79&gt;(ROW(PLE.lastrow)-ROW(PLE.firstrow))),0,
           IF(OFFSET(PLE!$G$15,$M79-$A$15,CE$13)="",10^12,OFFSET(PLE!$G$15,$M79-$A$15,CE$13)))</f>
        <v>1000000000000</v>
      </c>
      <c r="CF79" s="179">
        <f ca="1">IF(OR($D79&lt;&gt;"Serviço",AND(AUTOEVENTO="Manual",$M79=$A$15),$M79&gt;(ROW(PLE.lastrow)-ROW(PLE.firstrow))),0,
           IF(OFFSET(PLE!$G$15,$M79-$A$15,CF$13)="",10^12,OFFSET(PLE!$G$15,$M79-$A$15,CF$13)))</f>
        <v>1000000000000</v>
      </c>
      <c r="CG79" s="179">
        <f ca="1">IF(OR($D79&lt;&gt;"Serviço",AND(AUTOEVENTO="Manual",$M79=$A$15),$M79&gt;(ROW(PLE.lastrow)-ROW(PLE.firstrow))),0,
           IF(OFFSET(PLE!$G$15,$M79-$A$15,CG$13)="",10^12,OFFSET(PLE!$G$15,$M79-$A$15,CG$13)))</f>
        <v>1000000000000</v>
      </c>
      <c r="CH79" s="179">
        <f ca="1">IF(OR($D79&lt;&gt;"Serviço",AND(AUTOEVENTO="Manual",$M79=$A$15),$M79&gt;(ROW(PLE.lastrow)-ROW(PLE.firstrow))),0,
           IF(OFFSET(PLE!$G$15,$M79-$A$15,CH$13)="",10^12,OFFSET(PLE!$G$15,$M79-$A$15,CH$13)))</f>
        <v>1000000000000</v>
      </c>
      <c r="CI79" s="179">
        <f ca="1">IF(OR($D79&lt;&gt;"Serviço",AND(AUTOEVENTO="Manual",$M79=$A$15),$M79&gt;(ROW(PLE.lastrow)-ROW(PLE.firstrow))),0,
           IF(OFFSET(PLE!$G$15,$M79-$A$15,CI$13)="",10^12,OFFSET(PLE!$G$15,$M79-$A$15,CI$13)))</f>
        <v>1000000000000</v>
      </c>
      <c r="CJ79" s="179">
        <f ca="1">IF(OR($D79&lt;&gt;"Serviço",AND(AUTOEVENTO="Manual",$M79=$A$15),$M79&gt;(ROW(PLE.lastrow)-ROW(PLE.firstrow))),0,
           IF(OFFSET(PLE!$G$15,$M79-$A$15,CJ$13)="",10^12,OFFSET(PLE!$G$15,$M79-$A$15,CJ$13)))</f>
        <v>1000000000000</v>
      </c>
      <c r="CK79" s="179">
        <f ca="1">IF(OR($D79&lt;&gt;"Serviço",AND(AUTOEVENTO="Manual",$M79=$A$15),$M79&gt;(ROW(PLE.lastrow)-ROW(PLE.firstrow))),0,
           IF(OFFSET(PLE!$G$15,$M79-$A$15,CK$13)="",10^12,OFFSET(PLE!$G$15,$M79-$A$15,CK$13)))</f>
        <v>1000000000000</v>
      </c>
      <c r="CL79" s="179">
        <f ca="1">IF(OR($D79&lt;&gt;"Serviço",AND(AUTOEVENTO="Manual",$M79=$A$15),$M79&gt;(ROW(PLE.lastrow)-ROW(PLE.firstrow))),0,
           IF(OFFSET(PLE!$G$15,$M79-$A$15,CL$13)="",10^12,OFFSET(PLE!$G$15,$M79-$A$15,CL$13)))</f>
        <v>1000000000000</v>
      </c>
      <c r="CM79" s="179">
        <f ca="1">IF(OR($D79&lt;&gt;"Serviço",AND(AUTOEVENTO="Manual",$M79=$A$15),$M79&gt;(ROW(PLE.lastrow)-ROW(PLE.firstrow))),0,
           IF(OFFSET(PLE!$G$15,$M79-$A$15,CM$13)="",10^12,OFFSET(PLE!$G$15,$M79-$A$15,CM$13)))</f>
        <v>1000000000000</v>
      </c>
    </row>
    <row r="80" spans="1:91" ht="25.5" x14ac:dyDescent="0.2">
      <c r="A80" s="7" t="str">
        <f ca="1">IF(AUTOEVENTO="Manual",IF(K80&lt;&gt;"",MIN(VALUE(LEFT(K80,FIND(".",K80)-1)),COUNTA(EVENTOS.Lista)),0),IF(OR($B80&gt;AUTOEVENTO,$B80="S",$B80=0),SUBSTITUTE(OFFSET($A80,-1,0),IF($D80="Serviço",".",""),""),ROW(A80)-ROW($A$15)&amp;"."))</f>
        <v>62</v>
      </c>
      <c r="B80" s="7" t="str">
        <f ca="1">OFFSET(ORÇAMENTO!C$15,ROW(B80)-ROW(B$15),0)</f>
        <v>S</v>
      </c>
      <c r="C80" s="7" t="str">
        <f ca="1">OFFSET(ORÇAMENTO!L$15,ROW(C80)-ROW(C$15),0)</f>
        <v>F</v>
      </c>
      <c r="D80" s="118" t="str">
        <f ca="1">OFFSET(ORÇAMENTO!N$15,ROW(D80)-ROW(D$15),0)</f>
        <v>Serviço</v>
      </c>
      <c r="E80" s="119" t="str">
        <f ca="1">OFFSET(ORÇAMENTO!O$15,ROW(E80)-ROW(E$15),0)</f>
        <v>1.10.0.0.3.</v>
      </c>
      <c r="F80" s="170" t="str">
        <f ca="1">OFFSET(ORÇAMENTO!R$15,ROW(F80)-ROW(F$15),0)</f>
        <v>MUDA DE ARBUSTO, PINGO DE OURO/ VIOLETEIRA, H = *10 A 20* CM</v>
      </c>
      <c r="G80" s="171" t="str">
        <f ca="1">IF($D80&lt;&gt;"Serviço","",OFFSET(ORÇAMENTO!S$15,ROW(G80)-ROW(G$15),0))</f>
        <v>UN</v>
      </c>
      <c r="H80" s="124" cm="1">
        <f t="array" aca="1" ref="H80" ca="1">IF($D80&lt;&gt;"Serviço",0,IF(_xlfn.SINGLE(ACOMPANHAMENTO)="BM",ROUND(OFFSET(ORÇAMENTO!AJ$15,ROW(H80)-ROW(H$15),0),15-13*ORÇAMENTO!$AF$7),SUMPRODUCT(($Q$1:$AI$1)*ROUND($Q80:$AI80,15-13*ORÇAMENTO!$AF$7))))</f>
        <v>240</v>
      </c>
      <c r="I80" s="500" t="s">
        <v>1003</v>
      </c>
      <c r="J80" s="632" t="str" cm="1">
        <f t="array" aca="1" ref="J80" ca="1">IF(B80&lt;&gt;"S","",IF(AND(ACOMPANHAMENTO="PLE",AUTOEVENTO="Manual",OR(H80&gt;0,ORÇAMENTO!AC80="QUANT."),OR(K80="",M80=0,N80="")),"►",IF(AND(ACOMPANHAMENTO="PLE",ORÇAMENTO!AC80="QUANT."),"►►",IF(AND(COUNTIF($P$11:$AI$11,"▼")=0,H80&gt;0,I80=""),"◄",""))))</f>
        <v/>
      </c>
      <c r="K80" s="624"/>
      <c r="L80" s="172" t="s">
        <v>253</v>
      </c>
      <c r="M80" s="173">
        <f ca="1">IF($D80&lt;&gt;"Serviço","",
          IF(AUTOEVENTO="manual",$A80,
                IF(ISERROR(MATCH($A80,$A$15:OFFSET($A80,-1,0),0)),MAX($M$15:OFFSET(M80,-1,0))+1,
                      INDEX($M$15:OFFSET(M80,-1,0),MATCH($A80,$A$15:OFFSET($A80,-1,0),0)))))</f>
        <v>10</v>
      </c>
      <c r="N80" s="174" t="str">
        <f ca="1">IF($D80&lt;&gt;"Serviço","",
         IF(AUTOEVENTO="Manual",
                IF($A80=0,"&lt;-- defina o número do agrupador",
                       OFFSET(EVENTOS!$D$15,$A80-$A$15,0)),
                OFFSET($F$15,$A80,0)))</f>
        <v>PAISAGISMO</v>
      </c>
      <c r="O80" s="175"/>
      <c r="Q80" s="175"/>
      <c r="R80" s="176"/>
      <c r="S80" s="176"/>
      <c r="T80" s="176"/>
      <c r="U80" s="176">
        <v>240</v>
      </c>
      <c r="V80" s="176"/>
      <c r="W80" s="176"/>
      <c r="X80" s="176"/>
      <c r="Y80" s="176"/>
      <c r="Z80" s="177"/>
      <c r="AA80" s="176"/>
      <c r="AB80" s="176"/>
      <c r="AC80" s="176"/>
      <c r="AD80" s="176"/>
      <c r="AE80" s="176"/>
      <c r="AF80" s="176"/>
      <c r="AG80" s="176"/>
      <c r="AH80" s="177"/>
      <c r="AJ80" s="485">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85">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L80" s="485">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0</v>
      </c>
      <c r="AM80" s="485">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0</v>
      </c>
      <c r="AN80" s="485">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777.6</v>
      </c>
      <c r="AO80" s="485">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85">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85">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85">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85">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85">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85">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85">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85">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85">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85">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85">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85">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8">
        <f ca="1">IF(OR($D80&lt;&gt;"Serviço",AND(AUTOEVENTO="Manual",$M80=$A$15)),0,
         IF(OFFSET(CRONOPLE!$F$15,$M80-$A$15,BC$13)="",10^12,OFFSET(CRONOPLE!$F$15,$M80-$A$15,BC$13)))</f>
        <v>1</v>
      </c>
      <c r="BD80" s="178">
        <f ca="1">IF(OR($D80&lt;&gt;"Serviço",AND(AUTOEVENTO="Manual",$M80=$A$15)),0,
         IF(OFFSET(CRONOPLE!$F$15,$M80-$A$15,BD$13)="",10^12,OFFSET(CRONOPLE!$F$15,$M80-$A$15,BD$13)))</f>
        <v>2</v>
      </c>
      <c r="BE80" s="178">
        <f ca="1">IF(OR($D80&lt;&gt;"Serviço",AND(AUTOEVENTO="Manual",$M80=$A$15)),0,
         IF(OFFSET(CRONOPLE!$F$15,$M80-$A$15,BE$13)="",10^12,OFFSET(CRONOPLE!$F$15,$M80-$A$15,BE$13)))</f>
        <v>1000000000000</v>
      </c>
      <c r="BF80" s="178">
        <f ca="1">IF(OR($D80&lt;&gt;"Serviço",AND(AUTOEVENTO="Manual",$M80=$A$15)),0,
         IF(OFFSET(CRONOPLE!$F$15,$M80-$A$15,BF$13)="",10^12,OFFSET(CRONOPLE!$F$15,$M80-$A$15,BF$13)))</f>
        <v>4</v>
      </c>
      <c r="BG80" s="178">
        <f ca="1">IF(OR($D80&lt;&gt;"Serviço",AND(AUTOEVENTO="Manual",$M80=$A$15)),0,
         IF(OFFSET(CRONOPLE!$F$15,$M80-$A$15,BG$13)="",10^12,OFFSET(CRONOPLE!$F$15,$M80-$A$15,BG$13)))</f>
        <v>5</v>
      </c>
      <c r="BH80" s="178">
        <f ca="1">IF(OR($D80&lt;&gt;"Serviço",AND(AUTOEVENTO="Manual",$M80=$A$15)),0,
         IF(OFFSET(CRONOPLE!$F$15,$M80-$A$15,BH$13)="",10^12,OFFSET(CRONOPLE!$F$15,$M80-$A$15,BH$13)))</f>
        <v>6</v>
      </c>
      <c r="BI80" s="178">
        <f ca="1">IF(OR($D80&lt;&gt;"Serviço",AND(AUTOEVENTO="Manual",$M80=$A$15)),0,
         IF(OFFSET(CRONOPLE!$F$15,$M80-$A$15,BI$13)="",10^12,OFFSET(CRONOPLE!$F$15,$M80-$A$15,BI$13)))</f>
        <v>7</v>
      </c>
      <c r="BJ80" s="178">
        <f ca="1">IF(OR($D80&lt;&gt;"Serviço",AND(AUTOEVENTO="Manual",$M80=$A$15)),0,
         IF(OFFSET(CRONOPLE!$F$15,$M80-$A$15,BJ$13)="",10^12,OFFSET(CRONOPLE!$F$15,$M80-$A$15,BJ$13)))</f>
        <v>1000000000000</v>
      </c>
      <c r="BK80" s="178">
        <f ca="1">IF(OR($D80&lt;&gt;"Serviço",AND(AUTOEVENTO="Manual",$M80=$A$15)),0,
         IF(OFFSET(CRONOPLE!$F$15,$M80-$A$15,BK$13)="",10^12,OFFSET(CRONOPLE!$F$15,$M80-$A$15,BK$13)))</f>
        <v>1000000000000</v>
      </c>
      <c r="BL80" s="178">
        <f ca="1">IF(OR($D80&lt;&gt;"Serviço",AND(AUTOEVENTO="Manual",$M80=$A$15)),0,
         IF(OFFSET(CRONOPLE!$F$15,$M80-$A$15,BL$13)="",10^12,OFFSET(CRONOPLE!$F$15,$M80-$A$15,BL$13)))</f>
        <v>1000000000000</v>
      </c>
      <c r="BM80" s="178">
        <f ca="1">IF(OR($D80&lt;&gt;"Serviço",AND(AUTOEVENTO="Manual",$M80=$A$15)),0,
         IF(OFFSET(CRONOPLE!$F$15,$M80-$A$15,BM$13)="",10^12,OFFSET(CRONOPLE!$F$15,$M80-$A$15,BM$13)))</f>
        <v>1000000000000</v>
      </c>
      <c r="BN80" s="178">
        <f ca="1">IF(OR($D80&lt;&gt;"Serviço",AND(AUTOEVENTO="Manual",$M80=$A$15)),0,
         IF(OFFSET(CRONOPLE!$F$15,$M80-$A$15,BN$13)="",10^12,OFFSET(CRONOPLE!$F$15,$M80-$A$15,BN$13)))</f>
        <v>1000000000000</v>
      </c>
      <c r="BO80" s="178">
        <f ca="1">IF(OR($D80&lt;&gt;"Serviço",AND(AUTOEVENTO="Manual",$M80=$A$15)),0,
         IF(OFFSET(CRONOPLE!$F$15,$M80-$A$15,BO$13)="",10^12,OFFSET(CRONOPLE!$F$15,$M80-$A$15,BO$13)))</f>
        <v>1000000000000</v>
      </c>
      <c r="BP80" s="178">
        <f ca="1">IF(OR($D80&lt;&gt;"Serviço",AND(AUTOEVENTO="Manual",$M80=$A$15)),0,
         IF(OFFSET(CRONOPLE!$F$15,$M80-$A$15,BP$13)="",10^12,OFFSET(CRONOPLE!$F$15,$M80-$A$15,BP$13)))</f>
        <v>1000000000000</v>
      </c>
      <c r="BQ80" s="178">
        <f ca="1">IF(OR($D80&lt;&gt;"Serviço",AND(AUTOEVENTO="Manual",$M80=$A$15)),0,
         IF(OFFSET(CRONOPLE!$F$15,$M80-$A$15,BQ$13)="",10^12,OFFSET(CRONOPLE!$F$15,$M80-$A$15,BQ$13)))</f>
        <v>15</v>
      </c>
      <c r="BR80" s="178">
        <f ca="1">IF(OR($D80&lt;&gt;"Serviço",AND(AUTOEVENTO="Manual",$M80=$A$15)),0,
         IF(OFFSET(CRONOPLE!$F$15,$M80-$A$15,BR$13)="",10^12,OFFSET(CRONOPLE!$F$15,$M80-$A$15,BR$13)))</f>
        <v>1000000000000</v>
      </c>
      <c r="BS80" s="178">
        <f ca="1">IF(OR($D80&lt;&gt;"Serviço",AND(AUTOEVENTO="Manual",$M80=$A$15)),0,
         IF(OFFSET(CRONOPLE!$F$15,$M80-$A$15,BS$13)="",10^12,OFFSET(CRONOPLE!$F$15,$M80-$A$15,BS$13)))</f>
        <v>1000000000000</v>
      </c>
      <c r="BT80" s="178">
        <f ca="1">IF(OR($D80&lt;&gt;"Serviço",AND(AUTOEVENTO="Manual",$M80=$A$15)),0,
         IF(OFFSET(CRONOPLE!$F$15,$M80-$A$15,BT$13)="",10^12,OFFSET(CRONOPLE!$F$15,$M80-$A$15,BT$13)))</f>
        <v>1000000000000</v>
      </c>
      <c r="BV80" s="179">
        <f ca="1">IF(OR($D80&lt;&gt;"Serviço",AND(AUTOEVENTO="Manual",$M80=$A$15),$M80&gt;(ROW(PLE.lastrow)-ROW(PLE.firstrow))),0,
           IF(OFFSET(PLE!$G$15,$M80-$A$15,BV$13)="",10^12,OFFSET(PLE!$G$15,$M80-$A$15,BV$13)))</f>
        <v>1000000000000</v>
      </c>
      <c r="BW80" s="179">
        <f ca="1">IF(OR($D80&lt;&gt;"Serviço",AND(AUTOEVENTO="Manual",$M80=$A$15),$M80&gt;(ROW(PLE.lastrow)-ROW(PLE.firstrow))),0,
           IF(OFFSET(PLE!$G$15,$M80-$A$15,BW$13)="",10^12,OFFSET(PLE!$G$15,$M80-$A$15,BW$13)))</f>
        <v>1000000000000</v>
      </c>
      <c r="BX80" s="179">
        <f ca="1">IF(OR($D80&lt;&gt;"Serviço",AND(AUTOEVENTO="Manual",$M80=$A$15),$M80&gt;(ROW(PLE.lastrow)-ROW(PLE.firstrow))),0,
           IF(OFFSET(PLE!$G$15,$M80-$A$15,BX$13)="",10^12,OFFSET(PLE!$G$15,$M80-$A$15,BX$13)))</f>
        <v>1000000000000</v>
      </c>
      <c r="BY80" s="179">
        <f ca="1">IF(OR($D80&lt;&gt;"Serviço",AND(AUTOEVENTO="Manual",$M80=$A$15),$M80&gt;(ROW(PLE.lastrow)-ROW(PLE.firstrow))),0,
           IF(OFFSET(PLE!$G$15,$M80-$A$15,BY$13)="",10^12,OFFSET(PLE!$G$15,$M80-$A$15,BY$13)))</f>
        <v>1000000000000</v>
      </c>
      <c r="BZ80" s="179">
        <f ca="1">IF(OR($D80&lt;&gt;"Serviço",AND(AUTOEVENTO="Manual",$M80=$A$15),$M80&gt;(ROW(PLE.lastrow)-ROW(PLE.firstrow))),0,
           IF(OFFSET(PLE!$G$15,$M80-$A$15,BZ$13)="",10^12,OFFSET(PLE!$G$15,$M80-$A$15,BZ$13)))</f>
        <v>1000000000000</v>
      </c>
      <c r="CA80" s="179">
        <f ca="1">IF(OR($D80&lt;&gt;"Serviço",AND(AUTOEVENTO="Manual",$M80=$A$15),$M80&gt;(ROW(PLE.lastrow)-ROW(PLE.firstrow))),0,
           IF(OFFSET(PLE!$G$15,$M80-$A$15,CA$13)="",10^12,OFFSET(PLE!$G$15,$M80-$A$15,CA$13)))</f>
        <v>1000000000000</v>
      </c>
      <c r="CB80" s="179">
        <f ca="1">IF(OR($D80&lt;&gt;"Serviço",AND(AUTOEVENTO="Manual",$M80=$A$15),$M80&gt;(ROW(PLE.lastrow)-ROW(PLE.firstrow))),0,
           IF(OFFSET(PLE!$G$15,$M80-$A$15,CB$13)="",10^12,OFFSET(PLE!$G$15,$M80-$A$15,CB$13)))</f>
        <v>1000000000000</v>
      </c>
      <c r="CC80" s="179">
        <f ca="1">IF(OR($D80&lt;&gt;"Serviço",AND(AUTOEVENTO="Manual",$M80=$A$15),$M80&gt;(ROW(PLE.lastrow)-ROW(PLE.firstrow))),0,
           IF(OFFSET(PLE!$G$15,$M80-$A$15,CC$13)="",10^12,OFFSET(PLE!$G$15,$M80-$A$15,CC$13)))</f>
        <v>1000000000000</v>
      </c>
      <c r="CD80" s="179">
        <f ca="1">IF(OR($D80&lt;&gt;"Serviço",AND(AUTOEVENTO="Manual",$M80=$A$15),$M80&gt;(ROW(PLE.lastrow)-ROW(PLE.firstrow))),0,
           IF(OFFSET(PLE!$G$15,$M80-$A$15,CD$13)="",10^12,OFFSET(PLE!$G$15,$M80-$A$15,CD$13)))</f>
        <v>1000000000000</v>
      </c>
      <c r="CE80" s="179">
        <f ca="1">IF(OR($D80&lt;&gt;"Serviço",AND(AUTOEVENTO="Manual",$M80=$A$15),$M80&gt;(ROW(PLE.lastrow)-ROW(PLE.firstrow))),0,
           IF(OFFSET(PLE!$G$15,$M80-$A$15,CE$13)="",10^12,OFFSET(PLE!$G$15,$M80-$A$15,CE$13)))</f>
        <v>1000000000000</v>
      </c>
      <c r="CF80" s="179">
        <f ca="1">IF(OR($D80&lt;&gt;"Serviço",AND(AUTOEVENTO="Manual",$M80=$A$15),$M80&gt;(ROW(PLE.lastrow)-ROW(PLE.firstrow))),0,
           IF(OFFSET(PLE!$G$15,$M80-$A$15,CF$13)="",10^12,OFFSET(PLE!$G$15,$M80-$A$15,CF$13)))</f>
        <v>1000000000000</v>
      </c>
      <c r="CG80" s="179">
        <f ca="1">IF(OR($D80&lt;&gt;"Serviço",AND(AUTOEVENTO="Manual",$M80=$A$15),$M80&gt;(ROW(PLE.lastrow)-ROW(PLE.firstrow))),0,
           IF(OFFSET(PLE!$G$15,$M80-$A$15,CG$13)="",10^12,OFFSET(PLE!$G$15,$M80-$A$15,CG$13)))</f>
        <v>1000000000000</v>
      </c>
      <c r="CH80" s="179">
        <f ca="1">IF(OR($D80&lt;&gt;"Serviço",AND(AUTOEVENTO="Manual",$M80=$A$15),$M80&gt;(ROW(PLE.lastrow)-ROW(PLE.firstrow))),0,
           IF(OFFSET(PLE!$G$15,$M80-$A$15,CH$13)="",10^12,OFFSET(PLE!$G$15,$M80-$A$15,CH$13)))</f>
        <v>1000000000000</v>
      </c>
      <c r="CI80" s="179">
        <f ca="1">IF(OR($D80&lt;&gt;"Serviço",AND(AUTOEVENTO="Manual",$M80=$A$15),$M80&gt;(ROW(PLE.lastrow)-ROW(PLE.firstrow))),0,
           IF(OFFSET(PLE!$G$15,$M80-$A$15,CI$13)="",10^12,OFFSET(PLE!$G$15,$M80-$A$15,CI$13)))</f>
        <v>1000000000000</v>
      </c>
      <c r="CJ80" s="179">
        <f ca="1">IF(OR($D80&lt;&gt;"Serviço",AND(AUTOEVENTO="Manual",$M80=$A$15),$M80&gt;(ROW(PLE.lastrow)-ROW(PLE.firstrow))),0,
           IF(OFFSET(PLE!$G$15,$M80-$A$15,CJ$13)="",10^12,OFFSET(PLE!$G$15,$M80-$A$15,CJ$13)))</f>
        <v>1000000000000</v>
      </c>
      <c r="CK80" s="179">
        <f ca="1">IF(OR($D80&lt;&gt;"Serviço",AND(AUTOEVENTO="Manual",$M80=$A$15),$M80&gt;(ROW(PLE.lastrow)-ROW(PLE.firstrow))),0,
           IF(OFFSET(PLE!$G$15,$M80-$A$15,CK$13)="",10^12,OFFSET(PLE!$G$15,$M80-$A$15,CK$13)))</f>
        <v>1000000000000</v>
      </c>
      <c r="CL80" s="179">
        <f ca="1">IF(OR($D80&lt;&gt;"Serviço",AND(AUTOEVENTO="Manual",$M80=$A$15),$M80&gt;(ROW(PLE.lastrow)-ROW(PLE.firstrow))),0,
           IF(OFFSET(PLE!$G$15,$M80-$A$15,CL$13)="",10^12,OFFSET(PLE!$G$15,$M80-$A$15,CL$13)))</f>
        <v>1000000000000</v>
      </c>
      <c r="CM80" s="179">
        <f ca="1">IF(OR($D80&lt;&gt;"Serviço",AND(AUTOEVENTO="Manual",$M80=$A$15),$M80&gt;(ROW(PLE.lastrow)-ROW(PLE.firstrow))),0,
           IF(OFFSET(PLE!$G$15,$M80-$A$15,CM$13)="",10^12,OFFSET(PLE!$G$15,$M80-$A$15,CM$13)))</f>
        <v>1000000000000</v>
      </c>
    </row>
    <row r="81" spans="1:91" ht="25.5" x14ac:dyDescent="0.2">
      <c r="A81" s="7" t="str">
        <f ca="1">IF(AUTOEVENTO="Manual",IF(K81&lt;&gt;"",MIN(VALUE(LEFT(K81,FIND(".",K81)-1)),COUNTA(EVENTOS.Lista)),0),IF(OR($B81&gt;AUTOEVENTO,$B81="S",$B81=0),SUBSTITUTE(OFFSET($A81,-1,0),IF($D81="Serviço",".",""),""),ROW(A81)-ROW($A$15)&amp;"."))</f>
        <v>62</v>
      </c>
      <c r="B81" s="7" t="str">
        <f ca="1">OFFSET(ORÇAMENTO!C$15,ROW(B81)-ROW(B$15),0)</f>
        <v>S</v>
      </c>
      <c r="C81" s="7" t="str">
        <f ca="1">OFFSET(ORÇAMENTO!L$15,ROW(C81)-ROW(C$15),0)</f>
        <v>F</v>
      </c>
      <c r="D81" s="118" t="str">
        <f ca="1">OFFSET(ORÇAMENTO!N$15,ROW(D81)-ROW(D$15),0)</f>
        <v>Serviço</v>
      </c>
      <c r="E81" s="119" t="str">
        <f ca="1">OFFSET(ORÇAMENTO!O$15,ROW(E81)-ROW(E$15),0)</f>
        <v>1.10.0.0.4.</v>
      </c>
      <c r="F81" s="170" t="str">
        <f ca="1">OFFSET(ORÇAMENTO!R$15,ROW(F81)-ROW(F$15),0)</f>
        <v>PLANTIO DE PALMEIRA COM ALTURA DE MUDA MENOR OU IGUAL A 2,00 M . AF_07/2024</v>
      </c>
      <c r="G81" s="171" t="str">
        <f ca="1">IF($D81&lt;&gt;"Serviço","",OFFSET(ORÇAMENTO!S$15,ROW(G81)-ROW(G$15),0))</f>
        <v>UN</v>
      </c>
      <c r="H81" s="124" cm="1">
        <f t="array" aca="1" ref="H81" ca="1">IF($D81&lt;&gt;"Serviço",0,IF(_xlfn.SINGLE(ACOMPANHAMENTO)="BM",ROUND(OFFSET(ORÇAMENTO!AJ$15,ROW(H81)-ROW(H$15),0),15-13*ORÇAMENTO!$AF$7),SUMPRODUCT(($Q$1:$AI$1)*ROUND($Q81:$AI81,15-13*ORÇAMENTO!$AF$7))))</f>
        <v>2</v>
      </c>
      <c r="I81" s="500" t="s">
        <v>1002</v>
      </c>
      <c r="J81" s="632" t="str" cm="1">
        <f t="array" aca="1" ref="J81" ca="1">IF(B81&lt;&gt;"S","",IF(AND(ACOMPANHAMENTO="PLE",AUTOEVENTO="Manual",OR(H81&gt;0,ORÇAMENTO!AC81="QUANT."),OR(K81="",M81=0,N81="")),"►",IF(AND(ACOMPANHAMENTO="PLE",ORÇAMENTO!AC81="QUANT."),"►►",IF(AND(COUNTIF($P$11:$AI$11,"▼")=0,H81&gt;0,I81=""),"◄",""))))</f>
        <v/>
      </c>
      <c r="K81" s="624"/>
      <c r="L81" s="172" t="s">
        <v>253</v>
      </c>
      <c r="M81" s="173">
        <f ca="1">IF($D81&lt;&gt;"Serviço","",
          IF(AUTOEVENTO="manual",$A81,
                IF(ISERROR(MATCH($A81,$A$15:OFFSET($A81,-1,0),0)),MAX($M$15:OFFSET(M81,-1,0))+1,
                      INDEX($M$15:OFFSET(M81,-1,0),MATCH($A81,$A$15:OFFSET($A81,-1,0),0)))))</f>
        <v>10</v>
      </c>
      <c r="N81" s="174" t="str">
        <f ca="1">IF($D81&lt;&gt;"Serviço","",
         IF(AUTOEVENTO="Manual",
                IF($A81=0,"&lt;-- defina o número do agrupador",
                       OFFSET(EVENTOS!$D$15,$A81-$A$15,0)),
                OFFSET($F$15,$A81,0)))</f>
        <v>PAISAGISMO</v>
      </c>
      <c r="O81" s="175"/>
      <c r="Q81" s="175"/>
      <c r="R81" s="176"/>
      <c r="S81" s="176"/>
      <c r="T81" s="176"/>
      <c r="U81" s="176">
        <v>2</v>
      </c>
      <c r="V81" s="176"/>
      <c r="W81" s="176"/>
      <c r="X81" s="176"/>
      <c r="Y81" s="176"/>
      <c r="Z81" s="177"/>
      <c r="AA81" s="176"/>
      <c r="AB81" s="176"/>
      <c r="AC81" s="176"/>
      <c r="AD81" s="176"/>
      <c r="AE81" s="176"/>
      <c r="AF81" s="176"/>
      <c r="AG81" s="176"/>
      <c r="AH81" s="177"/>
      <c r="AJ81" s="485">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85">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L81" s="485">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0</v>
      </c>
      <c r="AM81" s="485">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0</v>
      </c>
      <c r="AN81" s="485">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835.24</v>
      </c>
      <c r="AO81" s="485">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85">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85">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85">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85">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85">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85">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85">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85">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85">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85">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85">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85">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8">
        <f ca="1">IF(OR($D81&lt;&gt;"Serviço",AND(AUTOEVENTO="Manual",$M81=$A$15)),0,
         IF(OFFSET(CRONOPLE!$F$15,$M81-$A$15,BC$13)="",10^12,OFFSET(CRONOPLE!$F$15,$M81-$A$15,BC$13)))</f>
        <v>1</v>
      </c>
      <c r="BD81" s="178">
        <f ca="1">IF(OR($D81&lt;&gt;"Serviço",AND(AUTOEVENTO="Manual",$M81=$A$15)),0,
         IF(OFFSET(CRONOPLE!$F$15,$M81-$A$15,BD$13)="",10^12,OFFSET(CRONOPLE!$F$15,$M81-$A$15,BD$13)))</f>
        <v>2</v>
      </c>
      <c r="BE81" s="178">
        <f ca="1">IF(OR($D81&lt;&gt;"Serviço",AND(AUTOEVENTO="Manual",$M81=$A$15)),0,
         IF(OFFSET(CRONOPLE!$F$15,$M81-$A$15,BE$13)="",10^12,OFFSET(CRONOPLE!$F$15,$M81-$A$15,BE$13)))</f>
        <v>1000000000000</v>
      </c>
      <c r="BF81" s="178">
        <f ca="1">IF(OR($D81&lt;&gt;"Serviço",AND(AUTOEVENTO="Manual",$M81=$A$15)),0,
         IF(OFFSET(CRONOPLE!$F$15,$M81-$A$15,BF$13)="",10^12,OFFSET(CRONOPLE!$F$15,$M81-$A$15,BF$13)))</f>
        <v>4</v>
      </c>
      <c r="BG81" s="178">
        <f ca="1">IF(OR($D81&lt;&gt;"Serviço",AND(AUTOEVENTO="Manual",$M81=$A$15)),0,
         IF(OFFSET(CRONOPLE!$F$15,$M81-$A$15,BG$13)="",10^12,OFFSET(CRONOPLE!$F$15,$M81-$A$15,BG$13)))</f>
        <v>5</v>
      </c>
      <c r="BH81" s="178">
        <f ca="1">IF(OR($D81&lt;&gt;"Serviço",AND(AUTOEVENTO="Manual",$M81=$A$15)),0,
         IF(OFFSET(CRONOPLE!$F$15,$M81-$A$15,BH$13)="",10^12,OFFSET(CRONOPLE!$F$15,$M81-$A$15,BH$13)))</f>
        <v>6</v>
      </c>
      <c r="BI81" s="178">
        <f ca="1">IF(OR($D81&lt;&gt;"Serviço",AND(AUTOEVENTO="Manual",$M81=$A$15)),0,
         IF(OFFSET(CRONOPLE!$F$15,$M81-$A$15,BI$13)="",10^12,OFFSET(CRONOPLE!$F$15,$M81-$A$15,BI$13)))</f>
        <v>7</v>
      </c>
      <c r="BJ81" s="178">
        <f ca="1">IF(OR($D81&lt;&gt;"Serviço",AND(AUTOEVENTO="Manual",$M81=$A$15)),0,
         IF(OFFSET(CRONOPLE!$F$15,$M81-$A$15,BJ$13)="",10^12,OFFSET(CRONOPLE!$F$15,$M81-$A$15,BJ$13)))</f>
        <v>1000000000000</v>
      </c>
      <c r="BK81" s="178">
        <f ca="1">IF(OR($D81&lt;&gt;"Serviço",AND(AUTOEVENTO="Manual",$M81=$A$15)),0,
         IF(OFFSET(CRONOPLE!$F$15,$M81-$A$15,BK$13)="",10^12,OFFSET(CRONOPLE!$F$15,$M81-$A$15,BK$13)))</f>
        <v>1000000000000</v>
      </c>
      <c r="BL81" s="178">
        <f ca="1">IF(OR($D81&lt;&gt;"Serviço",AND(AUTOEVENTO="Manual",$M81=$A$15)),0,
         IF(OFFSET(CRONOPLE!$F$15,$M81-$A$15,BL$13)="",10^12,OFFSET(CRONOPLE!$F$15,$M81-$A$15,BL$13)))</f>
        <v>1000000000000</v>
      </c>
      <c r="BM81" s="178">
        <f ca="1">IF(OR($D81&lt;&gt;"Serviço",AND(AUTOEVENTO="Manual",$M81=$A$15)),0,
         IF(OFFSET(CRONOPLE!$F$15,$M81-$A$15,BM$13)="",10^12,OFFSET(CRONOPLE!$F$15,$M81-$A$15,BM$13)))</f>
        <v>1000000000000</v>
      </c>
      <c r="BN81" s="178">
        <f ca="1">IF(OR($D81&lt;&gt;"Serviço",AND(AUTOEVENTO="Manual",$M81=$A$15)),0,
         IF(OFFSET(CRONOPLE!$F$15,$M81-$A$15,BN$13)="",10^12,OFFSET(CRONOPLE!$F$15,$M81-$A$15,BN$13)))</f>
        <v>1000000000000</v>
      </c>
      <c r="BO81" s="178">
        <f ca="1">IF(OR($D81&lt;&gt;"Serviço",AND(AUTOEVENTO="Manual",$M81=$A$15)),0,
         IF(OFFSET(CRONOPLE!$F$15,$M81-$A$15,BO$13)="",10^12,OFFSET(CRONOPLE!$F$15,$M81-$A$15,BO$13)))</f>
        <v>1000000000000</v>
      </c>
      <c r="BP81" s="178">
        <f ca="1">IF(OR($D81&lt;&gt;"Serviço",AND(AUTOEVENTO="Manual",$M81=$A$15)),0,
         IF(OFFSET(CRONOPLE!$F$15,$M81-$A$15,BP$13)="",10^12,OFFSET(CRONOPLE!$F$15,$M81-$A$15,BP$13)))</f>
        <v>1000000000000</v>
      </c>
      <c r="BQ81" s="178">
        <f ca="1">IF(OR($D81&lt;&gt;"Serviço",AND(AUTOEVENTO="Manual",$M81=$A$15)),0,
         IF(OFFSET(CRONOPLE!$F$15,$M81-$A$15,BQ$13)="",10^12,OFFSET(CRONOPLE!$F$15,$M81-$A$15,BQ$13)))</f>
        <v>15</v>
      </c>
      <c r="BR81" s="178">
        <f ca="1">IF(OR($D81&lt;&gt;"Serviço",AND(AUTOEVENTO="Manual",$M81=$A$15)),0,
         IF(OFFSET(CRONOPLE!$F$15,$M81-$A$15,BR$13)="",10^12,OFFSET(CRONOPLE!$F$15,$M81-$A$15,BR$13)))</f>
        <v>1000000000000</v>
      </c>
      <c r="BS81" s="178">
        <f ca="1">IF(OR($D81&lt;&gt;"Serviço",AND(AUTOEVENTO="Manual",$M81=$A$15)),0,
         IF(OFFSET(CRONOPLE!$F$15,$M81-$A$15,BS$13)="",10^12,OFFSET(CRONOPLE!$F$15,$M81-$A$15,BS$13)))</f>
        <v>1000000000000</v>
      </c>
      <c r="BT81" s="178">
        <f ca="1">IF(OR($D81&lt;&gt;"Serviço",AND(AUTOEVENTO="Manual",$M81=$A$15)),0,
         IF(OFFSET(CRONOPLE!$F$15,$M81-$A$15,BT$13)="",10^12,OFFSET(CRONOPLE!$F$15,$M81-$A$15,BT$13)))</f>
        <v>1000000000000</v>
      </c>
      <c r="BV81" s="179">
        <f ca="1">IF(OR($D81&lt;&gt;"Serviço",AND(AUTOEVENTO="Manual",$M81=$A$15),$M81&gt;(ROW(PLE.lastrow)-ROW(PLE.firstrow))),0,
           IF(OFFSET(PLE!$G$15,$M81-$A$15,BV$13)="",10^12,OFFSET(PLE!$G$15,$M81-$A$15,BV$13)))</f>
        <v>1000000000000</v>
      </c>
      <c r="BW81" s="179">
        <f ca="1">IF(OR($D81&lt;&gt;"Serviço",AND(AUTOEVENTO="Manual",$M81=$A$15),$M81&gt;(ROW(PLE.lastrow)-ROW(PLE.firstrow))),0,
           IF(OFFSET(PLE!$G$15,$M81-$A$15,BW$13)="",10^12,OFFSET(PLE!$G$15,$M81-$A$15,BW$13)))</f>
        <v>1000000000000</v>
      </c>
      <c r="BX81" s="179">
        <f ca="1">IF(OR($D81&lt;&gt;"Serviço",AND(AUTOEVENTO="Manual",$M81=$A$15),$M81&gt;(ROW(PLE.lastrow)-ROW(PLE.firstrow))),0,
           IF(OFFSET(PLE!$G$15,$M81-$A$15,BX$13)="",10^12,OFFSET(PLE!$G$15,$M81-$A$15,BX$13)))</f>
        <v>1000000000000</v>
      </c>
      <c r="BY81" s="179">
        <f ca="1">IF(OR($D81&lt;&gt;"Serviço",AND(AUTOEVENTO="Manual",$M81=$A$15),$M81&gt;(ROW(PLE.lastrow)-ROW(PLE.firstrow))),0,
           IF(OFFSET(PLE!$G$15,$M81-$A$15,BY$13)="",10^12,OFFSET(PLE!$G$15,$M81-$A$15,BY$13)))</f>
        <v>1000000000000</v>
      </c>
      <c r="BZ81" s="179">
        <f ca="1">IF(OR($D81&lt;&gt;"Serviço",AND(AUTOEVENTO="Manual",$M81=$A$15),$M81&gt;(ROW(PLE.lastrow)-ROW(PLE.firstrow))),0,
           IF(OFFSET(PLE!$G$15,$M81-$A$15,BZ$13)="",10^12,OFFSET(PLE!$G$15,$M81-$A$15,BZ$13)))</f>
        <v>1000000000000</v>
      </c>
      <c r="CA81" s="179">
        <f ca="1">IF(OR($D81&lt;&gt;"Serviço",AND(AUTOEVENTO="Manual",$M81=$A$15),$M81&gt;(ROW(PLE.lastrow)-ROW(PLE.firstrow))),0,
           IF(OFFSET(PLE!$G$15,$M81-$A$15,CA$13)="",10^12,OFFSET(PLE!$G$15,$M81-$A$15,CA$13)))</f>
        <v>1000000000000</v>
      </c>
      <c r="CB81" s="179">
        <f ca="1">IF(OR($D81&lt;&gt;"Serviço",AND(AUTOEVENTO="Manual",$M81=$A$15),$M81&gt;(ROW(PLE.lastrow)-ROW(PLE.firstrow))),0,
           IF(OFFSET(PLE!$G$15,$M81-$A$15,CB$13)="",10^12,OFFSET(PLE!$G$15,$M81-$A$15,CB$13)))</f>
        <v>1000000000000</v>
      </c>
      <c r="CC81" s="179">
        <f ca="1">IF(OR($D81&lt;&gt;"Serviço",AND(AUTOEVENTO="Manual",$M81=$A$15),$M81&gt;(ROW(PLE.lastrow)-ROW(PLE.firstrow))),0,
           IF(OFFSET(PLE!$G$15,$M81-$A$15,CC$13)="",10^12,OFFSET(PLE!$G$15,$M81-$A$15,CC$13)))</f>
        <v>1000000000000</v>
      </c>
      <c r="CD81" s="179">
        <f ca="1">IF(OR($D81&lt;&gt;"Serviço",AND(AUTOEVENTO="Manual",$M81=$A$15),$M81&gt;(ROW(PLE.lastrow)-ROW(PLE.firstrow))),0,
           IF(OFFSET(PLE!$G$15,$M81-$A$15,CD$13)="",10^12,OFFSET(PLE!$G$15,$M81-$A$15,CD$13)))</f>
        <v>1000000000000</v>
      </c>
      <c r="CE81" s="179">
        <f ca="1">IF(OR($D81&lt;&gt;"Serviço",AND(AUTOEVENTO="Manual",$M81=$A$15),$M81&gt;(ROW(PLE.lastrow)-ROW(PLE.firstrow))),0,
           IF(OFFSET(PLE!$G$15,$M81-$A$15,CE$13)="",10^12,OFFSET(PLE!$G$15,$M81-$A$15,CE$13)))</f>
        <v>1000000000000</v>
      </c>
      <c r="CF81" s="179">
        <f ca="1">IF(OR($D81&lt;&gt;"Serviço",AND(AUTOEVENTO="Manual",$M81=$A$15),$M81&gt;(ROW(PLE.lastrow)-ROW(PLE.firstrow))),0,
           IF(OFFSET(PLE!$G$15,$M81-$A$15,CF$13)="",10^12,OFFSET(PLE!$G$15,$M81-$A$15,CF$13)))</f>
        <v>1000000000000</v>
      </c>
      <c r="CG81" s="179">
        <f ca="1">IF(OR($D81&lt;&gt;"Serviço",AND(AUTOEVENTO="Manual",$M81=$A$15),$M81&gt;(ROW(PLE.lastrow)-ROW(PLE.firstrow))),0,
           IF(OFFSET(PLE!$G$15,$M81-$A$15,CG$13)="",10^12,OFFSET(PLE!$G$15,$M81-$A$15,CG$13)))</f>
        <v>1000000000000</v>
      </c>
      <c r="CH81" s="179">
        <f ca="1">IF(OR($D81&lt;&gt;"Serviço",AND(AUTOEVENTO="Manual",$M81=$A$15),$M81&gt;(ROW(PLE.lastrow)-ROW(PLE.firstrow))),0,
           IF(OFFSET(PLE!$G$15,$M81-$A$15,CH$13)="",10^12,OFFSET(PLE!$G$15,$M81-$A$15,CH$13)))</f>
        <v>1000000000000</v>
      </c>
      <c r="CI81" s="179">
        <f ca="1">IF(OR($D81&lt;&gt;"Serviço",AND(AUTOEVENTO="Manual",$M81=$A$15),$M81&gt;(ROW(PLE.lastrow)-ROW(PLE.firstrow))),0,
           IF(OFFSET(PLE!$G$15,$M81-$A$15,CI$13)="",10^12,OFFSET(PLE!$G$15,$M81-$A$15,CI$13)))</f>
        <v>1000000000000</v>
      </c>
      <c r="CJ81" s="179">
        <f ca="1">IF(OR($D81&lt;&gt;"Serviço",AND(AUTOEVENTO="Manual",$M81=$A$15),$M81&gt;(ROW(PLE.lastrow)-ROW(PLE.firstrow))),0,
           IF(OFFSET(PLE!$G$15,$M81-$A$15,CJ$13)="",10^12,OFFSET(PLE!$G$15,$M81-$A$15,CJ$13)))</f>
        <v>1000000000000</v>
      </c>
      <c r="CK81" s="179">
        <f ca="1">IF(OR($D81&lt;&gt;"Serviço",AND(AUTOEVENTO="Manual",$M81=$A$15),$M81&gt;(ROW(PLE.lastrow)-ROW(PLE.firstrow))),0,
           IF(OFFSET(PLE!$G$15,$M81-$A$15,CK$13)="",10^12,OFFSET(PLE!$G$15,$M81-$A$15,CK$13)))</f>
        <v>1000000000000</v>
      </c>
      <c r="CL81" s="179">
        <f ca="1">IF(OR($D81&lt;&gt;"Serviço",AND(AUTOEVENTO="Manual",$M81=$A$15),$M81&gt;(ROW(PLE.lastrow)-ROW(PLE.firstrow))),0,
           IF(OFFSET(PLE!$G$15,$M81-$A$15,CL$13)="",10^12,OFFSET(PLE!$G$15,$M81-$A$15,CL$13)))</f>
        <v>1000000000000</v>
      </c>
      <c r="CM81" s="179">
        <f ca="1">IF(OR($D81&lt;&gt;"Serviço",AND(AUTOEVENTO="Manual",$M81=$A$15),$M81&gt;(ROW(PLE.lastrow)-ROW(PLE.firstrow))),0,
           IF(OFFSET(PLE!$G$15,$M81-$A$15,CM$13)="",10^12,OFFSET(PLE!$G$15,$M81-$A$15,CM$13)))</f>
        <v>1000000000000</v>
      </c>
    </row>
    <row r="82" spans="1:91" ht="25.5" x14ac:dyDescent="0.2">
      <c r="A82" s="7" t="str">
        <f ca="1">IF(AUTOEVENTO="Manual",IF(K82&lt;&gt;"",MIN(VALUE(LEFT(K82,FIND(".",K82)-1)),COUNTA(EVENTOS.Lista)),0),IF(OR($B82&gt;AUTOEVENTO,$B82="S",$B82=0),SUBSTITUTE(OFFSET($A82,-1,0),IF($D82="Serviço",".",""),""),ROW(A82)-ROW($A$15)&amp;"."))</f>
        <v>62</v>
      </c>
      <c r="B82" s="7" t="str">
        <f ca="1">OFFSET(ORÇAMENTO!C$15,ROW(B82)-ROW(B$15),0)</f>
        <v>S</v>
      </c>
      <c r="C82" s="7" t="str">
        <f ca="1">OFFSET(ORÇAMENTO!L$15,ROW(C82)-ROW(C$15),0)</f>
        <v>F</v>
      </c>
      <c r="D82" s="118" t="str">
        <f ca="1">OFFSET(ORÇAMENTO!N$15,ROW(D82)-ROW(D$15),0)</f>
        <v>Serviço</v>
      </c>
      <c r="E82" s="119" t="str">
        <f ca="1">OFFSET(ORÇAMENTO!O$15,ROW(E82)-ROW(E$15),0)</f>
        <v>1.10.0.0.5.</v>
      </c>
      <c r="F82" s="170" t="str">
        <f ca="1">OFFSET(ORÇAMENTO!R$15,ROW(F82)-ROW(F$15),0)</f>
        <v>MUDA DE PLANTA FOLHAGEM OU SUCULENTA, TIPO ESPADA DE SÃO JORGE OU SEMELHANTE</v>
      </c>
      <c r="G82" s="171" t="str">
        <f ca="1">IF($D82&lt;&gt;"Serviço","",OFFSET(ORÇAMENTO!S$15,ROW(G82)-ROW(G$15),0))</f>
        <v>UN</v>
      </c>
      <c r="H82" s="124" cm="1">
        <f t="array" aca="1" ref="H82" ca="1">IF($D82&lt;&gt;"Serviço",0,IF(_xlfn.SINGLE(ACOMPANHAMENTO)="BM",ROUND(OFFSET(ORÇAMENTO!AJ$15,ROW(H82)-ROW(H$15),0),15-13*ORÇAMENTO!$AF$7),SUMPRODUCT(($Q$1:$AI$1)*ROUND($Q82:$AI82,15-13*ORÇAMENTO!$AF$7))))</f>
        <v>6</v>
      </c>
      <c r="I82" s="500" t="s">
        <v>1001</v>
      </c>
      <c r="J82" s="632" t="str" cm="1">
        <f t="array" aca="1" ref="J82" ca="1">IF(B82&lt;&gt;"S","",IF(AND(ACOMPANHAMENTO="PLE",AUTOEVENTO="Manual",OR(H82&gt;0,ORÇAMENTO!AC82="QUANT."),OR(K82="",M82=0,N82="")),"►",IF(AND(ACOMPANHAMENTO="PLE",ORÇAMENTO!AC82="QUANT."),"►►",IF(AND(COUNTIF($P$11:$AI$11,"▼")=0,H82&gt;0,I82=""),"◄",""))))</f>
        <v/>
      </c>
      <c r="K82" s="624"/>
      <c r="L82" s="172" t="s">
        <v>253</v>
      </c>
      <c r="M82" s="173">
        <f ca="1">IF($D82&lt;&gt;"Serviço","",
          IF(AUTOEVENTO="manual",$A82,
                IF(ISERROR(MATCH($A82,$A$15:OFFSET($A82,-1,0),0)),MAX($M$15:OFFSET(M82,-1,0))+1,
                      INDEX($M$15:OFFSET(M82,-1,0),MATCH($A82,$A$15:OFFSET($A82,-1,0),0)))))</f>
        <v>10</v>
      </c>
      <c r="N82" s="174" t="str">
        <f ca="1">IF($D82&lt;&gt;"Serviço","",
         IF(AUTOEVENTO="Manual",
                IF($A82=0,"&lt;-- defina o número do agrupador",
                       OFFSET(EVENTOS!$D$15,$A82-$A$15,0)),
                OFFSET($F$15,$A82,0)))</f>
        <v>PAISAGISMO</v>
      </c>
      <c r="O82" s="175"/>
      <c r="Q82" s="175"/>
      <c r="R82" s="176"/>
      <c r="S82" s="176"/>
      <c r="T82" s="176"/>
      <c r="U82" s="176">
        <v>6</v>
      </c>
      <c r="V82" s="176"/>
      <c r="W82" s="176"/>
      <c r="X82" s="176"/>
      <c r="Y82" s="176"/>
      <c r="Z82" s="177"/>
      <c r="AA82" s="176"/>
      <c r="AB82" s="176"/>
      <c r="AC82" s="176"/>
      <c r="AD82" s="176"/>
      <c r="AE82" s="176"/>
      <c r="AF82" s="176"/>
      <c r="AG82" s="176"/>
      <c r="AH82" s="177"/>
      <c r="AJ82" s="485">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85">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L82" s="485">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0</v>
      </c>
      <c r="AM82" s="485">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0</v>
      </c>
      <c r="AN82" s="485">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208.68</v>
      </c>
      <c r="AO82" s="485">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85">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85">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85">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85">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85">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85">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85">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85">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85">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85">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85">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85">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8">
        <f ca="1">IF(OR($D82&lt;&gt;"Serviço",AND(AUTOEVENTO="Manual",$M82=$A$15)),0,
         IF(OFFSET(CRONOPLE!$F$15,$M82-$A$15,BC$13)="",10^12,OFFSET(CRONOPLE!$F$15,$M82-$A$15,BC$13)))</f>
        <v>1</v>
      </c>
      <c r="BD82" s="178">
        <f ca="1">IF(OR($D82&lt;&gt;"Serviço",AND(AUTOEVENTO="Manual",$M82=$A$15)),0,
         IF(OFFSET(CRONOPLE!$F$15,$M82-$A$15,BD$13)="",10^12,OFFSET(CRONOPLE!$F$15,$M82-$A$15,BD$13)))</f>
        <v>2</v>
      </c>
      <c r="BE82" s="178">
        <f ca="1">IF(OR($D82&lt;&gt;"Serviço",AND(AUTOEVENTO="Manual",$M82=$A$15)),0,
         IF(OFFSET(CRONOPLE!$F$15,$M82-$A$15,BE$13)="",10^12,OFFSET(CRONOPLE!$F$15,$M82-$A$15,BE$13)))</f>
        <v>1000000000000</v>
      </c>
      <c r="BF82" s="178">
        <f ca="1">IF(OR($D82&lt;&gt;"Serviço",AND(AUTOEVENTO="Manual",$M82=$A$15)),0,
         IF(OFFSET(CRONOPLE!$F$15,$M82-$A$15,BF$13)="",10^12,OFFSET(CRONOPLE!$F$15,$M82-$A$15,BF$13)))</f>
        <v>4</v>
      </c>
      <c r="BG82" s="178">
        <f ca="1">IF(OR($D82&lt;&gt;"Serviço",AND(AUTOEVENTO="Manual",$M82=$A$15)),0,
         IF(OFFSET(CRONOPLE!$F$15,$M82-$A$15,BG$13)="",10^12,OFFSET(CRONOPLE!$F$15,$M82-$A$15,BG$13)))</f>
        <v>5</v>
      </c>
      <c r="BH82" s="178">
        <f ca="1">IF(OR($D82&lt;&gt;"Serviço",AND(AUTOEVENTO="Manual",$M82=$A$15)),0,
         IF(OFFSET(CRONOPLE!$F$15,$M82-$A$15,BH$13)="",10^12,OFFSET(CRONOPLE!$F$15,$M82-$A$15,BH$13)))</f>
        <v>6</v>
      </c>
      <c r="BI82" s="178">
        <f ca="1">IF(OR($D82&lt;&gt;"Serviço",AND(AUTOEVENTO="Manual",$M82=$A$15)),0,
         IF(OFFSET(CRONOPLE!$F$15,$M82-$A$15,BI$13)="",10^12,OFFSET(CRONOPLE!$F$15,$M82-$A$15,BI$13)))</f>
        <v>7</v>
      </c>
      <c r="BJ82" s="178">
        <f ca="1">IF(OR($D82&lt;&gt;"Serviço",AND(AUTOEVENTO="Manual",$M82=$A$15)),0,
         IF(OFFSET(CRONOPLE!$F$15,$M82-$A$15,BJ$13)="",10^12,OFFSET(CRONOPLE!$F$15,$M82-$A$15,BJ$13)))</f>
        <v>1000000000000</v>
      </c>
      <c r="BK82" s="178">
        <f ca="1">IF(OR($D82&lt;&gt;"Serviço",AND(AUTOEVENTO="Manual",$M82=$A$15)),0,
         IF(OFFSET(CRONOPLE!$F$15,$M82-$A$15,BK$13)="",10^12,OFFSET(CRONOPLE!$F$15,$M82-$A$15,BK$13)))</f>
        <v>1000000000000</v>
      </c>
      <c r="BL82" s="178">
        <f ca="1">IF(OR($D82&lt;&gt;"Serviço",AND(AUTOEVENTO="Manual",$M82=$A$15)),0,
         IF(OFFSET(CRONOPLE!$F$15,$M82-$A$15,BL$13)="",10^12,OFFSET(CRONOPLE!$F$15,$M82-$A$15,BL$13)))</f>
        <v>1000000000000</v>
      </c>
      <c r="BM82" s="178">
        <f ca="1">IF(OR($D82&lt;&gt;"Serviço",AND(AUTOEVENTO="Manual",$M82=$A$15)),0,
         IF(OFFSET(CRONOPLE!$F$15,$M82-$A$15,BM$13)="",10^12,OFFSET(CRONOPLE!$F$15,$M82-$A$15,BM$13)))</f>
        <v>1000000000000</v>
      </c>
      <c r="BN82" s="178">
        <f ca="1">IF(OR($D82&lt;&gt;"Serviço",AND(AUTOEVENTO="Manual",$M82=$A$15)),0,
         IF(OFFSET(CRONOPLE!$F$15,$M82-$A$15,BN$13)="",10^12,OFFSET(CRONOPLE!$F$15,$M82-$A$15,BN$13)))</f>
        <v>1000000000000</v>
      </c>
      <c r="BO82" s="178">
        <f ca="1">IF(OR($D82&lt;&gt;"Serviço",AND(AUTOEVENTO="Manual",$M82=$A$15)),0,
         IF(OFFSET(CRONOPLE!$F$15,$M82-$A$15,BO$13)="",10^12,OFFSET(CRONOPLE!$F$15,$M82-$A$15,BO$13)))</f>
        <v>1000000000000</v>
      </c>
      <c r="BP82" s="178">
        <f ca="1">IF(OR($D82&lt;&gt;"Serviço",AND(AUTOEVENTO="Manual",$M82=$A$15)),0,
         IF(OFFSET(CRONOPLE!$F$15,$M82-$A$15,BP$13)="",10^12,OFFSET(CRONOPLE!$F$15,$M82-$A$15,BP$13)))</f>
        <v>1000000000000</v>
      </c>
      <c r="BQ82" s="178">
        <f ca="1">IF(OR($D82&lt;&gt;"Serviço",AND(AUTOEVENTO="Manual",$M82=$A$15)),0,
         IF(OFFSET(CRONOPLE!$F$15,$M82-$A$15,BQ$13)="",10^12,OFFSET(CRONOPLE!$F$15,$M82-$A$15,BQ$13)))</f>
        <v>15</v>
      </c>
      <c r="BR82" s="178">
        <f ca="1">IF(OR($D82&lt;&gt;"Serviço",AND(AUTOEVENTO="Manual",$M82=$A$15)),0,
         IF(OFFSET(CRONOPLE!$F$15,$M82-$A$15,BR$13)="",10^12,OFFSET(CRONOPLE!$F$15,$M82-$A$15,BR$13)))</f>
        <v>1000000000000</v>
      </c>
      <c r="BS82" s="178">
        <f ca="1">IF(OR($D82&lt;&gt;"Serviço",AND(AUTOEVENTO="Manual",$M82=$A$15)),0,
         IF(OFFSET(CRONOPLE!$F$15,$M82-$A$15,BS$13)="",10^12,OFFSET(CRONOPLE!$F$15,$M82-$A$15,BS$13)))</f>
        <v>1000000000000</v>
      </c>
      <c r="BT82" s="178">
        <f ca="1">IF(OR($D82&lt;&gt;"Serviço",AND(AUTOEVENTO="Manual",$M82=$A$15)),0,
         IF(OFFSET(CRONOPLE!$F$15,$M82-$A$15,BT$13)="",10^12,OFFSET(CRONOPLE!$F$15,$M82-$A$15,BT$13)))</f>
        <v>1000000000000</v>
      </c>
      <c r="BV82" s="179">
        <f ca="1">IF(OR($D82&lt;&gt;"Serviço",AND(AUTOEVENTO="Manual",$M82=$A$15),$M82&gt;(ROW(PLE.lastrow)-ROW(PLE.firstrow))),0,
           IF(OFFSET(PLE!$G$15,$M82-$A$15,BV$13)="",10^12,OFFSET(PLE!$G$15,$M82-$A$15,BV$13)))</f>
        <v>1000000000000</v>
      </c>
      <c r="BW82" s="179">
        <f ca="1">IF(OR($D82&lt;&gt;"Serviço",AND(AUTOEVENTO="Manual",$M82=$A$15),$M82&gt;(ROW(PLE.lastrow)-ROW(PLE.firstrow))),0,
           IF(OFFSET(PLE!$G$15,$M82-$A$15,BW$13)="",10^12,OFFSET(PLE!$G$15,$M82-$A$15,BW$13)))</f>
        <v>1000000000000</v>
      </c>
      <c r="BX82" s="179">
        <f ca="1">IF(OR($D82&lt;&gt;"Serviço",AND(AUTOEVENTO="Manual",$M82=$A$15),$M82&gt;(ROW(PLE.lastrow)-ROW(PLE.firstrow))),0,
           IF(OFFSET(PLE!$G$15,$M82-$A$15,BX$13)="",10^12,OFFSET(PLE!$G$15,$M82-$A$15,BX$13)))</f>
        <v>1000000000000</v>
      </c>
      <c r="BY82" s="179">
        <f ca="1">IF(OR($D82&lt;&gt;"Serviço",AND(AUTOEVENTO="Manual",$M82=$A$15),$M82&gt;(ROW(PLE.lastrow)-ROW(PLE.firstrow))),0,
           IF(OFFSET(PLE!$G$15,$M82-$A$15,BY$13)="",10^12,OFFSET(PLE!$G$15,$M82-$A$15,BY$13)))</f>
        <v>1000000000000</v>
      </c>
      <c r="BZ82" s="179">
        <f ca="1">IF(OR($D82&lt;&gt;"Serviço",AND(AUTOEVENTO="Manual",$M82=$A$15),$M82&gt;(ROW(PLE.lastrow)-ROW(PLE.firstrow))),0,
           IF(OFFSET(PLE!$G$15,$M82-$A$15,BZ$13)="",10^12,OFFSET(PLE!$G$15,$M82-$A$15,BZ$13)))</f>
        <v>1000000000000</v>
      </c>
      <c r="CA82" s="179">
        <f ca="1">IF(OR($D82&lt;&gt;"Serviço",AND(AUTOEVENTO="Manual",$M82=$A$15),$M82&gt;(ROW(PLE.lastrow)-ROW(PLE.firstrow))),0,
           IF(OFFSET(PLE!$G$15,$M82-$A$15,CA$13)="",10^12,OFFSET(PLE!$G$15,$M82-$A$15,CA$13)))</f>
        <v>1000000000000</v>
      </c>
      <c r="CB82" s="179">
        <f ca="1">IF(OR($D82&lt;&gt;"Serviço",AND(AUTOEVENTO="Manual",$M82=$A$15),$M82&gt;(ROW(PLE.lastrow)-ROW(PLE.firstrow))),0,
           IF(OFFSET(PLE!$G$15,$M82-$A$15,CB$13)="",10^12,OFFSET(PLE!$G$15,$M82-$A$15,CB$13)))</f>
        <v>1000000000000</v>
      </c>
      <c r="CC82" s="179">
        <f ca="1">IF(OR($D82&lt;&gt;"Serviço",AND(AUTOEVENTO="Manual",$M82=$A$15),$M82&gt;(ROW(PLE.lastrow)-ROW(PLE.firstrow))),0,
           IF(OFFSET(PLE!$G$15,$M82-$A$15,CC$13)="",10^12,OFFSET(PLE!$G$15,$M82-$A$15,CC$13)))</f>
        <v>1000000000000</v>
      </c>
      <c r="CD82" s="179">
        <f ca="1">IF(OR($D82&lt;&gt;"Serviço",AND(AUTOEVENTO="Manual",$M82=$A$15),$M82&gt;(ROW(PLE.lastrow)-ROW(PLE.firstrow))),0,
           IF(OFFSET(PLE!$G$15,$M82-$A$15,CD$13)="",10^12,OFFSET(PLE!$G$15,$M82-$A$15,CD$13)))</f>
        <v>1000000000000</v>
      </c>
      <c r="CE82" s="179">
        <f ca="1">IF(OR($D82&lt;&gt;"Serviço",AND(AUTOEVENTO="Manual",$M82=$A$15),$M82&gt;(ROW(PLE.lastrow)-ROW(PLE.firstrow))),0,
           IF(OFFSET(PLE!$G$15,$M82-$A$15,CE$13)="",10^12,OFFSET(PLE!$G$15,$M82-$A$15,CE$13)))</f>
        <v>1000000000000</v>
      </c>
      <c r="CF82" s="179">
        <f ca="1">IF(OR($D82&lt;&gt;"Serviço",AND(AUTOEVENTO="Manual",$M82=$A$15),$M82&gt;(ROW(PLE.lastrow)-ROW(PLE.firstrow))),0,
           IF(OFFSET(PLE!$G$15,$M82-$A$15,CF$13)="",10^12,OFFSET(PLE!$G$15,$M82-$A$15,CF$13)))</f>
        <v>1000000000000</v>
      </c>
      <c r="CG82" s="179">
        <f ca="1">IF(OR($D82&lt;&gt;"Serviço",AND(AUTOEVENTO="Manual",$M82=$A$15),$M82&gt;(ROW(PLE.lastrow)-ROW(PLE.firstrow))),0,
           IF(OFFSET(PLE!$G$15,$M82-$A$15,CG$13)="",10^12,OFFSET(PLE!$G$15,$M82-$A$15,CG$13)))</f>
        <v>1000000000000</v>
      </c>
      <c r="CH82" s="179">
        <f ca="1">IF(OR($D82&lt;&gt;"Serviço",AND(AUTOEVENTO="Manual",$M82=$A$15),$M82&gt;(ROW(PLE.lastrow)-ROW(PLE.firstrow))),0,
           IF(OFFSET(PLE!$G$15,$M82-$A$15,CH$13)="",10^12,OFFSET(PLE!$G$15,$M82-$A$15,CH$13)))</f>
        <v>1000000000000</v>
      </c>
      <c r="CI82" s="179">
        <f ca="1">IF(OR($D82&lt;&gt;"Serviço",AND(AUTOEVENTO="Manual",$M82=$A$15),$M82&gt;(ROW(PLE.lastrow)-ROW(PLE.firstrow))),0,
           IF(OFFSET(PLE!$G$15,$M82-$A$15,CI$13)="",10^12,OFFSET(PLE!$G$15,$M82-$A$15,CI$13)))</f>
        <v>1000000000000</v>
      </c>
      <c r="CJ82" s="179">
        <f ca="1">IF(OR($D82&lt;&gt;"Serviço",AND(AUTOEVENTO="Manual",$M82=$A$15),$M82&gt;(ROW(PLE.lastrow)-ROW(PLE.firstrow))),0,
           IF(OFFSET(PLE!$G$15,$M82-$A$15,CJ$13)="",10^12,OFFSET(PLE!$G$15,$M82-$A$15,CJ$13)))</f>
        <v>1000000000000</v>
      </c>
      <c r="CK82" s="179">
        <f ca="1">IF(OR($D82&lt;&gt;"Serviço",AND(AUTOEVENTO="Manual",$M82=$A$15),$M82&gt;(ROW(PLE.lastrow)-ROW(PLE.firstrow))),0,
           IF(OFFSET(PLE!$G$15,$M82-$A$15,CK$13)="",10^12,OFFSET(PLE!$G$15,$M82-$A$15,CK$13)))</f>
        <v>1000000000000</v>
      </c>
      <c r="CL82" s="179">
        <f ca="1">IF(OR($D82&lt;&gt;"Serviço",AND(AUTOEVENTO="Manual",$M82=$A$15),$M82&gt;(ROW(PLE.lastrow)-ROW(PLE.firstrow))),0,
           IF(OFFSET(PLE!$G$15,$M82-$A$15,CL$13)="",10^12,OFFSET(PLE!$G$15,$M82-$A$15,CL$13)))</f>
        <v>1000000000000</v>
      </c>
      <c r="CM82" s="179">
        <f ca="1">IF(OR($D82&lt;&gt;"Serviço",AND(AUTOEVENTO="Manual",$M82=$A$15),$M82&gt;(ROW(PLE.lastrow)-ROW(PLE.firstrow))),0,
           IF(OFFSET(PLE!$G$15,$M82-$A$15,CM$13)="",10^12,OFFSET(PLE!$G$15,$M82-$A$15,CM$13)))</f>
        <v>1000000000000</v>
      </c>
    </row>
    <row r="83" spans="1:91" ht="12.75" x14ac:dyDescent="0.2">
      <c r="A83" s="7" t="str">
        <f ca="1">IF(AUTOEVENTO="Manual",IF(K83&lt;&gt;"",MIN(VALUE(LEFT(K83,FIND(".",K83)-1)),COUNTA(EVENTOS.Lista)),0),IF(OR($B83&gt;AUTOEVENTO,$B83="S",$B83=0),SUBSTITUTE(OFFSET($A83,-1,0),IF($D83="Serviço",".",""),""),ROW(A83)-ROW($A$15)&amp;"."))</f>
        <v>68.</v>
      </c>
      <c r="B83" s="7">
        <f ca="1">OFFSET(ORÇAMENTO!C$15,ROW(B83)-ROW(B$15),0)</f>
        <v>2</v>
      </c>
      <c r="C83" s="7" t="str">
        <f ca="1">OFFSET(ORÇAMENTO!L$15,ROW(C83)-ROW(C$15),0)</f>
        <v>F</v>
      </c>
      <c r="D83" s="118" t="str">
        <f ca="1">OFFSET(ORÇAMENTO!N$15,ROW(D83)-ROW(D$15),0)</f>
        <v>Nível 2</v>
      </c>
      <c r="E83" s="119" t="str">
        <f ca="1">OFFSET(ORÇAMENTO!O$15,ROW(E83)-ROW(E$15),0)</f>
        <v>1.11.</v>
      </c>
      <c r="F83" s="170" t="str">
        <f ca="1">OFFSET(ORÇAMENTO!R$15,ROW(F83)-ROW(F$15),0)</f>
        <v>ACESSIBILIDADE</v>
      </c>
      <c r="G83" s="171" t="str">
        <f ca="1">IF($D83&lt;&gt;"Serviço","",OFFSET(ORÇAMENTO!S$15,ROW(G83)-ROW(G$15),0))</f>
        <v/>
      </c>
      <c r="H83" s="124" cm="1">
        <f t="array" aca="1" ref="H83" ca="1">IF($D83&lt;&gt;"Serviço",0,IF(_xlfn.SINGLE(ACOMPANHAMENTO)="BM",ROUND(OFFSET(ORÇAMENTO!AJ$15,ROW(H83)-ROW(H$15),0),15-13*ORÇAMENTO!$AF$7),SUMPRODUCT(($Q$1:$AI$1)*ROUND($Q83:$AI83,15-13*ORÇAMENTO!$AF$7))))</f>
        <v>0</v>
      </c>
      <c r="I83" s="500"/>
      <c r="J83" s="632" t="str" cm="1">
        <f t="array" aca="1" ref="J83" ca="1">IF(B83&lt;&gt;"S","",IF(AND(ACOMPANHAMENTO="PLE",AUTOEVENTO="Manual",OR(H83&gt;0,ORÇAMENTO!AC83="QUANT."),OR(K83="",M83=0,N83="")),"►",IF(AND(ACOMPANHAMENTO="PLE",ORÇAMENTO!AC83="QUANT."),"►►",IF(AND(COUNTIF($P$11:$AI$11,"▼")=0,H83&gt;0,I83=""),"◄",""))))</f>
        <v/>
      </c>
      <c r="K83" s="624"/>
      <c r="L83" s="172" t="s">
        <v>253</v>
      </c>
      <c r="M83" s="173" t="str">
        <f ca="1">IF($D83&lt;&gt;"Serviço","",
          IF(AUTOEVENTO="manual",$A83,
                IF(ISERROR(MATCH($A83,$A$15:OFFSET($A83,-1,0),0)),MAX($M$15:OFFSET(M83,-1,0))+1,
                      INDEX($M$15:OFFSET(M83,-1,0),MATCH($A83,$A$15:OFFSET($A83,-1,0),0)))))</f>
        <v/>
      </c>
      <c r="N83" s="174" t="str">
        <f ca="1">IF($D83&lt;&gt;"Serviço","",
         IF(AUTOEVENTO="Manual",
                IF($A83=0,"&lt;-- defina o número do agrupador",
                       OFFSET(EVENTOS!$D$15,$A83-$A$15,0)),
                OFFSET($F$15,$A83,0)))</f>
        <v/>
      </c>
      <c r="O83" s="175"/>
      <c r="Q83" s="175"/>
      <c r="R83" s="176"/>
      <c r="S83" s="176"/>
      <c r="T83" s="176"/>
      <c r="U83" s="176"/>
      <c r="V83" s="176"/>
      <c r="W83" s="176"/>
      <c r="X83" s="176"/>
      <c r="Y83" s="176"/>
      <c r="Z83" s="177"/>
      <c r="AA83" s="176"/>
      <c r="AB83" s="176"/>
      <c r="AC83" s="176"/>
      <c r="AD83" s="176"/>
      <c r="AE83" s="176"/>
      <c r="AF83" s="176"/>
      <c r="AG83" s="176"/>
      <c r="AH83" s="177"/>
      <c r="AJ83" s="485">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85">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L83" s="485">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0</v>
      </c>
      <c r="AM83" s="485">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0</v>
      </c>
      <c r="AN83" s="485">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85">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85">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85">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85">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85">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85">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85">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85">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85">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85">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85">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85">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85">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8">
        <f ca="1">IF(OR($D83&lt;&gt;"Serviço",AND(AUTOEVENTO="Manual",$M83=$A$15)),0,
         IF(OFFSET(CRONOPLE!$F$15,$M83-$A$15,BC$13)="",10^12,OFFSET(CRONOPLE!$F$15,$M83-$A$15,BC$13)))</f>
        <v>0</v>
      </c>
      <c r="BD83" s="178">
        <f ca="1">IF(OR($D83&lt;&gt;"Serviço",AND(AUTOEVENTO="Manual",$M83=$A$15)),0,
         IF(OFFSET(CRONOPLE!$F$15,$M83-$A$15,BD$13)="",10^12,OFFSET(CRONOPLE!$F$15,$M83-$A$15,BD$13)))</f>
        <v>0</v>
      </c>
      <c r="BE83" s="178">
        <f ca="1">IF(OR($D83&lt;&gt;"Serviço",AND(AUTOEVENTO="Manual",$M83=$A$15)),0,
         IF(OFFSET(CRONOPLE!$F$15,$M83-$A$15,BE$13)="",10^12,OFFSET(CRONOPLE!$F$15,$M83-$A$15,BE$13)))</f>
        <v>0</v>
      </c>
      <c r="BF83" s="178">
        <f ca="1">IF(OR($D83&lt;&gt;"Serviço",AND(AUTOEVENTO="Manual",$M83=$A$15)),0,
         IF(OFFSET(CRONOPLE!$F$15,$M83-$A$15,BF$13)="",10^12,OFFSET(CRONOPLE!$F$15,$M83-$A$15,BF$13)))</f>
        <v>0</v>
      </c>
      <c r="BG83" s="178">
        <f ca="1">IF(OR($D83&lt;&gt;"Serviço",AND(AUTOEVENTO="Manual",$M83=$A$15)),0,
         IF(OFFSET(CRONOPLE!$F$15,$M83-$A$15,BG$13)="",10^12,OFFSET(CRONOPLE!$F$15,$M83-$A$15,BG$13)))</f>
        <v>0</v>
      </c>
      <c r="BH83" s="178">
        <f ca="1">IF(OR($D83&lt;&gt;"Serviço",AND(AUTOEVENTO="Manual",$M83=$A$15)),0,
         IF(OFFSET(CRONOPLE!$F$15,$M83-$A$15,BH$13)="",10^12,OFFSET(CRONOPLE!$F$15,$M83-$A$15,BH$13)))</f>
        <v>0</v>
      </c>
      <c r="BI83" s="178">
        <f ca="1">IF(OR($D83&lt;&gt;"Serviço",AND(AUTOEVENTO="Manual",$M83=$A$15)),0,
         IF(OFFSET(CRONOPLE!$F$15,$M83-$A$15,BI$13)="",10^12,OFFSET(CRONOPLE!$F$15,$M83-$A$15,BI$13)))</f>
        <v>0</v>
      </c>
      <c r="BJ83" s="178">
        <f ca="1">IF(OR($D83&lt;&gt;"Serviço",AND(AUTOEVENTO="Manual",$M83=$A$15)),0,
         IF(OFFSET(CRONOPLE!$F$15,$M83-$A$15,BJ$13)="",10^12,OFFSET(CRONOPLE!$F$15,$M83-$A$15,BJ$13)))</f>
        <v>0</v>
      </c>
      <c r="BK83" s="178">
        <f ca="1">IF(OR($D83&lt;&gt;"Serviço",AND(AUTOEVENTO="Manual",$M83=$A$15)),0,
         IF(OFFSET(CRONOPLE!$F$15,$M83-$A$15,BK$13)="",10^12,OFFSET(CRONOPLE!$F$15,$M83-$A$15,BK$13)))</f>
        <v>0</v>
      </c>
      <c r="BL83" s="178">
        <f ca="1">IF(OR($D83&lt;&gt;"Serviço",AND(AUTOEVENTO="Manual",$M83=$A$15)),0,
         IF(OFFSET(CRONOPLE!$F$15,$M83-$A$15,BL$13)="",10^12,OFFSET(CRONOPLE!$F$15,$M83-$A$15,BL$13)))</f>
        <v>0</v>
      </c>
      <c r="BM83" s="178">
        <f ca="1">IF(OR($D83&lt;&gt;"Serviço",AND(AUTOEVENTO="Manual",$M83=$A$15)),0,
         IF(OFFSET(CRONOPLE!$F$15,$M83-$A$15,BM$13)="",10^12,OFFSET(CRONOPLE!$F$15,$M83-$A$15,BM$13)))</f>
        <v>0</v>
      </c>
      <c r="BN83" s="178">
        <f ca="1">IF(OR($D83&lt;&gt;"Serviço",AND(AUTOEVENTO="Manual",$M83=$A$15)),0,
         IF(OFFSET(CRONOPLE!$F$15,$M83-$A$15,BN$13)="",10^12,OFFSET(CRONOPLE!$F$15,$M83-$A$15,BN$13)))</f>
        <v>0</v>
      </c>
      <c r="BO83" s="178">
        <f ca="1">IF(OR($D83&lt;&gt;"Serviço",AND(AUTOEVENTO="Manual",$M83=$A$15)),0,
         IF(OFFSET(CRONOPLE!$F$15,$M83-$A$15,BO$13)="",10^12,OFFSET(CRONOPLE!$F$15,$M83-$A$15,BO$13)))</f>
        <v>0</v>
      </c>
      <c r="BP83" s="178">
        <f ca="1">IF(OR($D83&lt;&gt;"Serviço",AND(AUTOEVENTO="Manual",$M83=$A$15)),0,
         IF(OFFSET(CRONOPLE!$F$15,$M83-$A$15,BP$13)="",10^12,OFFSET(CRONOPLE!$F$15,$M83-$A$15,BP$13)))</f>
        <v>0</v>
      </c>
      <c r="BQ83" s="178">
        <f ca="1">IF(OR($D83&lt;&gt;"Serviço",AND(AUTOEVENTO="Manual",$M83=$A$15)),0,
         IF(OFFSET(CRONOPLE!$F$15,$M83-$A$15,BQ$13)="",10^12,OFFSET(CRONOPLE!$F$15,$M83-$A$15,BQ$13)))</f>
        <v>0</v>
      </c>
      <c r="BR83" s="178">
        <f ca="1">IF(OR($D83&lt;&gt;"Serviço",AND(AUTOEVENTO="Manual",$M83=$A$15)),0,
         IF(OFFSET(CRONOPLE!$F$15,$M83-$A$15,BR$13)="",10^12,OFFSET(CRONOPLE!$F$15,$M83-$A$15,BR$13)))</f>
        <v>0</v>
      </c>
      <c r="BS83" s="178">
        <f ca="1">IF(OR($D83&lt;&gt;"Serviço",AND(AUTOEVENTO="Manual",$M83=$A$15)),0,
         IF(OFFSET(CRONOPLE!$F$15,$M83-$A$15,BS$13)="",10^12,OFFSET(CRONOPLE!$F$15,$M83-$A$15,BS$13)))</f>
        <v>0</v>
      </c>
      <c r="BT83" s="178">
        <f ca="1">IF(OR($D83&lt;&gt;"Serviço",AND(AUTOEVENTO="Manual",$M83=$A$15)),0,
         IF(OFFSET(CRONOPLE!$F$15,$M83-$A$15,BT$13)="",10^12,OFFSET(CRONOPLE!$F$15,$M83-$A$15,BT$13)))</f>
        <v>0</v>
      </c>
      <c r="BV83" s="179">
        <f ca="1">IF(OR($D83&lt;&gt;"Serviço",AND(AUTOEVENTO="Manual",$M83=$A$15),$M83&gt;(ROW(PLE.lastrow)-ROW(PLE.firstrow))),0,
           IF(OFFSET(PLE!$G$15,$M83-$A$15,BV$13)="",10^12,OFFSET(PLE!$G$15,$M83-$A$15,BV$13)))</f>
        <v>0</v>
      </c>
      <c r="BW83" s="179">
        <f ca="1">IF(OR($D83&lt;&gt;"Serviço",AND(AUTOEVENTO="Manual",$M83=$A$15),$M83&gt;(ROW(PLE.lastrow)-ROW(PLE.firstrow))),0,
           IF(OFFSET(PLE!$G$15,$M83-$A$15,BW$13)="",10^12,OFFSET(PLE!$G$15,$M83-$A$15,BW$13)))</f>
        <v>0</v>
      </c>
      <c r="BX83" s="179">
        <f ca="1">IF(OR($D83&lt;&gt;"Serviço",AND(AUTOEVENTO="Manual",$M83=$A$15),$M83&gt;(ROW(PLE.lastrow)-ROW(PLE.firstrow))),0,
           IF(OFFSET(PLE!$G$15,$M83-$A$15,BX$13)="",10^12,OFFSET(PLE!$G$15,$M83-$A$15,BX$13)))</f>
        <v>0</v>
      </c>
      <c r="BY83" s="179">
        <f ca="1">IF(OR($D83&lt;&gt;"Serviço",AND(AUTOEVENTO="Manual",$M83=$A$15),$M83&gt;(ROW(PLE.lastrow)-ROW(PLE.firstrow))),0,
           IF(OFFSET(PLE!$G$15,$M83-$A$15,BY$13)="",10^12,OFFSET(PLE!$G$15,$M83-$A$15,BY$13)))</f>
        <v>0</v>
      </c>
      <c r="BZ83" s="179">
        <f ca="1">IF(OR($D83&lt;&gt;"Serviço",AND(AUTOEVENTO="Manual",$M83=$A$15),$M83&gt;(ROW(PLE.lastrow)-ROW(PLE.firstrow))),0,
           IF(OFFSET(PLE!$G$15,$M83-$A$15,BZ$13)="",10^12,OFFSET(PLE!$G$15,$M83-$A$15,BZ$13)))</f>
        <v>0</v>
      </c>
      <c r="CA83" s="179">
        <f ca="1">IF(OR($D83&lt;&gt;"Serviço",AND(AUTOEVENTO="Manual",$M83=$A$15),$M83&gt;(ROW(PLE.lastrow)-ROW(PLE.firstrow))),0,
           IF(OFFSET(PLE!$G$15,$M83-$A$15,CA$13)="",10^12,OFFSET(PLE!$G$15,$M83-$A$15,CA$13)))</f>
        <v>0</v>
      </c>
      <c r="CB83" s="179">
        <f ca="1">IF(OR($D83&lt;&gt;"Serviço",AND(AUTOEVENTO="Manual",$M83=$A$15),$M83&gt;(ROW(PLE.lastrow)-ROW(PLE.firstrow))),0,
           IF(OFFSET(PLE!$G$15,$M83-$A$15,CB$13)="",10^12,OFFSET(PLE!$G$15,$M83-$A$15,CB$13)))</f>
        <v>0</v>
      </c>
      <c r="CC83" s="179">
        <f ca="1">IF(OR($D83&lt;&gt;"Serviço",AND(AUTOEVENTO="Manual",$M83=$A$15),$M83&gt;(ROW(PLE.lastrow)-ROW(PLE.firstrow))),0,
           IF(OFFSET(PLE!$G$15,$M83-$A$15,CC$13)="",10^12,OFFSET(PLE!$G$15,$M83-$A$15,CC$13)))</f>
        <v>0</v>
      </c>
      <c r="CD83" s="179">
        <f ca="1">IF(OR($D83&lt;&gt;"Serviço",AND(AUTOEVENTO="Manual",$M83=$A$15),$M83&gt;(ROW(PLE.lastrow)-ROW(PLE.firstrow))),0,
           IF(OFFSET(PLE!$G$15,$M83-$A$15,CD$13)="",10^12,OFFSET(PLE!$G$15,$M83-$A$15,CD$13)))</f>
        <v>0</v>
      </c>
      <c r="CE83" s="179">
        <f ca="1">IF(OR($D83&lt;&gt;"Serviço",AND(AUTOEVENTO="Manual",$M83=$A$15),$M83&gt;(ROW(PLE.lastrow)-ROW(PLE.firstrow))),0,
           IF(OFFSET(PLE!$G$15,$M83-$A$15,CE$13)="",10^12,OFFSET(PLE!$G$15,$M83-$A$15,CE$13)))</f>
        <v>0</v>
      </c>
      <c r="CF83" s="179">
        <f ca="1">IF(OR($D83&lt;&gt;"Serviço",AND(AUTOEVENTO="Manual",$M83=$A$15),$M83&gt;(ROW(PLE.lastrow)-ROW(PLE.firstrow))),0,
           IF(OFFSET(PLE!$G$15,$M83-$A$15,CF$13)="",10^12,OFFSET(PLE!$G$15,$M83-$A$15,CF$13)))</f>
        <v>0</v>
      </c>
      <c r="CG83" s="179">
        <f ca="1">IF(OR($D83&lt;&gt;"Serviço",AND(AUTOEVENTO="Manual",$M83=$A$15),$M83&gt;(ROW(PLE.lastrow)-ROW(PLE.firstrow))),0,
           IF(OFFSET(PLE!$G$15,$M83-$A$15,CG$13)="",10^12,OFFSET(PLE!$G$15,$M83-$A$15,CG$13)))</f>
        <v>0</v>
      </c>
      <c r="CH83" s="179">
        <f ca="1">IF(OR($D83&lt;&gt;"Serviço",AND(AUTOEVENTO="Manual",$M83=$A$15),$M83&gt;(ROW(PLE.lastrow)-ROW(PLE.firstrow))),0,
           IF(OFFSET(PLE!$G$15,$M83-$A$15,CH$13)="",10^12,OFFSET(PLE!$G$15,$M83-$A$15,CH$13)))</f>
        <v>0</v>
      </c>
      <c r="CI83" s="179">
        <f ca="1">IF(OR($D83&lt;&gt;"Serviço",AND(AUTOEVENTO="Manual",$M83=$A$15),$M83&gt;(ROW(PLE.lastrow)-ROW(PLE.firstrow))),0,
           IF(OFFSET(PLE!$G$15,$M83-$A$15,CI$13)="",10^12,OFFSET(PLE!$G$15,$M83-$A$15,CI$13)))</f>
        <v>0</v>
      </c>
      <c r="CJ83" s="179">
        <f ca="1">IF(OR($D83&lt;&gt;"Serviço",AND(AUTOEVENTO="Manual",$M83=$A$15),$M83&gt;(ROW(PLE.lastrow)-ROW(PLE.firstrow))),0,
           IF(OFFSET(PLE!$G$15,$M83-$A$15,CJ$13)="",10^12,OFFSET(PLE!$G$15,$M83-$A$15,CJ$13)))</f>
        <v>0</v>
      </c>
      <c r="CK83" s="179">
        <f ca="1">IF(OR($D83&lt;&gt;"Serviço",AND(AUTOEVENTO="Manual",$M83=$A$15),$M83&gt;(ROW(PLE.lastrow)-ROW(PLE.firstrow))),0,
           IF(OFFSET(PLE!$G$15,$M83-$A$15,CK$13)="",10^12,OFFSET(PLE!$G$15,$M83-$A$15,CK$13)))</f>
        <v>0</v>
      </c>
      <c r="CL83" s="179">
        <f ca="1">IF(OR($D83&lt;&gt;"Serviço",AND(AUTOEVENTO="Manual",$M83=$A$15),$M83&gt;(ROW(PLE.lastrow)-ROW(PLE.firstrow))),0,
           IF(OFFSET(PLE!$G$15,$M83-$A$15,CL$13)="",10^12,OFFSET(PLE!$G$15,$M83-$A$15,CL$13)))</f>
        <v>0</v>
      </c>
      <c r="CM83" s="179">
        <f ca="1">IF(OR($D83&lt;&gt;"Serviço",AND(AUTOEVENTO="Manual",$M83=$A$15),$M83&gt;(ROW(PLE.lastrow)-ROW(PLE.firstrow))),0,
           IF(OFFSET(PLE!$G$15,$M83-$A$15,CM$13)="",10^12,OFFSET(PLE!$G$15,$M83-$A$15,CM$13)))</f>
        <v>0</v>
      </c>
    </row>
    <row r="84" spans="1:91" ht="25.5" x14ac:dyDescent="0.2">
      <c r="A84" s="7" t="str">
        <f ca="1">IF(AUTOEVENTO="Manual",IF(K84&lt;&gt;"",MIN(VALUE(LEFT(K84,FIND(".",K84)-1)),COUNTA(EVENTOS.Lista)),0),IF(OR($B84&gt;AUTOEVENTO,$B84="S",$B84=0),SUBSTITUTE(OFFSET($A84,-1,0),IF($D84="Serviço",".",""),""),ROW(A84)-ROW($A$15)&amp;"."))</f>
        <v>68</v>
      </c>
      <c r="B84" s="7" t="str">
        <f ca="1">OFFSET(ORÇAMENTO!C$15,ROW(B84)-ROW(B$15),0)</f>
        <v>S</v>
      </c>
      <c r="C84" s="7" t="str">
        <f ca="1">OFFSET(ORÇAMENTO!L$15,ROW(C84)-ROW(C$15),0)</f>
        <v>F</v>
      </c>
      <c r="D84" s="118" t="str">
        <f ca="1">OFFSET(ORÇAMENTO!N$15,ROW(D84)-ROW(D$15),0)</f>
        <v>Serviço</v>
      </c>
      <c r="E84" s="119" t="str">
        <f ca="1">OFFSET(ORÇAMENTO!O$15,ROW(E84)-ROW(E$15),0)</f>
        <v>1.11.0.0.1.</v>
      </c>
      <c r="F84" s="170" t="str">
        <f ca="1">OFFSET(ORÇAMENTO!R$15,ROW(F84)-ROW(F$15),0)</f>
        <v>PISO PODOTÁTIL DE ALERTA, DE CONCRETO, ASSENTADO SOBRE ARGAMASSA. AF_03/2024</v>
      </c>
      <c r="G84" s="171" t="str">
        <f ca="1">IF($D84&lt;&gt;"Serviço","",OFFSET(ORÇAMENTO!S$15,ROW(G84)-ROW(G$15),0))</f>
        <v>M2</v>
      </c>
      <c r="H84" s="124" cm="1">
        <f t="array" aca="1" ref="H84" ca="1">IF($D84&lt;&gt;"Serviço",0,IF(_xlfn.SINGLE(ACOMPANHAMENTO)="BM",ROUND(OFFSET(ORÇAMENTO!AJ$15,ROW(H84)-ROW(H$15),0),15-13*ORÇAMENTO!$AF$7),SUMPRODUCT(($Q$1:$AI$1)*ROUND($Q84:$AI84,15-13*ORÇAMENTO!$AF$7))))</f>
        <v>51.07</v>
      </c>
      <c r="I84" s="500" t="s">
        <v>1004</v>
      </c>
      <c r="J84" s="632" t="str" cm="1">
        <f t="array" aca="1" ref="J84" ca="1">IF(B84&lt;&gt;"S","",IF(AND(ACOMPANHAMENTO="PLE",AUTOEVENTO="Manual",OR(H84&gt;0,ORÇAMENTO!AC84="QUANT."),OR(K84="",M84=0,N84="")),"►",IF(AND(ACOMPANHAMENTO="PLE",ORÇAMENTO!AC84="QUANT."),"►►",IF(AND(COUNTIF($P$11:$AI$11,"▼")=0,H84&gt;0,I84=""),"◄",""))))</f>
        <v/>
      </c>
      <c r="K84" s="624"/>
      <c r="L84" s="172" t="s">
        <v>253</v>
      </c>
      <c r="M84" s="173">
        <f ca="1">IF($D84&lt;&gt;"Serviço","",
          IF(AUTOEVENTO="manual",$A84,
                IF(ISERROR(MATCH($A84,$A$15:OFFSET($A84,-1,0),0)),MAX($M$15:OFFSET(M84,-1,0))+1,
                      INDEX($M$15:OFFSET(M84,-1,0),MATCH($A84,$A$15:OFFSET($A84,-1,0),0)))))</f>
        <v>11</v>
      </c>
      <c r="N84" s="174" t="str">
        <f ca="1">IF($D84&lt;&gt;"Serviço","",
         IF(AUTOEVENTO="Manual",
                IF($A84=0,"&lt;-- defina o número do agrupador",
                       OFFSET(EVENTOS!$D$15,$A84-$A$15,0)),
                OFFSET($F$15,$A84,0)))</f>
        <v>ACESSIBILIDADE</v>
      </c>
      <c r="O84" s="175"/>
      <c r="Q84" s="175"/>
      <c r="R84" s="176"/>
      <c r="S84" s="176"/>
      <c r="T84" s="176"/>
      <c r="U84" s="176">
        <v>51.07</v>
      </c>
      <c r="V84" s="176"/>
      <c r="W84" s="176"/>
      <c r="X84" s="176"/>
      <c r="Y84" s="176"/>
      <c r="Z84" s="177"/>
      <c r="AA84" s="176"/>
      <c r="AB84" s="176"/>
      <c r="AC84" s="176"/>
      <c r="AD84" s="176"/>
      <c r="AE84" s="176"/>
      <c r="AF84" s="176"/>
      <c r="AG84" s="176"/>
      <c r="AH84" s="177"/>
      <c r="AJ84" s="485">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85">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85">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85">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0</v>
      </c>
      <c r="AN84" s="485">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9446.93</v>
      </c>
      <c r="AO84" s="485">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85">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85">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85">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85">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85">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85">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85">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85">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85">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85">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85">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85">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8">
        <f ca="1">IF(OR($D84&lt;&gt;"Serviço",AND(AUTOEVENTO="Manual",$M84=$A$15)),0,
         IF(OFFSET(CRONOPLE!$F$15,$M84-$A$15,BC$13)="",10^12,OFFSET(CRONOPLE!$F$15,$M84-$A$15,BC$13)))</f>
        <v>1</v>
      </c>
      <c r="BD84" s="178">
        <f ca="1">IF(OR($D84&lt;&gt;"Serviço",AND(AUTOEVENTO="Manual",$M84=$A$15)),0,
         IF(OFFSET(CRONOPLE!$F$15,$M84-$A$15,BD$13)="",10^12,OFFSET(CRONOPLE!$F$15,$M84-$A$15,BD$13)))</f>
        <v>2</v>
      </c>
      <c r="BE84" s="178">
        <f ca="1">IF(OR($D84&lt;&gt;"Serviço",AND(AUTOEVENTO="Manual",$M84=$A$15)),0,
         IF(OFFSET(CRONOPLE!$F$15,$M84-$A$15,BE$13)="",10^12,OFFSET(CRONOPLE!$F$15,$M84-$A$15,BE$13)))</f>
        <v>1000000000000</v>
      </c>
      <c r="BF84" s="178">
        <f ca="1">IF(OR($D84&lt;&gt;"Serviço",AND(AUTOEVENTO="Manual",$M84=$A$15)),0,
         IF(OFFSET(CRONOPLE!$F$15,$M84-$A$15,BF$13)="",10^12,OFFSET(CRONOPLE!$F$15,$M84-$A$15,BF$13)))</f>
        <v>1000000000000</v>
      </c>
      <c r="BG84" s="178">
        <f ca="1">IF(OR($D84&lt;&gt;"Serviço",AND(AUTOEVENTO="Manual",$M84=$A$15)),0,
         IF(OFFSET(CRONOPLE!$F$15,$M84-$A$15,BG$13)="",10^12,OFFSET(CRONOPLE!$F$15,$M84-$A$15,BG$13)))</f>
        <v>5</v>
      </c>
      <c r="BH84" s="178">
        <f ca="1">IF(OR($D84&lt;&gt;"Serviço",AND(AUTOEVENTO="Manual",$M84=$A$15)),0,
         IF(OFFSET(CRONOPLE!$F$15,$M84-$A$15,BH$13)="",10^12,OFFSET(CRONOPLE!$F$15,$M84-$A$15,BH$13)))</f>
        <v>6</v>
      </c>
      <c r="BI84" s="178">
        <f ca="1">IF(OR($D84&lt;&gt;"Serviço",AND(AUTOEVENTO="Manual",$M84=$A$15)),0,
         IF(OFFSET(CRONOPLE!$F$15,$M84-$A$15,BI$13)="",10^12,OFFSET(CRONOPLE!$F$15,$M84-$A$15,BI$13)))</f>
        <v>7</v>
      </c>
      <c r="BJ84" s="178">
        <f ca="1">IF(OR($D84&lt;&gt;"Serviço",AND(AUTOEVENTO="Manual",$M84=$A$15)),0,
         IF(OFFSET(CRONOPLE!$F$15,$M84-$A$15,BJ$13)="",10^12,OFFSET(CRONOPLE!$F$15,$M84-$A$15,BJ$13)))</f>
        <v>1000000000000</v>
      </c>
      <c r="BK84" s="178">
        <f ca="1">IF(OR($D84&lt;&gt;"Serviço",AND(AUTOEVENTO="Manual",$M84=$A$15)),0,
         IF(OFFSET(CRONOPLE!$F$15,$M84-$A$15,BK$13)="",10^12,OFFSET(CRONOPLE!$F$15,$M84-$A$15,BK$13)))</f>
        <v>1000000000000</v>
      </c>
      <c r="BL84" s="178">
        <f ca="1">IF(OR($D84&lt;&gt;"Serviço",AND(AUTOEVENTO="Manual",$M84=$A$15)),0,
         IF(OFFSET(CRONOPLE!$F$15,$M84-$A$15,BL$13)="",10^12,OFFSET(CRONOPLE!$F$15,$M84-$A$15,BL$13)))</f>
        <v>1000000000000</v>
      </c>
      <c r="BM84" s="178">
        <f ca="1">IF(OR($D84&lt;&gt;"Serviço",AND(AUTOEVENTO="Manual",$M84=$A$15)),0,
         IF(OFFSET(CRONOPLE!$F$15,$M84-$A$15,BM$13)="",10^12,OFFSET(CRONOPLE!$F$15,$M84-$A$15,BM$13)))</f>
        <v>1000000000000</v>
      </c>
      <c r="BN84" s="178">
        <f ca="1">IF(OR($D84&lt;&gt;"Serviço",AND(AUTOEVENTO="Manual",$M84=$A$15)),0,
         IF(OFFSET(CRONOPLE!$F$15,$M84-$A$15,BN$13)="",10^12,OFFSET(CRONOPLE!$F$15,$M84-$A$15,BN$13)))</f>
        <v>1000000000000</v>
      </c>
      <c r="BO84" s="178">
        <f ca="1">IF(OR($D84&lt;&gt;"Serviço",AND(AUTOEVENTO="Manual",$M84=$A$15)),0,
         IF(OFFSET(CRONOPLE!$F$15,$M84-$A$15,BO$13)="",10^12,OFFSET(CRONOPLE!$F$15,$M84-$A$15,BO$13)))</f>
        <v>1000000000000</v>
      </c>
      <c r="BP84" s="178">
        <f ca="1">IF(OR($D84&lt;&gt;"Serviço",AND(AUTOEVENTO="Manual",$M84=$A$15)),0,
         IF(OFFSET(CRONOPLE!$F$15,$M84-$A$15,BP$13)="",10^12,OFFSET(CRONOPLE!$F$15,$M84-$A$15,BP$13)))</f>
        <v>1000000000000</v>
      </c>
      <c r="BQ84" s="178">
        <f ca="1">IF(OR($D84&lt;&gt;"Serviço",AND(AUTOEVENTO="Manual",$M84=$A$15)),0,
         IF(OFFSET(CRONOPLE!$F$15,$M84-$A$15,BQ$13)="",10^12,OFFSET(CRONOPLE!$F$15,$M84-$A$15,BQ$13)))</f>
        <v>1000000000000</v>
      </c>
      <c r="BR84" s="178">
        <f ca="1">IF(OR($D84&lt;&gt;"Serviço",AND(AUTOEVENTO="Manual",$M84=$A$15)),0,
         IF(OFFSET(CRONOPLE!$F$15,$M84-$A$15,BR$13)="",10^12,OFFSET(CRONOPLE!$F$15,$M84-$A$15,BR$13)))</f>
        <v>1000000000000</v>
      </c>
      <c r="BS84" s="178">
        <f ca="1">IF(OR($D84&lt;&gt;"Serviço",AND(AUTOEVENTO="Manual",$M84=$A$15)),0,
         IF(OFFSET(CRONOPLE!$F$15,$M84-$A$15,BS$13)="",10^12,OFFSET(CRONOPLE!$F$15,$M84-$A$15,BS$13)))</f>
        <v>1000000000000</v>
      </c>
      <c r="BT84" s="178">
        <f ca="1">IF(OR($D84&lt;&gt;"Serviço",AND(AUTOEVENTO="Manual",$M84=$A$15)),0,
         IF(OFFSET(CRONOPLE!$F$15,$M84-$A$15,BT$13)="",10^12,OFFSET(CRONOPLE!$F$15,$M84-$A$15,BT$13)))</f>
        <v>1000000000000</v>
      </c>
      <c r="BV84" s="179">
        <f ca="1">IF(OR($D84&lt;&gt;"Serviço",AND(AUTOEVENTO="Manual",$M84=$A$15),$M84&gt;(ROW(PLE.lastrow)-ROW(PLE.firstrow))),0,
           IF(OFFSET(PLE!$G$15,$M84-$A$15,BV$13)="",10^12,OFFSET(PLE!$G$15,$M84-$A$15,BV$13)))</f>
        <v>1000000000000</v>
      </c>
      <c r="BW84" s="179">
        <f ca="1">IF(OR($D84&lt;&gt;"Serviço",AND(AUTOEVENTO="Manual",$M84=$A$15),$M84&gt;(ROW(PLE.lastrow)-ROW(PLE.firstrow))),0,
           IF(OFFSET(PLE!$G$15,$M84-$A$15,BW$13)="",10^12,OFFSET(PLE!$G$15,$M84-$A$15,BW$13)))</f>
        <v>1000000000000</v>
      </c>
      <c r="BX84" s="179">
        <f ca="1">IF(OR($D84&lt;&gt;"Serviço",AND(AUTOEVENTO="Manual",$M84=$A$15),$M84&gt;(ROW(PLE.lastrow)-ROW(PLE.firstrow))),0,
           IF(OFFSET(PLE!$G$15,$M84-$A$15,BX$13)="",10^12,OFFSET(PLE!$G$15,$M84-$A$15,BX$13)))</f>
        <v>1000000000000</v>
      </c>
      <c r="BY84" s="179">
        <f ca="1">IF(OR($D84&lt;&gt;"Serviço",AND(AUTOEVENTO="Manual",$M84=$A$15),$M84&gt;(ROW(PLE.lastrow)-ROW(PLE.firstrow))),0,
           IF(OFFSET(PLE!$G$15,$M84-$A$15,BY$13)="",10^12,OFFSET(PLE!$G$15,$M84-$A$15,BY$13)))</f>
        <v>1000000000000</v>
      </c>
      <c r="BZ84" s="179">
        <f ca="1">IF(OR($D84&lt;&gt;"Serviço",AND(AUTOEVENTO="Manual",$M84=$A$15),$M84&gt;(ROW(PLE.lastrow)-ROW(PLE.firstrow))),0,
           IF(OFFSET(PLE!$G$15,$M84-$A$15,BZ$13)="",10^12,OFFSET(PLE!$G$15,$M84-$A$15,BZ$13)))</f>
        <v>1000000000000</v>
      </c>
      <c r="CA84" s="179">
        <f ca="1">IF(OR($D84&lt;&gt;"Serviço",AND(AUTOEVENTO="Manual",$M84=$A$15),$M84&gt;(ROW(PLE.lastrow)-ROW(PLE.firstrow))),0,
           IF(OFFSET(PLE!$G$15,$M84-$A$15,CA$13)="",10^12,OFFSET(PLE!$G$15,$M84-$A$15,CA$13)))</f>
        <v>1000000000000</v>
      </c>
      <c r="CB84" s="179">
        <f ca="1">IF(OR($D84&lt;&gt;"Serviço",AND(AUTOEVENTO="Manual",$M84=$A$15),$M84&gt;(ROW(PLE.lastrow)-ROW(PLE.firstrow))),0,
           IF(OFFSET(PLE!$G$15,$M84-$A$15,CB$13)="",10^12,OFFSET(PLE!$G$15,$M84-$A$15,CB$13)))</f>
        <v>1000000000000</v>
      </c>
      <c r="CC84" s="179">
        <f ca="1">IF(OR($D84&lt;&gt;"Serviço",AND(AUTOEVENTO="Manual",$M84=$A$15),$M84&gt;(ROW(PLE.lastrow)-ROW(PLE.firstrow))),0,
           IF(OFFSET(PLE!$G$15,$M84-$A$15,CC$13)="",10^12,OFFSET(PLE!$G$15,$M84-$A$15,CC$13)))</f>
        <v>1000000000000</v>
      </c>
      <c r="CD84" s="179">
        <f ca="1">IF(OR($D84&lt;&gt;"Serviço",AND(AUTOEVENTO="Manual",$M84=$A$15),$M84&gt;(ROW(PLE.lastrow)-ROW(PLE.firstrow))),0,
           IF(OFFSET(PLE!$G$15,$M84-$A$15,CD$13)="",10^12,OFFSET(PLE!$G$15,$M84-$A$15,CD$13)))</f>
        <v>1000000000000</v>
      </c>
      <c r="CE84" s="179">
        <f ca="1">IF(OR($D84&lt;&gt;"Serviço",AND(AUTOEVENTO="Manual",$M84=$A$15),$M84&gt;(ROW(PLE.lastrow)-ROW(PLE.firstrow))),0,
           IF(OFFSET(PLE!$G$15,$M84-$A$15,CE$13)="",10^12,OFFSET(PLE!$G$15,$M84-$A$15,CE$13)))</f>
        <v>1000000000000</v>
      </c>
      <c r="CF84" s="179">
        <f ca="1">IF(OR($D84&lt;&gt;"Serviço",AND(AUTOEVENTO="Manual",$M84=$A$15),$M84&gt;(ROW(PLE.lastrow)-ROW(PLE.firstrow))),0,
           IF(OFFSET(PLE!$G$15,$M84-$A$15,CF$13)="",10^12,OFFSET(PLE!$G$15,$M84-$A$15,CF$13)))</f>
        <v>1000000000000</v>
      </c>
      <c r="CG84" s="179">
        <f ca="1">IF(OR($D84&lt;&gt;"Serviço",AND(AUTOEVENTO="Manual",$M84=$A$15),$M84&gt;(ROW(PLE.lastrow)-ROW(PLE.firstrow))),0,
           IF(OFFSET(PLE!$G$15,$M84-$A$15,CG$13)="",10^12,OFFSET(PLE!$G$15,$M84-$A$15,CG$13)))</f>
        <v>1000000000000</v>
      </c>
      <c r="CH84" s="179">
        <f ca="1">IF(OR($D84&lt;&gt;"Serviço",AND(AUTOEVENTO="Manual",$M84=$A$15),$M84&gt;(ROW(PLE.lastrow)-ROW(PLE.firstrow))),0,
           IF(OFFSET(PLE!$G$15,$M84-$A$15,CH$13)="",10^12,OFFSET(PLE!$G$15,$M84-$A$15,CH$13)))</f>
        <v>1000000000000</v>
      </c>
      <c r="CI84" s="179">
        <f ca="1">IF(OR($D84&lt;&gt;"Serviço",AND(AUTOEVENTO="Manual",$M84=$A$15),$M84&gt;(ROW(PLE.lastrow)-ROW(PLE.firstrow))),0,
           IF(OFFSET(PLE!$G$15,$M84-$A$15,CI$13)="",10^12,OFFSET(PLE!$G$15,$M84-$A$15,CI$13)))</f>
        <v>1000000000000</v>
      </c>
      <c r="CJ84" s="179">
        <f ca="1">IF(OR($D84&lt;&gt;"Serviço",AND(AUTOEVENTO="Manual",$M84=$A$15),$M84&gt;(ROW(PLE.lastrow)-ROW(PLE.firstrow))),0,
           IF(OFFSET(PLE!$G$15,$M84-$A$15,CJ$13)="",10^12,OFFSET(PLE!$G$15,$M84-$A$15,CJ$13)))</f>
        <v>1000000000000</v>
      </c>
      <c r="CK84" s="179">
        <f ca="1">IF(OR($D84&lt;&gt;"Serviço",AND(AUTOEVENTO="Manual",$M84=$A$15),$M84&gt;(ROW(PLE.lastrow)-ROW(PLE.firstrow))),0,
           IF(OFFSET(PLE!$G$15,$M84-$A$15,CK$13)="",10^12,OFFSET(PLE!$G$15,$M84-$A$15,CK$13)))</f>
        <v>1000000000000</v>
      </c>
      <c r="CL84" s="179">
        <f ca="1">IF(OR($D84&lt;&gt;"Serviço",AND(AUTOEVENTO="Manual",$M84=$A$15),$M84&gt;(ROW(PLE.lastrow)-ROW(PLE.firstrow))),0,
           IF(OFFSET(PLE!$G$15,$M84-$A$15,CL$13)="",10^12,OFFSET(PLE!$G$15,$M84-$A$15,CL$13)))</f>
        <v>1000000000000</v>
      </c>
      <c r="CM84" s="179">
        <f ca="1">IF(OR($D84&lt;&gt;"Serviço",AND(AUTOEVENTO="Manual",$M84=$A$15),$M84&gt;(ROW(PLE.lastrow)-ROW(PLE.firstrow))),0,
           IF(OFFSET(PLE!$G$15,$M84-$A$15,CM$13)="",10^12,OFFSET(PLE!$G$15,$M84-$A$15,CM$13)))</f>
        <v>1000000000000</v>
      </c>
    </row>
    <row r="85" spans="1:91" ht="25.5" x14ac:dyDescent="0.2">
      <c r="A85" s="7" t="str">
        <f ca="1">IF(AUTOEVENTO="Manual",IF(K85&lt;&gt;"",MIN(VALUE(LEFT(K85,FIND(".",K85)-1)),COUNTA(EVENTOS.Lista)),0),IF(OR($B85&gt;AUTOEVENTO,$B85="S",$B85=0),SUBSTITUTE(OFFSET($A85,-1,0),IF($D85="Serviço",".",""),""),ROW(A85)-ROW($A$15)&amp;"."))</f>
        <v>68</v>
      </c>
      <c r="B85" s="7" t="str">
        <f ca="1">OFFSET(ORÇAMENTO!C$15,ROW(B85)-ROW(B$15),0)</f>
        <v>S</v>
      </c>
      <c r="C85" s="7" t="str">
        <f ca="1">OFFSET(ORÇAMENTO!L$15,ROW(C85)-ROW(C$15),0)</f>
        <v>F</v>
      </c>
      <c r="D85" s="118" t="str">
        <f ca="1">OFFSET(ORÇAMENTO!N$15,ROW(D85)-ROW(D$15),0)</f>
        <v>Serviço</v>
      </c>
      <c r="E85" s="119" t="str">
        <f ca="1">OFFSET(ORÇAMENTO!O$15,ROW(E85)-ROW(E$15),0)</f>
        <v>1.11.0.0.2.</v>
      </c>
      <c r="F85" s="170" t="str">
        <f ca="1">OFFSET(ORÇAMENTO!R$15,ROW(F85)-ROW(F$15),0)</f>
        <v>PISO PODOTÁTIL DIRECIONAL, DE CONCRETO, ASSENTADO SOBRE ARGAMASSA. AF_03/2024</v>
      </c>
      <c r="G85" s="171" t="str">
        <f ca="1">IF($D85&lt;&gt;"Serviço","",OFFSET(ORÇAMENTO!S$15,ROW(G85)-ROW(G$15),0))</f>
        <v>M2</v>
      </c>
      <c r="H85" s="124" cm="1">
        <f t="array" aca="1" ref="H85" ca="1">IF($D85&lt;&gt;"Serviço",0,IF(_xlfn.SINGLE(ACOMPANHAMENTO)="BM",ROUND(OFFSET(ORÇAMENTO!AJ$15,ROW(H85)-ROW(H$15),0),15-13*ORÇAMENTO!$AF$7),SUMPRODUCT(($Q$1:$AI$1)*ROUND($Q85:$AI85,15-13*ORÇAMENTO!$AF$7))))</f>
        <v>51.07</v>
      </c>
      <c r="I85" s="500" t="s">
        <v>1004</v>
      </c>
      <c r="J85" s="632" t="str" cm="1">
        <f t="array" aca="1" ref="J85" ca="1">IF(B85&lt;&gt;"S","",IF(AND(ACOMPANHAMENTO="PLE",AUTOEVENTO="Manual",OR(H85&gt;0,ORÇAMENTO!AC85="QUANT."),OR(K85="",M85=0,N85="")),"►",IF(AND(ACOMPANHAMENTO="PLE",ORÇAMENTO!AC85="QUANT."),"►►",IF(AND(COUNTIF($P$11:$AI$11,"▼")=0,H85&gt;0,I85=""),"◄",""))))</f>
        <v/>
      </c>
      <c r="K85" s="624"/>
      <c r="L85" s="172" t="s">
        <v>253</v>
      </c>
      <c r="M85" s="173">
        <f ca="1">IF($D85&lt;&gt;"Serviço","",
          IF(AUTOEVENTO="manual",$A85,
                IF(ISERROR(MATCH($A85,$A$15:OFFSET($A85,-1,0),0)),MAX($M$15:OFFSET(M85,-1,0))+1,
                      INDEX($M$15:OFFSET(M85,-1,0),MATCH($A85,$A$15:OFFSET($A85,-1,0),0)))))</f>
        <v>11</v>
      </c>
      <c r="N85" s="174" t="str">
        <f ca="1">IF($D85&lt;&gt;"Serviço","",
         IF(AUTOEVENTO="Manual",
                IF($A85=0,"&lt;-- defina o número do agrupador",
                       OFFSET(EVENTOS!$D$15,$A85-$A$15,0)),
                OFFSET($F$15,$A85,0)))</f>
        <v>ACESSIBILIDADE</v>
      </c>
      <c r="O85" s="175"/>
      <c r="Q85" s="175"/>
      <c r="R85" s="176"/>
      <c r="S85" s="176"/>
      <c r="T85" s="176"/>
      <c r="U85" s="176">
        <v>51.07</v>
      </c>
      <c r="V85" s="176"/>
      <c r="W85" s="176"/>
      <c r="X85" s="176"/>
      <c r="Y85" s="176"/>
      <c r="Z85" s="177"/>
      <c r="AA85" s="176"/>
      <c r="AB85" s="176"/>
      <c r="AC85" s="176"/>
      <c r="AD85" s="176"/>
      <c r="AE85" s="176"/>
      <c r="AF85" s="176"/>
      <c r="AG85" s="176"/>
      <c r="AH85" s="177"/>
      <c r="AJ85" s="485">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85">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L85" s="485">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0</v>
      </c>
      <c r="AM85" s="485">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0</v>
      </c>
      <c r="AN85" s="485">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9453.06</v>
      </c>
      <c r="AO85" s="485">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85">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85">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85">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85">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85">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85">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85">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85">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85">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85">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85">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85">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8">
        <f ca="1">IF(OR($D85&lt;&gt;"Serviço",AND(AUTOEVENTO="Manual",$M85=$A$15)),0,
         IF(OFFSET(CRONOPLE!$F$15,$M85-$A$15,BC$13)="",10^12,OFFSET(CRONOPLE!$F$15,$M85-$A$15,BC$13)))</f>
        <v>1</v>
      </c>
      <c r="BD85" s="178">
        <f ca="1">IF(OR($D85&lt;&gt;"Serviço",AND(AUTOEVENTO="Manual",$M85=$A$15)),0,
         IF(OFFSET(CRONOPLE!$F$15,$M85-$A$15,BD$13)="",10^12,OFFSET(CRONOPLE!$F$15,$M85-$A$15,BD$13)))</f>
        <v>2</v>
      </c>
      <c r="BE85" s="178">
        <f ca="1">IF(OR($D85&lt;&gt;"Serviço",AND(AUTOEVENTO="Manual",$M85=$A$15)),0,
         IF(OFFSET(CRONOPLE!$F$15,$M85-$A$15,BE$13)="",10^12,OFFSET(CRONOPLE!$F$15,$M85-$A$15,BE$13)))</f>
        <v>1000000000000</v>
      </c>
      <c r="BF85" s="178">
        <f ca="1">IF(OR($D85&lt;&gt;"Serviço",AND(AUTOEVENTO="Manual",$M85=$A$15)),0,
         IF(OFFSET(CRONOPLE!$F$15,$M85-$A$15,BF$13)="",10^12,OFFSET(CRONOPLE!$F$15,$M85-$A$15,BF$13)))</f>
        <v>1000000000000</v>
      </c>
      <c r="BG85" s="178">
        <f ca="1">IF(OR($D85&lt;&gt;"Serviço",AND(AUTOEVENTO="Manual",$M85=$A$15)),0,
         IF(OFFSET(CRONOPLE!$F$15,$M85-$A$15,BG$13)="",10^12,OFFSET(CRONOPLE!$F$15,$M85-$A$15,BG$13)))</f>
        <v>5</v>
      </c>
      <c r="BH85" s="178">
        <f ca="1">IF(OR($D85&lt;&gt;"Serviço",AND(AUTOEVENTO="Manual",$M85=$A$15)),0,
         IF(OFFSET(CRONOPLE!$F$15,$M85-$A$15,BH$13)="",10^12,OFFSET(CRONOPLE!$F$15,$M85-$A$15,BH$13)))</f>
        <v>6</v>
      </c>
      <c r="BI85" s="178">
        <f ca="1">IF(OR($D85&lt;&gt;"Serviço",AND(AUTOEVENTO="Manual",$M85=$A$15)),0,
         IF(OFFSET(CRONOPLE!$F$15,$M85-$A$15,BI$13)="",10^12,OFFSET(CRONOPLE!$F$15,$M85-$A$15,BI$13)))</f>
        <v>7</v>
      </c>
      <c r="BJ85" s="178">
        <f ca="1">IF(OR($D85&lt;&gt;"Serviço",AND(AUTOEVENTO="Manual",$M85=$A$15)),0,
         IF(OFFSET(CRONOPLE!$F$15,$M85-$A$15,BJ$13)="",10^12,OFFSET(CRONOPLE!$F$15,$M85-$A$15,BJ$13)))</f>
        <v>1000000000000</v>
      </c>
      <c r="BK85" s="178">
        <f ca="1">IF(OR($D85&lt;&gt;"Serviço",AND(AUTOEVENTO="Manual",$M85=$A$15)),0,
         IF(OFFSET(CRONOPLE!$F$15,$M85-$A$15,BK$13)="",10^12,OFFSET(CRONOPLE!$F$15,$M85-$A$15,BK$13)))</f>
        <v>1000000000000</v>
      </c>
      <c r="BL85" s="178">
        <f ca="1">IF(OR($D85&lt;&gt;"Serviço",AND(AUTOEVENTO="Manual",$M85=$A$15)),0,
         IF(OFFSET(CRONOPLE!$F$15,$M85-$A$15,BL$13)="",10^12,OFFSET(CRONOPLE!$F$15,$M85-$A$15,BL$13)))</f>
        <v>1000000000000</v>
      </c>
      <c r="BM85" s="178">
        <f ca="1">IF(OR($D85&lt;&gt;"Serviço",AND(AUTOEVENTO="Manual",$M85=$A$15)),0,
         IF(OFFSET(CRONOPLE!$F$15,$M85-$A$15,BM$13)="",10^12,OFFSET(CRONOPLE!$F$15,$M85-$A$15,BM$13)))</f>
        <v>1000000000000</v>
      </c>
      <c r="BN85" s="178">
        <f ca="1">IF(OR($D85&lt;&gt;"Serviço",AND(AUTOEVENTO="Manual",$M85=$A$15)),0,
         IF(OFFSET(CRONOPLE!$F$15,$M85-$A$15,BN$13)="",10^12,OFFSET(CRONOPLE!$F$15,$M85-$A$15,BN$13)))</f>
        <v>1000000000000</v>
      </c>
      <c r="BO85" s="178">
        <f ca="1">IF(OR($D85&lt;&gt;"Serviço",AND(AUTOEVENTO="Manual",$M85=$A$15)),0,
         IF(OFFSET(CRONOPLE!$F$15,$M85-$A$15,BO$13)="",10^12,OFFSET(CRONOPLE!$F$15,$M85-$A$15,BO$13)))</f>
        <v>1000000000000</v>
      </c>
      <c r="BP85" s="178">
        <f ca="1">IF(OR($D85&lt;&gt;"Serviço",AND(AUTOEVENTO="Manual",$M85=$A$15)),0,
         IF(OFFSET(CRONOPLE!$F$15,$M85-$A$15,BP$13)="",10^12,OFFSET(CRONOPLE!$F$15,$M85-$A$15,BP$13)))</f>
        <v>1000000000000</v>
      </c>
      <c r="BQ85" s="178">
        <f ca="1">IF(OR($D85&lt;&gt;"Serviço",AND(AUTOEVENTO="Manual",$M85=$A$15)),0,
         IF(OFFSET(CRONOPLE!$F$15,$M85-$A$15,BQ$13)="",10^12,OFFSET(CRONOPLE!$F$15,$M85-$A$15,BQ$13)))</f>
        <v>1000000000000</v>
      </c>
      <c r="BR85" s="178">
        <f ca="1">IF(OR($D85&lt;&gt;"Serviço",AND(AUTOEVENTO="Manual",$M85=$A$15)),0,
         IF(OFFSET(CRONOPLE!$F$15,$M85-$A$15,BR$13)="",10^12,OFFSET(CRONOPLE!$F$15,$M85-$A$15,BR$13)))</f>
        <v>1000000000000</v>
      </c>
      <c r="BS85" s="178">
        <f ca="1">IF(OR($D85&lt;&gt;"Serviço",AND(AUTOEVENTO="Manual",$M85=$A$15)),0,
         IF(OFFSET(CRONOPLE!$F$15,$M85-$A$15,BS$13)="",10^12,OFFSET(CRONOPLE!$F$15,$M85-$A$15,BS$13)))</f>
        <v>1000000000000</v>
      </c>
      <c r="BT85" s="178">
        <f ca="1">IF(OR($D85&lt;&gt;"Serviço",AND(AUTOEVENTO="Manual",$M85=$A$15)),0,
         IF(OFFSET(CRONOPLE!$F$15,$M85-$A$15,BT$13)="",10^12,OFFSET(CRONOPLE!$F$15,$M85-$A$15,BT$13)))</f>
        <v>1000000000000</v>
      </c>
      <c r="BV85" s="179">
        <f ca="1">IF(OR($D85&lt;&gt;"Serviço",AND(AUTOEVENTO="Manual",$M85=$A$15),$M85&gt;(ROW(PLE.lastrow)-ROW(PLE.firstrow))),0,
           IF(OFFSET(PLE!$G$15,$M85-$A$15,BV$13)="",10^12,OFFSET(PLE!$G$15,$M85-$A$15,BV$13)))</f>
        <v>1000000000000</v>
      </c>
      <c r="BW85" s="179">
        <f ca="1">IF(OR($D85&lt;&gt;"Serviço",AND(AUTOEVENTO="Manual",$M85=$A$15),$M85&gt;(ROW(PLE.lastrow)-ROW(PLE.firstrow))),0,
           IF(OFFSET(PLE!$G$15,$M85-$A$15,BW$13)="",10^12,OFFSET(PLE!$G$15,$M85-$A$15,BW$13)))</f>
        <v>1000000000000</v>
      </c>
      <c r="BX85" s="179">
        <f ca="1">IF(OR($D85&lt;&gt;"Serviço",AND(AUTOEVENTO="Manual",$M85=$A$15),$M85&gt;(ROW(PLE.lastrow)-ROW(PLE.firstrow))),0,
           IF(OFFSET(PLE!$G$15,$M85-$A$15,BX$13)="",10^12,OFFSET(PLE!$G$15,$M85-$A$15,BX$13)))</f>
        <v>1000000000000</v>
      </c>
      <c r="BY85" s="179">
        <f ca="1">IF(OR($D85&lt;&gt;"Serviço",AND(AUTOEVENTO="Manual",$M85=$A$15),$M85&gt;(ROW(PLE.lastrow)-ROW(PLE.firstrow))),0,
           IF(OFFSET(PLE!$G$15,$M85-$A$15,BY$13)="",10^12,OFFSET(PLE!$G$15,$M85-$A$15,BY$13)))</f>
        <v>1000000000000</v>
      </c>
      <c r="BZ85" s="179">
        <f ca="1">IF(OR($D85&lt;&gt;"Serviço",AND(AUTOEVENTO="Manual",$M85=$A$15),$M85&gt;(ROW(PLE.lastrow)-ROW(PLE.firstrow))),0,
           IF(OFFSET(PLE!$G$15,$M85-$A$15,BZ$13)="",10^12,OFFSET(PLE!$G$15,$M85-$A$15,BZ$13)))</f>
        <v>1000000000000</v>
      </c>
      <c r="CA85" s="179">
        <f ca="1">IF(OR($D85&lt;&gt;"Serviço",AND(AUTOEVENTO="Manual",$M85=$A$15),$M85&gt;(ROW(PLE.lastrow)-ROW(PLE.firstrow))),0,
           IF(OFFSET(PLE!$G$15,$M85-$A$15,CA$13)="",10^12,OFFSET(PLE!$G$15,$M85-$A$15,CA$13)))</f>
        <v>1000000000000</v>
      </c>
      <c r="CB85" s="179">
        <f ca="1">IF(OR($D85&lt;&gt;"Serviço",AND(AUTOEVENTO="Manual",$M85=$A$15),$M85&gt;(ROW(PLE.lastrow)-ROW(PLE.firstrow))),0,
           IF(OFFSET(PLE!$G$15,$M85-$A$15,CB$13)="",10^12,OFFSET(PLE!$G$15,$M85-$A$15,CB$13)))</f>
        <v>1000000000000</v>
      </c>
      <c r="CC85" s="179">
        <f ca="1">IF(OR($D85&lt;&gt;"Serviço",AND(AUTOEVENTO="Manual",$M85=$A$15),$M85&gt;(ROW(PLE.lastrow)-ROW(PLE.firstrow))),0,
           IF(OFFSET(PLE!$G$15,$M85-$A$15,CC$13)="",10^12,OFFSET(PLE!$G$15,$M85-$A$15,CC$13)))</f>
        <v>1000000000000</v>
      </c>
      <c r="CD85" s="179">
        <f ca="1">IF(OR($D85&lt;&gt;"Serviço",AND(AUTOEVENTO="Manual",$M85=$A$15),$M85&gt;(ROW(PLE.lastrow)-ROW(PLE.firstrow))),0,
           IF(OFFSET(PLE!$G$15,$M85-$A$15,CD$13)="",10^12,OFFSET(PLE!$G$15,$M85-$A$15,CD$13)))</f>
        <v>1000000000000</v>
      </c>
      <c r="CE85" s="179">
        <f ca="1">IF(OR($D85&lt;&gt;"Serviço",AND(AUTOEVENTO="Manual",$M85=$A$15),$M85&gt;(ROW(PLE.lastrow)-ROW(PLE.firstrow))),0,
           IF(OFFSET(PLE!$G$15,$M85-$A$15,CE$13)="",10^12,OFFSET(PLE!$G$15,$M85-$A$15,CE$13)))</f>
        <v>1000000000000</v>
      </c>
      <c r="CF85" s="179">
        <f ca="1">IF(OR($D85&lt;&gt;"Serviço",AND(AUTOEVENTO="Manual",$M85=$A$15),$M85&gt;(ROW(PLE.lastrow)-ROW(PLE.firstrow))),0,
           IF(OFFSET(PLE!$G$15,$M85-$A$15,CF$13)="",10^12,OFFSET(PLE!$G$15,$M85-$A$15,CF$13)))</f>
        <v>1000000000000</v>
      </c>
      <c r="CG85" s="179">
        <f ca="1">IF(OR($D85&lt;&gt;"Serviço",AND(AUTOEVENTO="Manual",$M85=$A$15),$M85&gt;(ROW(PLE.lastrow)-ROW(PLE.firstrow))),0,
           IF(OFFSET(PLE!$G$15,$M85-$A$15,CG$13)="",10^12,OFFSET(PLE!$G$15,$M85-$A$15,CG$13)))</f>
        <v>1000000000000</v>
      </c>
      <c r="CH85" s="179">
        <f ca="1">IF(OR($D85&lt;&gt;"Serviço",AND(AUTOEVENTO="Manual",$M85=$A$15),$M85&gt;(ROW(PLE.lastrow)-ROW(PLE.firstrow))),0,
           IF(OFFSET(PLE!$G$15,$M85-$A$15,CH$13)="",10^12,OFFSET(PLE!$G$15,$M85-$A$15,CH$13)))</f>
        <v>1000000000000</v>
      </c>
      <c r="CI85" s="179">
        <f ca="1">IF(OR($D85&lt;&gt;"Serviço",AND(AUTOEVENTO="Manual",$M85=$A$15),$M85&gt;(ROW(PLE.lastrow)-ROW(PLE.firstrow))),0,
           IF(OFFSET(PLE!$G$15,$M85-$A$15,CI$13)="",10^12,OFFSET(PLE!$G$15,$M85-$A$15,CI$13)))</f>
        <v>1000000000000</v>
      </c>
      <c r="CJ85" s="179">
        <f ca="1">IF(OR($D85&lt;&gt;"Serviço",AND(AUTOEVENTO="Manual",$M85=$A$15),$M85&gt;(ROW(PLE.lastrow)-ROW(PLE.firstrow))),0,
           IF(OFFSET(PLE!$G$15,$M85-$A$15,CJ$13)="",10^12,OFFSET(PLE!$G$15,$M85-$A$15,CJ$13)))</f>
        <v>1000000000000</v>
      </c>
      <c r="CK85" s="179">
        <f ca="1">IF(OR($D85&lt;&gt;"Serviço",AND(AUTOEVENTO="Manual",$M85=$A$15),$M85&gt;(ROW(PLE.lastrow)-ROW(PLE.firstrow))),0,
           IF(OFFSET(PLE!$G$15,$M85-$A$15,CK$13)="",10^12,OFFSET(PLE!$G$15,$M85-$A$15,CK$13)))</f>
        <v>1000000000000</v>
      </c>
      <c r="CL85" s="179">
        <f ca="1">IF(OR($D85&lt;&gt;"Serviço",AND(AUTOEVENTO="Manual",$M85=$A$15),$M85&gt;(ROW(PLE.lastrow)-ROW(PLE.firstrow))),0,
           IF(OFFSET(PLE!$G$15,$M85-$A$15,CL$13)="",10^12,OFFSET(PLE!$G$15,$M85-$A$15,CL$13)))</f>
        <v>1000000000000</v>
      </c>
      <c r="CM85" s="179">
        <f ca="1">IF(OR($D85&lt;&gt;"Serviço",AND(AUTOEVENTO="Manual",$M85=$A$15),$M85&gt;(ROW(PLE.lastrow)-ROW(PLE.firstrow))),0,
           IF(OFFSET(PLE!$G$15,$M85-$A$15,CM$13)="",10^12,OFFSET(PLE!$G$15,$M85-$A$15,CM$13)))</f>
        <v>1000000000000</v>
      </c>
    </row>
    <row r="86" spans="1:91" ht="12.75" x14ac:dyDescent="0.2">
      <c r="A86" s="7" t="str">
        <f ca="1">IF(AUTOEVENTO="Manual",IF(K86&lt;&gt;"",MIN(VALUE(LEFT(K86,FIND(".",K86)-1)),COUNTA(EVENTOS.Lista)),0),IF(OR($B86&gt;AUTOEVENTO,$B86="S",$B86=0),SUBSTITUTE(OFFSET($A86,-1,0),IF($D86="Serviço",".",""),""),ROW(A86)-ROW($A$15)&amp;"."))</f>
        <v>71.</v>
      </c>
      <c r="B86" s="7">
        <f ca="1">OFFSET(ORÇAMENTO!C$15,ROW(B86)-ROW(B$15),0)</f>
        <v>2</v>
      </c>
      <c r="C86" s="7" t="str">
        <f ca="1">OFFSET(ORÇAMENTO!L$15,ROW(C86)-ROW(C$15),0)</f>
        <v>F</v>
      </c>
      <c r="D86" s="118" t="str">
        <f ca="1">OFFSET(ORÇAMENTO!N$15,ROW(D86)-ROW(D$15),0)</f>
        <v>Nível 2</v>
      </c>
      <c r="E86" s="119" t="str">
        <f ca="1">OFFSET(ORÇAMENTO!O$15,ROW(E86)-ROW(E$15),0)</f>
        <v>1.12.</v>
      </c>
      <c r="F86" s="170" t="str">
        <f ca="1">OFFSET(ORÇAMENTO!R$15,ROW(F86)-ROW(F$15),0)</f>
        <v>INSTALAÇÕES ELÉTRICAS</v>
      </c>
      <c r="G86" s="171" t="str">
        <f ca="1">IF($D86&lt;&gt;"Serviço","",OFFSET(ORÇAMENTO!S$15,ROW(G86)-ROW(G$15),0))</f>
        <v/>
      </c>
      <c r="H86" s="124" cm="1">
        <f t="array" aca="1" ref="H86" ca="1">IF($D86&lt;&gt;"Serviço",0,IF(_xlfn.SINGLE(ACOMPANHAMENTO)="BM",ROUND(OFFSET(ORÇAMENTO!AJ$15,ROW(H86)-ROW(H$15),0),15-13*ORÇAMENTO!$AF$7),SUMPRODUCT(($Q$1:$AI$1)*ROUND($Q86:$AI86,15-13*ORÇAMENTO!$AF$7))))</f>
        <v>0</v>
      </c>
      <c r="I86" s="500"/>
      <c r="J86" s="632" t="str" cm="1">
        <f t="array" aca="1" ref="J86" ca="1">IF(B86&lt;&gt;"S","",IF(AND(ACOMPANHAMENTO="PLE",AUTOEVENTO="Manual",OR(H86&gt;0,ORÇAMENTO!AC86="QUANT."),OR(K86="",M86=0,N86="")),"►",IF(AND(ACOMPANHAMENTO="PLE",ORÇAMENTO!AC86="QUANT."),"►►",IF(AND(COUNTIF($P$11:$AI$11,"▼")=0,H86&gt;0,I86=""),"◄",""))))</f>
        <v/>
      </c>
      <c r="K86" s="624"/>
      <c r="L86" s="172" t="s">
        <v>253</v>
      </c>
      <c r="M86" s="173" t="str">
        <f ca="1">IF($D86&lt;&gt;"Serviço","",
          IF(AUTOEVENTO="manual",$A86,
                IF(ISERROR(MATCH($A86,$A$15:OFFSET($A86,-1,0),0)),MAX($M$15:OFFSET(M86,-1,0))+1,
                      INDEX($M$15:OFFSET(M86,-1,0),MATCH($A86,$A$15:OFFSET($A86,-1,0),0)))))</f>
        <v/>
      </c>
      <c r="N86" s="174" t="str">
        <f ca="1">IF($D86&lt;&gt;"Serviço","",
         IF(AUTOEVENTO="Manual",
                IF($A86=0,"&lt;-- defina o número do agrupador",
                       OFFSET(EVENTOS!$D$15,$A86-$A$15,0)),
                OFFSET($F$15,$A86,0)))</f>
        <v/>
      </c>
      <c r="O86" s="175"/>
      <c r="Q86" s="175"/>
      <c r="R86" s="176"/>
      <c r="S86" s="176"/>
      <c r="T86" s="176"/>
      <c r="U86" s="176"/>
      <c r="V86" s="176"/>
      <c r="W86" s="176"/>
      <c r="X86" s="176"/>
      <c r="Y86" s="176"/>
      <c r="Z86" s="177"/>
      <c r="AA86" s="176"/>
      <c r="AB86" s="176"/>
      <c r="AC86" s="176"/>
      <c r="AD86" s="176"/>
      <c r="AE86" s="176"/>
      <c r="AF86" s="176"/>
      <c r="AG86" s="176"/>
      <c r="AH86" s="177"/>
      <c r="AJ86" s="485">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85">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85">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85">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0</v>
      </c>
      <c r="AN86" s="485">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0</v>
      </c>
      <c r="AO86" s="485">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85">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85">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85">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85">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85">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85">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85">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85">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85">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85">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85">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85">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8">
        <f ca="1">IF(OR($D86&lt;&gt;"Serviço",AND(AUTOEVENTO="Manual",$M86=$A$15)),0,
         IF(OFFSET(CRONOPLE!$F$15,$M86-$A$15,BC$13)="",10^12,OFFSET(CRONOPLE!$F$15,$M86-$A$15,BC$13)))</f>
        <v>0</v>
      </c>
      <c r="BD86" s="178">
        <f ca="1">IF(OR($D86&lt;&gt;"Serviço",AND(AUTOEVENTO="Manual",$M86=$A$15)),0,
         IF(OFFSET(CRONOPLE!$F$15,$M86-$A$15,BD$13)="",10^12,OFFSET(CRONOPLE!$F$15,$M86-$A$15,BD$13)))</f>
        <v>0</v>
      </c>
      <c r="BE86" s="178">
        <f ca="1">IF(OR($D86&lt;&gt;"Serviço",AND(AUTOEVENTO="Manual",$M86=$A$15)),0,
         IF(OFFSET(CRONOPLE!$F$15,$M86-$A$15,BE$13)="",10^12,OFFSET(CRONOPLE!$F$15,$M86-$A$15,BE$13)))</f>
        <v>0</v>
      </c>
      <c r="BF86" s="178">
        <f ca="1">IF(OR($D86&lt;&gt;"Serviço",AND(AUTOEVENTO="Manual",$M86=$A$15)),0,
         IF(OFFSET(CRONOPLE!$F$15,$M86-$A$15,BF$13)="",10^12,OFFSET(CRONOPLE!$F$15,$M86-$A$15,BF$13)))</f>
        <v>0</v>
      </c>
      <c r="BG86" s="178">
        <f ca="1">IF(OR($D86&lt;&gt;"Serviço",AND(AUTOEVENTO="Manual",$M86=$A$15)),0,
         IF(OFFSET(CRONOPLE!$F$15,$M86-$A$15,BG$13)="",10^12,OFFSET(CRONOPLE!$F$15,$M86-$A$15,BG$13)))</f>
        <v>0</v>
      </c>
      <c r="BH86" s="178">
        <f ca="1">IF(OR($D86&lt;&gt;"Serviço",AND(AUTOEVENTO="Manual",$M86=$A$15)),0,
         IF(OFFSET(CRONOPLE!$F$15,$M86-$A$15,BH$13)="",10^12,OFFSET(CRONOPLE!$F$15,$M86-$A$15,BH$13)))</f>
        <v>0</v>
      </c>
      <c r="BI86" s="178">
        <f ca="1">IF(OR($D86&lt;&gt;"Serviço",AND(AUTOEVENTO="Manual",$M86=$A$15)),0,
         IF(OFFSET(CRONOPLE!$F$15,$M86-$A$15,BI$13)="",10^12,OFFSET(CRONOPLE!$F$15,$M86-$A$15,BI$13)))</f>
        <v>0</v>
      </c>
      <c r="BJ86" s="178">
        <f ca="1">IF(OR($D86&lt;&gt;"Serviço",AND(AUTOEVENTO="Manual",$M86=$A$15)),0,
         IF(OFFSET(CRONOPLE!$F$15,$M86-$A$15,BJ$13)="",10^12,OFFSET(CRONOPLE!$F$15,$M86-$A$15,BJ$13)))</f>
        <v>0</v>
      </c>
      <c r="BK86" s="178">
        <f ca="1">IF(OR($D86&lt;&gt;"Serviço",AND(AUTOEVENTO="Manual",$M86=$A$15)),0,
         IF(OFFSET(CRONOPLE!$F$15,$M86-$A$15,BK$13)="",10^12,OFFSET(CRONOPLE!$F$15,$M86-$A$15,BK$13)))</f>
        <v>0</v>
      </c>
      <c r="BL86" s="178">
        <f ca="1">IF(OR($D86&lt;&gt;"Serviço",AND(AUTOEVENTO="Manual",$M86=$A$15)),0,
         IF(OFFSET(CRONOPLE!$F$15,$M86-$A$15,BL$13)="",10^12,OFFSET(CRONOPLE!$F$15,$M86-$A$15,BL$13)))</f>
        <v>0</v>
      </c>
      <c r="BM86" s="178">
        <f ca="1">IF(OR($D86&lt;&gt;"Serviço",AND(AUTOEVENTO="Manual",$M86=$A$15)),0,
         IF(OFFSET(CRONOPLE!$F$15,$M86-$A$15,BM$13)="",10^12,OFFSET(CRONOPLE!$F$15,$M86-$A$15,BM$13)))</f>
        <v>0</v>
      </c>
      <c r="BN86" s="178">
        <f ca="1">IF(OR($D86&lt;&gt;"Serviço",AND(AUTOEVENTO="Manual",$M86=$A$15)),0,
         IF(OFFSET(CRONOPLE!$F$15,$M86-$A$15,BN$13)="",10^12,OFFSET(CRONOPLE!$F$15,$M86-$A$15,BN$13)))</f>
        <v>0</v>
      </c>
      <c r="BO86" s="178">
        <f ca="1">IF(OR($D86&lt;&gt;"Serviço",AND(AUTOEVENTO="Manual",$M86=$A$15)),0,
         IF(OFFSET(CRONOPLE!$F$15,$M86-$A$15,BO$13)="",10^12,OFFSET(CRONOPLE!$F$15,$M86-$A$15,BO$13)))</f>
        <v>0</v>
      </c>
      <c r="BP86" s="178">
        <f ca="1">IF(OR($D86&lt;&gt;"Serviço",AND(AUTOEVENTO="Manual",$M86=$A$15)),0,
         IF(OFFSET(CRONOPLE!$F$15,$M86-$A$15,BP$13)="",10^12,OFFSET(CRONOPLE!$F$15,$M86-$A$15,BP$13)))</f>
        <v>0</v>
      </c>
      <c r="BQ86" s="178">
        <f ca="1">IF(OR($D86&lt;&gt;"Serviço",AND(AUTOEVENTO="Manual",$M86=$A$15)),0,
         IF(OFFSET(CRONOPLE!$F$15,$M86-$A$15,BQ$13)="",10^12,OFFSET(CRONOPLE!$F$15,$M86-$A$15,BQ$13)))</f>
        <v>0</v>
      </c>
      <c r="BR86" s="178">
        <f ca="1">IF(OR($D86&lt;&gt;"Serviço",AND(AUTOEVENTO="Manual",$M86=$A$15)),0,
         IF(OFFSET(CRONOPLE!$F$15,$M86-$A$15,BR$13)="",10^12,OFFSET(CRONOPLE!$F$15,$M86-$A$15,BR$13)))</f>
        <v>0</v>
      </c>
      <c r="BS86" s="178">
        <f ca="1">IF(OR($D86&lt;&gt;"Serviço",AND(AUTOEVENTO="Manual",$M86=$A$15)),0,
         IF(OFFSET(CRONOPLE!$F$15,$M86-$A$15,BS$13)="",10^12,OFFSET(CRONOPLE!$F$15,$M86-$A$15,BS$13)))</f>
        <v>0</v>
      </c>
      <c r="BT86" s="178">
        <f ca="1">IF(OR($D86&lt;&gt;"Serviço",AND(AUTOEVENTO="Manual",$M86=$A$15)),0,
         IF(OFFSET(CRONOPLE!$F$15,$M86-$A$15,BT$13)="",10^12,OFFSET(CRONOPLE!$F$15,$M86-$A$15,BT$13)))</f>
        <v>0</v>
      </c>
      <c r="BV86" s="179">
        <f ca="1">IF(OR($D86&lt;&gt;"Serviço",AND(AUTOEVENTO="Manual",$M86=$A$15),$M86&gt;(ROW(PLE.lastrow)-ROW(PLE.firstrow))),0,
           IF(OFFSET(PLE!$G$15,$M86-$A$15,BV$13)="",10^12,OFFSET(PLE!$G$15,$M86-$A$15,BV$13)))</f>
        <v>0</v>
      </c>
      <c r="BW86" s="179">
        <f ca="1">IF(OR($D86&lt;&gt;"Serviço",AND(AUTOEVENTO="Manual",$M86=$A$15),$M86&gt;(ROW(PLE.lastrow)-ROW(PLE.firstrow))),0,
           IF(OFFSET(PLE!$G$15,$M86-$A$15,BW$13)="",10^12,OFFSET(PLE!$G$15,$M86-$A$15,BW$13)))</f>
        <v>0</v>
      </c>
      <c r="BX86" s="179">
        <f ca="1">IF(OR($D86&lt;&gt;"Serviço",AND(AUTOEVENTO="Manual",$M86=$A$15),$M86&gt;(ROW(PLE.lastrow)-ROW(PLE.firstrow))),0,
           IF(OFFSET(PLE!$G$15,$M86-$A$15,BX$13)="",10^12,OFFSET(PLE!$G$15,$M86-$A$15,BX$13)))</f>
        <v>0</v>
      </c>
      <c r="BY86" s="179">
        <f ca="1">IF(OR($D86&lt;&gt;"Serviço",AND(AUTOEVENTO="Manual",$M86=$A$15),$M86&gt;(ROW(PLE.lastrow)-ROW(PLE.firstrow))),0,
           IF(OFFSET(PLE!$G$15,$M86-$A$15,BY$13)="",10^12,OFFSET(PLE!$G$15,$M86-$A$15,BY$13)))</f>
        <v>0</v>
      </c>
      <c r="BZ86" s="179">
        <f ca="1">IF(OR($D86&lt;&gt;"Serviço",AND(AUTOEVENTO="Manual",$M86=$A$15),$M86&gt;(ROW(PLE.lastrow)-ROW(PLE.firstrow))),0,
           IF(OFFSET(PLE!$G$15,$M86-$A$15,BZ$13)="",10^12,OFFSET(PLE!$G$15,$M86-$A$15,BZ$13)))</f>
        <v>0</v>
      </c>
      <c r="CA86" s="179">
        <f ca="1">IF(OR($D86&lt;&gt;"Serviço",AND(AUTOEVENTO="Manual",$M86=$A$15),$M86&gt;(ROW(PLE.lastrow)-ROW(PLE.firstrow))),0,
           IF(OFFSET(PLE!$G$15,$M86-$A$15,CA$13)="",10^12,OFFSET(PLE!$G$15,$M86-$A$15,CA$13)))</f>
        <v>0</v>
      </c>
      <c r="CB86" s="179">
        <f ca="1">IF(OR($D86&lt;&gt;"Serviço",AND(AUTOEVENTO="Manual",$M86=$A$15),$M86&gt;(ROW(PLE.lastrow)-ROW(PLE.firstrow))),0,
           IF(OFFSET(PLE!$G$15,$M86-$A$15,CB$13)="",10^12,OFFSET(PLE!$G$15,$M86-$A$15,CB$13)))</f>
        <v>0</v>
      </c>
      <c r="CC86" s="179">
        <f ca="1">IF(OR($D86&lt;&gt;"Serviço",AND(AUTOEVENTO="Manual",$M86=$A$15),$M86&gt;(ROW(PLE.lastrow)-ROW(PLE.firstrow))),0,
           IF(OFFSET(PLE!$G$15,$M86-$A$15,CC$13)="",10^12,OFFSET(PLE!$G$15,$M86-$A$15,CC$13)))</f>
        <v>0</v>
      </c>
      <c r="CD86" s="179">
        <f ca="1">IF(OR($D86&lt;&gt;"Serviço",AND(AUTOEVENTO="Manual",$M86=$A$15),$M86&gt;(ROW(PLE.lastrow)-ROW(PLE.firstrow))),0,
           IF(OFFSET(PLE!$G$15,$M86-$A$15,CD$13)="",10^12,OFFSET(PLE!$G$15,$M86-$A$15,CD$13)))</f>
        <v>0</v>
      </c>
      <c r="CE86" s="179">
        <f ca="1">IF(OR($D86&lt;&gt;"Serviço",AND(AUTOEVENTO="Manual",$M86=$A$15),$M86&gt;(ROW(PLE.lastrow)-ROW(PLE.firstrow))),0,
           IF(OFFSET(PLE!$G$15,$M86-$A$15,CE$13)="",10^12,OFFSET(PLE!$G$15,$M86-$A$15,CE$13)))</f>
        <v>0</v>
      </c>
      <c r="CF86" s="179">
        <f ca="1">IF(OR($D86&lt;&gt;"Serviço",AND(AUTOEVENTO="Manual",$M86=$A$15),$M86&gt;(ROW(PLE.lastrow)-ROW(PLE.firstrow))),0,
           IF(OFFSET(PLE!$G$15,$M86-$A$15,CF$13)="",10^12,OFFSET(PLE!$G$15,$M86-$A$15,CF$13)))</f>
        <v>0</v>
      </c>
      <c r="CG86" s="179">
        <f ca="1">IF(OR($D86&lt;&gt;"Serviço",AND(AUTOEVENTO="Manual",$M86=$A$15),$M86&gt;(ROW(PLE.lastrow)-ROW(PLE.firstrow))),0,
           IF(OFFSET(PLE!$G$15,$M86-$A$15,CG$13)="",10^12,OFFSET(PLE!$G$15,$M86-$A$15,CG$13)))</f>
        <v>0</v>
      </c>
      <c r="CH86" s="179">
        <f ca="1">IF(OR($D86&lt;&gt;"Serviço",AND(AUTOEVENTO="Manual",$M86=$A$15),$M86&gt;(ROW(PLE.lastrow)-ROW(PLE.firstrow))),0,
           IF(OFFSET(PLE!$G$15,$M86-$A$15,CH$13)="",10^12,OFFSET(PLE!$G$15,$M86-$A$15,CH$13)))</f>
        <v>0</v>
      </c>
      <c r="CI86" s="179">
        <f ca="1">IF(OR($D86&lt;&gt;"Serviço",AND(AUTOEVENTO="Manual",$M86=$A$15),$M86&gt;(ROW(PLE.lastrow)-ROW(PLE.firstrow))),0,
           IF(OFFSET(PLE!$G$15,$M86-$A$15,CI$13)="",10^12,OFFSET(PLE!$G$15,$M86-$A$15,CI$13)))</f>
        <v>0</v>
      </c>
      <c r="CJ86" s="179">
        <f ca="1">IF(OR($D86&lt;&gt;"Serviço",AND(AUTOEVENTO="Manual",$M86=$A$15),$M86&gt;(ROW(PLE.lastrow)-ROW(PLE.firstrow))),0,
           IF(OFFSET(PLE!$G$15,$M86-$A$15,CJ$13)="",10^12,OFFSET(PLE!$G$15,$M86-$A$15,CJ$13)))</f>
        <v>0</v>
      </c>
      <c r="CK86" s="179">
        <f ca="1">IF(OR($D86&lt;&gt;"Serviço",AND(AUTOEVENTO="Manual",$M86=$A$15),$M86&gt;(ROW(PLE.lastrow)-ROW(PLE.firstrow))),0,
           IF(OFFSET(PLE!$G$15,$M86-$A$15,CK$13)="",10^12,OFFSET(PLE!$G$15,$M86-$A$15,CK$13)))</f>
        <v>0</v>
      </c>
      <c r="CL86" s="179">
        <f ca="1">IF(OR($D86&lt;&gt;"Serviço",AND(AUTOEVENTO="Manual",$M86=$A$15),$M86&gt;(ROW(PLE.lastrow)-ROW(PLE.firstrow))),0,
           IF(OFFSET(PLE!$G$15,$M86-$A$15,CL$13)="",10^12,OFFSET(PLE!$G$15,$M86-$A$15,CL$13)))</f>
        <v>0</v>
      </c>
      <c r="CM86" s="179">
        <f ca="1">IF(OR($D86&lt;&gt;"Serviço",AND(AUTOEVENTO="Manual",$M86=$A$15),$M86&gt;(ROW(PLE.lastrow)-ROW(PLE.firstrow))),0,
           IF(OFFSET(PLE!$G$15,$M86-$A$15,CM$13)="",10^12,OFFSET(PLE!$G$15,$M86-$A$15,CM$13)))</f>
        <v>0</v>
      </c>
    </row>
    <row r="87" spans="1:91" ht="38.25" x14ac:dyDescent="0.2">
      <c r="A87" s="7" t="str">
        <f ca="1">IF(AUTOEVENTO="Manual",IF(K87&lt;&gt;"",MIN(VALUE(LEFT(K87,FIND(".",K87)-1)),COUNTA(EVENTOS.Lista)),0),IF(OR($B87&gt;AUTOEVENTO,$B87="S",$B87=0),SUBSTITUTE(OFFSET($A87,-1,0),IF($D87="Serviço",".",""),""),ROW(A87)-ROW($A$15)&amp;"."))</f>
        <v>71</v>
      </c>
      <c r="B87" s="7" t="str">
        <f ca="1">OFFSET(ORÇAMENTO!C$15,ROW(B87)-ROW(B$15),0)</f>
        <v>S</v>
      </c>
      <c r="C87" s="7" t="str">
        <f ca="1">OFFSET(ORÇAMENTO!L$15,ROW(C87)-ROW(C$15),0)</f>
        <v>F</v>
      </c>
      <c r="D87" s="118" t="str">
        <f ca="1">OFFSET(ORÇAMENTO!N$15,ROW(D87)-ROW(D$15),0)</f>
        <v>Serviço</v>
      </c>
      <c r="E87" s="119" t="str">
        <f ca="1">OFFSET(ORÇAMENTO!O$15,ROW(E87)-ROW(E$15),0)</f>
        <v>1.12.0.0.1.</v>
      </c>
      <c r="F87" s="170" t="str">
        <f ca="1">OFFSET(ORÇAMENTO!R$15,ROW(F87)-ROW(F$15),0)</f>
        <v>CAIXA RETANGULAR 4" X 2" BAIXA (0,30 M DO PISO), METÁLICA, INSTALADA EM PAREDE - FORNECIMENTO E INSTALAÇÃO. AF_03/2023</v>
      </c>
      <c r="G87" s="171" t="str">
        <f ca="1">IF($D87&lt;&gt;"Serviço","",OFFSET(ORÇAMENTO!S$15,ROW(G87)-ROW(G$15),0))</f>
        <v>UN</v>
      </c>
      <c r="H87" s="124" cm="1">
        <f t="array" aca="1" ref="H87" ca="1">IF($D87&lt;&gt;"Serviço",0,IF(_xlfn.SINGLE(ACOMPANHAMENTO)="BM",ROUND(OFFSET(ORÇAMENTO!AJ$15,ROW(H87)-ROW(H$15),0),15-13*ORÇAMENTO!$AF$7),SUMPRODUCT(($Q$1:$AI$1)*ROUND($Q87:$AI87,15-13*ORÇAMENTO!$AF$7))))</f>
        <v>1</v>
      </c>
      <c r="I87" s="500" t="s">
        <v>1019</v>
      </c>
      <c r="J87" s="632" t="str" cm="1">
        <f t="array" aca="1" ref="J87" ca="1">IF(B87&lt;&gt;"S","",IF(AND(ACOMPANHAMENTO="PLE",AUTOEVENTO="Manual",OR(H87&gt;0,ORÇAMENTO!AC87="QUANT."),OR(K87="",M87=0,N87="")),"►",IF(AND(ACOMPANHAMENTO="PLE",ORÇAMENTO!AC87="QUANT."),"►►",IF(AND(COUNTIF($P$11:$AI$11,"▼")=0,H87&gt;0,I87=""),"◄",""))))</f>
        <v/>
      </c>
      <c r="K87" s="624"/>
      <c r="L87" s="172" t="s">
        <v>253</v>
      </c>
      <c r="M87" s="173">
        <f ca="1">IF($D87&lt;&gt;"Serviço","",
          IF(AUTOEVENTO="manual",$A87,
                IF(ISERROR(MATCH($A87,$A$15:OFFSET($A87,-1,0),0)),MAX($M$15:OFFSET(M87,-1,0))+1,
                      INDEX($M$15:OFFSET(M87,-1,0),MATCH($A87,$A$15:OFFSET($A87,-1,0),0)))))</f>
        <v>12</v>
      </c>
      <c r="N87" s="174" t="str">
        <f ca="1">IF($D87&lt;&gt;"Serviço","",
         IF(AUTOEVENTO="Manual",
                IF($A87=0,"&lt;-- defina o número do agrupador",
                       OFFSET(EVENTOS!$D$15,$A87-$A$15,0)),
                OFFSET($F$15,$A87,0)))</f>
        <v>INSTALAÇÕES ELÉTRICAS</v>
      </c>
      <c r="O87" s="175"/>
      <c r="Q87" s="175"/>
      <c r="R87" s="176"/>
      <c r="S87" s="176"/>
      <c r="T87" s="176">
        <v>1</v>
      </c>
      <c r="U87" s="176"/>
      <c r="V87" s="176"/>
      <c r="W87" s="176"/>
      <c r="X87" s="176"/>
      <c r="Y87" s="176"/>
      <c r="Z87" s="177"/>
      <c r="AA87" s="176"/>
      <c r="AB87" s="176"/>
      <c r="AC87" s="176"/>
      <c r="AD87" s="176"/>
      <c r="AE87" s="176"/>
      <c r="AF87" s="176"/>
      <c r="AG87" s="176"/>
      <c r="AH87" s="177"/>
      <c r="AJ87" s="485">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85">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L87" s="485">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0</v>
      </c>
      <c r="AM87" s="485">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17.239999999999998</v>
      </c>
      <c r="AN87" s="485">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0</v>
      </c>
      <c r="AO87" s="485">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85">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85">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85">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85">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85">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85">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85">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85">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85">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85">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85">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85">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8">
        <f ca="1">IF(OR($D87&lt;&gt;"Serviço",AND(AUTOEVENTO="Manual",$M87=$A$15)),0,
         IF(OFFSET(CRONOPLE!$F$15,$M87-$A$15,BC$13)="",10^12,OFFSET(CRONOPLE!$F$15,$M87-$A$15,BC$13)))</f>
        <v>1</v>
      </c>
      <c r="BD87" s="178">
        <f ca="1">IF(OR($D87&lt;&gt;"Serviço",AND(AUTOEVENTO="Manual",$M87=$A$15)),0,
         IF(OFFSET(CRONOPLE!$F$15,$M87-$A$15,BD$13)="",10^12,OFFSET(CRONOPLE!$F$15,$M87-$A$15,BD$13)))</f>
        <v>2</v>
      </c>
      <c r="BE87" s="178">
        <f ca="1">IF(OR($D87&lt;&gt;"Serviço",AND(AUTOEVENTO="Manual",$M87=$A$15)),0,
         IF(OFFSET(CRONOPLE!$F$15,$M87-$A$15,BE$13)="",10^12,OFFSET(CRONOPLE!$F$15,$M87-$A$15,BE$13)))</f>
        <v>1000000000000</v>
      </c>
      <c r="BF87" s="178">
        <f ca="1">IF(OR($D87&lt;&gt;"Serviço",AND(AUTOEVENTO="Manual",$M87=$A$15)),0,
         IF(OFFSET(CRONOPLE!$F$15,$M87-$A$15,BF$13)="",10^12,OFFSET(CRONOPLE!$F$15,$M87-$A$15,BF$13)))</f>
        <v>4</v>
      </c>
      <c r="BG87" s="178">
        <f ca="1">IF(OR($D87&lt;&gt;"Serviço",AND(AUTOEVENTO="Manual",$M87=$A$15)),0,
         IF(OFFSET(CRONOPLE!$F$15,$M87-$A$15,BG$13)="",10^12,OFFSET(CRONOPLE!$F$15,$M87-$A$15,BG$13)))</f>
        <v>5</v>
      </c>
      <c r="BH87" s="178">
        <f ca="1">IF(OR($D87&lt;&gt;"Serviço",AND(AUTOEVENTO="Manual",$M87=$A$15)),0,
         IF(OFFSET(CRONOPLE!$F$15,$M87-$A$15,BH$13)="",10^12,OFFSET(CRONOPLE!$F$15,$M87-$A$15,BH$13)))</f>
        <v>6</v>
      </c>
      <c r="BI87" s="178">
        <f ca="1">IF(OR($D87&lt;&gt;"Serviço",AND(AUTOEVENTO="Manual",$M87=$A$15)),0,
         IF(OFFSET(CRONOPLE!$F$15,$M87-$A$15,BI$13)="",10^12,OFFSET(CRONOPLE!$F$15,$M87-$A$15,BI$13)))</f>
        <v>7</v>
      </c>
      <c r="BJ87" s="178">
        <f ca="1">IF(OR($D87&lt;&gt;"Serviço",AND(AUTOEVENTO="Manual",$M87=$A$15)),0,
         IF(OFFSET(CRONOPLE!$F$15,$M87-$A$15,BJ$13)="",10^12,OFFSET(CRONOPLE!$F$15,$M87-$A$15,BJ$13)))</f>
        <v>8</v>
      </c>
      <c r="BK87" s="178">
        <f ca="1">IF(OR($D87&lt;&gt;"Serviço",AND(AUTOEVENTO="Manual",$M87=$A$15)),0,
         IF(OFFSET(CRONOPLE!$F$15,$M87-$A$15,BK$13)="",10^12,OFFSET(CRONOPLE!$F$15,$M87-$A$15,BK$13)))</f>
        <v>9</v>
      </c>
      <c r="BL87" s="178">
        <f ca="1">IF(OR($D87&lt;&gt;"Serviço",AND(AUTOEVENTO="Manual",$M87=$A$15)),0,
         IF(OFFSET(CRONOPLE!$F$15,$M87-$A$15,BL$13)="",10^12,OFFSET(CRONOPLE!$F$15,$M87-$A$15,BL$13)))</f>
        <v>10</v>
      </c>
      <c r="BM87" s="178">
        <f ca="1">IF(OR($D87&lt;&gt;"Serviço",AND(AUTOEVENTO="Manual",$M87=$A$15)),0,
         IF(OFFSET(CRONOPLE!$F$15,$M87-$A$15,BM$13)="",10^12,OFFSET(CRONOPLE!$F$15,$M87-$A$15,BM$13)))</f>
        <v>1000000000000</v>
      </c>
      <c r="BN87" s="178">
        <f ca="1">IF(OR($D87&lt;&gt;"Serviço",AND(AUTOEVENTO="Manual",$M87=$A$15)),0,
         IF(OFFSET(CRONOPLE!$F$15,$M87-$A$15,BN$13)="",10^12,OFFSET(CRONOPLE!$F$15,$M87-$A$15,BN$13)))</f>
        <v>1000000000000</v>
      </c>
      <c r="BO87" s="178">
        <f ca="1">IF(OR($D87&lt;&gt;"Serviço",AND(AUTOEVENTO="Manual",$M87=$A$15)),0,
         IF(OFFSET(CRONOPLE!$F$15,$M87-$A$15,BO$13)="",10^12,OFFSET(CRONOPLE!$F$15,$M87-$A$15,BO$13)))</f>
        <v>1000000000000</v>
      </c>
      <c r="BP87" s="178">
        <f ca="1">IF(OR($D87&lt;&gt;"Serviço",AND(AUTOEVENTO="Manual",$M87=$A$15)),0,
         IF(OFFSET(CRONOPLE!$F$15,$M87-$A$15,BP$13)="",10^12,OFFSET(CRONOPLE!$F$15,$M87-$A$15,BP$13)))</f>
        <v>1000000000000</v>
      </c>
      <c r="BQ87" s="178">
        <f ca="1">IF(OR($D87&lt;&gt;"Serviço",AND(AUTOEVENTO="Manual",$M87=$A$15)),0,
         IF(OFFSET(CRONOPLE!$F$15,$M87-$A$15,BQ$13)="",10^12,OFFSET(CRONOPLE!$F$15,$M87-$A$15,BQ$13)))</f>
        <v>15</v>
      </c>
      <c r="BR87" s="178">
        <f ca="1">IF(OR($D87&lt;&gt;"Serviço",AND(AUTOEVENTO="Manual",$M87=$A$15)),0,
         IF(OFFSET(CRONOPLE!$F$15,$M87-$A$15,BR$13)="",10^12,OFFSET(CRONOPLE!$F$15,$M87-$A$15,BR$13)))</f>
        <v>1000000000000</v>
      </c>
      <c r="BS87" s="178">
        <f ca="1">IF(OR($D87&lt;&gt;"Serviço",AND(AUTOEVENTO="Manual",$M87=$A$15)),0,
         IF(OFFSET(CRONOPLE!$F$15,$M87-$A$15,BS$13)="",10^12,OFFSET(CRONOPLE!$F$15,$M87-$A$15,BS$13)))</f>
        <v>1000000000000</v>
      </c>
      <c r="BT87" s="178">
        <f ca="1">IF(OR($D87&lt;&gt;"Serviço",AND(AUTOEVENTO="Manual",$M87=$A$15)),0,
         IF(OFFSET(CRONOPLE!$F$15,$M87-$A$15,BT$13)="",10^12,OFFSET(CRONOPLE!$F$15,$M87-$A$15,BT$13)))</f>
        <v>1000000000000</v>
      </c>
      <c r="BV87" s="179">
        <f ca="1">IF(OR($D87&lt;&gt;"Serviço",AND(AUTOEVENTO="Manual",$M87=$A$15),$M87&gt;(ROW(PLE.lastrow)-ROW(PLE.firstrow))),0,
           IF(OFFSET(PLE!$G$15,$M87-$A$15,BV$13)="",10^12,OFFSET(PLE!$G$15,$M87-$A$15,BV$13)))</f>
        <v>1000000000000</v>
      </c>
      <c r="BW87" s="179">
        <f ca="1">IF(OR($D87&lt;&gt;"Serviço",AND(AUTOEVENTO="Manual",$M87=$A$15),$M87&gt;(ROW(PLE.lastrow)-ROW(PLE.firstrow))),0,
           IF(OFFSET(PLE!$G$15,$M87-$A$15,BW$13)="",10^12,OFFSET(PLE!$G$15,$M87-$A$15,BW$13)))</f>
        <v>1000000000000</v>
      </c>
      <c r="BX87" s="179">
        <f ca="1">IF(OR($D87&lt;&gt;"Serviço",AND(AUTOEVENTO="Manual",$M87=$A$15),$M87&gt;(ROW(PLE.lastrow)-ROW(PLE.firstrow))),0,
           IF(OFFSET(PLE!$G$15,$M87-$A$15,BX$13)="",10^12,OFFSET(PLE!$G$15,$M87-$A$15,BX$13)))</f>
        <v>1000000000000</v>
      </c>
      <c r="BY87" s="179">
        <f ca="1">IF(OR($D87&lt;&gt;"Serviço",AND(AUTOEVENTO="Manual",$M87=$A$15),$M87&gt;(ROW(PLE.lastrow)-ROW(PLE.firstrow))),0,
           IF(OFFSET(PLE!$G$15,$M87-$A$15,BY$13)="",10^12,OFFSET(PLE!$G$15,$M87-$A$15,BY$13)))</f>
        <v>1000000000000</v>
      </c>
      <c r="BZ87" s="179">
        <f ca="1">IF(OR($D87&lt;&gt;"Serviço",AND(AUTOEVENTO="Manual",$M87=$A$15),$M87&gt;(ROW(PLE.lastrow)-ROW(PLE.firstrow))),0,
           IF(OFFSET(PLE!$G$15,$M87-$A$15,BZ$13)="",10^12,OFFSET(PLE!$G$15,$M87-$A$15,BZ$13)))</f>
        <v>1000000000000</v>
      </c>
      <c r="CA87" s="179">
        <f ca="1">IF(OR($D87&lt;&gt;"Serviço",AND(AUTOEVENTO="Manual",$M87=$A$15),$M87&gt;(ROW(PLE.lastrow)-ROW(PLE.firstrow))),0,
           IF(OFFSET(PLE!$G$15,$M87-$A$15,CA$13)="",10^12,OFFSET(PLE!$G$15,$M87-$A$15,CA$13)))</f>
        <v>1000000000000</v>
      </c>
      <c r="CB87" s="179">
        <f ca="1">IF(OR($D87&lt;&gt;"Serviço",AND(AUTOEVENTO="Manual",$M87=$A$15),$M87&gt;(ROW(PLE.lastrow)-ROW(PLE.firstrow))),0,
           IF(OFFSET(PLE!$G$15,$M87-$A$15,CB$13)="",10^12,OFFSET(PLE!$G$15,$M87-$A$15,CB$13)))</f>
        <v>1000000000000</v>
      </c>
      <c r="CC87" s="179">
        <f ca="1">IF(OR($D87&lt;&gt;"Serviço",AND(AUTOEVENTO="Manual",$M87=$A$15),$M87&gt;(ROW(PLE.lastrow)-ROW(PLE.firstrow))),0,
           IF(OFFSET(PLE!$G$15,$M87-$A$15,CC$13)="",10^12,OFFSET(PLE!$G$15,$M87-$A$15,CC$13)))</f>
        <v>1000000000000</v>
      </c>
      <c r="CD87" s="179">
        <f ca="1">IF(OR($D87&lt;&gt;"Serviço",AND(AUTOEVENTO="Manual",$M87=$A$15),$M87&gt;(ROW(PLE.lastrow)-ROW(PLE.firstrow))),0,
           IF(OFFSET(PLE!$G$15,$M87-$A$15,CD$13)="",10^12,OFFSET(PLE!$G$15,$M87-$A$15,CD$13)))</f>
        <v>1000000000000</v>
      </c>
      <c r="CE87" s="179">
        <f ca="1">IF(OR($D87&lt;&gt;"Serviço",AND(AUTOEVENTO="Manual",$M87=$A$15),$M87&gt;(ROW(PLE.lastrow)-ROW(PLE.firstrow))),0,
           IF(OFFSET(PLE!$G$15,$M87-$A$15,CE$13)="",10^12,OFFSET(PLE!$G$15,$M87-$A$15,CE$13)))</f>
        <v>1000000000000</v>
      </c>
      <c r="CF87" s="179">
        <f ca="1">IF(OR($D87&lt;&gt;"Serviço",AND(AUTOEVENTO="Manual",$M87=$A$15),$M87&gt;(ROW(PLE.lastrow)-ROW(PLE.firstrow))),0,
           IF(OFFSET(PLE!$G$15,$M87-$A$15,CF$13)="",10^12,OFFSET(PLE!$G$15,$M87-$A$15,CF$13)))</f>
        <v>1000000000000</v>
      </c>
      <c r="CG87" s="179">
        <f ca="1">IF(OR($D87&lt;&gt;"Serviço",AND(AUTOEVENTO="Manual",$M87=$A$15),$M87&gt;(ROW(PLE.lastrow)-ROW(PLE.firstrow))),0,
           IF(OFFSET(PLE!$G$15,$M87-$A$15,CG$13)="",10^12,OFFSET(PLE!$G$15,$M87-$A$15,CG$13)))</f>
        <v>1000000000000</v>
      </c>
      <c r="CH87" s="179">
        <f ca="1">IF(OR($D87&lt;&gt;"Serviço",AND(AUTOEVENTO="Manual",$M87=$A$15),$M87&gt;(ROW(PLE.lastrow)-ROW(PLE.firstrow))),0,
           IF(OFFSET(PLE!$G$15,$M87-$A$15,CH$13)="",10^12,OFFSET(PLE!$G$15,$M87-$A$15,CH$13)))</f>
        <v>1000000000000</v>
      </c>
      <c r="CI87" s="179">
        <f ca="1">IF(OR($D87&lt;&gt;"Serviço",AND(AUTOEVENTO="Manual",$M87=$A$15),$M87&gt;(ROW(PLE.lastrow)-ROW(PLE.firstrow))),0,
           IF(OFFSET(PLE!$G$15,$M87-$A$15,CI$13)="",10^12,OFFSET(PLE!$G$15,$M87-$A$15,CI$13)))</f>
        <v>1000000000000</v>
      </c>
      <c r="CJ87" s="179">
        <f ca="1">IF(OR($D87&lt;&gt;"Serviço",AND(AUTOEVENTO="Manual",$M87=$A$15),$M87&gt;(ROW(PLE.lastrow)-ROW(PLE.firstrow))),0,
           IF(OFFSET(PLE!$G$15,$M87-$A$15,CJ$13)="",10^12,OFFSET(PLE!$G$15,$M87-$A$15,CJ$13)))</f>
        <v>1000000000000</v>
      </c>
      <c r="CK87" s="179">
        <f ca="1">IF(OR($D87&lt;&gt;"Serviço",AND(AUTOEVENTO="Manual",$M87=$A$15),$M87&gt;(ROW(PLE.lastrow)-ROW(PLE.firstrow))),0,
           IF(OFFSET(PLE!$G$15,$M87-$A$15,CK$13)="",10^12,OFFSET(PLE!$G$15,$M87-$A$15,CK$13)))</f>
        <v>1000000000000</v>
      </c>
      <c r="CL87" s="179">
        <f ca="1">IF(OR($D87&lt;&gt;"Serviço",AND(AUTOEVENTO="Manual",$M87=$A$15),$M87&gt;(ROW(PLE.lastrow)-ROW(PLE.firstrow))),0,
           IF(OFFSET(PLE!$G$15,$M87-$A$15,CL$13)="",10^12,OFFSET(PLE!$G$15,$M87-$A$15,CL$13)))</f>
        <v>1000000000000</v>
      </c>
      <c r="CM87" s="179">
        <f ca="1">IF(OR($D87&lt;&gt;"Serviço",AND(AUTOEVENTO="Manual",$M87=$A$15),$M87&gt;(ROW(PLE.lastrow)-ROW(PLE.firstrow))),0,
           IF(OFFSET(PLE!$G$15,$M87-$A$15,CM$13)="",10^12,OFFSET(PLE!$G$15,$M87-$A$15,CM$13)))</f>
        <v>1000000000000</v>
      </c>
    </row>
    <row r="88" spans="1:91" ht="38.25" x14ac:dyDescent="0.2">
      <c r="A88" s="7" t="str">
        <f ca="1">IF(AUTOEVENTO="Manual",IF(K88&lt;&gt;"",MIN(VALUE(LEFT(K88,FIND(".",K88)-1)),COUNTA(EVENTOS.Lista)),0),IF(OR($B88&gt;AUTOEVENTO,$B88="S",$B88=0),SUBSTITUTE(OFFSET($A88,-1,0),IF($D88="Serviço",".",""),""),ROW(A88)-ROW($A$15)&amp;"."))</f>
        <v>71</v>
      </c>
      <c r="B88" s="7" t="str">
        <f ca="1">OFFSET(ORÇAMENTO!C$15,ROW(B88)-ROW(B$15),0)</f>
        <v>S</v>
      </c>
      <c r="C88" s="7" t="str">
        <f ca="1">OFFSET(ORÇAMENTO!L$15,ROW(C88)-ROW(C$15),0)</f>
        <v>F</v>
      </c>
      <c r="D88" s="118" t="str">
        <f ca="1">OFFSET(ORÇAMENTO!N$15,ROW(D88)-ROW(D$15),0)</f>
        <v>Serviço</v>
      </c>
      <c r="E88" s="119" t="str">
        <f ca="1">OFFSET(ORÇAMENTO!O$15,ROW(E88)-ROW(E$15),0)</f>
        <v>1.12.0.0.2.</v>
      </c>
      <c r="F88" s="170" t="str">
        <f ca="1">OFFSET(ORÇAMENTO!R$15,ROW(F88)-ROW(F$15),0)</f>
        <v>CONDULETE DE PVC, TIPO LB, PARA ELETRODUTO DE PVC SOLDÁVEL DN 25 MM (3/4''), APARENTE - FORNECIMENTO E INSTALAÇÃO. AF_01/2026</v>
      </c>
      <c r="G88" s="171" t="str">
        <f ca="1">IF($D88&lt;&gt;"Serviço","",OFFSET(ORÇAMENTO!S$15,ROW(G88)-ROW(G$15),0))</f>
        <v>UN</v>
      </c>
      <c r="H88" s="124" cm="1">
        <f t="array" aca="1" ref="H88" ca="1">IF($D88&lt;&gt;"Serviço",0,IF(_xlfn.SINGLE(ACOMPANHAMENTO)="BM",ROUND(OFFSET(ORÇAMENTO!AJ$15,ROW(H88)-ROW(H$15),0),15-13*ORÇAMENTO!$AF$7),SUMPRODUCT(($Q$1:$AI$1)*ROUND($Q88:$AI88,15-13*ORÇAMENTO!$AF$7))))</f>
        <v>8</v>
      </c>
      <c r="I88" s="500" t="s">
        <v>1019</v>
      </c>
      <c r="J88" s="632" t="str" cm="1">
        <f t="array" aca="1" ref="J88" ca="1">IF(B88&lt;&gt;"S","",IF(AND(ACOMPANHAMENTO="PLE",AUTOEVENTO="Manual",OR(H88&gt;0,ORÇAMENTO!AC88="QUANT."),OR(K88="",M88=0,N88="")),"►",IF(AND(ACOMPANHAMENTO="PLE",ORÇAMENTO!AC88="QUANT."),"►►",IF(AND(COUNTIF($P$11:$AI$11,"▼")=0,H88&gt;0,I88=""),"◄",""))))</f>
        <v/>
      </c>
      <c r="K88" s="624"/>
      <c r="L88" s="172" t="s">
        <v>253</v>
      </c>
      <c r="M88" s="173">
        <f ca="1">IF($D88&lt;&gt;"Serviço","",
          IF(AUTOEVENTO="manual",$A88,
                IF(ISERROR(MATCH($A88,$A$15:OFFSET($A88,-1,0),0)),MAX($M$15:OFFSET(M88,-1,0))+1,
                      INDEX($M$15:OFFSET(M88,-1,0),MATCH($A88,$A$15:OFFSET($A88,-1,0),0)))))</f>
        <v>12</v>
      </c>
      <c r="N88" s="174" t="str">
        <f ca="1">IF($D88&lt;&gt;"Serviço","",
         IF(AUTOEVENTO="Manual",
                IF($A88=0,"&lt;-- defina o número do agrupador",
                       OFFSET(EVENTOS!$D$15,$A88-$A$15,0)),
                OFFSET($F$15,$A88,0)))</f>
        <v>INSTALAÇÕES ELÉTRICAS</v>
      </c>
      <c r="O88" s="175"/>
      <c r="Q88" s="175"/>
      <c r="R88" s="176"/>
      <c r="S88" s="176"/>
      <c r="T88" s="176">
        <v>8</v>
      </c>
      <c r="U88" s="176"/>
      <c r="V88" s="176"/>
      <c r="W88" s="176"/>
      <c r="X88" s="176"/>
      <c r="Y88" s="176"/>
      <c r="Z88" s="177"/>
      <c r="AA88" s="176"/>
      <c r="AB88" s="176"/>
      <c r="AC88" s="176"/>
      <c r="AD88" s="176"/>
      <c r="AE88" s="176"/>
      <c r="AF88" s="176"/>
      <c r="AG88" s="176"/>
      <c r="AH88" s="177"/>
      <c r="AJ88" s="485">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85">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L88" s="485">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0</v>
      </c>
      <c r="AM88" s="485">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152.63999999999999</v>
      </c>
      <c r="AN88" s="485">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0</v>
      </c>
      <c r="AO88" s="485">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85">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85">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85">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85">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85">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85">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85">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85">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85">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85">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85">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85">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8">
        <f ca="1">IF(OR($D88&lt;&gt;"Serviço",AND(AUTOEVENTO="Manual",$M88=$A$15)),0,
         IF(OFFSET(CRONOPLE!$F$15,$M88-$A$15,BC$13)="",10^12,OFFSET(CRONOPLE!$F$15,$M88-$A$15,BC$13)))</f>
        <v>1</v>
      </c>
      <c r="BD88" s="178">
        <f ca="1">IF(OR($D88&lt;&gt;"Serviço",AND(AUTOEVENTO="Manual",$M88=$A$15)),0,
         IF(OFFSET(CRONOPLE!$F$15,$M88-$A$15,BD$13)="",10^12,OFFSET(CRONOPLE!$F$15,$M88-$A$15,BD$13)))</f>
        <v>2</v>
      </c>
      <c r="BE88" s="178">
        <f ca="1">IF(OR($D88&lt;&gt;"Serviço",AND(AUTOEVENTO="Manual",$M88=$A$15)),0,
         IF(OFFSET(CRONOPLE!$F$15,$M88-$A$15,BE$13)="",10^12,OFFSET(CRONOPLE!$F$15,$M88-$A$15,BE$13)))</f>
        <v>1000000000000</v>
      </c>
      <c r="BF88" s="178">
        <f ca="1">IF(OR($D88&lt;&gt;"Serviço",AND(AUTOEVENTO="Manual",$M88=$A$15)),0,
         IF(OFFSET(CRONOPLE!$F$15,$M88-$A$15,BF$13)="",10^12,OFFSET(CRONOPLE!$F$15,$M88-$A$15,BF$13)))</f>
        <v>4</v>
      </c>
      <c r="BG88" s="178">
        <f ca="1">IF(OR($D88&lt;&gt;"Serviço",AND(AUTOEVENTO="Manual",$M88=$A$15)),0,
         IF(OFFSET(CRONOPLE!$F$15,$M88-$A$15,BG$13)="",10^12,OFFSET(CRONOPLE!$F$15,$M88-$A$15,BG$13)))</f>
        <v>5</v>
      </c>
      <c r="BH88" s="178">
        <f ca="1">IF(OR($D88&lt;&gt;"Serviço",AND(AUTOEVENTO="Manual",$M88=$A$15)),0,
         IF(OFFSET(CRONOPLE!$F$15,$M88-$A$15,BH$13)="",10^12,OFFSET(CRONOPLE!$F$15,$M88-$A$15,BH$13)))</f>
        <v>6</v>
      </c>
      <c r="BI88" s="178">
        <f ca="1">IF(OR($D88&lt;&gt;"Serviço",AND(AUTOEVENTO="Manual",$M88=$A$15)),0,
         IF(OFFSET(CRONOPLE!$F$15,$M88-$A$15,BI$13)="",10^12,OFFSET(CRONOPLE!$F$15,$M88-$A$15,BI$13)))</f>
        <v>7</v>
      </c>
      <c r="BJ88" s="178">
        <f ca="1">IF(OR($D88&lt;&gt;"Serviço",AND(AUTOEVENTO="Manual",$M88=$A$15)),0,
         IF(OFFSET(CRONOPLE!$F$15,$M88-$A$15,BJ$13)="",10^12,OFFSET(CRONOPLE!$F$15,$M88-$A$15,BJ$13)))</f>
        <v>8</v>
      </c>
      <c r="BK88" s="178">
        <f ca="1">IF(OR($D88&lt;&gt;"Serviço",AND(AUTOEVENTO="Manual",$M88=$A$15)),0,
         IF(OFFSET(CRONOPLE!$F$15,$M88-$A$15,BK$13)="",10^12,OFFSET(CRONOPLE!$F$15,$M88-$A$15,BK$13)))</f>
        <v>9</v>
      </c>
      <c r="BL88" s="178">
        <f ca="1">IF(OR($D88&lt;&gt;"Serviço",AND(AUTOEVENTO="Manual",$M88=$A$15)),0,
         IF(OFFSET(CRONOPLE!$F$15,$M88-$A$15,BL$13)="",10^12,OFFSET(CRONOPLE!$F$15,$M88-$A$15,BL$13)))</f>
        <v>10</v>
      </c>
      <c r="BM88" s="178">
        <f ca="1">IF(OR($D88&lt;&gt;"Serviço",AND(AUTOEVENTO="Manual",$M88=$A$15)),0,
         IF(OFFSET(CRONOPLE!$F$15,$M88-$A$15,BM$13)="",10^12,OFFSET(CRONOPLE!$F$15,$M88-$A$15,BM$13)))</f>
        <v>1000000000000</v>
      </c>
      <c r="BN88" s="178">
        <f ca="1">IF(OR($D88&lt;&gt;"Serviço",AND(AUTOEVENTO="Manual",$M88=$A$15)),0,
         IF(OFFSET(CRONOPLE!$F$15,$M88-$A$15,BN$13)="",10^12,OFFSET(CRONOPLE!$F$15,$M88-$A$15,BN$13)))</f>
        <v>1000000000000</v>
      </c>
      <c r="BO88" s="178">
        <f ca="1">IF(OR($D88&lt;&gt;"Serviço",AND(AUTOEVENTO="Manual",$M88=$A$15)),0,
         IF(OFFSET(CRONOPLE!$F$15,$M88-$A$15,BO$13)="",10^12,OFFSET(CRONOPLE!$F$15,$M88-$A$15,BO$13)))</f>
        <v>1000000000000</v>
      </c>
      <c r="BP88" s="178">
        <f ca="1">IF(OR($D88&lt;&gt;"Serviço",AND(AUTOEVENTO="Manual",$M88=$A$15)),0,
         IF(OFFSET(CRONOPLE!$F$15,$M88-$A$15,BP$13)="",10^12,OFFSET(CRONOPLE!$F$15,$M88-$A$15,BP$13)))</f>
        <v>1000000000000</v>
      </c>
      <c r="BQ88" s="178">
        <f ca="1">IF(OR($D88&lt;&gt;"Serviço",AND(AUTOEVENTO="Manual",$M88=$A$15)),0,
         IF(OFFSET(CRONOPLE!$F$15,$M88-$A$15,BQ$13)="",10^12,OFFSET(CRONOPLE!$F$15,$M88-$A$15,BQ$13)))</f>
        <v>15</v>
      </c>
      <c r="BR88" s="178">
        <f ca="1">IF(OR($D88&lt;&gt;"Serviço",AND(AUTOEVENTO="Manual",$M88=$A$15)),0,
         IF(OFFSET(CRONOPLE!$F$15,$M88-$A$15,BR$13)="",10^12,OFFSET(CRONOPLE!$F$15,$M88-$A$15,BR$13)))</f>
        <v>1000000000000</v>
      </c>
      <c r="BS88" s="178">
        <f ca="1">IF(OR($D88&lt;&gt;"Serviço",AND(AUTOEVENTO="Manual",$M88=$A$15)),0,
         IF(OFFSET(CRONOPLE!$F$15,$M88-$A$15,BS$13)="",10^12,OFFSET(CRONOPLE!$F$15,$M88-$A$15,BS$13)))</f>
        <v>1000000000000</v>
      </c>
      <c r="BT88" s="178">
        <f ca="1">IF(OR($D88&lt;&gt;"Serviço",AND(AUTOEVENTO="Manual",$M88=$A$15)),0,
         IF(OFFSET(CRONOPLE!$F$15,$M88-$A$15,BT$13)="",10^12,OFFSET(CRONOPLE!$F$15,$M88-$A$15,BT$13)))</f>
        <v>1000000000000</v>
      </c>
      <c r="BV88" s="179">
        <f ca="1">IF(OR($D88&lt;&gt;"Serviço",AND(AUTOEVENTO="Manual",$M88=$A$15),$M88&gt;(ROW(PLE.lastrow)-ROW(PLE.firstrow))),0,
           IF(OFFSET(PLE!$G$15,$M88-$A$15,BV$13)="",10^12,OFFSET(PLE!$G$15,$M88-$A$15,BV$13)))</f>
        <v>1000000000000</v>
      </c>
      <c r="BW88" s="179">
        <f ca="1">IF(OR($D88&lt;&gt;"Serviço",AND(AUTOEVENTO="Manual",$M88=$A$15),$M88&gt;(ROW(PLE.lastrow)-ROW(PLE.firstrow))),0,
           IF(OFFSET(PLE!$G$15,$M88-$A$15,BW$13)="",10^12,OFFSET(PLE!$G$15,$M88-$A$15,BW$13)))</f>
        <v>1000000000000</v>
      </c>
      <c r="BX88" s="179">
        <f ca="1">IF(OR($D88&lt;&gt;"Serviço",AND(AUTOEVENTO="Manual",$M88=$A$15),$M88&gt;(ROW(PLE.lastrow)-ROW(PLE.firstrow))),0,
           IF(OFFSET(PLE!$G$15,$M88-$A$15,BX$13)="",10^12,OFFSET(PLE!$G$15,$M88-$A$15,BX$13)))</f>
        <v>1000000000000</v>
      </c>
      <c r="BY88" s="179">
        <f ca="1">IF(OR($D88&lt;&gt;"Serviço",AND(AUTOEVENTO="Manual",$M88=$A$15),$M88&gt;(ROW(PLE.lastrow)-ROW(PLE.firstrow))),0,
           IF(OFFSET(PLE!$G$15,$M88-$A$15,BY$13)="",10^12,OFFSET(PLE!$G$15,$M88-$A$15,BY$13)))</f>
        <v>1000000000000</v>
      </c>
      <c r="BZ88" s="179">
        <f ca="1">IF(OR($D88&lt;&gt;"Serviço",AND(AUTOEVENTO="Manual",$M88=$A$15),$M88&gt;(ROW(PLE.lastrow)-ROW(PLE.firstrow))),0,
           IF(OFFSET(PLE!$G$15,$M88-$A$15,BZ$13)="",10^12,OFFSET(PLE!$G$15,$M88-$A$15,BZ$13)))</f>
        <v>1000000000000</v>
      </c>
      <c r="CA88" s="179">
        <f ca="1">IF(OR($D88&lt;&gt;"Serviço",AND(AUTOEVENTO="Manual",$M88=$A$15),$M88&gt;(ROW(PLE.lastrow)-ROW(PLE.firstrow))),0,
           IF(OFFSET(PLE!$G$15,$M88-$A$15,CA$13)="",10^12,OFFSET(PLE!$G$15,$M88-$A$15,CA$13)))</f>
        <v>1000000000000</v>
      </c>
      <c r="CB88" s="179">
        <f ca="1">IF(OR($D88&lt;&gt;"Serviço",AND(AUTOEVENTO="Manual",$M88=$A$15),$M88&gt;(ROW(PLE.lastrow)-ROW(PLE.firstrow))),0,
           IF(OFFSET(PLE!$G$15,$M88-$A$15,CB$13)="",10^12,OFFSET(PLE!$G$15,$M88-$A$15,CB$13)))</f>
        <v>1000000000000</v>
      </c>
      <c r="CC88" s="179">
        <f ca="1">IF(OR($D88&lt;&gt;"Serviço",AND(AUTOEVENTO="Manual",$M88=$A$15),$M88&gt;(ROW(PLE.lastrow)-ROW(PLE.firstrow))),0,
           IF(OFFSET(PLE!$G$15,$M88-$A$15,CC$13)="",10^12,OFFSET(PLE!$G$15,$M88-$A$15,CC$13)))</f>
        <v>1000000000000</v>
      </c>
      <c r="CD88" s="179">
        <f ca="1">IF(OR($D88&lt;&gt;"Serviço",AND(AUTOEVENTO="Manual",$M88=$A$15),$M88&gt;(ROW(PLE.lastrow)-ROW(PLE.firstrow))),0,
           IF(OFFSET(PLE!$G$15,$M88-$A$15,CD$13)="",10^12,OFFSET(PLE!$G$15,$M88-$A$15,CD$13)))</f>
        <v>1000000000000</v>
      </c>
      <c r="CE88" s="179">
        <f ca="1">IF(OR($D88&lt;&gt;"Serviço",AND(AUTOEVENTO="Manual",$M88=$A$15),$M88&gt;(ROW(PLE.lastrow)-ROW(PLE.firstrow))),0,
           IF(OFFSET(PLE!$G$15,$M88-$A$15,CE$13)="",10^12,OFFSET(PLE!$G$15,$M88-$A$15,CE$13)))</f>
        <v>1000000000000</v>
      </c>
      <c r="CF88" s="179">
        <f ca="1">IF(OR($D88&lt;&gt;"Serviço",AND(AUTOEVENTO="Manual",$M88=$A$15),$M88&gt;(ROW(PLE.lastrow)-ROW(PLE.firstrow))),0,
           IF(OFFSET(PLE!$G$15,$M88-$A$15,CF$13)="",10^12,OFFSET(PLE!$G$15,$M88-$A$15,CF$13)))</f>
        <v>1000000000000</v>
      </c>
      <c r="CG88" s="179">
        <f ca="1">IF(OR($D88&lt;&gt;"Serviço",AND(AUTOEVENTO="Manual",$M88=$A$15),$M88&gt;(ROW(PLE.lastrow)-ROW(PLE.firstrow))),0,
           IF(OFFSET(PLE!$G$15,$M88-$A$15,CG$13)="",10^12,OFFSET(PLE!$G$15,$M88-$A$15,CG$13)))</f>
        <v>1000000000000</v>
      </c>
      <c r="CH88" s="179">
        <f ca="1">IF(OR($D88&lt;&gt;"Serviço",AND(AUTOEVENTO="Manual",$M88=$A$15),$M88&gt;(ROW(PLE.lastrow)-ROW(PLE.firstrow))),0,
           IF(OFFSET(PLE!$G$15,$M88-$A$15,CH$13)="",10^12,OFFSET(PLE!$G$15,$M88-$A$15,CH$13)))</f>
        <v>1000000000000</v>
      </c>
      <c r="CI88" s="179">
        <f ca="1">IF(OR($D88&lt;&gt;"Serviço",AND(AUTOEVENTO="Manual",$M88=$A$15),$M88&gt;(ROW(PLE.lastrow)-ROW(PLE.firstrow))),0,
           IF(OFFSET(PLE!$G$15,$M88-$A$15,CI$13)="",10^12,OFFSET(PLE!$G$15,$M88-$A$15,CI$13)))</f>
        <v>1000000000000</v>
      </c>
      <c r="CJ88" s="179">
        <f ca="1">IF(OR($D88&lt;&gt;"Serviço",AND(AUTOEVENTO="Manual",$M88=$A$15),$M88&gt;(ROW(PLE.lastrow)-ROW(PLE.firstrow))),0,
           IF(OFFSET(PLE!$G$15,$M88-$A$15,CJ$13)="",10^12,OFFSET(PLE!$G$15,$M88-$A$15,CJ$13)))</f>
        <v>1000000000000</v>
      </c>
      <c r="CK88" s="179">
        <f ca="1">IF(OR($D88&lt;&gt;"Serviço",AND(AUTOEVENTO="Manual",$M88=$A$15),$M88&gt;(ROW(PLE.lastrow)-ROW(PLE.firstrow))),0,
           IF(OFFSET(PLE!$G$15,$M88-$A$15,CK$13)="",10^12,OFFSET(PLE!$G$15,$M88-$A$15,CK$13)))</f>
        <v>1000000000000</v>
      </c>
      <c r="CL88" s="179">
        <f ca="1">IF(OR($D88&lt;&gt;"Serviço",AND(AUTOEVENTO="Manual",$M88=$A$15),$M88&gt;(ROW(PLE.lastrow)-ROW(PLE.firstrow))),0,
           IF(OFFSET(PLE!$G$15,$M88-$A$15,CL$13)="",10^12,OFFSET(PLE!$G$15,$M88-$A$15,CL$13)))</f>
        <v>1000000000000</v>
      </c>
      <c r="CM88" s="179">
        <f ca="1">IF(OR($D88&lt;&gt;"Serviço",AND(AUTOEVENTO="Manual",$M88=$A$15),$M88&gt;(ROW(PLE.lastrow)-ROW(PLE.firstrow))),0,
           IF(OFFSET(PLE!$G$15,$M88-$A$15,CM$13)="",10^12,OFFSET(PLE!$G$15,$M88-$A$15,CM$13)))</f>
        <v>1000000000000</v>
      </c>
    </row>
    <row r="89" spans="1:91" ht="38.25" x14ac:dyDescent="0.2">
      <c r="A89" s="7" t="str">
        <f ca="1">IF(AUTOEVENTO="Manual",IF(K89&lt;&gt;"",MIN(VALUE(LEFT(K89,FIND(".",K89)-1)),COUNTA(EVENTOS.Lista)),0),IF(OR($B89&gt;AUTOEVENTO,$B89="S",$B89=0),SUBSTITUTE(OFFSET($A89,-1,0),IF($D89="Serviço",".",""),""),ROW(A89)-ROW($A$15)&amp;"."))</f>
        <v>71</v>
      </c>
      <c r="B89" s="7" t="str">
        <f ca="1">OFFSET(ORÇAMENTO!C$15,ROW(B89)-ROW(B$15),0)</f>
        <v>S</v>
      </c>
      <c r="C89" s="7" t="str">
        <f ca="1">OFFSET(ORÇAMENTO!L$15,ROW(C89)-ROW(C$15),0)</f>
        <v>F</v>
      </c>
      <c r="D89" s="118" t="str">
        <f ca="1">OFFSET(ORÇAMENTO!N$15,ROW(D89)-ROW(D$15),0)</f>
        <v>Serviço</v>
      </c>
      <c r="E89" s="119" t="str">
        <f ca="1">OFFSET(ORÇAMENTO!O$15,ROW(E89)-ROW(E$15),0)</f>
        <v>1.12.0.0.3.</v>
      </c>
      <c r="F89" s="170" t="str">
        <f ca="1">OFFSET(ORÇAMENTO!R$15,ROW(F89)-ROW(F$15),0)</f>
        <v>CONDULETE DE PVC, TIPO LR, PARA ELETRODUTO DE PVC SOLDÁVEL DN 25 MM (3/4''), APARENTE - FORNECIMENTO E INSTALAÇÃO. AF_01/2026</v>
      </c>
      <c r="G89" s="171" t="str">
        <f ca="1">IF($D89&lt;&gt;"Serviço","",OFFSET(ORÇAMENTO!S$15,ROW(G89)-ROW(G$15),0))</f>
        <v>UN</v>
      </c>
      <c r="H89" s="124" cm="1">
        <f t="array" aca="1" ref="H89" ca="1">IF($D89&lt;&gt;"Serviço",0,IF(_xlfn.SINGLE(ACOMPANHAMENTO)="BM",ROUND(OFFSET(ORÇAMENTO!AJ$15,ROW(H89)-ROW(H$15),0),15-13*ORÇAMENTO!$AF$7),SUMPRODUCT(($Q$1:$AI$1)*ROUND($Q89:$AI89,15-13*ORÇAMENTO!$AF$7))))</f>
        <v>5</v>
      </c>
      <c r="I89" s="500" t="s">
        <v>1019</v>
      </c>
      <c r="J89" s="632" t="str" cm="1">
        <f t="array" aca="1" ref="J89" ca="1">IF(B89&lt;&gt;"S","",IF(AND(ACOMPANHAMENTO="PLE",AUTOEVENTO="Manual",OR(H89&gt;0,ORÇAMENTO!AC89="QUANT."),OR(K89="",M89=0,N89="")),"►",IF(AND(ACOMPANHAMENTO="PLE",ORÇAMENTO!AC89="QUANT."),"►►",IF(AND(COUNTIF($P$11:$AI$11,"▼")=0,H89&gt;0,I89=""),"◄",""))))</f>
        <v/>
      </c>
      <c r="K89" s="624"/>
      <c r="L89" s="172" t="s">
        <v>253</v>
      </c>
      <c r="M89" s="173">
        <f ca="1">IF($D89&lt;&gt;"Serviço","",
          IF(AUTOEVENTO="manual",$A89,
                IF(ISERROR(MATCH($A89,$A$15:OFFSET($A89,-1,0),0)),MAX($M$15:OFFSET(M89,-1,0))+1,
                      INDEX($M$15:OFFSET(M89,-1,0),MATCH($A89,$A$15:OFFSET($A89,-1,0),0)))))</f>
        <v>12</v>
      </c>
      <c r="N89" s="174" t="str">
        <f ca="1">IF($D89&lt;&gt;"Serviço","",
         IF(AUTOEVENTO="Manual",
                IF($A89=0,"&lt;-- defina o número do agrupador",
                       OFFSET(EVENTOS!$D$15,$A89-$A$15,0)),
                OFFSET($F$15,$A89,0)))</f>
        <v>INSTALAÇÕES ELÉTRICAS</v>
      </c>
      <c r="O89" s="175"/>
      <c r="Q89" s="175"/>
      <c r="R89" s="176"/>
      <c r="S89" s="176"/>
      <c r="T89" s="176">
        <v>5</v>
      </c>
      <c r="U89" s="176"/>
      <c r="V89" s="176"/>
      <c r="W89" s="176"/>
      <c r="X89" s="176"/>
      <c r="Y89" s="176"/>
      <c r="Z89" s="177"/>
      <c r="AA89" s="176"/>
      <c r="AB89" s="176"/>
      <c r="AC89" s="176"/>
      <c r="AD89" s="176"/>
      <c r="AE89" s="176"/>
      <c r="AF89" s="176"/>
      <c r="AG89" s="176"/>
      <c r="AH89" s="177"/>
      <c r="AJ89" s="485">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85">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L89" s="485">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0</v>
      </c>
      <c r="AM89" s="485">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158.15</v>
      </c>
      <c r="AN89" s="485">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0</v>
      </c>
      <c r="AO89" s="485">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85">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85">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85">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85">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85">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85">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85">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85">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85">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85">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85">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85">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8">
        <f ca="1">IF(OR($D89&lt;&gt;"Serviço",AND(AUTOEVENTO="Manual",$M89=$A$15)),0,
         IF(OFFSET(CRONOPLE!$F$15,$M89-$A$15,BC$13)="",10^12,OFFSET(CRONOPLE!$F$15,$M89-$A$15,BC$13)))</f>
        <v>1</v>
      </c>
      <c r="BD89" s="178">
        <f ca="1">IF(OR($D89&lt;&gt;"Serviço",AND(AUTOEVENTO="Manual",$M89=$A$15)),0,
         IF(OFFSET(CRONOPLE!$F$15,$M89-$A$15,BD$13)="",10^12,OFFSET(CRONOPLE!$F$15,$M89-$A$15,BD$13)))</f>
        <v>2</v>
      </c>
      <c r="BE89" s="178">
        <f ca="1">IF(OR($D89&lt;&gt;"Serviço",AND(AUTOEVENTO="Manual",$M89=$A$15)),0,
         IF(OFFSET(CRONOPLE!$F$15,$M89-$A$15,BE$13)="",10^12,OFFSET(CRONOPLE!$F$15,$M89-$A$15,BE$13)))</f>
        <v>1000000000000</v>
      </c>
      <c r="BF89" s="178">
        <f ca="1">IF(OR($D89&lt;&gt;"Serviço",AND(AUTOEVENTO="Manual",$M89=$A$15)),0,
         IF(OFFSET(CRONOPLE!$F$15,$M89-$A$15,BF$13)="",10^12,OFFSET(CRONOPLE!$F$15,$M89-$A$15,BF$13)))</f>
        <v>4</v>
      </c>
      <c r="BG89" s="178">
        <f ca="1">IF(OR($D89&lt;&gt;"Serviço",AND(AUTOEVENTO="Manual",$M89=$A$15)),0,
         IF(OFFSET(CRONOPLE!$F$15,$M89-$A$15,BG$13)="",10^12,OFFSET(CRONOPLE!$F$15,$M89-$A$15,BG$13)))</f>
        <v>5</v>
      </c>
      <c r="BH89" s="178">
        <f ca="1">IF(OR($D89&lt;&gt;"Serviço",AND(AUTOEVENTO="Manual",$M89=$A$15)),0,
         IF(OFFSET(CRONOPLE!$F$15,$M89-$A$15,BH$13)="",10^12,OFFSET(CRONOPLE!$F$15,$M89-$A$15,BH$13)))</f>
        <v>6</v>
      </c>
      <c r="BI89" s="178">
        <f ca="1">IF(OR($D89&lt;&gt;"Serviço",AND(AUTOEVENTO="Manual",$M89=$A$15)),0,
         IF(OFFSET(CRONOPLE!$F$15,$M89-$A$15,BI$13)="",10^12,OFFSET(CRONOPLE!$F$15,$M89-$A$15,BI$13)))</f>
        <v>7</v>
      </c>
      <c r="BJ89" s="178">
        <f ca="1">IF(OR($D89&lt;&gt;"Serviço",AND(AUTOEVENTO="Manual",$M89=$A$15)),0,
         IF(OFFSET(CRONOPLE!$F$15,$M89-$A$15,BJ$13)="",10^12,OFFSET(CRONOPLE!$F$15,$M89-$A$15,BJ$13)))</f>
        <v>8</v>
      </c>
      <c r="BK89" s="178">
        <f ca="1">IF(OR($D89&lt;&gt;"Serviço",AND(AUTOEVENTO="Manual",$M89=$A$15)),0,
         IF(OFFSET(CRONOPLE!$F$15,$M89-$A$15,BK$13)="",10^12,OFFSET(CRONOPLE!$F$15,$M89-$A$15,BK$13)))</f>
        <v>9</v>
      </c>
      <c r="BL89" s="178">
        <f ca="1">IF(OR($D89&lt;&gt;"Serviço",AND(AUTOEVENTO="Manual",$M89=$A$15)),0,
         IF(OFFSET(CRONOPLE!$F$15,$M89-$A$15,BL$13)="",10^12,OFFSET(CRONOPLE!$F$15,$M89-$A$15,BL$13)))</f>
        <v>10</v>
      </c>
      <c r="BM89" s="178">
        <f ca="1">IF(OR($D89&lt;&gt;"Serviço",AND(AUTOEVENTO="Manual",$M89=$A$15)),0,
         IF(OFFSET(CRONOPLE!$F$15,$M89-$A$15,BM$13)="",10^12,OFFSET(CRONOPLE!$F$15,$M89-$A$15,BM$13)))</f>
        <v>1000000000000</v>
      </c>
      <c r="BN89" s="178">
        <f ca="1">IF(OR($D89&lt;&gt;"Serviço",AND(AUTOEVENTO="Manual",$M89=$A$15)),0,
         IF(OFFSET(CRONOPLE!$F$15,$M89-$A$15,BN$13)="",10^12,OFFSET(CRONOPLE!$F$15,$M89-$A$15,BN$13)))</f>
        <v>1000000000000</v>
      </c>
      <c r="BO89" s="178">
        <f ca="1">IF(OR($D89&lt;&gt;"Serviço",AND(AUTOEVENTO="Manual",$M89=$A$15)),0,
         IF(OFFSET(CRONOPLE!$F$15,$M89-$A$15,BO$13)="",10^12,OFFSET(CRONOPLE!$F$15,$M89-$A$15,BO$13)))</f>
        <v>1000000000000</v>
      </c>
      <c r="BP89" s="178">
        <f ca="1">IF(OR($D89&lt;&gt;"Serviço",AND(AUTOEVENTO="Manual",$M89=$A$15)),0,
         IF(OFFSET(CRONOPLE!$F$15,$M89-$A$15,BP$13)="",10^12,OFFSET(CRONOPLE!$F$15,$M89-$A$15,BP$13)))</f>
        <v>1000000000000</v>
      </c>
      <c r="BQ89" s="178">
        <f ca="1">IF(OR($D89&lt;&gt;"Serviço",AND(AUTOEVENTO="Manual",$M89=$A$15)),0,
         IF(OFFSET(CRONOPLE!$F$15,$M89-$A$15,BQ$13)="",10^12,OFFSET(CRONOPLE!$F$15,$M89-$A$15,BQ$13)))</f>
        <v>15</v>
      </c>
      <c r="BR89" s="178">
        <f ca="1">IF(OR($D89&lt;&gt;"Serviço",AND(AUTOEVENTO="Manual",$M89=$A$15)),0,
         IF(OFFSET(CRONOPLE!$F$15,$M89-$A$15,BR$13)="",10^12,OFFSET(CRONOPLE!$F$15,$M89-$A$15,BR$13)))</f>
        <v>1000000000000</v>
      </c>
      <c r="BS89" s="178">
        <f ca="1">IF(OR($D89&lt;&gt;"Serviço",AND(AUTOEVENTO="Manual",$M89=$A$15)),0,
         IF(OFFSET(CRONOPLE!$F$15,$M89-$A$15,BS$13)="",10^12,OFFSET(CRONOPLE!$F$15,$M89-$A$15,BS$13)))</f>
        <v>1000000000000</v>
      </c>
      <c r="BT89" s="178">
        <f ca="1">IF(OR($D89&lt;&gt;"Serviço",AND(AUTOEVENTO="Manual",$M89=$A$15)),0,
         IF(OFFSET(CRONOPLE!$F$15,$M89-$A$15,BT$13)="",10^12,OFFSET(CRONOPLE!$F$15,$M89-$A$15,BT$13)))</f>
        <v>1000000000000</v>
      </c>
      <c r="BV89" s="179">
        <f ca="1">IF(OR($D89&lt;&gt;"Serviço",AND(AUTOEVENTO="Manual",$M89=$A$15),$M89&gt;(ROW(PLE.lastrow)-ROW(PLE.firstrow))),0,
           IF(OFFSET(PLE!$G$15,$M89-$A$15,BV$13)="",10^12,OFFSET(PLE!$G$15,$M89-$A$15,BV$13)))</f>
        <v>1000000000000</v>
      </c>
      <c r="BW89" s="179">
        <f ca="1">IF(OR($D89&lt;&gt;"Serviço",AND(AUTOEVENTO="Manual",$M89=$A$15),$M89&gt;(ROW(PLE.lastrow)-ROW(PLE.firstrow))),0,
           IF(OFFSET(PLE!$G$15,$M89-$A$15,BW$13)="",10^12,OFFSET(PLE!$G$15,$M89-$A$15,BW$13)))</f>
        <v>1000000000000</v>
      </c>
      <c r="BX89" s="179">
        <f ca="1">IF(OR($D89&lt;&gt;"Serviço",AND(AUTOEVENTO="Manual",$M89=$A$15),$M89&gt;(ROW(PLE.lastrow)-ROW(PLE.firstrow))),0,
           IF(OFFSET(PLE!$G$15,$M89-$A$15,BX$13)="",10^12,OFFSET(PLE!$G$15,$M89-$A$15,BX$13)))</f>
        <v>1000000000000</v>
      </c>
      <c r="BY89" s="179">
        <f ca="1">IF(OR($D89&lt;&gt;"Serviço",AND(AUTOEVENTO="Manual",$M89=$A$15),$M89&gt;(ROW(PLE.lastrow)-ROW(PLE.firstrow))),0,
           IF(OFFSET(PLE!$G$15,$M89-$A$15,BY$13)="",10^12,OFFSET(PLE!$G$15,$M89-$A$15,BY$13)))</f>
        <v>1000000000000</v>
      </c>
      <c r="BZ89" s="179">
        <f ca="1">IF(OR($D89&lt;&gt;"Serviço",AND(AUTOEVENTO="Manual",$M89=$A$15),$M89&gt;(ROW(PLE.lastrow)-ROW(PLE.firstrow))),0,
           IF(OFFSET(PLE!$G$15,$M89-$A$15,BZ$13)="",10^12,OFFSET(PLE!$G$15,$M89-$A$15,BZ$13)))</f>
        <v>1000000000000</v>
      </c>
      <c r="CA89" s="179">
        <f ca="1">IF(OR($D89&lt;&gt;"Serviço",AND(AUTOEVENTO="Manual",$M89=$A$15),$M89&gt;(ROW(PLE.lastrow)-ROW(PLE.firstrow))),0,
           IF(OFFSET(PLE!$G$15,$M89-$A$15,CA$13)="",10^12,OFFSET(PLE!$G$15,$M89-$A$15,CA$13)))</f>
        <v>1000000000000</v>
      </c>
      <c r="CB89" s="179">
        <f ca="1">IF(OR($D89&lt;&gt;"Serviço",AND(AUTOEVENTO="Manual",$M89=$A$15),$M89&gt;(ROW(PLE.lastrow)-ROW(PLE.firstrow))),0,
           IF(OFFSET(PLE!$G$15,$M89-$A$15,CB$13)="",10^12,OFFSET(PLE!$G$15,$M89-$A$15,CB$13)))</f>
        <v>1000000000000</v>
      </c>
      <c r="CC89" s="179">
        <f ca="1">IF(OR($D89&lt;&gt;"Serviço",AND(AUTOEVENTO="Manual",$M89=$A$15),$M89&gt;(ROW(PLE.lastrow)-ROW(PLE.firstrow))),0,
           IF(OFFSET(PLE!$G$15,$M89-$A$15,CC$13)="",10^12,OFFSET(PLE!$G$15,$M89-$A$15,CC$13)))</f>
        <v>1000000000000</v>
      </c>
      <c r="CD89" s="179">
        <f ca="1">IF(OR($D89&lt;&gt;"Serviço",AND(AUTOEVENTO="Manual",$M89=$A$15),$M89&gt;(ROW(PLE.lastrow)-ROW(PLE.firstrow))),0,
           IF(OFFSET(PLE!$G$15,$M89-$A$15,CD$13)="",10^12,OFFSET(PLE!$G$15,$M89-$A$15,CD$13)))</f>
        <v>1000000000000</v>
      </c>
      <c r="CE89" s="179">
        <f ca="1">IF(OR($D89&lt;&gt;"Serviço",AND(AUTOEVENTO="Manual",$M89=$A$15),$M89&gt;(ROW(PLE.lastrow)-ROW(PLE.firstrow))),0,
           IF(OFFSET(PLE!$G$15,$M89-$A$15,CE$13)="",10^12,OFFSET(PLE!$G$15,$M89-$A$15,CE$13)))</f>
        <v>1000000000000</v>
      </c>
      <c r="CF89" s="179">
        <f ca="1">IF(OR($D89&lt;&gt;"Serviço",AND(AUTOEVENTO="Manual",$M89=$A$15),$M89&gt;(ROW(PLE.lastrow)-ROW(PLE.firstrow))),0,
           IF(OFFSET(PLE!$G$15,$M89-$A$15,CF$13)="",10^12,OFFSET(PLE!$G$15,$M89-$A$15,CF$13)))</f>
        <v>1000000000000</v>
      </c>
      <c r="CG89" s="179">
        <f ca="1">IF(OR($D89&lt;&gt;"Serviço",AND(AUTOEVENTO="Manual",$M89=$A$15),$M89&gt;(ROW(PLE.lastrow)-ROW(PLE.firstrow))),0,
           IF(OFFSET(PLE!$G$15,$M89-$A$15,CG$13)="",10^12,OFFSET(PLE!$G$15,$M89-$A$15,CG$13)))</f>
        <v>1000000000000</v>
      </c>
      <c r="CH89" s="179">
        <f ca="1">IF(OR($D89&lt;&gt;"Serviço",AND(AUTOEVENTO="Manual",$M89=$A$15),$M89&gt;(ROW(PLE.lastrow)-ROW(PLE.firstrow))),0,
           IF(OFFSET(PLE!$G$15,$M89-$A$15,CH$13)="",10^12,OFFSET(PLE!$G$15,$M89-$A$15,CH$13)))</f>
        <v>1000000000000</v>
      </c>
      <c r="CI89" s="179">
        <f ca="1">IF(OR($D89&lt;&gt;"Serviço",AND(AUTOEVENTO="Manual",$M89=$A$15),$M89&gt;(ROW(PLE.lastrow)-ROW(PLE.firstrow))),0,
           IF(OFFSET(PLE!$G$15,$M89-$A$15,CI$13)="",10^12,OFFSET(PLE!$G$15,$M89-$A$15,CI$13)))</f>
        <v>1000000000000</v>
      </c>
      <c r="CJ89" s="179">
        <f ca="1">IF(OR($D89&lt;&gt;"Serviço",AND(AUTOEVENTO="Manual",$M89=$A$15),$M89&gt;(ROW(PLE.lastrow)-ROW(PLE.firstrow))),0,
           IF(OFFSET(PLE!$G$15,$M89-$A$15,CJ$13)="",10^12,OFFSET(PLE!$G$15,$M89-$A$15,CJ$13)))</f>
        <v>1000000000000</v>
      </c>
      <c r="CK89" s="179">
        <f ca="1">IF(OR($D89&lt;&gt;"Serviço",AND(AUTOEVENTO="Manual",$M89=$A$15),$M89&gt;(ROW(PLE.lastrow)-ROW(PLE.firstrow))),0,
           IF(OFFSET(PLE!$G$15,$M89-$A$15,CK$13)="",10^12,OFFSET(PLE!$G$15,$M89-$A$15,CK$13)))</f>
        <v>1000000000000</v>
      </c>
      <c r="CL89" s="179">
        <f ca="1">IF(OR($D89&lt;&gt;"Serviço",AND(AUTOEVENTO="Manual",$M89=$A$15),$M89&gt;(ROW(PLE.lastrow)-ROW(PLE.firstrow))),0,
           IF(OFFSET(PLE!$G$15,$M89-$A$15,CL$13)="",10^12,OFFSET(PLE!$G$15,$M89-$A$15,CL$13)))</f>
        <v>1000000000000</v>
      </c>
      <c r="CM89" s="179">
        <f ca="1">IF(OR($D89&lt;&gt;"Serviço",AND(AUTOEVENTO="Manual",$M89=$A$15),$M89&gt;(ROW(PLE.lastrow)-ROW(PLE.firstrow))),0,
           IF(OFFSET(PLE!$G$15,$M89-$A$15,CM$13)="",10^12,OFFSET(PLE!$G$15,$M89-$A$15,CM$13)))</f>
        <v>1000000000000</v>
      </c>
    </row>
    <row r="90" spans="1:91" ht="38.25" x14ac:dyDescent="0.2">
      <c r="A90" s="7" t="str">
        <f ca="1">IF(AUTOEVENTO="Manual",IF(K90&lt;&gt;"",MIN(VALUE(LEFT(K90,FIND(".",K90)-1)),COUNTA(EVENTOS.Lista)),0),IF(OR($B90&gt;AUTOEVENTO,$B90="S",$B90=0),SUBSTITUTE(OFFSET($A90,-1,0),IF($D90="Serviço",".",""),""),ROW(A90)-ROW($A$15)&amp;"."))</f>
        <v>71</v>
      </c>
      <c r="B90" s="7" t="str">
        <f ca="1">OFFSET(ORÇAMENTO!C$15,ROW(B90)-ROW(B$15),0)</f>
        <v>S</v>
      </c>
      <c r="C90" s="7" t="str">
        <f ca="1">OFFSET(ORÇAMENTO!L$15,ROW(C90)-ROW(C$15),0)</f>
        <v>F</v>
      </c>
      <c r="D90" s="118" t="str">
        <f ca="1">OFFSET(ORÇAMENTO!N$15,ROW(D90)-ROW(D$15),0)</f>
        <v>Serviço</v>
      </c>
      <c r="E90" s="119" t="str">
        <f ca="1">OFFSET(ORÇAMENTO!O$15,ROW(E90)-ROW(E$15),0)</f>
        <v>1.12.0.0.4.</v>
      </c>
      <c r="F90" s="170" t="str">
        <f ca="1">OFFSET(ORÇAMENTO!R$15,ROW(F90)-ROW(F$15),0)</f>
        <v>CONDULETE DE PVC, TIPO T, PARA ELETRODUTO DE PVC SOLDÁVEL DN 25 MM (3/4''), APARENTE - FORNECIMENTO E INSTALAÇÃO. AF_01/2026</v>
      </c>
      <c r="G90" s="171" t="str">
        <f ca="1">IF($D90&lt;&gt;"Serviço","",OFFSET(ORÇAMENTO!S$15,ROW(G90)-ROW(G$15),0))</f>
        <v>UN</v>
      </c>
      <c r="H90" s="124" cm="1">
        <f t="array" aca="1" ref="H90" ca="1">IF($D90&lt;&gt;"Serviço",0,IF(_xlfn.SINGLE(ACOMPANHAMENTO)="BM",ROUND(OFFSET(ORÇAMENTO!AJ$15,ROW(H90)-ROW(H$15),0),15-13*ORÇAMENTO!$AF$7),SUMPRODUCT(($Q$1:$AI$1)*ROUND($Q90:$AI90,15-13*ORÇAMENTO!$AF$7))))</f>
        <v>20</v>
      </c>
      <c r="I90" s="500" t="s">
        <v>1019</v>
      </c>
      <c r="J90" s="632" t="str" cm="1">
        <f t="array" aca="1" ref="J90" ca="1">IF(B90&lt;&gt;"S","",IF(AND(ACOMPANHAMENTO="PLE",AUTOEVENTO="Manual",OR(H90&gt;0,ORÇAMENTO!AC90="QUANT."),OR(K90="",M90=0,N90="")),"►",IF(AND(ACOMPANHAMENTO="PLE",ORÇAMENTO!AC90="QUANT."),"►►",IF(AND(COUNTIF($P$11:$AI$11,"▼")=0,H90&gt;0,I90=""),"◄",""))))</f>
        <v/>
      </c>
      <c r="K90" s="624"/>
      <c r="L90" s="172" t="s">
        <v>253</v>
      </c>
      <c r="M90" s="173">
        <f ca="1">IF($D90&lt;&gt;"Serviço","",
          IF(AUTOEVENTO="manual",$A90,
                IF(ISERROR(MATCH($A90,$A$15:OFFSET($A90,-1,0),0)),MAX($M$15:OFFSET(M90,-1,0))+1,
                      INDEX($M$15:OFFSET(M90,-1,0),MATCH($A90,$A$15:OFFSET($A90,-1,0),0)))))</f>
        <v>12</v>
      </c>
      <c r="N90" s="174" t="str">
        <f ca="1">IF($D90&lt;&gt;"Serviço","",
         IF(AUTOEVENTO="Manual",
                IF($A90=0,"&lt;-- defina o número do agrupador",
                       OFFSET(EVENTOS!$D$15,$A90-$A$15,0)),
                OFFSET($F$15,$A90,0)))</f>
        <v>INSTALAÇÕES ELÉTRICAS</v>
      </c>
      <c r="O90" s="175"/>
      <c r="Q90" s="175"/>
      <c r="R90" s="176"/>
      <c r="S90" s="176"/>
      <c r="T90" s="176">
        <v>20</v>
      </c>
      <c r="U90" s="176"/>
      <c r="V90" s="176"/>
      <c r="W90" s="176"/>
      <c r="X90" s="176"/>
      <c r="Y90" s="176"/>
      <c r="Z90" s="177"/>
      <c r="AA90" s="176"/>
      <c r="AB90" s="176"/>
      <c r="AC90" s="176"/>
      <c r="AD90" s="176"/>
      <c r="AE90" s="176"/>
      <c r="AF90" s="176"/>
      <c r="AG90" s="176"/>
      <c r="AH90" s="177"/>
      <c r="AJ90" s="485">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85">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L90" s="485">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0</v>
      </c>
      <c r="AM90" s="485">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725.8</v>
      </c>
      <c r="AN90" s="485">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0</v>
      </c>
      <c r="AO90" s="485">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85">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85">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85">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85">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85">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85">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85">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85">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85">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85">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85">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85">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8">
        <f ca="1">IF(OR($D90&lt;&gt;"Serviço",AND(AUTOEVENTO="Manual",$M90=$A$15)),0,
         IF(OFFSET(CRONOPLE!$F$15,$M90-$A$15,BC$13)="",10^12,OFFSET(CRONOPLE!$F$15,$M90-$A$15,BC$13)))</f>
        <v>1</v>
      </c>
      <c r="BD90" s="178">
        <f ca="1">IF(OR($D90&lt;&gt;"Serviço",AND(AUTOEVENTO="Manual",$M90=$A$15)),0,
         IF(OFFSET(CRONOPLE!$F$15,$M90-$A$15,BD$13)="",10^12,OFFSET(CRONOPLE!$F$15,$M90-$A$15,BD$13)))</f>
        <v>2</v>
      </c>
      <c r="BE90" s="178">
        <f ca="1">IF(OR($D90&lt;&gt;"Serviço",AND(AUTOEVENTO="Manual",$M90=$A$15)),0,
         IF(OFFSET(CRONOPLE!$F$15,$M90-$A$15,BE$13)="",10^12,OFFSET(CRONOPLE!$F$15,$M90-$A$15,BE$13)))</f>
        <v>1000000000000</v>
      </c>
      <c r="BF90" s="178">
        <f ca="1">IF(OR($D90&lt;&gt;"Serviço",AND(AUTOEVENTO="Manual",$M90=$A$15)),0,
         IF(OFFSET(CRONOPLE!$F$15,$M90-$A$15,BF$13)="",10^12,OFFSET(CRONOPLE!$F$15,$M90-$A$15,BF$13)))</f>
        <v>4</v>
      </c>
      <c r="BG90" s="178">
        <f ca="1">IF(OR($D90&lt;&gt;"Serviço",AND(AUTOEVENTO="Manual",$M90=$A$15)),0,
         IF(OFFSET(CRONOPLE!$F$15,$M90-$A$15,BG$13)="",10^12,OFFSET(CRONOPLE!$F$15,$M90-$A$15,BG$13)))</f>
        <v>5</v>
      </c>
      <c r="BH90" s="178">
        <f ca="1">IF(OR($D90&lt;&gt;"Serviço",AND(AUTOEVENTO="Manual",$M90=$A$15)),0,
         IF(OFFSET(CRONOPLE!$F$15,$M90-$A$15,BH$13)="",10^12,OFFSET(CRONOPLE!$F$15,$M90-$A$15,BH$13)))</f>
        <v>6</v>
      </c>
      <c r="BI90" s="178">
        <f ca="1">IF(OR($D90&lt;&gt;"Serviço",AND(AUTOEVENTO="Manual",$M90=$A$15)),0,
         IF(OFFSET(CRONOPLE!$F$15,$M90-$A$15,BI$13)="",10^12,OFFSET(CRONOPLE!$F$15,$M90-$A$15,BI$13)))</f>
        <v>7</v>
      </c>
      <c r="BJ90" s="178">
        <f ca="1">IF(OR($D90&lt;&gt;"Serviço",AND(AUTOEVENTO="Manual",$M90=$A$15)),0,
         IF(OFFSET(CRONOPLE!$F$15,$M90-$A$15,BJ$13)="",10^12,OFFSET(CRONOPLE!$F$15,$M90-$A$15,BJ$13)))</f>
        <v>8</v>
      </c>
      <c r="BK90" s="178">
        <f ca="1">IF(OR($D90&lt;&gt;"Serviço",AND(AUTOEVENTO="Manual",$M90=$A$15)),0,
         IF(OFFSET(CRONOPLE!$F$15,$M90-$A$15,BK$13)="",10^12,OFFSET(CRONOPLE!$F$15,$M90-$A$15,BK$13)))</f>
        <v>9</v>
      </c>
      <c r="BL90" s="178">
        <f ca="1">IF(OR($D90&lt;&gt;"Serviço",AND(AUTOEVENTO="Manual",$M90=$A$15)),0,
         IF(OFFSET(CRONOPLE!$F$15,$M90-$A$15,BL$13)="",10^12,OFFSET(CRONOPLE!$F$15,$M90-$A$15,BL$13)))</f>
        <v>10</v>
      </c>
      <c r="BM90" s="178">
        <f ca="1">IF(OR($D90&lt;&gt;"Serviço",AND(AUTOEVENTO="Manual",$M90=$A$15)),0,
         IF(OFFSET(CRONOPLE!$F$15,$M90-$A$15,BM$13)="",10^12,OFFSET(CRONOPLE!$F$15,$M90-$A$15,BM$13)))</f>
        <v>1000000000000</v>
      </c>
      <c r="BN90" s="178">
        <f ca="1">IF(OR($D90&lt;&gt;"Serviço",AND(AUTOEVENTO="Manual",$M90=$A$15)),0,
         IF(OFFSET(CRONOPLE!$F$15,$M90-$A$15,BN$13)="",10^12,OFFSET(CRONOPLE!$F$15,$M90-$A$15,BN$13)))</f>
        <v>1000000000000</v>
      </c>
      <c r="BO90" s="178">
        <f ca="1">IF(OR($D90&lt;&gt;"Serviço",AND(AUTOEVENTO="Manual",$M90=$A$15)),0,
         IF(OFFSET(CRONOPLE!$F$15,$M90-$A$15,BO$13)="",10^12,OFFSET(CRONOPLE!$F$15,$M90-$A$15,BO$13)))</f>
        <v>1000000000000</v>
      </c>
      <c r="BP90" s="178">
        <f ca="1">IF(OR($D90&lt;&gt;"Serviço",AND(AUTOEVENTO="Manual",$M90=$A$15)),0,
         IF(OFFSET(CRONOPLE!$F$15,$M90-$A$15,BP$13)="",10^12,OFFSET(CRONOPLE!$F$15,$M90-$A$15,BP$13)))</f>
        <v>1000000000000</v>
      </c>
      <c r="BQ90" s="178">
        <f ca="1">IF(OR($D90&lt;&gt;"Serviço",AND(AUTOEVENTO="Manual",$M90=$A$15)),0,
         IF(OFFSET(CRONOPLE!$F$15,$M90-$A$15,BQ$13)="",10^12,OFFSET(CRONOPLE!$F$15,$M90-$A$15,BQ$13)))</f>
        <v>15</v>
      </c>
      <c r="BR90" s="178">
        <f ca="1">IF(OR($D90&lt;&gt;"Serviço",AND(AUTOEVENTO="Manual",$M90=$A$15)),0,
         IF(OFFSET(CRONOPLE!$F$15,$M90-$A$15,BR$13)="",10^12,OFFSET(CRONOPLE!$F$15,$M90-$A$15,BR$13)))</f>
        <v>1000000000000</v>
      </c>
      <c r="BS90" s="178">
        <f ca="1">IF(OR($D90&lt;&gt;"Serviço",AND(AUTOEVENTO="Manual",$M90=$A$15)),0,
         IF(OFFSET(CRONOPLE!$F$15,$M90-$A$15,BS$13)="",10^12,OFFSET(CRONOPLE!$F$15,$M90-$A$15,BS$13)))</f>
        <v>1000000000000</v>
      </c>
      <c r="BT90" s="178">
        <f ca="1">IF(OR($D90&lt;&gt;"Serviço",AND(AUTOEVENTO="Manual",$M90=$A$15)),0,
         IF(OFFSET(CRONOPLE!$F$15,$M90-$A$15,BT$13)="",10^12,OFFSET(CRONOPLE!$F$15,$M90-$A$15,BT$13)))</f>
        <v>1000000000000</v>
      </c>
      <c r="BV90" s="179">
        <f ca="1">IF(OR($D90&lt;&gt;"Serviço",AND(AUTOEVENTO="Manual",$M90=$A$15),$M90&gt;(ROW(PLE.lastrow)-ROW(PLE.firstrow))),0,
           IF(OFFSET(PLE!$G$15,$M90-$A$15,BV$13)="",10^12,OFFSET(PLE!$G$15,$M90-$A$15,BV$13)))</f>
        <v>1000000000000</v>
      </c>
      <c r="BW90" s="179">
        <f ca="1">IF(OR($D90&lt;&gt;"Serviço",AND(AUTOEVENTO="Manual",$M90=$A$15),$M90&gt;(ROW(PLE.lastrow)-ROW(PLE.firstrow))),0,
           IF(OFFSET(PLE!$G$15,$M90-$A$15,BW$13)="",10^12,OFFSET(PLE!$G$15,$M90-$A$15,BW$13)))</f>
        <v>1000000000000</v>
      </c>
      <c r="BX90" s="179">
        <f ca="1">IF(OR($D90&lt;&gt;"Serviço",AND(AUTOEVENTO="Manual",$M90=$A$15),$M90&gt;(ROW(PLE.lastrow)-ROW(PLE.firstrow))),0,
           IF(OFFSET(PLE!$G$15,$M90-$A$15,BX$13)="",10^12,OFFSET(PLE!$G$15,$M90-$A$15,BX$13)))</f>
        <v>1000000000000</v>
      </c>
      <c r="BY90" s="179">
        <f ca="1">IF(OR($D90&lt;&gt;"Serviço",AND(AUTOEVENTO="Manual",$M90=$A$15),$M90&gt;(ROW(PLE.lastrow)-ROW(PLE.firstrow))),0,
           IF(OFFSET(PLE!$G$15,$M90-$A$15,BY$13)="",10^12,OFFSET(PLE!$G$15,$M90-$A$15,BY$13)))</f>
        <v>1000000000000</v>
      </c>
      <c r="BZ90" s="179">
        <f ca="1">IF(OR($D90&lt;&gt;"Serviço",AND(AUTOEVENTO="Manual",$M90=$A$15),$M90&gt;(ROW(PLE.lastrow)-ROW(PLE.firstrow))),0,
           IF(OFFSET(PLE!$G$15,$M90-$A$15,BZ$13)="",10^12,OFFSET(PLE!$G$15,$M90-$A$15,BZ$13)))</f>
        <v>1000000000000</v>
      </c>
      <c r="CA90" s="179">
        <f ca="1">IF(OR($D90&lt;&gt;"Serviço",AND(AUTOEVENTO="Manual",$M90=$A$15),$M90&gt;(ROW(PLE.lastrow)-ROW(PLE.firstrow))),0,
           IF(OFFSET(PLE!$G$15,$M90-$A$15,CA$13)="",10^12,OFFSET(PLE!$G$15,$M90-$A$15,CA$13)))</f>
        <v>1000000000000</v>
      </c>
      <c r="CB90" s="179">
        <f ca="1">IF(OR($D90&lt;&gt;"Serviço",AND(AUTOEVENTO="Manual",$M90=$A$15),$M90&gt;(ROW(PLE.lastrow)-ROW(PLE.firstrow))),0,
           IF(OFFSET(PLE!$G$15,$M90-$A$15,CB$13)="",10^12,OFFSET(PLE!$G$15,$M90-$A$15,CB$13)))</f>
        <v>1000000000000</v>
      </c>
      <c r="CC90" s="179">
        <f ca="1">IF(OR($D90&lt;&gt;"Serviço",AND(AUTOEVENTO="Manual",$M90=$A$15),$M90&gt;(ROW(PLE.lastrow)-ROW(PLE.firstrow))),0,
           IF(OFFSET(PLE!$G$15,$M90-$A$15,CC$13)="",10^12,OFFSET(PLE!$G$15,$M90-$A$15,CC$13)))</f>
        <v>1000000000000</v>
      </c>
      <c r="CD90" s="179">
        <f ca="1">IF(OR($D90&lt;&gt;"Serviço",AND(AUTOEVENTO="Manual",$M90=$A$15),$M90&gt;(ROW(PLE.lastrow)-ROW(PLE.firstrow))),0,
           IF(OFFSET(PLE!$G$15,$M90-$A$15,CD$13)="",10^12,OFFSET(PLE!$G$15,$M90-$A$15,CD$13)))</f>
        <v>1000000000000</v>
      </c>
      <c r="CE90" s="179">
        <f ca="1">IF(OR($D90&lt;&gt;"Serviço",AND(AUTOEVENTO="Manual",$M90=$A$15),$M90&gt;(ROW(PLE.lastrow)-ROW(PLE.firstrow))),0,
           IF(OFFSET(PLE!$G$15,$M90-$A$15,CE$13)="",10^12,OFFSET(PLE!$G$15,$M90-$A$15,CE$13)))</f>
        <v>1000000000000</v>
      </c>
      <c r="CF90" s="179">
        <f ca="1">IF(OR($D90&lt;&gt;"Serviço",AND(AUTOEVENTO="Manual",$M90=$A$15),$M90&gt;(ROW(PLE.lastrow)-ROW(PLE.firstrow))),0,
           IF(OFFSET(PLE!$G$15,$M90-$A$15,CF$13)="",10^12,OFFSET(PLE!$G$15,$M90-$A$15,CF$13)))</f>
        <v>1000000000000</v>
      </c>
      <c r="CG90" s="179">
        <f ca="1">IF(OR($D90&lt;&gt;"Serviço",AND(AUTOEVENTO="Manual",$M90=$A$15),$M90&gt;(ROW(PLE.lastrow)-ROW(PLE.firstrow))),0,
           IF(OFFSET(PLE!$G$15,$M90-$A$15,CG$13)="",10^12,OFFSET(PLE!$G$15,$M90-$A$15,CG$13)))</f>
        <v>1000000000000</v>
      </c>
      <c r="CH90" s="179">
        <f ca="1">IF(OR($D90&lt;&gt;"Serviço",AND(AUTOEVENTO="Manual",$M90=$A$15),$M90&gt;(ROW(PLE.lastrow)-ROW(PLE.firstrow))),0,
           IF(OFFSET(PLE!$G$15,$M90-$A$15,CH$13)="",10^12,OFFSET(PLE!$G$15,$M90-$A$15,CH$13)))</f>
        <v>1000000000000</v>
      </c>
      <c r="CI90" s="179">
        <f ca="1">IF(OR($D90&lt;&gt;"Serviço",AND(AUTOEVENTO="Manual",$M90=$A$15),$M90&gt;(ROW(PLE.lastrow)-ROW(PLE.firstrow))),0,
           IF(OFFSET(PLE!$G$15,$M90-$A$15,CI$13)="",10^12,OFFSET(PLE!$G$15,$M90-$A$15,CI$13)))</f>
        <v>1000000000000</v>
      </c>
      <c r="CJ90" s="179">
        <f ca="1">IF(OR($D90&lt;&gt;"Serviço",AND(AUTOEVENTO="Manual",$M90=$A$15),$M90&gt;(ROW(PLE.lastrow)-ROW(PLE.firstrow))),0,
           IF(OFFSET(PLE!$G$15,$M90-$A$15,CJ$13)="",10^12,OFFSET(PLE!$G$15,$M90-$A$15,CJ$13)))</f>
        <v>1000000000000</v>
      </c>
      <c r="CK90" s="179">
        <f ca="1">IF(OR($D90&lt;&gt;"Serviço",AND(AUTOEVENTO="Manual",$M90=$A$15),$M90&gt;(ROW(PLE.lastrow)-ROW(PLE.firstrow))),0,
           IF(OFFSET(PLE!$G$15,$M90-$A$15,CK$13)="",10^12,OFFSET(PLE!$G$15,$M90-$A$15,CK$13)))</f>
        <v>1000000000000</v>
      </c>
      <c r="CL90" s="179">
        <f ca="1">IF(OR($D90&lt;&gt;"Serviço",AND(AUTOEVENTO="Manual",$M90=$A$15),$M90&gt;(ROW(PLE.lastrow)-ROW(PLE.firstrow))),0,
           IF(OFFSET(PLE!$G$15,$M90-$A$15,CL$13)="",10^12,OFFSET(PLE!$G$15,$M90-$A$15,CL$13)))</f>
        <v>1000000000000</v>
      </c>
      <c r="CM90" s="179">
        <f ca="1">IF(OR($D90&lt;&gt;"Serviço",AND(AUTOEVENTO="Manual",$M90=$A$15),$M90&gt;(ROW(PLE.lastrow)-ROW(PLE.firstrow))),0,
           IF(OFFSET(PLE!$G$15,$M90-$A$15,CM$13)="",10^12,OFFSET(PLE!$G$15,$M90-$A$15,CM$13)))</f>
        <v>1000000000000</v>
      </c>
    </row>
    <row r="91" spans="1:91" ht="38.25" x14ac:dyDescent="0.2">
      <c r="A91" s="7" t="str">
        <f ca="1">IF(AUTOEVENTO="Manual",IF(K91&lt;&gt;"",MIN(VALUE(LEFT(K91,FIND(".",K91)-1)),COUNTA(EVENTOS.Lista)),0),IF(OR($B91&gt;AUTOEVENTO,$B91="S",$B91=0),SUBSTITUTE(OFFSET($A91,-1,0),IF($D91="Serviço",".",""),""),ROW(A91)-ROW($A$15)&amp;"."))</f>
        <v>71</v>
      </c>
      <c r="B91" s="7" t="str">
        <f ca="1">OFFSET(ORÇAMENTO!C$15,ROW(B91)-ROW(B$15),0)</f>
        <v>S</v>
      </c>
      <c r="C91" s="7" t="str">
        <f ca="1">OFFSET(ORÇAMENTO!L$15,ROW(C91)-ROW(C$15),0)</f>
        <v>F</v>
      </c>
      <c r="D91" s="118" t="str">
        <f ca="1">OFFSET(ORÇAMENTO!N$15,ROW(D91)-ROW(D$15),0)</f>
        <v>Serviço</v>
      </c>
      <c r="E91" s="119" t="str">
        <f ca="1">OFFSET(ORÇAMENTO!O$15,ROW(E91)-ROW(E$15),0)</f>
        <v>1.12.0.0.5.</v>
      </c>
      <c r="F91" s="170" t="str">
        <f ca="1">OFFSET(ORÇAMENTO!R$15,ROW(F91)-ROW(F$15),0)</f>
        <v>CONDULETE DE PVC, TIPO X, PARA ELETRODUTO DE PVC SOLDÁVEL DN 25 MM (3/4"), APARENTE - FORNECIMENTO E INSTALAÇÃO. AF_01/2026</v>
      </c>
      <c r="G91" s="171" t="str">
        <f ca="1">IF($D91&lt;&gt;"Serviço","",OFFSET(ORÇAMENTO!S$15,ROW(G91)-ROW(G$15),0))</f>
        <v>UN</v>
      </c>
      <c r="H91" s="124" cm="1">
        <f t="array" aca="1" ref="H91" ca="1">IF($D91&lt;&gt;"Serviço",0,IF(_xlfn.SINGLE(ACOMPANHAMENTO)="BM",ROUND(OFFSET(ORÇAMENTO!AJ$15,ROW(H91)-ROW(H$15),0),15-13*ORÇAMENTO!$AF$7),SUMPRODUCT(($Q$1:$AI$1)*ROUND($Q91:$AI91,15-13*ORÇAMENTO!$AF$7))))</f>
        <v>3</v>
      </c>
      <c r="I91" s="500" t="s">
        <v>1019</v>
      </c>
      <c r="J91" s="632" t="str" cm="1">
        <f t="array" aca="1" ref="J91" ca="1">IF(B91&lt;&gt;"S","",IF(AND(ACOMPANHAMENTO="PLE",AUTOEVENTO="Manual",OR(H91&gt;0,ORÇAMENTO!AC91="QUANT."),OR(K91="",M91=0,N91="")),"►",IF(AND(ACOMPANHAMENTO="PLE",ORÇAMENTO!AC91="QUANT."),"►►",IF(AND(COUNTIF($P$11:$AI$11,"▼")=0,H91&gt;0,I91=""),"◄",""))))</f>
        <v/>
      </c>
      <c r="K91" s="624"/>
      <c r="L91" s="172" t="s">
        <v>253</v>
      </c>
      <c r="M91" s="173">
        <f ca="1">IF($D91&lt;&gt;"Serviço","",
          IF(AUTOEVENTO="manual",$A91,
                IF(ISERROR(MATCH($A91,$A$15:OFFSET($A91,-1,0),0)),MAX($M$15:OFFSET(M91,-1,0))+1,
                      INDEX($M$15:OFFSET(M91,-1,0),MATCH($A91,$A$15:OFFSET($A91,-1,0),0)))))</f>
        <v>12</v>
      </c>
      <c r="N91" s="174" t="str">
        <f ca="1">IF($D91&lt;&gt;"Serviço","",
         IF(AUTOEVENTO="Manual",
                IF($A91=0,"&lt;-- defina o número do agrupador",
                       OFFSET(EVENTOS!$D$15,$A91-$A$15,0)),
                OFFSET($F$15,$A91,0)))</f>
        <v>INSTALAÇÕES ELÉTRICAS</v>
      </c>
      <c r="O91" s="175"/>
      <c r="Q91" s="175"/>
      <c r="R91" s="176"/>
      <c r="S91" s="176"/>
      <c r="T91" s="176">
        <v>3</v>
      </c>
      <c r="U91" s="176"/>
      <c r="V91" s="176"/>
      <c r="W91" s="176"/>
      <c r="X91" s="176"/>
      <c r="Y91" s="176"/>
      <c r="Z91" s="177"/>
      <c r="AA91" s="176"/>
      <c r="AB91" s="176"/>
      <c r="AC91" s="176"/>
      <c r="AD91" s="176"/>
      <c r="AE91" s="176"/>
      <c r="AF91" s="176"/>
      <c r="AG91" s="176"/>
      <c r="AH91" s="177"/>
      <c r="AJ91" s="485">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85">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L91" s="485">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0</v>
      </c>
      <c r="AM91" s="485">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120.87</v>
      </c>
      <c r="AN91" s="485">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85">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85">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85">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85">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85">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85">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85">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85">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85">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85">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85">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85">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85">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8">
        <f ca="1">IF(OR($D91&lt;&gt;"Serviço",AND(AUTOEVENTO="Manual",$M91=$A$15)),0,
         IF(OFFSET(CRONOPLE!$F$15,$M91-$A$15,BC$13)="",10^12,OFFSET(CRONOPLE!$F$15,$M91-$A$15,BC$13)))</f>
        <v>1</v>
      </c>
      <c r="BD91" s="178">
        <f ca="1">IF(OR($D91&lt;&gt;"Serviço",AND(AUTOEVENTO="Manual",$M91=$A$15)),0,
         IF(OFFSET(CRONOPLE!$F$15,$M91-$A$15,BD$13)="",10^12,OFFSET(CRONOPLE!$F$15,$M91-$A$15,BD$13)))</f>
        <v>2</v>
      </c>
      <c r="BE91" s="178">
        <f ca="1">IF(OR($D91&lt;&gt;"Serviço",AND(AUTOEVENTO="Manual",$M91=$A$15)),0,
         IF(OFFSET(CRONOPLE!$F$15,$M91-$A$15,BE$13)="",10^12,OFFSET(CRONOPLE!$F$15,$M91-$A$15,BE$13)))</f>
        <v>1000000000000</v>
      </c>
      <c r="BF91" s="178">
        <f ca="1">IF(OR($D91&lt;&gt;"Serviço",AND(AUTOEVENTO="Manual",$M91=$A$15)),0,
         IF(OFFSET(CRONOPLE!$F$15,$M91-$A$15,BF$13)="",10^12,OFFSET(CRONOPLE!$F$15,$M91-$A$15,BF$13)))</f>
        <v>4</v>
      </c>
      <c r="BG91" s="178">
        <f ca="1">IF(OR($D91&lt;&gt;"Serviço",AND(AUTOEVENTO="Manual",$M91=$A$15)),0,
         IF(OFFSET(CRONOPLE!$F$15,$M91-$A$15,BG$13)="",10^12,OFFSET(CRONOPLE!$F$15,$M91-$A$15,BG$13)))</f>
        <v>5</v>
      </c>
      <c r="BH91" s="178">
        <f ca="1">IF(OR($D91&lt;&gt;"Serviço",AND(AUTOEVENTO="Manual",$M91=$A$15)),0,
         IF(OFFSET(CRONOPLE!$F$15,$M91-$A$15,BH$13)="",10^12,OFFSET(CRONOPLE!$F$15,$M91-$A$15,BH$13)))</f>
        <v>6</v>
      </c>
      <c r="BI91" s="178">
        <f ca="1">IF(OR($D91&lt;&gt;"Serviço",AND(AUTOEVENTO="Manual",$M91=$A$15)),0,
         IF(OFFSET(CRONOPLE!$F$15,$M91-$A$15,BI$13)="",10^12,OFFSET(CRONOPLE!$F$15,$M91-$A$15,BI$13)))</f>
        <v>7</v>
      </c>
      <c r="BJ91" s="178">
        <f ca="1">IF(OR($D91&lt;&gt;"Serviço",AND(AUTOEVENTO="Manual",$M91=$A$15)),0,
         IF(OFFSET(CRONOPLE!$F$15,$M91-$A$15,BJ$13)="",10^12,OFFSET(CRONOPLE!$F$15,$M91-$A$15,BJ$13)))</f>
        <v>8</v>
      </c>
      <c r="BK91" s="178">
        <f ca="1">IF(OR($D91&lt;&gt;"Serviço",AND(AUTOEVENTO="Manual",$M91=$A$15)),0,
         IF(OFFSET(CRONOPLE!$F$15,$M91-$A$15,BK$13)="",10^12,OFFSET(CRONOPLE!$F$15,$M91-$A$15,BK$13)))</f>
        <v>9</v>
      </c>
      <c r="BL91" s="178">
        <f ca="1">IF(OR($D91&lt;&gt;"Serviço",AND(AUTOEVENTO="Manual",$M91=$A$15)),0,
         IF(OFFSET(CRONOPLE!$F$15,$M91-$A$15,BL$13)="",10^12,OFFSET(CRONOPLE!$F$15,$M91-$A$15,BL$13)))</f>
        <v>10</v>
      </c>
      <c r="BM91" s="178">
        <f ca="1">IF(OR($D91&lt;&gt;"Serviço",AND(AUTOEVENTO="Manual",$M91=$A$15)),0,
         IF(OFFSET(CRONOPLE!$F$15,$M91-$A$15,BM$13)="",10^12,OFFSET(CRONOPLE!$F$15,$M91-$A$15,BM$13)))</f>
        <v>1000000000000</v>
      </c>
      <c r="BN91" s="178">
        <f ca="1">IF(OR($D91&lt;&gt;"Serviço",AND(AUTOEVENTO="Manual",$M91=$A$15)),0,
         IF(OFFSET(CRONOPLE!$F$15,$M91-$A$15,BN$13)="",10^12,OFFSET(CRONOPLE!$F$15,$M91-$A$15,BN$13)))</f>
        <v>1000000000000</v>
      </c>
      <c r="BO91" s="178">
        <f ca="1">IF(OR($D91&lt;&gt;"Serviço",AND(AUTOEVENTO="Manual",$M91=$A$15)),0,
         IF(OFFSET(CRONOPLE!$F$15,$M91-$A$15,BO$13)="",10^12,OFFSET(CRONOPLE!$F$15,$M91-$A$15,BO$13)))</f>
        <v>1000000000000</v>
      </c>
      <c r="BP91" s="178">
        <f ca="1">IF(OR($D91&lt;&gt;"Serviço",AND(AUTOEVENTO="Manual",$M91=$A$15)),0,
         IF(OFFSET(CRONOPLE!$F$15,$M91-$A$15,BP$13)="",10^12,OFFSET(CRONOPLE!$F$15,$M91-$A$15,BP$13)))</f>
        <v>1000000000000</v>
      </c>
      <c r="BQ91" s="178">
        <f ca="1">IF(OR($D91&lt;&gt;"Serviço",AND(AUTOEVENTO="Manual",$M91=$A$15)),0,
         IF(OFFSET(CRONOPLE!$F$15,$M91-$A$15,BQ$13)="",10^12,OFFSET(CRONOPLE!$F$15,$M91-$A$15,BQ$13)))</f>
        <v>15</v>
      </c>
      <c r="BR91" s="178">
        <f ca="1">IF(OR($D91&lt;&gt;"Serviço",AND(AUTOEVENTO="Manual",$M91=$A$15)),0,
         IF(OFFSET(CRONOPLE!$F$15,$M91-$A$15,BR$13)="",10^12,OFFSET(CRONOPLE!$F$15,$M91-$A$15,BR$13)))</f>
        <v>1000000000000</v>
      </c>
      <c r="BS91" s="178">
        <f ca="1">IF(OR($D91&lt;&gt;"Serviço",AND(AUTOEVENTO="Manual",$M91=$A$15)),0,
         IF(OFFSET(CRONOPLE!$F$15,$M91-$A$15,BS$13)="",10^12,OFFSET(CRONOPLE!$F$15,$M91-$A$15,BS$13)))</f>
        <v>1000000000000</v>
      </c>
      <c r="BT91" s="178">
        <f ca="1">IF(OR($D91&lt;&gt;"Serviço",AND(AUTOEVENTO="Manual",$M91=$A$15)),0,
         IF(OFFSET(CRONOPLE!$F$15,$M91-$A$15,BT$13)="",10^12,OFFSET(CRONOPLE!$F$15,$M91-$A$15,BT$13)))</f>
        <v>1000000000000</v>
      </c>
      <c r="BV91" s="179">
        <f ca="1">IF(OR($D91&lt;&gt;"Serviço",AND(AUTOEVENTO="Manual",$M91=$A$15),$M91&gt;(ROW(PLE.lastrow)-ROW(PLE.firstrow))),0,
           IF(OFFSET(PLE!$G$15,$M91-$A$15,BV$13)="",10^12,OFFSET(PLE!$G$15,$M91-$A$15,BV$13)))</f>
        <v>1000000000000</v>
      </c>
      <c r="BW91" s="179">
        <f ca="1">IF(OR($D91&lt;&gt;"Serviço",AND(AUTOEVENTO="Manual",$M91=$A$15),$M91&gt;(ROW(PLE.lastrow)-ROW(PLE.firstrow))),0,
           IF(OFFSET(PLE!$G$15,$M91-$A$15,BW$13)="",10^12,OFFSET(PLE!$G$15,$M91-$A$15,BW$13)))</f>
        <v>1000000000000</v>
      </c>
      <c r="BX91" s="179">
        <f ca="1">IF(OR($D91&lt;&gt;"Serviço",AND(AUTOEVENTO="Manual",$M91=$A$15),$M91&gt;(ROW(PLE.lastrow)-ROW(PLE.firstrow))),0,
           IF(OFFSET(PLE!$G$15,$M91-$A$15,BX$13)="",10^12,OFFSET(PLE!$G$15,$M91-$A$15,BX$13)))</f>
        <v>1000000000000</v>
      </c>
      <c r="BY91" s="179">
        <f ca="1">IF(OR($D91&lt;&gt;"Serviço",AND(AUTOEVENTO="Manual",$M91=$A$15),$M91&gt;(ROW(PLE.lastrow)-ROW(PLE.firstrow))),0,
           IF(OFFSET(PLE!$G$15,$M91-$A$15,BY$13)="",10^12,OFFSET(PLE!$G$15,$M91-$A$15,BY$13)))</f>
        <v>1000000000000</v>
      </c>
      <c r="BZ91" s="179">
        <f ca="1">IF(OR($D91&lt;&gt;"Serviço",AND(AUTOEVENTO="Manual",$M91=$A$15),$M91&gt;(ROW(PLE.lastrow)-ROW(PLE.firstrow))),0,
           IF(OFFSET(PLE!$G$15,$M91-$A$15,BZ$13)="",10^12,OFFSET(PLE!$G$15,$M91-$A$15,BZ$13)))</f>
        <v>1000000000000</v>
      </c>
      <c r="CA91" s="179">
        <f ca="1">IF(OR($D91&lt;&gt;"Serviço",AND(AUTOEVENTO="Manual",$M91=$A$15),$M91&gt;(ROW(PLE.lastrow)-ROW(PLE.firstrow))),0,
           IF(OFFSET(PLE!$G$15,$M91-$A$15,CA$13)="",10^12,OFFSET(PLE!$G$15,$M91-$A$15,CA$13)))</f>
        <v>1000000000000</v>
      </c>
      <c r="CB91" s="179">
        <f ca="1">IF(OR($D91&lt;&gt;"Serviço",AND(AUTOEVENTO="Manual",$M91=$A$15),$M91&gt;(ROW(PLE.lastrow)-ROW(PLE.firstrow))),0,
           IF(OFFSET(PLE!$G$15,$M91-$A$15,CB$13)="",10^12,OFFSET(PLE!$G$15,$M91-$A$15,CB$13)))</f>
        <v>1000000000000</v>
      </c>
      <c r="CC91" s="179">
        <f ca="1">IF(OR($D91&lt;&gt;"Serviço",AND(AUTOEVENTO="Manual",$M91=$A$15),$M91&gt;(ROW(PLE.lastrow)-ROW(PLE.firstrow))),0,
           IF(OFFSET(PLE!$G$15,$M91-$A$15,CC$13)="",10^12,OFFSET(PLE!$G$15,$M91-$A$15,CC$13)))</f>
        <v>1000000000000</v>
      </c>
      <c r="CD91" s="179">
        <f ca="1">IF(OR($D91&lt;&gt;"Serviço",AND(AUTOEVENTO="Manual",$M91=$A$15),$M91&gt;(ROW(PLE.lastrow)-ROW(PLE.firstrow))),0,
           IF(OFFSET(PLE!$G$15,$M91-$A$15,CD$13)="",10^12,OFFSET(PLE!$G$15,$M91-$A$15,CD$13)))</f>
        <v>1000000000000</v>
      </c>
      <c r="CE91" s="179">
        <f ca="1">IF(OR($D91&lt;&gt;"Serviço",AND(AUTOEVENTO="Manual",$M91=$A$15),$M91&gt;(ROW(PLE.lastrow)-ROW(PLE.firstrow))),0,
           IF(OFFSET(PLE!$G$15,$M91-$A$15,CE$13)="",10^12,OFFSET(PLE!$G$15,$M91-$A$15,CE$13)))</f>
        <v>1000000000000</v>
      </c>
      <c r="CF91" s="179">
        <f ca="1">IF(OR($D91&lt;&gt;"Serviço",AND(AUTOEVENTO="Manual",$M91=$A$15),$M91&gt;(ROW(PLE.lastrow)-ROW(PLE.firstrow))),0,
           IF(OFFSET(PLE!$G$15,$M91-$A$15,CF$13)="",10^12,OFFSET(PLE!$G$15,$M91-$A$15,CF$13)))</f>
        <v>1000000000000</v>
      </c>
      <c r="CG91" s="179">
        <f ca="1">IF(OR($D91&lt;&gt;"Serviço",AND(AUTOEVENTO="Manual",$M91=$A$15),$M91&gt;(ROW(PLE.lastrow)-ROW(PLE.firstrow))),0,
           IF(OFFSET(PLE!$G$15,$M91-$A$15,CG$13)="",10^12,OFFSET(PLE!$G$15,$M91-$A$15,CG$13)))</f>
        <v>1000000000000</v>
      </c>
      <c r="CH91" s="179">
        <f ca="1">IF(OR($D91&lt;&gt;"Serviço",AND(AUTOEVENTO="Manual",$M91=$A$15),$M91&gt;(ROW(PLE.lastrow)-ROW(PLE.firstrow))),0,
           IF(OFFSET(PLE!$G$15,$M91-$A$15,CH$13)="",10^12,OFFSET(PLE!$G$15,$M91-$A$15,CH$13)))</f>
        <v>1000000000000</v>
      </c>
      <c r="CI91" s="179">
        <f ca="1">IF(OR($D91&lt;&gt;"Serviço",AND(AUTOEVENTO="Manual",$M91=$A$15),$M91&gt;(ROW(PLE.lastrow)-ROW(PLE.firstrow))),0,
           IF(OFFSET(PLE!$G$15,$M91-$A$15,CI$13)="",10^12,OFFSET(PLE!$G$15,$M91-$A$15,CI$13)))</f>
        <v>1000000000000</v>
      </c>
      <c r="CJ91" s="179">
        <f ca="1">IF(OR($D91&lt;&gt;"Serviço",AND(AUTOEVENTO="Manual",$M91=$A$15),$M91&gt;(ROW(PLE.lastrow)-ROW(PLE.firstrow))),0,
           IF(OFFSET(PLE!$G$15,$M91-$A$15,CJ$13)="",10^12,OFFSET(PLE!$G$15,$M91-$A$15,CJ$13)))</f>
        <v>1000000000000</v>
      </c>
      <c r="CK91" s="179">
        <f ca="1">IF(OR($D91&lt;&gt;"Serviço",AND(AUTOEVENTO="Manual",$M91=$A$15),$M91&gt;(ROW(PLE.lastrow)-ROW(PLE.firstrow))),0,
           IF(OFFSET(PLE!$G$15,$M91-$A$15,CK$13)="",10^12,OFFSET(PLE!$G$15,$M91-$A$15,CK$13)))</f>
        <v>1000000000000</v>
      </c>
      <c r="CL91" s="179">
        <f ca="1">IF(OR($D91&lt;&gt;"Serviço",AND(AUTOEVENTO="Manual",$M91=$A$15),$M91&gt;(ROW(PLE.lastrow)-ROW(PLE.firstrow))),0,
           IF(OFFSET(PLE!$G$15,$M91-$A$15,CL$13)="",10^12,OFFSET(PLE!$G$15,$M91-$A$15,CL$13)))</f>
        <v>1000000000000</v>
      </c>
      <c r="CM91" s="179">
        <f ca="1">IF(OR($D91&lt;&gt;"Serviço",AND(AUTOEVENTO="Manual",$M91=$A$15),$M91&gt;(ROW(PLE.lastrow)-ROW(PLE.firstrow))),0,
           IF(OFFSET(PLE!$G$15,$M91-$A$15,CM$13)="",10^12,OFFSET(PLE!$G$15,$M91-$A$15,CM$13)))</f>
        <v>1000000000000</v>
      </c>
    </row>
    <row r="92" spans="1:91" ht="25.5" x14ac:dyDescent="0.2">
      <c r="A92" s="7" t="str">
        <f ca="1">IF(AUTOEVENTO="Manual",IF(K92&lt;&gt;"",MIN(VALUE(LEFT(K92,FIND(".",K92)-1)),COUNTA(EVENTOS.Lista)),0),IF(OR($B92&gt;AUTOEVENTO,$B92="S",$B92=0),SUBSTITUTE(OFFSET($A92,-1,0),IF($D92="Serviço",".",""),""),ROW(A92)-ROW($A$15)&amp;"."))</f>
        <v>71</v>
      </c>
      <c r="B92" s="7" t="str">
        <f ca="1">OFFSET(ORÇAMENTO!C$15,ROW(B92)-ROW(B$15),0)</f>
        <v>S</v>
      </c>
      <c r="C92" s="7" t="str">
        <f ca="1">OFFSET(ORÇAMENTO!L$15,ROW(C92)-ROW(C$15),0)</f>
        <v>F</v>
      </c>
      <c r="D92" s="118" t="str">
        <f ca="1">OFFSET(ORÇAMENTO!N$15,ROW(D92)-ROW(D$15),0)</f>
        <v>Serviço</v>
      </c>
      <c r="E92" s="119" t="str">
        <f ca="1">OFFSET(ORÇAMENTO!O$15,ROW(E92)-ROW(E$15),0)</f>
        <v>1.12.0.0.6.</v>
      </c>
      <c r="F92" s="170" t="str">
        <f ca="1">OFFSET(ORÇAMENTO!R$15,ROW(F92)-ROW(F$15),0)</f>
        <v>BUCHA EM ALUMINIO, COM ROSCA, DE 3/4", PARA ELETRODUTO</v>
      </c>
      <c r="G92" s="171" t="str">
        <f ca="1">IF($D92&lt;&gt;"Serviço","",OFFSET(ORÇAMENTO!S$15,ROW(G92)-ROW(G$15),0))</f>
        <v>UN</v>
      </c>
      <c r="H92" s="124" cm="1">
        <f t="array" aca="1" ref="H92" ca="1">IF($D92&lt;&gt;"Serviço",0,IF(_xlfn.SINGLE(ACOMPANHAMENTO)="BM",ROUND(OFFSET(ORÇAMENTO!AJ$15,ROW(H92)-ROW(H$15),0),15-13*ORÇAMENTO!$AF$7),SUMPRODUCT(($Q$1:$AI$1)*ROUND($Q92:$AI92,15-13*ORÇAMENTO!$AF$7))))</f>
        <v>148</v>
      </c>
      <c r="I92" s="500" t="s">
        <v>1019</v>
      </c>
      <c r="J92" s="632" t="str" cm="1">
        <f t="array" aca="1" ref="J92" ca="1">IF(B92&lt;&gt;"S","",IF(AND(ACOMPANHAMENTO="PLE",AUTOEVENTO="Manual",OR(H92&gt;0,ORÇAMENTO!AC92="QUANT."),OR(K92="",M92=0,N92="")),"►",IF(AND(ACOMPANHAMENTO="PLE",ORÇAMENTO!AC92="QUANT."),"►►",IF(AND(COUNTIF($P$11:$AI$11,"▼")=0,H92&gt;0,I92=""),"◄",""))))</f>
        <v/>
      </c>
      <c r="K92" s="624"/>
      <c r="L92" s="172" t="s">
        <v>253</v>
      </c>
      <c r="M92" s="173">
        <f ca="1">IF($D92&lt;&gt;"Serviço","",
          IF(AUTOEVENTO="manual",$A92,
                IF(ISERROR(MATCH($A92,$A$15:OFFSET($A92,-1,0),0)),MAX($M$15:OFFSET(M92,-1,0))+1,
                      INDEX($M$15:OFFSET(M92,-1,0),MATCH($A92,$A$15:OFFSET($A92,-1,0),0)))))</f>
        <v>12</v>
      </c>
      <c r="N92" s="174" t="str">
        <f ca="1">IF($D92&lt;&gt;"Serviço","",
         IF(AUTOEVENTO="Manual",
                IF($A92=0,"&lt;-- defina o número do agrupador",
                       OFFSET(EVENTOS!$D$15,$A92-$A$15,0)),
                OFFSET($F$15,$A92,0)))</f>
        <v>INSTALAÇÕES ELÉTRICAS</v>
      </c>
      <c r="O92" s="175"/>
      <c r="Q92" s="175"/>
      <c r="R92" s="176"/>
      <c r="S92" s="176"/>
      <c r="T92" s="176">
        <v>148</v>
      </c>
      <c r="U92" s="176"/>
      <c r="V92" s="176"/>
      <c r="W92" s="176"/>
      <c r="X92" s="176"/>
      <c r="Y92" s="176"/>
      <c r="Z92" s="177"/>
      <c r="AA92" s="176"/>
      <c r="AB92" s="176"/>
      <c r="AC92" s="176"/>
      <c r="AD92" s="176"/>
      <c r="AE92" s="176"/>
      <c r="AF92" s="176"/>
      <c r="AG92" s="176"/>
      <c r="AH92" s="177"/>
      <c r="AJ92" s="485">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85">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L92" s="485">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0</v>
      </c>
      <c r="AM92" s="485">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211.64</v>
      </c>
      <c r="AN92" s="485">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0</v>
      </c>
      <c r="AO92" s="485">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85">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85">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85">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85">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85">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85">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85">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85">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85">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85">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85">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85">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8">
        <f ca="1">IF(OR($D92&lt;&gt;"Serviço",AND(AUTOEVENTO="Manual",$M92=$A$15)),0,
         IF(OFFSET(CRONOPLE!$F$15,$M92-$A$15,BC$13)="",10^12,OFFSET(CRONOPLE!$F$15,$M92-$A$15,BC$13)))</f>
        <v>1</v>
      </c>
      <c r="BD92" s="178">
        <f ca="1">IF(OR($D92&lt;&gt;"Serviço",AND(AUTOEVENTO="Manual",$M92=$A$15)),0,
         IF(OFFSET(CRONOPLE!$F$15,$M92-$A$15,BD$13)="",10^12,OFFSET(CRONOPLE!$F$15,$M92-$A$15,BD$13)))</f>
        <v>2</v>
      </c>
      <c r="BE92" s="178">
        <f ca="1">IF(OR($D92&lt;&gt;"Serviço",AND(AUTOEVENTO="Manual",$M92=$A$15)),0,
         IF(OFFSET(CRONOPLE!$F$15,$M92-$A$15,BE$13)="",10^12,OFFSET(CRONOPLE!$F$15,$M92-$A$15,BE$13)))</f>
        <v>1000000000000</v>
      </c>
      <c r="BF92" s="178">
        <f ca="1">IF(OR($D92&lt;&gt;"Serviço",AND(AUTOEVENTO="Manual",$M92=$A$15)),0,
         IF(OFFSET(CRONOPLE!$F$15,$M92-$A$15,BF$13)="",10^12,OFFSET(CRONOPLE!$F$15,$M92-$A$15,BF$13)))</f>
        <v>4</v>
      </c>
      <c r="BG92" s="178">
        <f ca="1">IF(OR($D92&lt;&gt;"Serviço",AND(AUTOEVENTO="Manual",$M92=$A$15)),0,
         IF(OFFSET(CRONOPLE!$F$15,$M92-$A$15,BG$13)="",10^12,OFFSET(CRONOPLE!$F$15,$M92-$A$15,BG$13)))</f>
        <v>5</v>
      </c>
      <c r="BH92" s="178">
        <f ca="1">IF(OR($D92&lt;&gt;"Serviço",AND(AUTOEVENTO="Manual",$M92=$A$15)),0,
         IF(OFFSET(CRONOPLE!$F$15,$M92-$A$15,BH$13)="",10^12,OFFSET(CRONOPLE!$F$15,$M92-$A$15,BH$13)))</f>
        <v>6</v>
      </c>
      <c r="BI92" s="178">
        <f ca="1">IF(OR($D92&lt;&gt;"Serviço",AND(AUTOEVENTO="Manual",$M92=$A$15)),0,
         IF(OFFSET(CRONOPLE!$F$15,$M92-$A$15,BI$13)="",10^12,OFFSET(CRONOPLE!$F$15,$M92-$A$15,BI$13)))</f>
        <v>7</v>
      </c>
      <c r="BJ92" s="178">
        <f ca="1">IF(OR($D92&lt;&gt;"Serviço",AND(AUTOEVENTO="Manual",$M92=$A$15)),0,
         IF(OFFSET(CRONOPLE!$F$15,$M92-$A$15,BJ$13)="",10^12,OFFSET(CRONOPLE!$F$15,$M92-$A$15,BJ$13)))</f>
        <v>8</v>
      </c>
      <c r="BK92" s="178">
        <f ca="1">IF(OR($D92&lt;&gt;"Serviço",AND(AUTOEVENTO="Manual",$M92=$A$15)),0,
         IF(OFFSET(CRONOPLE!$F$15,$M92-$A$15,BK$13)="",10^12,OFFSET(CRONOPLE!$F$15,$M92-$A$15,BK$13)))</f>
        <v>9</v>
      </c>
      <c r="BL92" s="178">
        <f ca="1">IF(OR($D92&lt;&gt;"Serviço",AND(AUTOEVENTO="Manual",$M92=$A$15)),0,
         IF(OFFSET(CRONOPLE!$F$15,$M92-$A$15,BL$13)="",10^12,OFFSET(CRONOPLE!$F$15,$M92-$A$15,BL$13)))</f>
        <v>10</v>
      </c>
      <c r="BM92" s="178">
        <f ca="1">IF(OR($D92&lt;&gt;"Serviço",AND(AUTOEVENTO="Manual",$M92=$A$15)),0,
         IF(OFFSET(CRONOPLE!$F$15,$M92-$A$15,BM$13)="",10^12,OFFSET(CRONOPLE!$F$15,$M92-$A$15,BM$13)))</f>
        <v>1000000000000</v>
      </c>
      <c r="BN92" s="178">
        <f ca="1">IF(OR($D92&lt;&gt;"Serviço",AND(AUTOEVENTO="Manual",$M92=$A$15)),0,
         IF(OFFSET(CRONOPLE!$F$15,$M92-$A$15,BN$13)="",10^12,OFFSET(CRONOPLE!$F$15,$M92-$A$15,BN$13)))</f>
        <v>1000000000000</v>
      </c>
      <c r="BO92" s="178">
        <f ca="1">IF(OR($D92&lt;&gt;"Serviço",AND(AUTOEVENTO="Manual",$M92=$A$15)),0,
         IF(OFFSET(CRONOPLE!$F$15,$M92-$A$15,BO$13)="",10^12,OFFSET(CRONOPLE!$F$15,$M92-$A$15,BO$13)))</f>
        <v>1000000000000</v>
      </c>
      <c r="BP92" s="178">
        <f ca="1">IF(OR($D92&lt;&gt;"Serviço",AND(AUTOEVENTO="Manual",$M92=$A$15)),0,
         IF(OFFSET(CRONOPLE!$F$15,$M92-$A$15,BP$13)="",10^12,OFFSET(CRONOPLE!$F$15,$M92-$A$15,BP$13)))</f>
        <v>1000000000000</v>
      </c>
      <c r="BQ92" s="178">
        <f ca="1">IF(OR($D92&lt;&gt;"Serviço",AND(AUTOEVENTO="Manual",$M92=$A$15)),0,
         IF(OFFSET(CRONOPLE!$F$15,$M92-$A$15,BQ$13)="",10^12,OFFSET(CRONOPLE!$F$15,$M92-$A$15,BQ$13)))</f>
        <v>15</v>
      </c>
      <c r="BR92" s="178">
        <f ca="1">IF(OR($D92&lt;&gt;"Serviço",AND(AUTOEVENTO="Manual",$M92=$A$15)),0,
         IF(OFFSET(CRONOPLE!$F$15,$M92-$A$15,BR$13)="",10^12,OFFSET(CRONOPLE!$F$15,$M92-$A$15,BR$13)))</f>
        <v>1000000000000</v>
      </c>
      <c r="BS92" s="178">
        <f ca="1">IF(OR($D92&lt;&gt;"Serviço",AND(AUTOEVENTO="Manual",$M92=$A$15)),0,
         IF(OFFSET(CRONOPLE!$F$15,$M92-$A$15,BS$13)="",10^12,OFFSET(CRONOPLE!$F$15,$M92-$A$15,BS$13)))</f>
        <v>1000000000000</v>
      </c>
      <c r="BT92" s="178">
        <f ca="1">IF(OR($D92&lt;&gt;"Serviço",AND(AUTOEVENTO="Manual",$M92=$A$15)),0,
         IF(OFFSET(CRONOPLE!$F$15,$M92-$A$15,BT$13)="",10^12,OFFSET(CRONOPLE!$F$15,$M92-$A$15,BT$13)))</f>
        <v>1000000000000</v>
      </c>
      <c r="BV92" s="179">
        <f ca="1">IF(OR($D92&lt;&gt;"Serviço",AND(AUTOEVENTO="Manual",$M92=$A$15),$M92&gt;(ROW(PLE.lastrow)-ROW(PLE.firstrow))),0,
           IF(OFFSET(PLE!$G$15,$M92-$A$15,BV$13)="",10^12,OFFSET(PLE!$G$15,$M92-$A$15,BV$13)))</f>
        <v>1000000000000</v>
      </c>
      <c r="BW92" s="179">
        <f ca="1">IF(OR($D92&lt;&gt;"Serviço",AND(AUTOEVENTO="Manual",$M92=$A$15),$M92&gt;(ROW(PLE.lastrow)-ROW(PLE.firstrow))),0,
           IF(OFFSET(PLE!$G$15,$M92-$A$15,BW$13)="",10^12,OFFSET(PLE!$G$15,$M92-$A$15,BW$13)))</f>
        <v>1000000000000</v>
      </c>
      <c r="BX92" s="179">
        <f ca="1">IF(OR($D92&lt;&gt;"Serviço",AND(AUTOEVENTO="Manual",$M92=$A$15),$M92&gt;(ROW(PLE.lastrow)-ROW(PLE.firstrow))),0,
           IF(OFFSET(PLE!$G$15,$M92-$A$15,BX$13)="",10^12,OFFSET(PLE!$G$15,$M92-$A$15,BX$13)))</f>
        <v>1000000000000</v>
      </c>
      <c r="BY92" s="179">
        <f ca="1">IF(OR($D92&lt;&gt;"Serviço",AND(AUTOEVENTO="Manual",$M92=$A$15),$M92&gt;(ROW(PLE.lastrow)-ROW(PLE.firstrow))),0,
           IF(OFFSET(PLE!$G$15,$M92-$A$15,BY$13)="",10^12,OFFSET(PLE!$G$15,$M92-$A$15,BY$13)))</f>
        <v>1000000000000</v>
      </c>
      <c r="BZ92" s="179">
        <f ca="1">IF(OR($D92&lt;&gt;"Serviço",AND(AUTOEVENTO="Manual",$M92=$A$15),$M92&gt;(ROW(PLE.lastrow)-ROW(PLE.firstrow))),0,
           IF(OFFSET(PLE!$G$15,$M92-$A$15,BZ$13)="",10^12,OFFSET(PLE!$G$15,$M92-$A$15,BZ$13)))</f>
        <v>1000000000000</v>
      </c>
      <c r="CA92" s="179">
        <f ca="1">IF(OR($D92&lt;&gt;"Serviço",AND(AUTOEVENTO="Manual",$M92=$A$15),$M92&gt;(ROW(PLE.lastrow)-ROW(PLE.firstrow))),0,
           IF(OFFSET(PLE!$G$15,$M92-$A$15,CA$13)="",10^12,OFFSET(PLE!$G$15,$M92-$A$15,CA$13)))</f>
        <v>1000000000000</v>
      </c>
      <c r="CB92" s="179">
        <f ca="1">IF(OR($D92&lt;&gt;"Serviço",AND(AUTOEVENTO="Manual",$M92=$A$15),$M92&gt;(ROW(PLE.lastrow)-ROW(PLE.firstrow))),0,
           IF(OFFSET(PLE!$G$15,$M92-$A$15,CB$13)="",10^12,OFFSET(PLE!$G$15,$M92-$A$15,CB$13)))</f>
        <v>1000000000000</v>
      </c>
      <c r="CC92" s="179">
        <f ca="1">IF(OR($D92&lt;&gt;"Serviço",AND(AUTOEVENTO="Manual",$M92=$A$15),$M92&gt;(ROW(PLE.lastrow)-ROW(PLE.firstrow))),0,
           IF(OFFSET(PLE!$G$15,$M92-$A$15,CC$13)="",10^12,OFFSET(PLE!$G$15,$M92-$A$15,CC$13)))</f>
        <v>1000000000000</v>
      </c>
      <c r="CD92" s="179">
        <f ca="1">IF(OR($D92&lt;&gt;"Serviço",AND(AUTOEVENTO="Manual",$M92=$A$15),$M92&gt;(ROW(PLE.lastrow)-ROW(PLE.firstrow))),0,
           IF(OFFSET(PLE!$G$15,$M92-$A$15,CD$13)="",10^12,OFFSET(PLE!$G$15,$M92-$A$15,CD$13)))</f>
        <v>1000000000000</v>
      </c>
      <c r="CE92" s="179">
        <f ca="1">IF(OR($D92&lt;&gt;"Serviço",AND(AUTOEVENTO="Manual",$M92=$A$15),$M92&gt;(ROW(PLE.lastrow)-ROW(PLE.firstrow))),0,
           IF(OFFSET(PLE!$G$15,$M92-$A$15,CE$13)="",10^12,OFFSET(PLE!$G$15,$M92-$A$15,CE$13)))</f>
        <v>1000000000000</v>
      </c>
      <c r="CF92" s="179">
        <f ca="1">IF(OR($D92&lt;&gt;"Serviço",AND(AUTOEVENTO="Manual",$M92=$A$15),$M92&gt;(ROW(PLE.lastrow)-ROW(PLE.firstrow))),0,
           IF(OFFSET(PLE!$G$15,$M92-$A$15,CF$13)="",10^12,OFFSET(PLE!$G$15,$M92-$A$15,CF$13)))</f>
        <v>1000000000000</v>
      </c>
      <c r="CG92" s="179">
        <f ca="1">IF(OR($D92&lt;&gt;"Serviço",AND(AUTOEVENTO="Manual",$M92=$A$15),$M92&gt;(ROW(PLE.lastrow)-ROW(PLE.firstrow))),0,
           IF(OFFSET(PLE!$G$15,$M92-$A$15,CG$13)="",10^12,OFFSET(PLE!$G$15,$M92-$A$15,CG$13)))</f>
        <v>1000000000000</v>
      </c>
      <c r="CH92" s="179">
        <f ca="1">IF(OR($D92&lt;&gt;"Serviço",AND(AUTOEVENTO="Manual",$M92=$A$15),$M92&gt;(ROW(PLE.lastrow)-ROW(PLE.firstrow))),0,
           IF(OFFSET(PLE!$G$15,$M92-$A$15,CH$13)="",10^12,OFFSET(PLE!$G$15,$M92-$A$15,CH$13)))</f>
        <v>1000000000000</v>
      </c>
      <c r="CI92" s="179">
        <f ca="1">IF(OR($D92&lt;&gt;"Serviço",AND(AUTOEVENTO="Manual",$M92=$A$15),$M92&gt;(ROW(PLE.lastrow)-ROW(PLE.firstrow))),0,
           IF(OFFSET(PLE!$G$15,$M92-$A$15,CI$13)="",10^12,OFFSET(PLE!$G$15,$M92-$A$15,CI$13)))</f>
        <v>1000000000000</v>
      </c>
      <c r="CJ92" s="179">
        <f ca="1">IF(OR($D92&lt;&gt;"Serviço",AND(AUTOEVENTO="Manual",$M92=$A$15),$M92&gt;(ROW(PLE.lastrow)-ROW(PLE.firstrow))),0,
           IF(OFFSET(PLE!$G$15,$M92-$A$15,CJ$13)="",10^12,OFFSET(PLE!$G$15,$M92-$A$15,CJ$13)))</f>
        <v>1000000000000</v>
      </c>
      <c r="CK92" s="179">
        <f ca="1">IF(OR($D92&lt;&gt;"Serviço",AND(AUTOEVENTO="Manual",$M92=$A$15),$M92&gt;(ROW(PLE.lastrow)-ROW(PLE.firstrow))),0,
           IF(OFFSET(PLE!$G$15,$M92-$A$15,CK$13)="",10^12,OFFSET(PLE!$G$15,$M92-$A$15,CK$13)))</f>
        <v>1000000000000</v>
      </c>
      <c r="CL92" s="179">
        <f ca="1">IF(OR($D92&lt;&gt;"Serviço",AND(AUTOEVENTO="Manual",$M92=$A$15),$M92&gt;(ROW(PLE.lastrow)-ROW(PLE.firstrow))),0,
           IF(OFFSET(PLE!$G$15,$M92-$A$15,CL$13)="",10^12,OFFSET(PLE!$G$15,$M92-$A$15,CL$13)))</f>
        <v>1000000000000</v>
      </c>
      <c r="CM92" s="179">
        <f ca="1">IF(OR($D92&lt;&gt;"Serviço",AND(AUTOEVENTO="Manual",$M92=$A$15),$M92&gt;(ROW(PLE.lastrow)-ROW(PLE.firstrow))),0,
           IF(OFFSET(PLE!$G$15,$M92-$A$15,CM$13)="",10^12,OFFSET(PLE!$G$15,$M92-$A$15,CM$13)))</f>
        <v>1000000000000</v>
      </c>
    </row>
    <row r="93" spans="1:91" ht="25.5" x14ac:dyDescent="0.2">
      <c r="A93" s="7" t="str">
        <f ca="1">IF(AUTOEVENTO="Manual",IF(K93&lt;&gt;"",MIN(VALUE(LEFT(K93,FIND(".",K93)-1)),COUNTA(EVENTOS.Lista)),0),IF(OR($B93&gt;AUTOEVENTO,$B93="S",$B93=0),SUBSTITUTE(OFFSET($A93,-1,0),IF($D93="Serviço",".",""),""),ROW(A93)-ROW($A$15)&amp;"."))</f>
        <v>71</v>
      </c>
      <c r="B93" s="7" t="str">
        <f ca="1">OFFSET(ORÇAMENTO!C$15,ROW(B93)-ROW(B$15),0)</f>
        <v>S</v>
      </c>
      <c r="C93" s="7" t="str">
        <f ca="1">OFFSET(ORÇAMENTO!L$15,ROW(C93)-ROW(C$15),0)</f>
        <v>F</v>
      </c>
      <c r="D93" s="118" t="str">
        <f ca="1">OFFSET(ORÇAMENTO!N$15,ROW(D93)-ROW(D$15),0)</f>
        <v>Serviço</v>
      </c>
      <c r="E93" s="119" t="str">
        <f ca="1">OFFSET(ORÇAMENTO!O$15,ROW(E93)-ROW(E$15),0)</f>
        <v>1.12.0.0.7.</v>
      </c>
      <c r="F93" s="170" t="str">
        <f ca="1">OFFSET(ORÇAMENTO!R$15,ROW(F93)-ROW(F$15),0)</f>
        <v>BUCHA EM ALUMINIO, COM ROSCA, DE 1 1/4", PARA ELETRODUTO</v>
      </c>
      <c r="G93" s="171" t="str">
        <f ca="1">IF($D93&lt;&gt;"Serviço","",OFFSET(ORÇAMENTO!S$15,ROW(G93)-ROW(G$15),0))</f>
        <v>UN</v>
      </c>
      <c r="H93" s="124" cm="1">
        <f t="array" aca="1" ref="H93" ca="1">IF($D93&lt;&gt;"Serviço",0,IF(_xlfn.SINGLE(ACOMPANHAMENTO)="BM",ROUND(OFFSET(ORÇAMENTO!AJ$15,ROW(H93)-ROW(H$15),0),15-13*ORÇAMENTO!$AF$7),SUMPRODUCT(($Q$1:$AI$1)*ROUND($Q93:$AI93,15-13*ORÇAMENTO!$AF$7))))</f>
        <v>2</v>
      </c>
      <c r="I93" s="500" t="s">
        <v>1019</v>
      </c>
      <c r="J93" s="632" t="str" cm="1">
        <f t="array" aca="1" ref="J93" ca="1">IF(B93&lt;&gt;"S","",IF(AND(ACOMPANHAMENTO="PLE",AUTOEVENTO="Manual",OR(H93&gt;0,ORÇAMENTO!AC93="QUANT."),OR(K93="",M93=0,N93="")),"►",IF(AND(ACOMPANHAMENTO="PLE",ORÇAMENTO!AC93="QUANT."),"►►",IF(AND(COUNTIF($P$11:$AI$11,"▼")=0,H93&gt;0,I93=""),"◄",""))))</f>
        <v/>
      </c>
      <c r="K93" s="624"/>
      <c r="L93" s="172" t="s">
        <v>253</v>
      </c>
      <c r="M93" s="173">
        <f ca="1">IF($D93&lt;&gt;"Serviço","",
          IF(AUTOEVENTO="manual",$A93,
                IF(ISERROR(MATCH($A93,$A$15:OFFSET($A93,-1,0),0)),MAX($M$15:OFFSET(M93,-1,0))+1,
                      INDEX($M$15:OFFSET(M93,-1,0),MATCH($A93,$A$15:OFFSET($A93,-1,0),0)))))</f>
        <v>12</v>
      </c>
      <c r="N93" s="174" t="str">
        <f ca="1">IF($D93&lt;&gt;"Serviço","",
         IF(AUTOEVENTO="Manual",
                IF($A93=0,"&lt;-- defina o número do agrupador",
                       OFFSET(EVENTOS!$D$15,$A93-$A$15,0)),
                OFFSET($F$15,$A93,0)))</f>
        <v>INSTALAÇÕES ELÉTRICAS</v>
      </c>
      <c r="O93" s="175"/>
      <c r="Q93" s="175"/>
      <c r="R93" s="176"/>
      <c r="S93" s="176"/>
      <c r="T93" s="176">
        <v>2</v>
      </c>
      <c r="U93" s="176"/>
      <c r="V93" s="176"/>
      <c r="W93" s="176"/>
      <c r="X93" s="176"/>
      <c r="Y93" s="176"/>
      <c r="Z93" s="177"/>
      <c r="AA93" s="176"/>
      <c r="AB93" s="176"/>
      <c r="AC93" s="176"/>
      <c r="AD93" s="176"/>
      <c r="AE93" s="176"/>
      <c r="AF93" s="176"/>
      <c r="AG93" s="176"/>
      <c r="AH93" s="177"/>
      <c r="AJ93" s="485">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85">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85">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85">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4.7</v>
      </c>
      <c r="AN93" s="485">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0</v>
      </c>
      <c r="AO93" s="485">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85">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85">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85">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85">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85">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85">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85">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85">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85">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85">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85">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85">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8">
        <f ca="1">IF(OR($D93&lt;&gt;"Serviço",AND(AUTOEVENTO="Manual",$M93=$A$15)),0,
         IF(OFFSET(CRONOPLE!$F$15,$M93-$A$15,BC$13)="",10^12,OFFSET(CRONOPLE!$F$15,$M93-$A$15,BC$13)))</f>
        <v>1</v>
      </c>
      <c r="BD93" s="178">
        <f ca="1">IF(OR($D93&lt;&gt;"Serviço",AND(AUTOEVENTO="Manual",$M93=$A$15)),0,
         IF(OFFSET(CRONOPLE!$F$15,$M93-$A$15,BD$13)="",10^12,OFFSET(CRONOPLE!$F$15,$M93-$A$15,BD$13)))</f>
        <v>2</v>
      </c>
      <c r="BE93" s="178">
        <f ca="1">IF(OR($D93&lt;&gt;"Serviço",AND(AUTOEVENTO="Manual",$M93=$A$15)),0,
         IF(OFFSET(CRONOPLE!$F$15,$M93-$A$15,BE$13)="",10^12,OFFSET(CRONOPLE!$F$15,$M93-$A$15,BE$13)))</f>
        <v>1000000000000</v>
      </c>
      <c r="BF93" s="178">
        <f ca="1">IF(OR($D93&lt;&gt;"Serviço",AND(AUTOEVENTO="Manual",$M93=$A$15)),0,
         IF(OFFSET(CRONOPLE!$F$15,$M93-$A$15,BF$13)="",10^12,OFFSET(CRONOPLE!$F$15,$M93-$A$15,BF$13)))</f>
        <v>4</v>
      </c>
      <c r="BG93" s="178">
        <f ca="1">IF(OR($D93&lt;&gt;"Serviço",AND(AUTOEVENTO="Manual",$M93=$A$15)),0,
         IF(OFFSET(CRONOPLE!$F$15,$M93-$A$15,BG$13)="",10^12,OFFSET(CRONOPLE!$F$15,$M93-$A$15,BG$13)))</f>
        <v>5</v>
      </c>
      <c r="BH93" s="178">
        <f ca="1">IF(OR($D93&lt;&gt;"Serviço",AND(AUTOEVENTO="Manual",$M93=$A$15)),0,
         IF(OFFSET(CRONOPLE!$F$15,$M93-$A$15,BH$13)="",10^12,OFFSET(CRONOPLE!$F$15,$M93-$A$15,BH$13)))</f>
        <v>6</v>
      </c>
      <c r="BI93" s="178">
        <f ca="1">IF(OR($D93&lt;&gt;"Serviço",AND(AUTOEVENTO="Manual",$M93=$A$15)),0,
         IF(OFFSET(CRONOPLE!$F$15,$M93-$A$15,BI$13)="",10^12,OFFSET(CRONOPLE!$F$15,$M93-$A$15,BI$13)))</f>
        <v>7</v>
      </c>
      <c r="BJ93" s="178">
        <f ca="1">IF(OR($D93&lt;&gt;"Serviço",AND(AUTOEVENTO="Manual",$M93=$A$15)),0,
         IF(OFFSET(CRONOPLE!$F$15,$M93-$A$15,BJ$13)="",10^12,OFFSET(CRONOPLE!$F$15,$M93-$A$15,BJ$13)))</f>
        <v>8</v>
      </c>
      <c r="BK93" s="178">
        <f ca="1">IF(OR($D93&lt;&gt;"Serviço",AND(AUTOEVENTO="Manual",$M93=$A$15)),0,
         IF(OFFSET(CRONOPLE!$F$15,$M93-$A$15,BK$13)="",10^12,OFFSET(CRONOPLE!$F$15,$M93-$A$15,BK$13)))</f>
        <v>9</v>
      </c>
      <c r="BL93" s="178">
        <f ca="1">IF(OR($D93&lt;&gt;"Serviço",AND(AUTOEVENTO="Manual",$M93=$A$15)),0,
         IF(OFFSET(CRONOPLE!$F$15,$M93-$A$15,BL$13)="",10^12,OFFSET(CRONOPLE!$F$15,$M93-$A$15,BL$13)))</f>
        <v>10</v>
      </c>
      <c r="BM93" s="178">
        <f ca="1">IF(OR($D93&lt;&gt;"Serviço",AND(AUTOEVENTO="Manual",$M93=$A$15)),0,
         IF(OFFSET(CRONOPLE!$F$15,$M93-$A$15,BM$13)="",10^12,OFFSET(CRONOPLE!$F$15,$M93-$A$15,BM$13)))</f>
        <v>1000000000000</v>
      </c>
      <c r="BN93" s="178">
        <f ca="1">IF(OR($D93&lt;&gt;"Serviço",AND(AUTOEVENTO="Manual",$M93=$A$15)),0,
         IF(OFFSET(CRONOPLE!$F$15,$M93-$A$15,BN$13)="",10^12,OFFSET(CRONOPLE!$F$15,$M93-$A$15,BN$13)))</f>
        <v>1000000000000</v>
      </c>
      <c r="BO93" s="178">
        <f ca="1">IF(OR($D93&lt;&gt;"Serviço",AND(AUTOEVENTO="Manual",$M93=$A$15)),0,
         IF(OFFSET(CRONOPLE!$F$15,$M93-$A$15,BO$13)="",10^12,OFFSET(CRONOPLE!$F$15,$M93-$A$15,BO$13)))</f>
        <v>1000000000000</v>
      </c>
      <c r="BP93" s="178">
        <f ca="1">IF(OR($D93&lt;&gt;"Serviço",AND(AUTOEVENTO="Manual",$M93=$A$15)),0,
         IF(OFFSET(CRONOPLE!$F$15,$M93-$A$15,BP$13)="",10^12,OFFSET(CRONOPLE!$F$15,$M93-$A$15,BP$13)))</f>
        <v>1000000000000</v>
      </c>
      <c r="BQ93" s="178">
        <f ca="1">IF(OR($D93&lt;&gt;"Serviço",AND(AUTOEVENTO="Manual",$M93=$A$15)),0,
         IF(OFFSET(CRONOPLE!$F$15,$M93-$A$15,BQ$13)="",10^12,OFFSET(CRONOPLE!$F$15,$M93-$A$15,BQ$13)))</f>
        <v>15</v>
      </c>
      <c r="BR93" s="178">
        <f ca="1">IF(OR($D93&lt;&gt;"Serviço",AND(AUTOEVENTO="Manual",$M93=$A$15)),0,
         IF(OFFSET(CRONOPLE!$F$15,$M93-$A$15,BR$13)="",10^12,OFFSET(CRONOPLE!$F$15,$M93-$A$15,BR$13)))</f>
        <v>1000000000000</v>
      </c>
      <c r="BS93" s="178">
        <f ca="1">IF(OR($D93&lt;&gt;"Serviço",AND(AUTOEVENTO="Manual",$M93=$A$15)),0,
         IF(OFFSET(CRONOPLE!$F$15,$M93-$A$15,BS$13)="",10^12,OFFSET(CRONOPLE!$F$15,$M93-$A$15,BS$13)))</f>
        <v>1000000000000</v>
      </c>
      <c r="BT93" s="178">
        <f ca="1">IF(OR($D93&lt;&gt;"Serviço",AND(AUTOEVENTO="Manual",$M93=$A$15)),0,
         IF(OFFSET(CRONOPLE!$F$15,$M93-$A$15,BT$13)="",10^12,OFFSET(CRONOPLE!$F$15,$M93-$A$15,BT$13)))</f>
        <v>1000000000000</v>
      </c>
      <c r="BV93" s="179">
        <f ca="1">IF(OR($D93&lt;&gt;"Serviço",AND(AUTOEVENTO="Manual",$M93=$A$15),$M93&gt;(ROW(PLE.lastrow)-ROW(PLE.firstrow))),0,
           IF(OFFSET(PLE!$G$15,$M93-$A$15,BV$13)="",10^12,OFFSET(PLE!$G$15,$M93-$A$15,BV$13)))</f>
        <v>1000000000000</v>
      </c>
      <c r="BW93" s="179">
        <f ca="1">IF(OR($D93&lt;&gt;"Serviço",AND(AUTOEVENTO="Manual",$M93=$A$15),$M93&gt;(ROW(PLE.lastrow)-ROW(PLE.firstrow))),0,
           IF(OFFSET(PLE!$G$15,$M93-$A$15,BW$13)="",10^12,OFFSET(PLE!$G$15,$M93-$A$15,BW$13)))</f>
        <v>1000000000000</v>
      </c>
      <c r="BX93" s="179">
        <f ca="1">IF(OR($D93&lt;&gt;"Serviço",AND(AUTOEVENTO="Manual",$M93=$A$15),$M93&gt;(ROW(PLE.lastrow)-ROW(PLE.firstrow))),0,
           IF(OFFSET(PLE!$G$15,$M93-$A$15,BX$13)="",10^12,OFFSET(PLE!$G$15,$M93-$A$15,BX$13)))</f>
        <v>1000000000000</v>
      </c>
      <c r="BY93" s="179">
        <f ca="1">IF(OR($D93&lt;&gt;"Serviço",AND(AUTOEVENTO="Manual",$M93=$A$15),$M93&gt;(ROW(PLE.lastrow)-ROW(PLE.firstrow))),0,
           IF(OFFSET(PLE!$G$15,$M93-$A$15,BY$13)="",10^12,OFFSET(PLE!$G$15,$M93-$A$15,BY$13)))</f>
        <v>1000000000000</v>
      </c>
      <c r="BZ93" s="179">
        <f ca="1">IF(OR($D93&lt;&gt;"Serviço",AND(AUTOEVENTO="Manual",$M93=$A$15),$M93&gt;(ROW(PLE.lastrow)-ROW(PLE.firstrow))),0,
           IF(OFFSET(PLE!$G$15,$M93-$A$15,BZ$13)="",10^12,OFFSET(PLE!$G$15,$M93-$A$15,BZ$13)))</f>
        <v>1000000000000</v>
      </c>
      <c r="CA93" s="179">
        <f ca="1">IF(OR($D93&lt;&gt;"Serviço",AND(AUTOEVENTO="Manual",$M93=$A$15),$M93&gt;(ROW(PLE.lastrow)-ROW(PLE.firstrow))),0,
           IF(OFFSET(PLE!$G$15,$M93-$A$15,CA$13)="",10^12,OFFSET(PLE!$G$15,$M93-$A$15,CA$13)))</f>
        <v>1000000000000</v>
      </c>
      <c r="CB93" s="179">
        <f ca="1">IF(OR($D93&lt;&gt;"Serviço",AND(AUTOEVENTO="Manual",$M93=$A$15),$M93&gt;(ROW(PLE.lastrow)-ROW(PLE.firstrow))),0,
           IF(OFFSET(PLE!$G$15,$M93-$A$15,CB$13)="",10^12,OFFSET(PLE!$G$15,$M93-$A$15,CB$13)))</f>
        <v>1000000000000</v>
      </c>
      <c r="CC93" s="179">
        <f ca="1">IF(OR($D93&lt;&gt;"Serviço",AND(AUTOEVENTO="Manual",$M93=$A$15),$M93&gt;(ROW(PLE.lastrow)-ROW(PLE.firstrow))),0,
           IF(OFFSET(PLE!$G$15,$M93-$A$15,CC$13)="",10^12,OFFSET(PLE!$G$15,$M93-$A$15,CC$13)))</f>
        <v>1000000000000</v>
      </c>
      <c r="CD93" s="179">
        <f ca="1">IF(OR($D93&lt;&gt;"Serviço",AND(AUTOEVENTO="Manual",$M93=$A$15),$M93&gt;(ROW(PLE.lastrow)-ROW(PLE.firstrow))),0,
           IF(OFFSET(PLE!$G$15,$M93-$A$15,CD$13)="",10^12,OFFSET(PLE!$G$15,$M93-$A$15,CD$13)))</f>
        <v>1000000000000</v>
      </c>
      <c r="CE93" s="179">
        <f ca="1">IF(OR($D93&lt;&gt;"Serviço",AND(AUTOEVENTO="Manual",$M93=$A$15),$M93&gt;(ROW(PLE.lastrow)-ROW(PLE.firstrow))),0,
           IF(OFFSET(PLE!$G$15,$M93-$A$15,CE$13)="",10^12,OFFSET(PLE!$G$15,$M93-$A$15,CE$13)))</f>
        <v>1000000000000</v>
      </c>
      <c r="CF93" s="179">
        <f ca="1">IF(OR($D93&lt;&gt;"Serviço",AND(AUTOEVENTO="Manual",$M93=$A$15),$M93&gt;(ROW(PLE.lastrow)-ROW(PLE.firstrow))),0,
           IF(OFFSET(PLE!$G$15,$M93-$A$15,CF$13)="",10^12,OFFSET(PLE!$G$15,$M93-$A$15,CF$13)))</f>
        <v>1000000000000</v>
      </c>
      <c r="CG93" s="179">
        <f ca="1">IF(OR($D93&lt;&gt;"Serviço",AND(AUTOEVENTO="Manual",$M93=$A$15),$M93&gt;(ROW(PLE.lastrow)-ROW(PLE.firstrow))),0,
           IF(OFFSET(PLE!$G$15,$M93-$A$15,CG$13)="",10^12,OFFSET(PLE!$G$15,$M93-$A$15,CG$13)))</f>
        <v>1000000000000</v>
      </c>
      <c r="CH93" s="179">
        <f ca="1">IF(OR($D93&lt;&gt;"Serviço",AND(AUTOEVENTO="Manual",$M93=$A$15),$M93&gt;(ROW(PLE.lastrow)-ROW(PLE.firstrow))),0,
           IF(OFFSET(PLE!$G$15,$M93-$A$15,CH$13)="",10^12,OFFSET(PLE!$G$15,$M93-$A$15,CH$13)))</f>
        <v>1000000000000</v>
      </c>
      <c r="CI93" s="179">
        <f ca="1">IF(OR($D93&lt;&gt;"Serviço",AND(AUTOEVENTO="Manual",$M93=$A$15),$M93&gt;(ROW(PLE.lastrow)-ROW(PLE.firstrow))),0,
           IF(OFFSET(PLE!$G$15,$M93-$A$15,CI$13)="",10^12,OFFSET(PLE!$G$15,$M93-$A$15,CI$13)))</f>
        <v>1000000000000</v>
      </c>
      <c r="CJ93" s="179">
        <f ca="1">IF(OR($D93&lt;&gt;"Serviço",AND(AUTOEVENTO="Manual",$M93=$A$15),$M93&gt;(ROW(PLE.lastrow)-ROW(PLE.firstrow))),0,
           IF(OFFSET(PLE!$G$15,$M93-$A$15,CJ$13)="",10^12,OFFSET(PLE!$G$15,$M93-$A$15,CJ$13)))</f>
        <v>1000000000000</v>
      </c>
      <c r="CK93" s="179">
        <f ca="1">IF(OR($D93&lt;&gt;"Serviço",AND(AUTOEVENTO="Manual",$M93=$A$15),$M93&gt;(ROW(PLE.lastrow)-ROW(PLE.firstrow))),0,
           IF(OFFSET(PLE!$G$15,$M93-$A$15,CK$13)="",10^12,OFFSET(PLE!$G$15,$M93-$A$15,CK$13)))</f>
        <v>1000000000000</v>
      </c>
      <c r="CL93" s="179">
        <f ca="1">IF(OR($D93&lt;&gt;"Serviço",AND(AUTOEVENTO="Manual",$M93=$A$15),$M93&gt;(ROW(PLE.lastrow)-ROW(PLE.firstrow))),0,
           IF(OFFSET(PLE!$G$15,$M93-$A$15,CL$13)="",10^12,OFFSET(PLE!$G$15,$M93-$A$15,CL$13)))</f>
        <v>1000000000000</v>
      </c>
      <c r="CM93" s="179">
        <f ca="1">IF(OR($D93&lt;&gt;"Serviço",AND(AUTOEVENTO="Manual",$M93=$A$15),$M93&gt;(ROW(PLE.lastrow)-ROW(PLE.firstrow))),0,
           IF(OFFSET(PLE!$G$15,$M93-$A$15,CM$13)="",10^12,OFFSET(PLE!$G$15,$M93-$A$15,CM$13)))</f>
        <v>1000000000000</v>
      </c>
    </row>
    <row r="94" spans="1:91" ht="25.5" x14ac:dyDescent="0.2">
      <c r="A94" s="7" t="str">
        <f ca="1">IF(AUTOEVENTO="Manual",IF(K94&lt;&gt;"",MIN(VALUE(LEFT(K94,FIND(".",K94)-1)),COUNTA(EVENTOS.Lista)),0),IF(OR($B94&gt;AUTOEVENTO,$B94="S",$B94=0),SUBSTITUTE(OFFSET($A94,-1,0),IF($D94="Serviço",".",""),""),ROW(A94)-ROW($A$15)&amp;"."))</f>
        <v>71</v>
      </c>
      <c r="B94" s="7" t="str">
        <f ca="1">OFFSET(ORÇAMENTO!C$15,ROW(B94)-ROW(B$15),0)</f>
        <v>S</v>
      </c>
      <c r="C94" s="7" t="str">
        <f ca="1">OFFSET(ORÇAMENTO!L$15,ROW(C94)-ROW(C$15),0)</f>
        <v>F</v>
      </c>
      <c r="D94" s="118" t="str">
        <f ca="1">OFFSET(ORÇAMENTO!N$15,ROW(D94)-ROW(D$15),0)</f>
        <v>Serviço</v>
      </c>
      <c r="E94" s="119" t="str">
        <f ca="1">OFFSET(ORÇAMENTO!O$15,ROW(E94)-ROW(E$15),0)</f>
        <v>1.12.0.0.8.</v>
      </c>
      <c r="F94" s="170" t="str">
        <f ca="1">OFFSET(ORÇAMENTO!R$15,ROW(F94)-ROW(F$15),0)</f>
        <v>TOMADA BAIXA DE EMBUTIR (2 MÓDULOS), 2P+T 20 A, INCLUINDO SUPORTE E PLACA - FORNECIMENTO E INSTALAÇÃO. AF_03/2023</v>
      </c>
      <c r="G94" s="171" t="str">
        <f ca="1">IF($D94&lt;&gt;"Serviço","",OFFSET(ORÇAMENTO!S$15,ROW(G94)-ROW(G$15),0))</f>
        <v>UN</v>
      </c>
      <c r="H94" s="124" cm="1">
        <f t="array" aca="1" ref="H94" ca="1">IF($D94&lt;&gt;"Serviço",0,IF(_xlfn.SINGLE(ACOMPANHAMENTO)="BM",ROUND(OFFSET(ORÇAMENTO!AJ$15,ROW(H94)-ROW(H$15),0),15-13*ORÇAMENTO!$AF$7),SUMPRODUCT(($Q$1:$AI$1)*ROUND($Q94:$AI94,15-13*ORÇAMENTO!$AF$7))))</f>
        <v>14</v>
      </c>
      <c r="I94" s="500" t="s">
        <v>1019</v>
      </c>
      <c r="J94" s="632" t="str" cm="1">
        <f t="array" aca="1" ref="J94" ca="1">IF(B94&lt;&gt;"S","",IF(AND(ACOMPANHAMENTO="PLE",AUTOEVENTO="Manual",OR(H94&gt;0,ORÇAMENTO!AC94="QUANT."),OR(K94="",M94=0,N94="")),"►",IF(AND(ACOMPANHAMENTO="PLE",ORÇAMENTO!AC94="QUANT."),"►►",IF(AND(COUNTIF($P$11:$AI$11,"▼")=0,H94&gt;0,I94=""),"◄",""))))</f>
        <v/>
      </c>
      <c r="K94" s="624"/>
      <c r="L94" s="172" t="s">
        <v>253</v>
      </c>
      <c r="M94" s="173">
        <f ca="1">IF($D94&lt;&gt;"Serviço","",
          IF(AUTOEVENTO="manual",$A94,
                IF(ISERROR(MATCH($A94,$A$15:OFFSET($A94,-1,0),0)),MAX($M$15:OFFSET(M94,-1,0))+1,
                      INDEX($M$15:OFFSET(M94,-1,0),MATCH($A94,$A$15:OFFSET($A94,-1,0),0)))))</f>
        <v>12</v>
      </c>
      <c r="N94" s="174" t="str">
        <f ca="1">IF($D94&lt;&gt;"Serviço","",
         IF(AUTOEVENTO="Manual",
                IF($A94=0,"&lt;-- defina o número do agrupador",
                       OFFSET(EVENTOS!$D$15,$A94-$A$15,0)),
                OFFSET($F$15,$A94,0)))</f>
        <v>INSTALAÇÕES ELÉTRICAS</v>
      </c>
      <c r="O94" s="175"/>
      <c r="Q94" s="175"/>
      <c r="R94" s="176"/>
      <c r="S94" s="176"/>
      <c r="T94" s="176">
        <v>14</v>
      </c>
      <c r="U94" s="176"/>
      <c r="V94" s="176"/>
      <c r="W94" s="176"/>
      <c r="X94" s="176"/>
      <c r="Y94" s="176"/>
      <c r="Z94" s="177"/>
      <c r="AA94" s="176"/>
      <c r="AB94" s="176"/>
      <c r="AC94" s="176"/>
      <c r="AD94" s="176"/>
      <c r="AE94" s="176"/>
      <c r="AF94" s="176"/>
      <c r="AG94" s="176"/>
      <c r="AH94" s="177"/>
      <c r="AJ94" s="485">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85">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L94" s="485">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0</v>
      </c>
      <c r="AM94" s="485">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1121.1199999999999</v>
      </c>
      <c r="AN94" s="485">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0</v>
      </c>
      <c r="AO94" s="485">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85">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85">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85">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85">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85">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85">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85">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85">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85">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85">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85">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85">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8">
        <f ca="1">IF(OR($D94&lt;&gt;"Serviço",AND(AUTOEVENTO="Manual",$M94=$A$15)),0,
         IF(OFFSET(CRONOPLE!$F$15,$M94-$A$15,BC$13)="",10^12,OFFSET(CRONOPLE!$F$15,$M94-$A$15,BC$13)))</f>
        <v>1</v>
      </c>
      <c r="BD94" s="178">
        <f ca="1">IF(OR($D94&lt;&gt;"Serviço",AND(AUTOEVENTO="Manual",$M94=$A$15)),0,
         IF(OFFSET(CRONOPLE!$F$15,$M94-$A$15,BD$13)="",10^12,OFFSET(CRONOPLE!$F$15,$M94-$A$15,BD$13)))</f>
        <v>2</v>
      </c>
      <c r="BE94" s="178">
        <f ca="1">IF(OR($D94&lt;&gt;"Serviço",AND(AUTOEVENTO="Manual",$M94=$A$15)),0,
         IF(OFFSET(CRONOPLE!$F$15,$M94-$A$15,BE$13)="",10^12,OFFSET(CRONOPLE!$F$15,$M94-$A$15,BE$13)))</f>
        <v>1000000000000</v>
      </c>
      <c r="BF94" s="178">
        <f ca="1">IF(OR($D94&lt;&gt;"Serviço",AND(AUTOEVENTO="Manual",$M94=$A$15)),0,
         IF(OFFSET(CRONOPLE!$F$15,$M94-$A$15,BF$13)="",10^12,OFFSET(CRONOPLE!$F$15,$M94-$A$15,BF$13)))</f>
        <v>4</v>
      </c>
      <c r="BG94" s="178">
        <f ca="1">IF(OR($D94&lt;&gt;"Serviço",AND(AUTOEVENTO="Manual",$M94=$A$15)),0,
         IF(OFFSET(CRONOPLE!$F$15,$M94-$A$15,BG$13)="",10^12,OFFSET(CRONOPLE!$F$15,$M94-$A$15,BG$13)))</f>
        <v>5</v>
      </c>
      <c r="BH94" s="178">
        <f ca="1">IF(OR($D94&lt;&gt;"Serviço",AND(AUTOEVENTO="Manual",$M94=$A$15)),0,
         IF(OFFSET(CRONOPLE!$F$15,$M94-$A$15,BH$13)="",10^12,OFFSET(CRONOPLE!$F$15,$M94-$A$15,BH$13)))</f>
        <v>6</v>
      </c>
      <c r="BI94" s="178">
        <f ca="1">IF(OR($D94&lt;&gt;"Serviço",AND(AUTOEVENTO="Manual",$M94=$A$15)),0,
         IF(OFFSET(CRONOPLE!$F$15,$M94-$A$15,BI$13)="",10^12,OFFSET(CRONOPLE!$F$15,$M94-$A$15,BI$13)))</f>
        <v>7</v>
      </c>
      <c r="BJ94" s="178">
        <f ca="1">IF(OR($D94&lt;&gt;"Serviço",AND(AUTOEVENTO="Manual",$M94=$A$15)),0,
         IF(OFFSET(CRONOPLE!$F$15,$M94-$A$15,BJ$13)="",10^12,OFFSET(CRONOPLE!$F$15,$M94-$A$15,BJ$13)))</f>
        <v>8</v>
      </c>
      <c r="BK94" s="178">
        <f ca="1">IF(OR($D94&lt;&gt;"Serviço",AND(AUTOEVENTO="Manual",$M94=$A$15)),0,
         IF(OFFSET(CRONOPLE!$F$15,$M94-$A$15,BK$13)="",10^12,OFFSET(CRONOPLE!$F$15,$M94-$A$15,BK$13)))</f>
        <v>9</v>
      </c>
      <c r="BL94" s="178">
        <f ca="1">IF(OR($D94&lt;&gt;"Serviço",AND(AUTOEVENTO="Manual",$M94=$A$15)),0,
         IF(OFFSET(CRONOPLE!$F$15,$M94-$A$15,BL$13)="",10^12,OFFSET(CRONOPLE!$F$15,$M94-$A$15,BL$13)))</f>
        <v>10</v>
      </c>
      <c r="BM94" s="178">
        <f ca="1">IF(OR($D94&lt;&gt;"Serviço",AND(AUTOEVENTO="Manual",$M94=$A$15)),0,
         IF(OFFSET(CRONOPLE!$F$15,$M94-$A$15,BM$13)="",10^12,OFFSET(CRONOPLE!$F$15,$M94-$A$15,BM$13)))</f>
        <v>1000000000000</v>
      </c>
      <c r="BN94" s="178">
        <f ca="1">IF(OR($D94&lt;&gt;"Serviço",AND(AUTOEVENTO="Manual",$M94=$A$15)),0,
         IF(OFFSET(CRONOPLE!$F$15,$M94-$A$15,BN$13)="",10^12,OFFSET(CRONOPLE!$F$15,$M94-$A$15,BN$13)))</f>
        <v>1000000000000</v>
      </c>
      <c r="BO94" s="178">
        <f ca="1">IF(OR($D94&lt;&gt;"Serviço",AND(AUTOEVENTO="Manual",$M94=$A$15)),0,
         IF(OFFSET(CRONOPLE!$F$15,$M94-$A$15,BO$13)="",10^12,OFFSET(CRONOPLE!$F$15,$M94-$A$15,BO$13)))</f>
        <v>1000000000000</v>
      </c>
      <c r="BP94" s="178">
        <f ca="1">IF(OR($D94&lt;&gt;"Serviço",AND(AUTOEVENTO="Manual",$M94=$A$15)),0,
         IF(OFFSET(CRONOPLE!$F$15,$M94-$A$15,BP$13)="",10^12,OFFSET(CRONOPLE!$F$15,$M94-$A$15,BP$13)))</f>
        <v>1000000000000</v>
      </c>
      <c r="BQ94" s="178">
        <f ca="1">IF(OR($D94&lt;&gt;"Serviço",AND(AUTOEVENTO="Manual",$M94=$A$15)),0,
         IF(OFFSET(CRONOPLE!$F$15,$M94-$A$15,BQ$13)="",10^12,OFFSET(CRONOPLE!$F$15,$M94-$A$15,BQ$13)))</f>
        <v>15</v>
      </c>
      <c r="BR94" s="178">
        <f ca="1">IF(OR($D94&lt;&gt;"Serviço",AND(AUTOEVENTO="Manual",$M94=$A$15)),0,
         IF(OFFSET(CRONOPLE!$F$15,$M94-$A$15,BR$13)="",10^12,OFFSET(CRONOPLE!$F$15,$M94-$A$15,BR$13)))</f>
        <v>1000000000000</v>
      </c>
      <c r="BS94" s="178">
        <f ca="1">IF(OR($D94&lt;&gt;"Serviço",AND(AUTOEVENTO="Manual",$M94=$A$15)),0,
         IF(OFFSET(CRONOPLE!$F$15,$M94-$A$15,BS$13)="",10^12,OFFSET(CRONOPLE!$F$15,$M94-$A$15,BS$13)))</f>
        <v>1000000000000</v>
      </c>
      <c r="BT94" s="178">
        <f ca="1">IF(OR($D94&lt;&gt;"Serviço",AND(AUTOEVENTO="Manual",$M94=$A$15)),0,
         IF(OFFSET(CRONOPLE!$F$15,$M94-$A$15,BT$13)="",10^12,OFFSET(CRONOPLE!$F$15,$M94-$A$15,BT$13)))</f>
        <v>1000000000000</v>
      </c>
      <c r="BV94" s="179">
        <f ca="1">IF(OR($D94&lt;&gt;"Serviço",AND(AUTOEVENTO="Manual",$M94=$A$15),$M94&gt;(ROW(PLE.lastrow)-ROW(PLE.firstrow))),0,
           IF(OFFSET(PLE!$G$15,$M94-$A$15,BV$13)="",10^12,OFFSET(PLE!$G$15,$M94-$A$15,BV$13)))</f>
        <v>1000000000000</v>
      </c>
      <c r="BW94" s="179">
        <f ca="1">IF(OR($D94&lt;&gt;"Serviço",AND(AUTOEVENTO="Manual",$M94=$A$15),$M94&gt;(ROW(PLE.lastrow)-ROW(PLE.firstrow))),0,
           IF(OFFSET(PLE!$G$15,$M94-$A$15,BW$13)="",10^12,OFFSET(PLE!$G$15,$M94-$A$15,BW$13)))</f>
        <v>1000000000000</v>
      </c>
      <c r="BX94" s="179">
        <f ca="1">IF(OR($D94&lt;&gt;"Serviço",AND(AUTOEVENTO="Manual",$M94=$A$15),$M94&gt;(ROW(PLE.lastrow)-ROW(PLE.firstrow))),0,
           IF(OFFSET(PLE!$G$15,$M94-$A$15,BX$13)="",10^12,OFFSET(PLE!$G$15,$M94-$A$15,BX$13)))</f>
        <v>1000000000000</v>
      </c>
      <c r="BY94" s="179">
        <f ca="1">IF(OR($D94&lt;&gt;"Serviço",AND(AUTOEVENTO="Manual",$M94=$A$15),$M94&gt;(ROW(PLE.lastrow)-ROW(PLE.firstrow))),0,
           IF(OFFSET(PLE!$G$15,$M94-$A$15,BY$13)="",10^12,OFFSET(PLE!$G$15,$M94-$A$15,BY$13)))</f>
        <v>1000000000000</v>
      </c>
      <c r="BZ94" s="179">
        <f ca="1">IF(OR($D94&lt;&gt;"Serviço",AND(AUTOEVENTO="Manual",$M94=$A$15),$M94&gt;(ROW(PLE.lastrow)-ROW(PLE.firstrow))),0,
           IF(OFFSET(PLE!$G$15,$M94-$A$15,BZ$13)="",10^12,OFFSET(PLE!$G$15,$M94-$A$15,BZ$13)))</f>
        <v>1000000000000</v>
      </c>
      <c r="CA94" s="179">
        <f ca="1">IF(OR($D94&lt;&gt;"Serviço",AND(AUTOEVENTO="Manual",$M94=$A$15),$M94&gt;(ROW(PLE.lastrow)-ROW(PLE.firstrow))),0,
           IF(OFFSET(PLE!$G$15,$M94-$A$15,CA$13)="",10^12,OFFSET(PLE!$G$15,$M94-$A$15,CA$13)))</f>
        <v>1000000000000</v>
      </c>
      <c r="CB94" s="179">
        <f ca="1">IF(OR($D94&lt;&gt;"Serviço",AND(AUTOEVENTO="Manual",$M94=$A$15),$M94&gt;(ROW(PLE.lastrow)-ROW(PLE.firstrow))),0,
           IF(OFFSET(PLE!$G$15,$M94-$A$15,CB$13)="",10^12,OFFSET(PLE!$G$15,$M94-$A$15,CB$13)))</f>
        <v>1000000000000</v>
      </c>
      <c r="CC94" s="179">
        <f ca="1">IF(OR($D94&lt;&gt;"Serviço",AND(AUTOEVENTO="Manual",$M94=$A$15),$M94&gt;(ROW(PLE.lastrow)-ROW(PLE.firstrow))),0,
           IF(OFFSET(PLE!$G$15,$M94-$A$15,CC$13)="",10^12,OFFSET(PLE!$G$15,$M94-$A$15,CC$13)))</f>
        <v>1000000000000</v>
      </c>
      <c r="CD94" s="179">
        <f ca="1">IF(OR($D94&lt;&gt;"Serviço",AND(AUTOEVENTO="Manual",$M94=$A$15),$M94&gt;(ROW(PLE.lastrow)-ROW(PLE.firstrow))),0,
           IF(OFFSET(PLE!$G$15,$M94-$A$15,CD$13)="",10^12,OFFSET(PLE!$G$15,$M94-$A$15,CD$13)))</f>
        <v>1000000000000</v>
      </c>
      <c r="CE94" s="179">
        <f ca="1">IF(OR($D94&lt;&gt;"Serviço",AND(AUTOEVENTO="Manual",$M94=$A$15),$M94&gt;(ROW(PLE.lastrow)-ROW(PLE.firstrow))),0,
           IF(OFFSET(PLE!$G$15,$M94-$A$15,CE$13)="",10^12,OFFSET(PLE!$G$15,$M94-$A$15,CE$13)))</f>
        <v>1000000000000</v>
      </c>
      <c r="CF94" s="179">
        <f ca="1">IF(OR($D94&lt;&gt;"Serviço",AND(AUTOEVENTO="Manual",$M94=$A$15),$M94&gt;(ROW(PLE.lastrow)-ROW(PLE.firstrow))),0,
           IF(OFFSET(PLE!$G$15,$M94-$A$15,CF$13)="",10^12,OFFSET(PLE!$G$15,$M94-$A$15,CF$13)))</f>
        <v>1000000000000</v>
      </c>
      <c r="CG94" s="179">
        <f ca="1">IF(OR($D94&lt;&gt;"Serviço",AND(AUTOEVENTO="Manual",$M94=$A$15),$M94&gt;(ROW(PLE.lastrow)-ROW(PLE.firstrow))),0,
           IF(OFFSET(PLE!$G$15,$M94-$A$15,CG$13)="",10^12,OFFSET(PLE!$G$15,$M94-$A$15,CG$13)))</f>
        <v>1000000000000</v>
      </c>
      <c r="CH94" s="179">
        <f ca="1">IF(OR($D94&lt;&gt;"Serviço",AND(AUTOEVENTO="Manual",$M94=$A$15),$M94&gt;(ROW(PLE.lastrow)-ROW(PLE.firstrow))),0,
           IF(OFFSET(PLE!$G$15,$M94-$A$15,CH$13)="",10^12,OFFSET(PLE!$G$15,$M94-$A$15,CH$13)))</f>
        <v>1000000000000</v>
      </c>
      <c r="CI94" s="179">
        <f ca="1">IF(OR($D94&lt;&gt;"Serviço",AND(AUTOEVENTO="Manual",$M94=$A$15),$M94&gt;(ROW(PLE.lastrow)-ROW(PLE.firstrow))),0,
           IF(OFFSET(PLE!$G$15,$M94-$A$15,CI$13)="",10^12,OFFSET(PLE!$G$15,$M94-$A$15,CI$13)))</f>
        <v>1000000000000</v>
      </c>
      <c r="CJ94" s="179">
        <f ca="1">IF(OR($D94&lt;&gt;"Serviço",AND(AUTOEVENTO="Manual",$M94=$A$15),$M94&gt;(ROW(PLE.lastrow)-ROW(PLE.firstrow))),0,
           IF(OFFSET(PLE!$G$15,$M94-$A$15,CJ$13)="",10^12,OFFSET(PLE!$G$15,$M94-$A$15,CJ$13)))</f>
        <v>1000000000000</v>
      </c>
      <c r="CK94" s="179">
        <f ca="1">IF(OR($D94&lt;&gt;"Serviço",AND(AUTOEVENTO="Manual",$M94=$A$15),$M94&gt;(ROW(PLE.lastrow)-ROW(PLE.firstrow))),0,
           IF(OFFSET(PLE!$G$15,$M94-$A$15,CK$13)="",10^12,OFFSET(PLE!$G$15,$M94-$A$15,CK$13)))</f>
        <v>1000000000000</v>
      </c>
      <c r="CL94" s="179">
        <f ca="1">IF(OR($D94&lt;&gt;"Serviço",AND(AUTOEVENTO="Manual",$M94=$A$15),$M94&gt;(ROW(PLE.lastrow)-ROW(PLE.firstrow))),0,
           IF(OFFSET(PLE!$G$15,$M94-$A$15,CL$13)="",10^12,OFFSET(PLE!$G$15,$M94-$A$15,CL$13)))</f>
        <v>1000000000000</v>
      </c>
      <c r="CM94" s="179">
        <f ca="1">IF(OR($D94&lt;&gt;"Serviço",AND(AUTOEVENTO="Manual",$M94=$A$15),$M94&gt;(ROW(PLE.lastrow)-ROW(PLE.firstrow))),0,
           IF(OFFSET(PLE!$G$15,$M94-$A$15,CM$13)="",10^12,OFFSET(PLE!$G$15,$M94-$A$15,CM$13)))</f>
        <v>1000000000000</v>
      </c>
    </row>
    <row r="95" spans="1:91" ht="25.5" x14ac:dyDescent="0.2">
      <c r="A95" s="7" t="str">
        <f ca="1">IF(AUTOEVENTO="Manual",IF(K95&lt;&gt;"",MIN(VALUE(LEFT(K95,FIND(".",K95)-1)),COUNTA(EVENTOS.Lista)),0),IF(OR($B95&gt;AUTOEVENTO,$B95="S",$B95=0),SUBSTITUTE(OFFSET($A95,-1,0),IF($D95="Serviço",".",""),""),ROW(A95)-ROW($A$15)&amp;"."))</f>
        <v>71</v>
      </c>
      <c r="B95" s="7" t="str">
        <f ca="1">OFFSET(ORÇAMENTO!C$15,ROW(B95)-ROW(B$15),0)</f>
        <v>S</v>
      </c>
      <c r="C95" s="7" t="str">
        <f ca="1">OFFSET(ORÇAMENTO!L$15,ROW(C95)-ROW(C$15),0)</f>
        <v>F</v>
      </c>
      <c r="D95" s="118" t="str">
        <f ca="1">OFFSET(ORÇAMENTO!N$15,ROW(D95)-ROW(D$15),0)</f>
        <v>Serviço</v>
      </c>
      <c r="E95" s="119" t="str">
        <f ca="1">OFFSET(ORÇAMENTO!O$15,ROW(E95)-ROW(E$15),0)</f>
        <v>1.12.0.0.9.</v>
      </c>
      <c r="F95" s="170" t="str">
        <f ca="1">OFFSET(ORÇAMENTO!R$15,ROW(F95)-ROW(F$15),0)</f>
        <v>TOMADA ALTA DE EMBUTIR (1 MÓDULO), 2P+T 10 A, INCLUINDO SUPORTE E PLACA - FORNECIMENTO E INSTALAÇÃO. AF_03/2023</v>
      </c>
      <c r="G95" s="171" t="str">
        <f ca="1">IF($D95&lt;&gt;"Serviço","",OFFSET(ORÇAMENTO!S$15,ROW(G95)-ROW(G$15),0))</f>
        <v>UN</v>
      </c>
      <c r="H95" s="124" cm="1">
        <f t="array" aca="1" ref="H95" ca="1">IF($D95&lt;&gt;"Serviço",0,IF(_xlfn.SINGLE(ACOMPANHAMENTO)="BM",ROUND(OFFSET(ORÇAMENTO!AJ$15,ROW(H95)-ROW(H$15),0),15-13*ORÇAMENTO!$AF$7),SUMPRODUCT(($Q$1:$AI$1)*ROUND($Q95:$AI95,15-13*ORÇAMENTO!$AF$7))))</f>
        <v>1</v>
      </c>
      <c r="I95" s="500" t="s">
        <v>1019</v>
      </c>
      <c r="J95" s="632" t="str" cm="1">
        <f t="array" aca="1" ref="J95" ca="1">IF(B95&lt;&gt;"S","",IF(AND(ACOMPANHAMENTO="PLE",AUTOEVENTO="Manual",OR(H95&gt;0,ORÇAMENTO!AC95="QUANT."),OR(K95="",M95=0,N95="")),"►",IF(AND(ACOMPANHAMENTO="PLE",ORÇAMENTO!AC95="QUANT."),"►►",IF(AND(COUNTIF($P$11:$AI$11,"▼")=0,H95&gt;0,I95=""),"◄",""))))</f>
        <v/>
      </c>
      <c r="K95" s="624"/>
      <c r="L95" s="172" t="s">
        <v>253</v>
      </c>
      <c r="M95" s="173">
        <f ca="1">IF($D95&lt;&gt;"Serviço","",
          IF(AUTOEVENTO="manual",$A95,
                IF(ISERROR(MATCH($A95,$A$15:OFFSET($A95,-1,0),0)),MAX($M$15:OFFSET(M95,-1,0))+1,
                      INDEX($M$15:OFFSET(M95,-1,0),MATCH($A95,$A$15:OFFSET($A95,-1,0),0)))))</f>
        <v>12</v>
      </c>
      <c r="N95" s="174" t="str">
        <f ca="1">IF($D95&lt;&gt;"Serviço","",
         IF(AUTOEVENTO="Manual",
                IF($A95=0,"&lt;-- defina o número do agrupador",
                       OFFSET(EVENTOS!$D$15,$A95-$A$15,0)),
                OFFSET($F$15,$A95,0)))</f>
        <v>INSTALAÇÕES ELÉTRICAS</v>
      </c>
      <c r="O95" s="175"/>
      <c r="Q95" s="175"/>
      <c r="R95" s="176"/>
      <c r="S95" s="176"/>
      <c r="T95" s="176">
        <v>1</v>
      </c>
      <c r="U95" s="176"/>
      <c r="V95" s="176"/>
      <c r="W95" s="176"/>
      <c r="X95" s="176"/>
      <c r="Y95" s="176"/>
      <c r="Z95" s="177"/>
      <c r="AA95" s="176"/>
      <c r="AB95" s="176"/>
      <c r="AC95" s="176"/>
      <c r="AD95" s="176"/>
      <c r="AE95" s="176"/>
      <c r="AF95" s="176"/>
      <c r="AG95" s="176"/>
      <c r="AH95" s="177"/>
      <c r="AJ95" s="485">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85">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L95" s="485">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0</v>
      </c>
      <c r="AM95" s="485">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72.23</v>
      </c>
      <c r="AN95" s="485">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0</v>
      </c>
      <c r="AO95" s="485">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85">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85">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85">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85">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85">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85">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85">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85">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85">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85">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85">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85">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8">
        <f ca="1">IF(OR($D95&lt;&gt;"Serviço",AND(AUTOEVENTO="Manual",$M95=$A$15)),0,
         IF(OFFSET(CRONOPLE!$F$15,$M95-$A$15,BC$13)="",10^12,OFFSET(CRONOPLE!$F$15,$M95-$A$15,BC$13)))</f>
        <v>1</v>
      </c>
      <c r="BD95" s="178">
        <f ca="1">IF(OR($D95&lt;&gt;"Serviço",AND(AUTOEVENTO="Manual",$M95=$A$15)),0,
         IF(OFFSET(CRONOPLE!$F$15,$M95-$A$15,BD$13)="",10^12,OFFSET(CRONOPLE!$F$15,$M95-$A$15,BD$13)))</f>
        <v>2</v>
      </c>
      <c r="BE95" s="178">
        <f ca="1">IF(OR($D95&lt;&gt;"Serviço",AND(AUTOEVENTO="Manual",$M95=$A$15)),0,
         IF(OFFSET(CRONOPLE!$F$15,$M95-$A$15,BE$13)="",10^12,OFFSET(CRONOPLE!$F$15,$M95-$A$15,BE$13)))</f>
        <v>1000000000000</v>
      </c>
      <c r="BF95" s="178">
        <f ca="1">IF(OR($D95&lt;&gt;"Serviço",AND(AUTOEVENTO="Manual",$M95=$A$15)),0,
         IF(OFFSET(CRONOPLE!$F$15,$M95-$A$15,BF$13)="",10^12,OFFSET(CRONOPLE!$F$15,$M95-$A$15,BF$13)))</f>
        <v>4</v>
      </c>
      <c r="BG95" s="178">
        <f ca="1">IF(OR($D95&lt;&gt;"Serviço",AND(AUTOEVENTO="Manual",$M95=$A$15)),0,
         IF(OFFSET(CRONOPLE!$F$15,$M95-$A$15,BG$13)="",10^12,OFFSET(CRONOPLE!$F$15,$M95-$A$15,BG$13)))</f>
        <v>5</v>
      </c>
      <c r="BH95" s="178">
        <f ca="1">IF(OR($D95&lt;&gt;"Serviço",AND(AUTOEVENTO="Manual",$M95=$A$15)),0,
         IF(OFFSET(CRONOPLE!$F$15,$M95-$A$15,BH$13)="",10^12,OFFSET(CRONOPLE!$F$15,$M95-$A$15,BH$13)))</f>
        <v>6</v>
      </c>
      <c r="BI95" s="178">
        <f ca="1">IF(OR($D95&lt;&gt;"Serviço",AND(AUTOEVENTO="Manual",$M95=$A$15)),0,
         IF(OFFSET(CRONOPLE!$F$15,$M95-$A$15,BI$13)="",10^12,OFFSET(CRONOPLE!$F$15,$M95-$A$15,BI$13)))</f>
        <v>7</v>
      </c>
      <c r="BJ95" s="178">
        <f ca="1">IF(OR($D95&lt;&gt;"Serviço",AND(AUTOEVENTO="Manual",$M95=$A$15)),0,
         IF(OFFSET(CRONOPLE!$F$15,$M95-$A$15,BJ$13)="",10^12,OFFSET(CRONOPLE!$F$15,$M95-$A$15,BJ$13)))</f>
        <v>8</v>
      </c>
      <c r="BK95" s="178">
        <f ca="1">IF(OR($D95&lt;&gt;"Serviço",AND(AUTOEVENTO="Manual",$M95=$A$15)),0,
         IF(OFFSET(CRONOPLE!$F$15,$M95-$A$15,BK$13)="",10^12,OFFSET(CRONOPLE!$F$15,$M95-$A$15,BK$13)))</f>
        <v>9</v>
      </c>
      <c r="BL95" s="178">
        <f ca="1">IF(OR($D95&lt;&gt;"Serviço",AND(AUTOEVENTO="Manual",$M95=$A$15)),0,
         IF(OFFSET(CRONOPLE!$F$15,$M95-$A$15,BL$13)="",10^12,OFFSET(CRONOPLE!$F$15,$M95-$A$15,BL$13)))</f>
        <v>10</v>
      </c>
      <c r="BM95" s="178">
        <f ca="1">IF(OR($D95&lt;&gt;"Serviço",AND(AUTOEVENTO="Manual",$M95=$A$15)),0,
         IF(OFFSET(CRONOPLE!$F$15,$M95-$A$15,BM$13)="",10^12,OFFSET(CRONOPLE!$F$15,$M95-$A$15,BM$13)))</f>
        <v>1000000000000</v>
      </c>
      <c r="BN95" s="178">
        <f ca="1">IF(OR($D95&lt;&gt;"Serviço",AND(AUTOEVENTO="Manual",$M95=$A$15)),0,
         IF(OFFSET(CRONOPLE!$F$15,$M95-$A$15,BN$13)="",10^12,OFFSET(CRONOPLE!$F$15,$M95-$A$15,BN$13)))</f>
        <v>1000000000000</v>
      </c>
      <c r="BO95" s="178">
        <f ca="1">IF(OR($D95&lt;&gt;"Serviço",AND(AUTOEVENTO="Manual",$M95=$A$15)),0,
         IF(OFFSET(CRONOPLE!$F$15,$M95-$A$15,BO$13)="",10^12,OFFSET(CRONOPLE!$F$15,$M95-$A$15,BO$13)))</f>
        <v>1000000000000</v>
      </c>
      <c r="BP95" s="178">
        <f ca="1">IF(OR($D95&lt;&gt;"Serviço",AND(AUTOEVENTO="Manual",$M95=$A$15)),0,
         IF(OFFSET(CRONOPLE!$F$15,$M95-$A$15,BP$13)="",10^12,OFFSET(CRONOPLE!$F$15,$M95-$A$15,BP$13)))</f>
        <v>1000000000000</v>
      </c>
      <c r="BQ95" s="178">
        <f ca="1">IF(OR($D95&lt;&gt;"Serviço",AND(AUTOEVENTO="Manual",$M95=$A$15)),0,
         IF(OFFSET(CRONOPLE!$F$15,$M95-$A$15,BQ$13)="",10^12,OFFSET(CRONOPLE!$F$15,$M95-$A$15,BQ$13)))</f>
        <v>15</v>
      </c>
      <c r="BR95" s="178">
        <f ca="1">IF(OR($D95&lt;&gt;"Serviço",AND(AUTOEVENTO="Manual",$M95=$A$15)),0,
         IF(OFFSET(CRONOPLE!$F$15,$M95-$A$15,BR$13)="",10^12,OFFSET(CRONOPLE!$F$15,$M95-$A$15,BR$13)))</f>
        <v>1000000000000</v>
      </c>
      <c r="BS95" s="178">
        <f ca="1">IF(OR($D95&lt;&gt;"Serviço",AND(AUTOEVENTO="Manual",$M95=$A$15)),0,
         IF(OFFSET(CRONOPLE!$F$15,$M95-$A$15,BS$13)="",10^12,OFFSET(CRONOPLE!$F$15,$M95-$A$15,BS$13)))</f>
        <v>1000000000000</v>
      </c>
      <c r="BT95" s="178">
        <f ca="1">IF(OR($D95&lt;&gt;"Serviço",AND(AUTOEVENTO="Manual",$M95=$A$15)),0,
         IF(OFFSET(CRONOPLE!$F$15,$M95-$A$15,BT$13)="",10^12,OFFSET(CRONOPLE!$F$15,$M95-$A$15,BT$13)))</f>
        <v>1000000000000</v>
      </c>
      <c r="BV95" s="179">
        <f ca="1">IF(OR($D95&lt;&gt;"Serviço",AND(AUTOEVENTO="Manual",$M95=$A$15),$M95&gt;(ROW(PLE.lastrow)-ROW(PLE.firstrow))),0,
           IF(OFFSET(PLE!$G$15,$M95-$A$15,BV$13)="",10^12,OFFSET(PLE!$G$15,$M95-$A$15,BV$13)))</f>
        <v>1000000000000</v>
      </c>
      <c r="BW95" s="179">
        <f ca="1">IF(OR($D95&lt;&gt;"Serviço",AND(AUTOEVENTO="Manual",$M95=$A$15),$M95&gt;(ROW(PLE.lastrow)-ROW(PLE.firstrow))),0,
           IF(OFFSET(PLE!$G$15,$M95-$A$15,BW$13)="",10^12,OFFSET(PLE!$G$15,$M95-$A$15,BW$13)))</f>
        <v>1000000000000</v>
      </c>
      <c r="BX95" s="179">
        <f ca="1">IF(OR($D95&lt;&gt;"Serviço",AND(AUTOEVENTO="Manual",$M95=$A$15),$M95&gt;(ROW(PLE.lastrow)-ROW(PLE.firstrow))),0,
           IF(OFFSET(PLE!$G$15,$M95-$A$15,BX$13)="",10^12,OFFSET(PLE!$G$15,$M95-$A$15,BX$13)))</f>
        <v>1000000000000</v>
      </c>
      <c r="BY95" s="179">
        <f ca="1">IF(OR($D95&lt;&gt;"Serviço",AND(AUTOEVENTO="Manual",$M95=$A$15),$M95&gt;(ROW(PLE.lastrow)-ROW(PLE.firstrow))),0,
           IF(OFFSET(PLE!$G$15,$M95-$A$15,BY$13)="",10^12,OFFSET(PLE!$G$15,$M95-$A$15,BY$13)))</f>
        <v>1000000000000</v>
      </c>
      <c r="BZ95" s="179">
        <f ca="1">IF(OR($D95&lt;&gt;"Serviço",AND(AUTOEVENTO="Manual",$M95=$A$15),$M95&gt;(ROW(PLE.lastrow)-ROW(PLE.firstrow))),0,
           IF(OFFSET(PLE!$G$15,$M95-$A$15,BZ$13)="",10^12,OFFSET(PLE!$G$15,$M95-$A$15,BZ$13)))</f>
        <v>1000000000000</v>
      </c>
      <c r="CA95" s="179">
        <f ca="1">IF(OR($D95&lt;&gt;"Serviço",AND(AUTOEVENTO="Manual",$M95=$A$15),$M95&gt;(ROW(PLE.lastrow)-ROW(PLE.firstrow))),0,
           IF(OFFSET(PLE!$G$15,$M95-$A$15,CA$13)="",10^12,OFFSET(PLE!$G$15,$M95-$A$15,CA$13)))</f>
        <v>1000000000000</v>
      </c>
      <c r="CB95" s="179">
        <f ca="1">IF(OR($D95&lt;&gt;"Serviço",AND(AUTOEVENTO="Manual",$M95=$A$15),$M95&gt;(ROW(PLE.lastrow)-ROW(PLE.firstrow))),0,
           IF(OFFSET(PLE!$G$15,$M95-$A$15,CB$13)="",10^12,OFFSET(PLE!$G$15,$M95-$A$15,CB$13)))</f>
        <v>1000000000000</v>
      </c>
      <c r="CC95" s="179">
        <f ca="1">IF(OR($D95&lt;&gt;"Serviço",AND(AUTOEVENTO="Manual",$M95=$A$15),$M95&gt;(ROW(PLE.lastrow)-ROW(PLE.firstrow))),0,
           IF(OFFSET(PLE!$G$15,$M95-$A$15,CC$13)="",10^12,OFFSET(PLE!$G$15,$M95-$A$15,CC$13)))</f>
        <v>1000000000000</v>
      </c>
      <c r="CD95" s="179">
        <f ca="1">IF(OR($D95&lt;&gt;"Serviço",AND(AUTOEVENTO="Manual",$M95=$A$15),$M95&gt;(ROW(PLE.lastrow)-ROW(PLE.firstrow))),0,
           IF(OFFSET(PLE!$G$15,$M95-$A$15,CD$13)="",10^12,OFFSET(PLE!$G$15,$M95-$A$15,CD$13)))</f>
        <v>1000000000000</v>
      </c>
      <c r="CE95" s="179">
        <f ca="1">IF(OR($D95&lt;&gt;"Serviço",AND(AUTOEVENTO="Manual",$M95=$A$15),$M95&gt;(ROW(PLE.lastrow)-ROW(PLE.firstrow))),0,
           IF(OFFSET(PLE!$G$15,$M95-$A$15,CE$13)="",10^12,OFFSET(PLE!$G$15,$M95-$A$15,CE$13)))</f>
        <v>1000000000000</v>
      </c>
      <c r="CF95" s="179">
        <f ca="1">IF(OR($D95&lt;&gt;"Serviço",AND(AUTOEVENTO="Manual",$M95=$A$15),$M95&gt;(ROW(PLE.lastrow)-ROW(PLE.firstrow))),0,
           IF(OFFSET(PLE!$G$15,$M95-$A$15,CF$13)="",10^12,OFFSET(PLE!$G$15,$M95-$A$15,CF$13)))</f>
        <v>1000000000000</v>
      </c>
      <c r="CG95" s="179">
        <f ca="1">IF(OR($D95&lt;&gt;"Serviço",AND(AUTOEVENTO="Manual",$M95=$A$15),$M95&gt;(ROW(PLE.lastrow)-ROW(PLE.firstrow))),0,
           IF(OFFSET(PLE!$G$15,$M95-$A$15,CG$13)="",10^12,OFFSET(PLE!$G$15,$M95-$A$15,CG$13)))</f>
        <v>1000000000000</v>
      </c>
      <c r="CH95" s="179">
        <f ca="1">IF(OR($D95&lt;&gt;"Serviço",AND(AUTOEVENTO="Manual",$M95=$A$15),$M95&gt;(ROW(PLE.lastrow)-ROW(PLE.firstrow))),0,
           IF(OFFSET(PLE!$G$15,$M95-$A$15,CH$13)="",10^12,OFFSET(PLE!$G$15,$M95-$A$15,CH$13)))</f>
        <v>1000000000000</v>
      </c>
      <c r="CI95" s="179">
        <f ca="1">IF(OR($D95&lt;&gt;"Serviço",AND(AUTOEVENTO="Manual",$M95=$A$15),$M95&gt;(ROW(PLE.lastrow)-ROW(PLE.firstrow))),0,
           IF(OFFSET(PLE!$G$15,$M95-$A$15,CI$13)="",10^12,OFFSET(PLE!$G$15,$M95-$A$15,CI$13)))</f>
        <v>1000000000000</v>
      </c>
      <c r="CJ95" s="179">
        <f ca="1">IF(OR($D95&lt;&gt;"Serviço",AND(AUTOEVENTO="Manual",$M95=$A$15),$M95&gt;(ROW(PLE.lastrow)-ROW(PLE.firstrow))),0,
           IF(OFFSET(PLE!$G$15,$M95-$A$15,CJ$13)="",10^12,OFFSET(PLE!$G$15,$M95-$A$15,CJ$13)))</f>
        <v>1000000000000</v>
      </c>
      <c r="CK95" s="179">
        <f ca="1">IF(OR($D95&lt;&gt;"Serviço",AND(AUTOEVENTO="Manual",$M95=$A$15),$M95&gt;(ROW(PLE.lastrow)-ROW(PLE.firstrow))),0,
           IF(OFFSET(PLE!$G$15,$M95-$A$15,CK$13)="",10^12,OFFSET(PLE!$G$15,$M95-$A$15,CK$13)))</f>
        <v>1000000000000</v>
      </c>
      <c r="CL95" s="179">
        <f ca="1">IF(OR($D95&lt;&gt;"Serviço",AND(AUTOEVENTO="Manual",$M95=$A$15),$M95&gt;(ROW(PLE.lastrow)-ROW(PLE.firstrow))),0,
           IF(OFFSET(PLE!$G$15,$M95-$A$15,CL$13)="",10^12,OFFSET(PLE!$G$15,$M95-$A$15,CL$13)))</f>
        <v>1000000000000</v>
      </c>
      <c r="CM95" s="179">
        <f ca="1">IF(OR($D95&lt;&gt;"Serviço",AND(AUTOEVENTO="Manual",$M95=$A$15),$M95&gt;(ROW(PLE.lastrow)-ROW(PLE.firstrow))),0,
           IF(OFFSET(PLE!$G$15,$M95-$A$15,CM$13)="",10^12,OFFSET(PLE!$G$15,$M95-$A$15,CM$13)))</f>
        <v>1000000000000</v>
      </c>
    </row>
    <row r="96" spans="1:91" ht="38.25" x14ac:dyDescent="0.2">
      <c r="A96" s="7" t="str">
        <f ca="1">IF(AUTOEVENTO="Manual",IF(K96&lt;&gt;"",MIN(VALUE(LEFT(K96,FIND(".",K96)-1)),COUNTA(EVENTOS.Lista)),0),IF(OR($B96&gt;AUTOEVENTO,$B96="S",$B96=0),SUBSTITUTE(OFFSET($A96,-1,0),IF($D96="Serviço",".",""),""),ROW(A96)-ROW($A$15)&amp;"."))</f>
        <v>71</v>
      </c>
      <c r="B96" s="7" t="str">
        <f ca="1">OFFSET(ORÇAMENTO!C$15,ROW(B96)-ROW(B$15),0)</f>
        <v>S</v>
      </c>
      <c r="C96" s="7" t="str">
        <f ca="1">OFFSET(ORÇAMENTO!L$15,ROW(C96)-ROW(C$15),0)</f>
        <v>F</v>
      </c>
      <c r="D96" s="118" t="str">
        <f ca="1">OFFSET(ORÇAMENTO!N$15,ROW(D96)-ROW(D$15),0)</f>
        <v>Serviço</v>
      </c>
      <c r="E96" s="119" t="str">
        <f ca="1">OFFSET(ORÇAMENTO!O$15,ROW(E96)-ROW(E$15),0)</f>
        <v>1.12.0.0.10.</v>
      </c>
      <c r="F96" s="170" t="str">
        <f ca="1">OFFSET(ORÇAMENTO!R$15,ROW(F96)-ROW(F$15),0)</f>
        <v>CURVA 90 GRAUS PARA ELETRODUTO, PVC, ROSCÁVEL, DN 40 MM (1 1/4"), PARA CIRCUITOS TERMINAIS, INSTALADA EM PAREDE - FORNECIMENTO E INSTALAÇÃO. AF_03/2023</v>
      </c>
      <c r="G96" s="171" t="str">
        <f ca="1">IF($D96&lt;&gt;"Serviço","",OFFSET(ORÇAMENTO!S$15,ROW(G96)-ROW(G$15),0))</f>
        <v>UN</v>
      </c>
      <c r="H96" s="124" cm="1">
        <f t="array" aca="1" ref="H96" ca="1">IF($D96&lt;&gt;"Serviço",0,IF(_xlfn.SINGLE(ACOMPANHAMENTO)="BM",ROUND(OFFSET(ORÇAMENTO!AJ$15,ROW(H96)-ROW(H$15),0),15-13*ORÇAMENTO!$AF$7),SUMPRODUCT(($Q$1:$AI$1)*ROUND($Q96:$AI96,15-13*ORÇAMENTO!$AF$7))))</f>
        <v>2</v>
      </c>
      <c r="I96" s="500" t="s">
        <v>1019</v>
      </c>
      <c r="J96" s="632" t="str" cm="1">
        <f t="array" aca="1" ref="J96" ca="1">IF(B96&lt;&gt;"S","",IF(AND(ACOMPANHAMENTO="PLE",AUTOEVENTO="Manual",OR(H96&gt;0,ORÇAMENTO!AC96="QUANT."),OR(K96="",M96=0,N96="")),"►",IF(AND(ACOMPANHAMENTO="PLE",ORÇAMENTO!AC96="QUANT."),"►►",IF(AND(COUNTIF($P$11:$AI$11,"▼")=0,H96&gt;0,I96=""),"◄",""))))</f>
        <v/>
      </c>
      <c r="K96" s="624"/>
      <c r="L96" s="172" t="s">
        <v>253</v>
      </c>
      <c r="M96" s="173">
        <f ca="1">IF($D96&lt;&gt;"Serviço","",
          IF(AUTOEVENTO="manual",$A96,
                IF(ISERROR(MATCH($A96,$A$15:OFFSET($A96,-1,0),0)),MAX($M$15:OFFSET(M96,-1,0))+1,
                      INDEX($M$15:OFFSET(M96,-1,0),MATCH($A96,$A$15:OFFSET($A96,-1,0),0)))))</f>
        <v>12</v>
      </c>
      <c r="N96" s="174" t="str">
        <f ca="1">IF($D96&lt;&gt;"Serviço","",
         IF(AUTOEVENTO="Manual",
                IF($A96=0,"&lt;-- defina o número do agrupador",
                       OFFSET(EVENTOS!$D$15,$A96-$A$15,0)),
                OFFSET($F$15,$A96,0)))</f>
        <v>INSTALAÇÕES ELÉTRICAS</v>
      </c>
      <c r="O96" s="175"/>
      <c r="Q96" s="175"/>
      <c r="R96" s="176"/>
      <c r="S96" s="176"/>
      <c r="T96" s="176">
        <v>2</v>
      </c>
      <c r="U96" s="176"/>
      <c r="V96" s="176"/>
      <c r="W96" s="176"/>
      <c r="X96" s="176"/>
      <c r="Y96" s="176"/>
      <c r="Z96" s="177"/>
      <c r="AA96" s="176"/>
      <c r="AB96" s="176"/>
      <c r="AC96" s="176"/>
      <c r="AD96" s="176"/>
      <c r="AE96" s="176"/>
      <c r="AF96" s="176"/>
      <c r="AG96" s="176"/>
      <c r="AH96" s="177"/>
      <c r="AJ96" s="485">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85">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85">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85">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73.819999999999993</v>
      </c>
      <c r="AN96" s="485">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0</v>
      </c>
      <c r="AO96" s="485">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85">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85">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85">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85">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85">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85">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85">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85">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85">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85">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85">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85">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8">
        <f ca="1">IF(OR($D96&lt;&gt;"Serviço",AND(AUTOEVENTO="Manual",$M96=$A$15)),0,
         IF(OFFSET(CRONOPLE!$F$15,$M96-$A$15,BC$13)="",10^12,OFFSET(CRONOPLE!$F$15,$M96-$A$15,BC$13)))</f>
        <v>1</v>
      </c>
      <c r="BD96" s="178">
        <f ca="1">IF(OR($D96&lt;&gt;"Serviço",AND(AUTOEVENTO="Manual",$M96=$A$15)),0,
         IF(OFFSET(CRONOPLE!$F$15,$M96-$A$15,BD$13)="",10^12,OFFSET(CRONOPLE!$F$15,$M96-$A$15,BD$13)))</f>
        <v>2</v>
      </c>
      <c r="BE96" s="178">
        <f ca="1">IF(OR($D96&lt;&gt;"Serviço",AND(AUTOEVENTO="Manual",$M96=$A$15)),0,
         IF(OFFSET(CRONOPLE!$F$15,$M96-$A$15,BE$13)="",10^12,OFFSET(CRONOPLE!$F$15,$M96-$A$15,BE$13)))</f>
        <v>1000000000000</v>
      </c>
      <c r="BF96" s="178">
        <f ca="1">IF(OR($D96&lt;&gt;"Serviço",AND(AUTOEVENTO="Manual",$M96=$A$15)),0,
         IF(OFFSET(CRONOPLE!$F$15,$M96-$A$15,BF$13)="",10^12,OFFSET(CRONOPLE!$F$15,$M96-$A$15,BF$13)))</f>
        <v>4</v>
      </c>
      <c r="BG96" s="178">
        <f ca="1">IF(OR($D96&lt;&gt;"Serviço",AND(AUTOEVENTO="Manual",$M96=$A$15)),0,
         IF(OFFSET(CRONOPLE!$F$15,$M96-$A$15,BG$13)="",10^12,OFFSET(CRONOPLE!$F$15,$M96-$A$15,BG$13)))</f>
        <v>5</v>
      </c>
      <c r="BH96" s="178">
        <f ca="1">IF(OR($D96&lt;&gt;"Serviço",AND(AUTOEVENTO="Manual",$M96=$A$15)),0,
         IF(OFFSET(CRONOPLE!$F$15,$M96-$A$15,BH$13)="",10^12,OFFSET(CRONOPLE!$F$15,$M96-$A$15,BH$13)))</f>
        <v>6</v>
      </c>
      <c r="BI96" s="178">
        <f ca="1">IF(OR($D96&lt;&gt;"Serviço",AND(AUTOEVENTO="Manual",$M96=$A$15)),0,
         IF(OFFSET(CRONOPLE!$F$15,$M96-$A$15,BI$13)="",10^12,OFFSET(CRONOPLE!$F$15,$M96-$A$15,BI$13)))</f>
        <v>7</v>
      </c>
      <c r="BJ96" s="178">
        <f ca="1">IF(OR($D96&lt;&gt;"Serviço",AND(AUTOEVENTO="Manual",$M96=$A$15)),0,
         IF(OFFSET(CRONOPLE!$F$15,$M96-$A$15,BJ$13)="",10^12,OFFSET(CRONOPLE!$F$15,$M96-$A$15,BJ$13)))</f>
        <v>8</v>
      </c>
      <c r="BK96" s="178">
        <f ca="1">IF(OR($D96&lt;&gt;"Serviço",AND(AUTOEVENTO="Manual",$M96=$A$15)),0,
         IF(OFFSET(CRONOPLE!$F$15,$M96-$A$15,BK$13)="",10^12,OFFSET(CRONOPLE!$F$15,$M96-$A$15,BK$13)))</f>
        <v>9</v>
      </c>
      <c r="BL96" s="178">
        <f ca="1">IF(OR($D96&lt;&gt;"Serviço",AND(AUTOEVENTO="Manual",$M96=$A$15)),0,
         IF(OFFSET(CRONOPLE!$F$15,$M96-$A$15,BL$13)="",10^12,OFFSET(CRONOPLE!$F$15,$M96-$A$15,BL$13)))</f>
        <v>10</v>
      </c>
      <c r="BM96" s="178">
        <f ca="1">IF(OR($D96&lt;&gt;"Serviço",AND(AUTOEVENTO="Manual",$M96=$A$15)),0,
         IF(OFFSET(CRONOPLE!$F$15,$M96-$A$15,BM$13)="",10^12,OFFSET(CRONOPLE!$F$15,$M96-$A$15,BM$13)))</f>
        <v>1000000000000</v>
      </c>
      <c r="BN96" s="178">
        <f ca="1">IF(OR($D96&lt;&gt;"Serviço",AND(AUTOEVENTO="Manual",$M96=$A$15)),0,
         IF(OFFSET(CRONOPLE!$F$15,$M96-$A$15,BN$13)="",10^12,OFFSET(CRONOPLE!$F$15,$M96-$A$15,BN$13)))</f>
        <v>1000000000000</v>
      </c>
      <c r="BO96" s="178">
        <f ca="1">IF(OR($D96&lt;&gt;"Serviço",AND(AUTOEVENTO="Manual",$M96=$A$15)),0,
         IF(OFFSET(CRONOPLE!$F$15,$M96-$A$15,BO$13)="",10^12,OFFSET(CRONOPLE!$F$15,$M96-$A$15,BO$13)))</f>
        <v>1000000000000</v>
      </c>
      <c r="BP96" s="178">
        <f ca="1">IF(OR($D96&lt;&gt;"Serviço",AND(AUTOEVENTO="Manual",$M96=$A$15)),0,
         IF(OFFSET(CRONOPLE!$F$15,$M96-$A$15,BP$13)="",10^12,OFFSET(CRONOPLE!$F$15,$M96-$A$15,BP$13)))</f>
        <v>1000000000000</v>
      </c>
      <c r="BQ96" s="178">
        <f ca="1">IF(OR($D96&lt;&gt;"Serviço",AND(AUTOEVENTO="Manual",$M96=$A$15)),0,
         IF(OFFSET(CRONOPLE!$F$15,$M96-$A$15,BQ$13)="",10^12,OFFSET(CRONOPLE!$F$15,$M96-$A$15,BQ$13)))</f>
        <v>15</v>
      </c>
      <c r="BR96" s="178">
        <f ca="1">IF(OR($D96&lt;&gt;"Serviço",AND(AUTOEVENTO="Manual",$M96=$A$15)),0,
         IF(OFFSET(CRONOPLE!$F$15,$M96-$A$15,BR$13)="",10^12,OFFSET(CRONOPLE!$F$15,$M96-$A$15,BR$13)))</f>
        <v>1000000000000</v>
      </c>
      <c r="BS96" s="178">
        <f ca="1">IF(OR($D96&lt;&gt;"Serviço",AND(AUTOEVENTO="Manual",$M96=$A$15)),0,
         IF(OFFSET(CRONOPLE!$F$15,$M96-$A$15,BS$13)="",10^12,OFFSET(CRONOPLE!$F$15,$M96-$A$15,BS$13)))</f>
        <v>1000000000000</v>
      </c>
      <c r="BT96" s="178">
        <f ca="1">IF(OR($D96&lt;&gt;"Serviço",AND(AUTOEVENTO="Manual",$M96=$A$15)),0,
         IF(OFFSET(CRONOPLE!$F$15,$M96-$A$15,BT$13)="",10^12,OFFSET(CRONOPLE!$F$15,$M96-$A$15,BT$13)))</f>
        <v>1000000000000</v>
      </c>
      <c r="BV96" s="179">
        <f ca="1">IF(OR($D96&lt;&gt;"Serviço",AND(AUTOEVENTO="Manual",$M96=$A$15),$M96&gt;(ROW(PLE.lastrow)-ROW(PLE.firstrow))),0,
           IF(OFFSET(PLE!$G$15,$M96-$A$15,BV$13)="",10^12,OFFSET(PLE!$G$15,$M96-$A$15,BV$13)))</f>
        <v>1000000000000</v>
      </c>
      <c r="BW96" s="179">
        <f ca="1">IF(OR($D96&lt;&gt;"Serviço",AND(AUTOEVENTO="Manual",$M96=$A$15),$M96&gt;(ROW(PLE.lastrow)-ROW(PLE.firstrow))),0,
           IF(OFFSET(PLE!$G$15,$M96-$A$15,BW$13)="",10^12,OFFSET(PLE!$G$15,$M96-$A$15,BW$13)))</f>
        <v>1000000000000</v>
      </c>
      <c r="BX96" s="179">
        <f ca="1">IF(OR($D96&lt;&gt;"Serviço",AND(AUTOEVENTO="Manual",$M96=$A$15),$M96&gt;(ROW(PLE.lastrow)-ROW(PLE.firstrow))),0,
           IF(OFFSET(PLE!$G$15,$M96-$A$15,BX$13)="",10^12,OFFSET(PLE!$G$15,$M96-$A$15,BX$13)))</f>
        <v>1000000000000</v>
      </c>
      <c r="BY96" s="179">
        <f ca="1">IF(OR($D96&lt;&gt;"Serviço",AND(AUTOEVENTO="Manual",$M96=$A$15),$M96&gt;(ROW(PLE.lastrow)-ROW(PLE.firstrow))),0,
           IF(OFFSET(PLE!$G$15,$M96-$A$15,BY$13)="",10^12,OFFSET(PLE!$G$15,$M96-$A$15,BY$13)))</f>
        <v>1000000000000</v>
      </c>
      <c r="BZ96" s="179">
        <f ca="1">IF(OR($D96&lt;&gt;"Serviço",AND(AUTOEVENTO="Manual",$M96=$A$15),$M96&gt;(ROW(PLE.lastrow)-ROW(PLE.firstrow))),0,
           IF(OFFSET(PLE!$G$15,$M96-$A$15,BZ$13)="",10^12,OFFSET(PLE!$G$15,$M96-$A$15,BZ$13)))</f>
        <v>1000000000000</v>
      </c>
      <c r="CA96" s="179">
        <f ca="1">IF(OR($D96&lt;&gt;"Serviço",AND(AUTOEVENTO="Manual",$M96=$A$15),$M96&gt;(ROW(PLE.lastrow)-ROW(PLE.firstrow))),0,
           IF(OFFSET(PLE!$G$15,$M96-$A$15,CA$13)="",10^12,OFFSET(PLE!$G$15,$M96-$A$15,CA$13)))</f>
        <v>1000000000000</v>
      </c>
      <c r="CB96" s="179">
        <f ca="1">IF(OR($D96&lt;&gt;"Serviço",AND(AUTOEVENTO="Manual",$M96=$A$15),$M96&gt;(ROW(PLE.lastrow)-ROW(PLE.firstrow))),0,
           IF(OFFSET(PLE!$G$15,$M96-$A$15,CB$13)="",10^12,OFFSET(PLE!$G$15,$M96-$A$15,CB$13)))</f>
        <v>1000000000000</v>
      </c>
      <c r="CC96" s="179">
        <f ca="1">IF(OR($D96&lt;&gt;"Serviço",AND(AUTOEVENTO="Manual",$M96=$A$15),$M96&gt;(ROW(PLE.lastrow)-ROW(PLE.firstrow))),0,
           IF(OFFSET(PLE!$G$15,$M96-$A$15,CC$13)="",10^12,OFFSET(PLE!$G$15,$M96-$A$15,CC$13)))</f>
        <v>1000000000000</v>
      </c>
      <c r="CD96" s="179">
        <f ca="1">IF(OR($D96&lt;&gt;"Serviço",AND(AUTOEVENTO="Manual",$M96=$A$15),$M96&gt;(ROW(PLE.lastrow)-ROW(PLE.firstrow))),0,
           IF(OFFSET(PLE!$G$15,$M96-$A$15,CD$13)="",10^12,OFFSET(PLE!$G$15,$M96-$A$15,CD$13)))</f>
        <v>1000000000000</v>
      </c>
      <c r="CE96" s="179">
        <f ca="1">IF(OR($D96&lt;&gt;"Serviço",AND(AUTOEVENTO="Manual",$M96=$A$15),$M96&gt;(ROW(PLE.lastrow)-ROW(PLE.firstrow))),0,
           IF(OFFSET(PLE!$G$15,$M96-$A$15,CE$13)="",10^12,OFFSET(PLE!$G$15,$M96-$A$15,CE$13)))</f>
        <v>1000000000000</v>
      </c>
      <c r="CF96" s="179">
        <f ca="1">IF(OR($D96&lt;&gt;"Serviço",AND(AUTOEVENTO="Manual",$M96=$A$15),$M96&gt;(ROW(PLE.lastrow)-ROW(PLE.firstrow))),0,
           IF(OFFSET(PLE!$G$15,$M96-$A$15,CF$13)="",10^12,OFFSET(PLE!$G$15,$M96-$A$15,CF$13)))</f>
        <v>1000000000000</v>
      </c>
      <c r="CG96" s="179">
        <f ca="1">IF(OR($D96&lt;&gt;"Serviço",AND(AUTOEVENTO="Manual",$M96=$A$15),$M96&gt;(ROW(PLE.lastrow)-ROW(PLE.firstrow))),0,
           IF(OFFSET(PLE!$G$15,$M96-$A$15,CG$13)="",10^12,OFFSET(PLE!$G$15,$M96-$A$15,CG$13)))</f>
        <v>1000000000000</v>
      </c>
      <c r="CH96" s="179">
        <f ca="1">IF(OR($D96&lt;&gt;"Serviço",AND(AUTOEVENTO="Manual",$M96=$A$15),$M96&gt;(ROW(PLE.lastrow)-ROW(PLE.firstrow))),0,
           IF(OFFSET(PLE!$G$15,$M96-$A$15,CH$13)="",10^12,OFFSET(PLE!$G$15,$M96-$A$15,CH$13)))</f>
        <v>1000000000000</v>
      </c>
      <c r="CI96" s="179">
        <f ca="1">IF(OR($D96&lt;&gt;"Serviço",AND(AUTOEVENTO="Manual",$M96=$A$15),$M96&gt;(ROW(PLE.lastrow)-ROW(PLE.firstrow))),0,
           IF(OFFSET(PLE!$G$15,$M96-$A$15,CI$13)="",10^12,OFFSET(PLE!$G$15,$M96-$A$15,CI$13)))</f>
        <v>1000000000000</v>
      </c>
      <c r="CJ96" s="179">
        <f ca="1">IF(OR($D96&lt;&gt;"Serviço",AND(AUTOEVENTO="Manual",$M96=$A$15),$M96&gt;(ROW(PLE.lastrow)-ROW(PLE.firstrow))),0,
           IF(OFFSET(PLE!$G$15,$M96-$A$15,CJ$13)="",10^12,OFFSET(PLE!$G$15,$M96-$A$15,CJ$13)))</f>
        <v>1000000000000</v>
      </c>
      <c r="CK96" s="179">
        <f ca="1">IF(OR($D96&lt;&gt;"Serviço",AND(AUTOEVENTO="Manual",$M96=$A$15),$M96&gt;(ROW(PLE.lastrow)-ROW(PLE.firstrow))),0,
           IF(OFFSET(PLE!$G$15,$M96-$A$15,CK$13)="",10^12,OFFSET(PLE!$G$15,$M96-$A$15,CK$13)))</f>
        <v>1000000000000</v>
      </c>
      <c r="CL96" s="179">
        <f ca="1">IF(OR($D96&lt;&gt;"Serviço",AND(AUTOEVENTO="Manual",$M96=$A$15),$M96&gt;(ROW(PLE.lastrow)-ROW(PLE.firstrow))),0,
           IF(OFFSET(PLE!$G$15,$M96-$A$15,CL$13)="",10^12,OFFSET(PLE!$G$15,$M96-$A$15,CL$13)))</f>
        <v>1000000000000</v>
      </c>
      <c r="CM96" s="179">
        <f ca="1">IF(OR($D96&lt;&gt;"Serviço",AND(AUTOEVENTO="Manual",$M96=$A$15),$M96&gt;(ROW(PLE.lastrow)-ROW(PLE.firstrow))),0,
           IF(OFFSET(PLE!$G$15,$M96-$A$15,CM$13)="",10^12,OFFSET(PLE!$G$15,$M96-$A$15,CM$13)))</f>
        <v>1000000000000</v>
      </c>
    </row>
    <row r="97" spans="1:91" ht="38.25" x14ac:dyDescent="0.2">
      <c r="A97" s="7" t="str">
        <f ca="1">IF(AUTOEVENTO="Manual",IF(K97&lt;&gt;"",MIN(VALUE(LEFT(K97,FIND(".",K97)-1)),COUNTA(EVENTOS.Lista)),0),IF(OR($B97&gt;AUTOEVENTO,$B97="S",$B97=0),SUBSTITUTE(OFFSET($A97,-1,0),IF($D97="Serviço",".",""),""),ROW(A97)-ROW($A$15)&amp;"."))</f>
        <v>71</v>
      </c>
      <c r="B97" s="7" t="str">
        <f ca="1">OFFSET(ORÇAMENTO!C$15,ROW(B97)-ROW(B$15),0)</f>
        <v>S</v>
      </c>
      <c r="C97" s="7" t="str">
        <f ca="1">OFFSET(ORÇAMENTO!L$15,ROW(C97)-ROW(C$15),0)</f>
        <v>F</v>
      </c>
      <c r="D97" s="118" t="str">
        <f ca="1">OFFSET(ORÇAMENTO!N$15,ROW(D97)-ROW(D$15),0)</f>
        <v>Serviço</v>
      </c>
      <c r="E97" s="119" t="str">
        <f ca="1">OFFSET(ORÇAMENTO!O$15,ROW(E97)-ROW(E$15),0)</f>
        <v>1.12.0.0.11.</v>
      </c>
      <c r="F97" s="170" t="str">
        <f ca="1">OFFSET(ORÇAMENTO!R$15,ROW(F97)-ROW(F$15),0)</f>
        <v>CURVA 90 GRAUS PARA ELETRODUTO, PVC, ROSCÁVEL, DN 25 MM (3/4"), PARA CIRCUITOS TERMINAIS, INSTALADA EM PAREDE - FORNECIMENTO E INSTALAÇÃO. AF_03/2023</v>
      </c>
      <c r="G97" s="171" t="str">
        <f ca="1">IF($D97&lt;&gt;"Serviço","",OFFSET(ORÇAMENTO!S$15,ROW(G97)-ROW(G$15),0))</f>
        <v>UN</v>
      </c>
      <c r="H97" s="124" cm="1">
        <f t="array" aca="1" ref="H97" ca="1">IF($D97&lt;&gt;"Serviço",0,IF(_xlfn.SINGLE(ACOMPANHAMENTO)="BM",ROUND(OFFSET(ORÇAMENTO!AJ$15,ROW(H97)-ROW(H$15),0),15-13*ORÇAMENTO!$AF$7),SUMPRODUCT(($Q$1:$AI$1)*ROUND($Q97:$AI97,15-13*ORÇAMENTO!$AF$7))))</f>
        <v>11</v>
      </c>
      <c r="I97" s="500" t="s">
        <v>1019</v>
      </c>
      <c r="J97" s="632" t="str" cm="1">
        <f t="array" aca="1" ref="J97" ca="1">IF(B97&lt;&gt;"S","",IF(AND(ACOMPANHAMENTO="PLE",AUTOEVENTO="Manual",OR(H97&gt;0,ORÇAMENTO!AC97="QUANT."),OR(K97="",M97=0,N97="")),"►",IF(AND(ACOMPANHAMENTO="PLE",ORÇAMENTO!AC97="QUANT."),"►►",IF(AND(COUNTIF($P$11:$AI$11,"▼")=0,H97&gt;0,I97=""),"◄",""))))</f>
        <v/>
      </c>
      <c r="K97" s="624"/>
      <c r="L97" s="172" t="s">
        <v>253</v>
      </c>
      <c r="M97" s="173">
        <f ca="1">IF($D97&lt;&gt;"Serviço","",
          IF(AUTOEVENTO="manual",$A97,
                IF(ISERROR(MATCH($A97,$A$15:OFFSET($A97,-1,0),0)),MAX($M$15:OFFSET(M97,-1,0))+1,
                      INDEX($M$15:OFFSET(M97,-1,0),MATCH($A97,$A$15:OFFSET($A97,-1,0),0)))))</f>
        <v>12</v>
      </c>
      <c r="N97" s="174" t="str">
        <f ca="1">IF($D97&lt;&gt;"Serviço","",
         IF(AUTOEVENTO="Manual",
                IF($A97=0,"&lt;-- defina o número do agrupador",
                       OFFSET(EVENTOS!$D$15,$A97-$A$15,0)),
                OFFSET($F$15,$A97,0)))</f>
        <v>INSTALAÇÕES ELÉTRICAS</v>
      </c>
      <c r="O97" s="175"/>
      <c r="Q97" s="175"/>
      <c r="R97" s="176"/>
      <c r="S97" s="176"/>
      <c r="T97" s="176">
        <v>11</v>
      </c>
      <c r="U97" s="176"/>
      <c r="V97" s="176"/>
      <c r="W97" s="176"/>
      <c r="X97" s="176"/>
      <c r="Y97" s="176"/>
      <c r="Z97" s="177"/>
      <c r="AA97" s="176"/>
      <c r="AB97" s="176"/>
      <c r="AC97" s="176"/>
      <c r="AD97" s="176"/>
      <c r="AE97" s="176"/>
      <c r="AF97" s="176"/>
      <c r="AG97" s="176"/>
      <c r="AH97" s="177"/>
      <c r="AJ97" s="485">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85">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L97" s="485">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0</v>
      </c>
      <c r="AM97" s="485">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316.69</v>
      </c>
      <c r="AN97" s="485">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0</v>
      </c>
      <c r="AO97" s="485">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85">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85">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85">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85">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85">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85">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85">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85">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85">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85">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85">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85">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8">
        <f ca="1">IF(OR($D97&lt;&gt;"Serviço",AND(AUTOEVENTO="Manual",$M97=$A$15)),0,
         IF(OFFSET(CRONOPLE!$F$15,$M97-$A$15,BC$13)="",10^12,OFFSET(CRONOPLE!$F$15,$M97-$A$15,BC$13)))</f>
        <v>1</v>
      </c>
      <c r="BD97" s="178">
        <f ca="1">IF(OR($D97&lt;&gt;"Serviço",AND(AUTOEVENTO="Manual",$M97=$A$15)),0,
         IF(OFFSET(CRONOPLE!$F$15,$M97-$A$15,BD$13)="",10^12,OFFSET(CRONOPLE!$F$15,$M97-$A$15,BD$13)))</f>
        <v>2</v>
      </c>
      <c r="BE97" s="178">
        <f ca="1">IF(OR($D97&lt;&gt;"Serviço",AND(AUTOEVENTO="Manual",$M97=$A$15)),0,
         IF(OFFSET(CRONOPLE!$F$15,$M97-$A$15,BE$13)="",10^12,OFFSET(CRONOPLE!$F$15,$M97-$A$15,BE$13)))</f>
        <v>1000000000000</v>
      </c>
      <c r="BF97" s="178">
        <f ca="1">IF(OR($D97&lt;&gt;"Serviço",AND(AUTOEVENTO="Manual",$M97=$A$15)),0,
         IF(OFFSET(CRONOPLE!$F$15,$M97-$A$15,BF$13)="",10^12,OFFSET(CRONOPLE!$F$15,$M97-$A$15,BF$13)))</f>
        <v>4</v>
      </c>
      <c r="BG97" s="178">
        <f ca="1">IF(OR($D97&lt;&gt;"Serviço",AND(AUTOEVENTO="Manual",$M97=$A$15)),0,
         IF(OFFSET(CRONOPLE!$F$15,$M97-$A$15,BG$13)="",10^12,OFFSET(CRONOPLE!$F$15,$M97-$A$15,BG$13)))</f>
        <v>5</v>
      </c>
      <c r="BH97" s="178">
        <f ca="1">IF(OR($D97&lt;&gt;"Serviço",AND(AUTOEVENTO="Manual",$M97=$A$15)),0,
         IF(OFFSET(CRONOPLE!$F$15,$M97-$A$15,BH$13)="",10^12,OFFSET(CRONOPLE!$F$15,$M97-$A$15,BH$13)))</f>
        <v>6</v>
      </c>
      <c r="BI97" s="178">
        <f ca="1">IF(OR($D97&lt;&gt;"Serviço",AND(AUTOEVENTO="Manual",$M97=$A$15)),0,
         IF(OFFSET(CRONOPLE!$F$15,$M97-$A$15,BI$13)="",10^12,OFFSET(CRONOPLE!$F$15,$M97-$A$15,BI$13)))</f>
        <v>7</v>
      </c>
      <c r="BJ97" s="178">
        <f ca="1">IF(OR($D97&lt;&gt;"Serviço",AND(AUTOEVENTO="Manual",$M97=$A$15)),0,
         IF(OFFSET(CRONOPLE!$F$15,$M97-$A$15,BJ$13)="",10^12,OFFSET(CRONOPLE!$F$15,$M97-$A$15,BJ$13)))</f>
        <v>8</v>
      </c>
      <c r="BK97" s="178">
        <f ca="1">IF(OR($D97&lt;&gt;"Serviço",AND(AUTOEVENTO="Manual",$M97=$A$15)),0,
         IF(OFFSET(CRONOPLE!$F$15,$M97-$A$15,BK$13)="",10^12,OFFSET(CRONOPLE!$F$15,$M97-$A$15,BK$13)))</f>
        <v>9</v>
      </c>
      <c r="BL97" s="178">
        <f ca="1">IF(OR($D97&lt;&gt;"Serviço",AND(AUTOEVENTO="Manual",$M97=$A$15)),0,
         IF(OFFSET(CRONOPLE!$F$15,$M97-$A$15,BL$13)="",10^12,OFFSET(CRONOPLE!$F$15,$M97-$A$15,BL$13)))</f>
        <v>10</v>
      </c>
      <c r="BM97" s="178">
        <f ca="1">IF(OR($D97&lt;&gt;"Serviço",AND(AUTOEVENTO="Manual",$M97=$A$15)),0,
         IF(OFFSET(CRONOPLE!$F$15,$M97-$A$15,BM$13)="",10^12,OFFSET(CRONOPLE!$F$15,$M97-$A$15,BM$13)))</f>
        <v>1000000000000</v>
      </c>
      <c r="BN97" s="178">
        <f ca="1">IF(OR($D97&lt;&gt;"Serviço",AND(AUTOEVENTO="Manual",$M97=$A$15)),0,
         IF(OFFSET(CRONOPLE!$F$15,$M97-$A$15,BN$13)="",10^12,OFFSET(CRONOPLE!$F$15,$M97-$A$15,BN$13)))</f>
        <v>1000000000000</v>
      </c>
      <c r="BO97" s="178">
        <f ca="1">IF(OR($D97&lt;&gt;"Serviço",AND(AUTOEVENTO="Manual",$M97=$A$15)),0,
         IF(OFFSET(CRONOPLE!$F$15,$M97-$A$15,BO$13)="",10^12,OFFSET(CRONOPLE!$F$15,$M97-$A$15,BO$13)))</f>
        <v>1000000000000</v>
      </c>
      <c r="BP97" s="178">
        <f ca="1">IF(OR($D97&lt;&gt;"Serviço",AND(AUTOEVENTO="Manual",$M97=$A$15)),0,
         IF(OFFSET(CRONOPLE!$F$15,$M97-$A$15,BP$13)="",10^12,OFFSET(CRONOPLE!$F$15,$M97-$A$15,BP$13)))</f>
        <v>1000000000000</v>
      </c>
      <c r="BQ97" s="178">
        <f ca="1">IF(OR($D97&lt;&gt;"Serviço",AND(AUTOEVENTO="Manual",$M97=$A$15)),0,
         IF(OFFSET(CRONOPLE!$F$15,$M97-$A$15,BQ$13)="",10^12,OFFSET(CRONOPLE!$F$15,$M97-$A$15,BQ$13)))</f>
        <v>15</v>
      </c>
      <c r="BR97" s="178">
        <f ca="1">IF(OR($D97&lt;&gt;"Serviço",AND(AUTOEVENTO="Manual",$M97=$A$15)),0,
         IF(OFFSET(CRONOPLE!$F$15,$M97-$A$15,BR$13)="",10^12,OFFSET(CRONOPLE!$F$15,$M97-$A$15,BR$13)))</f>
        <v>1000000000000</v>
      </c>
      <c r="BS97" s="178">
        <f ca="1">IF(OR($D97&lt;&gt;"Serviço",AND(AUTOEVENTO="Manual",$M97=$A$15)),0,
         IF(OFFSET(CRONOPLE!$F$15,$M97-$A$15,BS$13)="",10^12,OFFSET(CRONOPLE!$F$15,$M97-$A$15,BS$13)))</f>
        <v>1000000000000</v>
      </c>
      <c r="BT97" s="178">
        <f ca="1">IF(OR($D97&lt;&gt;"Serviço",AND(AUTOEVENTO="Manual",$M97=$A$15)),0,
         IF(OFFSET(CRONOPLE!$F$15,$M97-$A$15,BT$13)="",10^12,OFFSET(CRONOPLE!$F$15,$M97-$A$15,BT$13)))</f>
        <v>1000000000000</v>
      </c>
      <c r="BV97" s="179">
        <f ca="1">IF(OR($D97&lt;&gt;"Serviço",AND(AUTOEVENTO="Manual",$M97=$A$15),$M97&gt;(ROW(PLE.lastrow)-ROW(PLE.firstrow))),0,
           IF(OFFSET(PLE!$G$15,$M97-$A$15,BV$13)="",10^12,OFFSET(PLE!$G$15,$M97-$A$15,BV$13)))</f>
        <v>1000000000000</v>
      </c>
      <c r="BW97" s="179">
        <f ca="1">IF(OR($D97&lt;&gt;"Serviço",AND(AUTOEVENTO="Manual",$M97=$A$15),$M97&gt;(ROW(PLE.lastrow)-ROW(PLE.firstrow))),0,
           IF(OFFSET(PLE!$G$15,$M97-$A$15,BW$13)="",10^12,OFFSET(PLE!$G$15,$M97-$A$15,BW$13)))</f>
        <v>1000000000000</v>
      </c>
      <c r="BX97" s="179">
        <f ca="1">IF(OR($D97&lt;&gt;"Serviço",AND(AUTOEVENTO="Manual",$M97=$A$15),$M97&gt;(ROW(PLE.lastrow)-ROW(PLE.firstrow))),0,
           IF(OFFSET(PLE!$G$15,$M97-$A$15,BX$13)="",10^12,OFFSET(PLE!$G$15,$M97-$A$15,BX$13)))</f>
        <v>1000000000000</v>
      </c>
      <c r="BY97" s="179">
        <f ca="1">IF(OR($D97&lt;&gt;"Serviço",AND(AUTOEVENTO="Manual",$M97=$A$15),$M97&gt;(ROW(PLE.lastrow)-ROW(PLE.firstrow))),0,
           IF(OFFSET(PLE!$G$15,$M97-$A$15,BY$13)="",10^12,OFFSET(PLE!$G$15,$M97-$A$15,BY$13)))</f>
        <v>1000000000000</v>
      </c>
      <c r="BZ97" s="179">
        <f ca="1">IF(OR($D97&lt;&gt;"Serviço",AND(AUTOEVENTO="Manual",$M97=$A$15),$M97&gt;(ROW(PLE.lastrow)-ROW(PLE.firstrow))),0,
           IF(OFFSET(PLE!$G$15,$M97-$A$15,BZ$13)="",10^12,OFFSET(PLE!$G$15,$M97-$A$15,BZ$13)))</f>
        <v>1000000000000</v>
      </c>
      <c r="CA97" s="179">
        <f ca="1">IF(OR($D97&lt;&gt;"Serviço",AND(AUTOEVENTO="Manual",$M97=$A$15),$M97&gt;(ROW(PLE.lastrow)-ROW(PLE.firstrow))),0,
           IF(OFFSET(PLE!$G$15,$M97-$A$15,CA$13)="",10^12,OFFSET(PLE!$G$15,$M97-$A$15,CA$13)))</f>
        <v>1000000000000</v>
      </c>
      <c r="CB97" s="179">
        <f ca="1">IF(OR($D97&lt;&gt;"Serviço",AND(AUTOEVENTO="Manual",$M97=$A$15),$M97&gt;(ROW(PLE.lastrow)-ROW(PLE.firstrow))),0,
           IF(OFFSET(PLE!$G$15,$M97-$A$15,CB$13)="",10^12,OFFSET(PLE!$G$15,$M97-$A$15,CB$13)))</f>
        <v>1000000000000</v>
      </c>
      <c r="CC97" s="179">
        <f ca="1">IF(OR($D97&lt;&gt;"Serviço",AND(AUTOEVENTO="Manual",$M97=$A$15),$M97&gt;(ROW(PLE.lastrow)-ROW(PLE.firstrow))),0,
           IF(OFFSET(PLE!$G$15,$M97-$A$15,CC$13)="",10^12,OFFSET(PLE!$G$15,$M97-$A$15,CC$13)))</f>
        <v>1000000000000</v>
      </c>
      <c r="CD97" s="179">
        <f ca="1">IF(OR($D97&lt;&gt;"Serviço",AND(AUTOEVENTO="Manual",$M97=$A$15),$M97&gt;(ROW(PLE.lastrow)-ROW(PLE.firstrow))),0,
           IF(OFFSET(PLE!$G$15,$M97-$A$15,CD$13)="",10^12,OFFSET(PLE!$G$15,$M97-$A$15,CD$13)))</f>
        <v>1000000000000</v>
      </c>
      <c r="CE97" s="179">
        <f ca="1">IF(OR($D97&lt;&gt;"Serviço",AND(AUTOEVENTO="Manual",$M97=$A$15),$M97&gt;(ROW(PLE.lastrow)-ROW(PLE.firstrow))),0,
           IF(OFFSET(PLE!$G$15,$M97-$A$15,CE$13)="",10^12,OFFSET(PLE!$G$15,$M97-$A$15,CE$13)))</f>
        <v>1000000000000</v>
      </c>
      <c r="CF97" s="179">
        <f ca="1">IF(OR($D97&lt;&gt;"Serviço",AND(AUTOEVENTO="Manual",$M97=$A$15),$M97&gt;(ROW(PLE.lastrow)-ROW(PLE.firstrow))),0,
           IF(OFFSET(PLE!$G$15,$M97-$A$15,CF$13)="",10^12,OFFSET(PLE!$G$15,$M97-$A$15,CF$13)))</f>
        <v>1000000000000</v>
      </c>
      <c r="CG97" s="179">
        <f ca="1">IF(OR($D97&lt;&gt;"Serviço",AND(AUTOEVENTO="Manual",$M97=$A$15),$M97&gt;(ROW(PLE.lastrow)-ROW(PLE.firstrow))),0,
           IF(OFFSET(PLE!$G$15,$M97-$A$15,CG$13)="",10^12,OFFSET(PLE!$G$15,$M97-$A$15,CG$13)))</f>
        <v>1000000000000</v>
      </c>
      <c r="CH97" s="179">
        <f ca="1">IF(OR($D97&lt;&gt;"Serviço",AND(AUTOEVENTO="Manual",$M97=$A$15),$M97&gt;(ROW(PLE.lastrow)-ROW(PLE.firstrow))),0,
           IF(OFFSET(PLE!$G$15,$M97-$A$15,CH$13)="",10^12,OFFSET(PLE!$G$15,$M97-$A$15,CH$13)))</f>
        <v>1000000000000</v>
      </c>
      <c r="CI97" s="179">
        <f ca="1">IF(OR($D97&lt;&gt;"Serviço",AND(AUTOEVENTO="Manual",$M97=$A$15),$M97&gt;(ROW(PLE.lastrow)-ROW(PLE.firstrow))),0,
           IF(OFFSET(PLE!$G$15,$M97-$A$15,CI$13)="",10^12,OFFSET(PLE!$G$15,$M97-$A$15,CI$13)))</f>
        <v>1000000000000</v>
      </c>
      <c r="CJ97" s="179">
        <f ca="1">IF(OR($D97&lt;&gt;"Serviço",AND(AUTOEVENTO="Manual",$M97=$A$15),$M97&gt;(ROW(PLE.lastrow)-ROW(PLE.firstrow))),0,
           IF(OFFSET(PLE!$G$15,$M97-$A$15,CJ$13)="",10^12,OFFSET(PLE!$G$15,$M97-$A$15,CJ$13)))</f>
        <v>1000000000000</v>
      </c>
      <c r="CK97" s="179">
        <f ca="1">IF(OR($D97&lt;&gt;"Serviço",AND(AUTOEVENTO="Manual",$M97=$A$15),$M97&gt;(ROW(PLE.lastrow)-ROW(PLE.firstrow))),0,
           IF(OFFSET(PLE!$G$15,$M97-$A$15,CK$13)="",10^12,OFFSET(PLE!$G$15,$M97-$A$15,CK$13)))</f>
        <v>1000000000000</v>
      </c>
      <c r="CL97" s="179">
        <f ca="1">IF(OR($D97&lt;&gt;"Serviço",AND(AUTOEVENTO="Manual",$M97=$A$15),$M97&gt;(ROW(PLE.lastrow)-ROW(PLE.firstrow))),0,
           IF(OFFSET(PLE!$G$15,$M97-$A$15,CL$13)="",10^12,OFFSET(PLE!$G$15,$M97-$A$15,CL$13)))</f>
        <v>1000000000000</v>
      </c>
      <c r="CM97" s="179">
        <f ca="1">IF(OR($D97&lt;&gt;"Serviço",AND(AUTOEVENTO="Manual",$M97=$A$15),$M97&gt;(ROW(PLE.lastrow)-ROW(PLE.firstrow))),0,
           IF(OFFSET(PLE!$G$15,$M97-$A$15,CM$13)="",10^12,OFFSET(PLE!$G$15,$M97-$A$15,CM$13)))</f>
        <v>1000000000000</v>
      </c>
    </row>
    <row r="98" spans="1:91" ht="25.5" x14ac:dyDescent="0.2">
      <c r="A98" s="7" t="str">
        <f ca="1">IF(AUTOEVENTO="Manual",IF(K98&lt;&gt;"",MIN(VALUE(LEFT(K98,FIND(".",K98)-1)),COUNTA(EVENTOS.Lista)),0),IF(OR($B98&gt;AUTOEVENTO,$B98="S",$B98=0),SUBSTITUTE(OFFSET($A98,-1,0),IF($D98="Serviço",".",""),""),ROW(A98)-ROW($A$15)&amp;"."))</f>
        <v>71</v>
      </c>
      <c r="B98" s="7" t="str">
        <f ca="1">OFFSET(ORÇAMENTO!C$15,ROW(B98)-ROW(B$15),0)</f>
        <v>S</v>
      </c>
      <c r="C98" s="7" t="str">
        <f ca="1">OFFSET(ORÇAMENTO!L$15,ROW(C98)-ROW(C$15),0)</f>
        <v>F</v>
      </c>
      <c r="D98" s="118" t="str">
        <f ca="1">OFFSET(ORÇAMENTO!N$15,ROW(D98)-ROW(D$15),0)</f>
        <v>Serviço</v>
      </c>
      <c r="E98" s="119" t="str">
        <f ca="1">OFFSET(ORÇAMENTO!O$15,ROW(E98)-ROW(E$15),0)</f>
        <v>1.12.0.0.12.</v>
      </c>
      <c r="F98" s="170" t="str">
        <f ca="1">OFFSET(ORÇAMENTO!R$15,ROW(F98)-ROW(F$15),0)</f>
        <v>DISJUNTOR MONOPOLAR TIPO DIN, CORRENTE NOMINAL DE 10A - FORNECIMENTO E INSTALAÇÃO. AF_07/2025</v>
      </c>
      <c r="G98" s="171" t="str">
        <f ca="1">IF($D98&lt;&gt;"Serviço","",OFFSET(ORÇAMENTO!S$15,ROW(G98)-ROW(G$15),0))</f>
        <v>UN</v>
      </c>
      <c r="H98" s="124" cm="1">
        <f t="array" aca="1" ref="H98" ca="1">IF($D98&lt;&gt;"Serviço",0,IF(_xlfn.SINGLE(ACOMPANHAMENTO)="BM",ROUND(OFFSET(ORÇAMENTO!AJ$15,ROW(H98)-ROW(H$15),0),15-13*ORÇAMENTO!$AF$7),SUMPRODUCT(($Q$1:$AI$1)*ROUND($Q98:$AI98,15-13*ORÇAMENTO!$AF$7))))</f>
        <v>3</v>
      </c>
      <c r="I98" s="500" t="s">
        <v>1019</v>
      </c>
      <c r="J98" s="632" t="str" cm="1">
        <f t="array" aca="1" ref="J98" ca="1">IF(B98&lt;&gt;"S","",IF(AND(ACOMPANHAMENTO="PLE",AUTOEVENTO="Manual",OR(H98&gt;0,ORÇAMENTO!AC98="QUANT."),OR(K98="",M98=0,N98="")),"►",IF(AND(ACOMPANHAMENTO="PLE",ORÇAMENTO!AC98="QUANT."),"►►",IF(AND(COUNTIF($P$11:$AI$11,"▼")=0,H98&gt;0,I98=""),"◄",""))))</f>
        <v/>
      </c>
      <c r="K98" s="624"/>
      <c r="L98" s="172" t="s">
        <v>253</v>
      </c>
      <c r="M98" s="173">
        <f ca="1">IF($D98&lt;&gt;"Serviço","",
          IF(AUTOEVENTO="manual",$A98,
                IF(ISERROR(MATCH($A98,$A$15:OFFSET($A98,-1,0),0)),MAX($M$15:OFFSET(M98,-1,0))+1,
                      INDEX($M$15:OFFSET(M98,-1,0),MATCH($A98,$A$15:OFFSET($A98,-1,0),0)))))</f>
        <v>12</v>
      </c>
      <c r="N98" s="174" t="str">
        <f ca="1">IF($D98&lt;&gt;"Serviço","",
         IF(AUTOEVENTO="Manual",
                IF($A98=0,"&lt;-- defina o número do agrupador",
                       OFFSET(EVENTOS!$D$15,$A98-$A$15,0)),
                OFFSET($F$15,$A98,0)))</f>
        <v>INSTALAÇÕES ELÉTRICAS</v>
      </c>
      <c r="O98" s="175"/>
      <c r="Q98" s="175"/>
      <c r="R98" s="176"/>
      <c r="S98" s="176"/>
      <c r="T98" s="176">
        <v>3</v>
      </c>
      <c r="U98" s="176"/>
      <c r="V98" s="176"/>
      <c r="W98" s="176"/>
      <c r="X98" s="176"/>
      <c r="Y98" s="176"/>
      <c r="Z98" s="177"/>
      <c r="AA98" s="176"/>
      <c r="AB98" s="176"/>
      <c r="AC98" s="176"/>
      <c r="AD98" s="176"/>
      <c r="AE98" s="176"/>
      <c r="AF98" s="176"/>
      <c r="AG98" s="176"/>
      <c r="AH98" s="177"/>
      <c r="AJ98" s="485">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85">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L98" s="485">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0</v>
      </c>
      <c r="AM98" s="485">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44.37</v>
      </c>
      <c r="AN98" s="485">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0</v>
      </c>
      <c r="AO98" s="485">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85">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85">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85">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85">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85">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85">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85">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85">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85">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85">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85">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85">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8">
        <f ca="1">IF(OR($D98&lt;&gt;"Serviço",AND(AUTOEVENTO="Manual",$M98=$A$15)),0,
         IF(OFFSET(CRONOPLE!$F$15,$M98-$A$15,BC$13)="",10^12,OFFSET(CRONOPLE!$F$15,$M98-$A$15,BC$13)))</f>
        <v>1</v>
      </c>
      <c r="BD98" s="178">
        <f ca="1">IF(OR($D98&lt;&gt;"Serviço",AND(AUTOEVENTO="Manual",$M98=$A$15)),0,
         IF(OFFSET(CRONOPLE!$F$15,$M98-$A$15,BD$13)="",10^12,OFFSET(CRONOPLE!$F$15,$M98-$A$15,BD$13)))</f>
        <v>2</v>
      </c>
      <c r="BE98" s="178">
        <f ca="1">IF(OR($D98&lt;&gt;"Serviço",AND(AUTOEVENTO="Manual",$M98=$A$15)),0,
         IF(OFFSET(CRONOPLE!$F$15,$M98-$A$15,BE$13)="",10^12,OFFSET(CRONOPLE!$F$15,$M98-$A$15,BE$13)))</f>
        <v>1000000000000</v>
      </c>
      <c r="BF98" s="178">
        <f ca="1">IF(OR($D98&lt;&gt;"Serviço",AND(AUTOEVENTO="Manual",$M98=$A$15)),0,
         IF(OFFSET(CRONOPLE!$F$15,$M98-$A$15,BF$13)="",10^12,OFFSET(CRONOPLE!$F$15,$M98-$A$15,BF$13)))</f>
        <v>4</v>
      </c>
      <c r="BG98" s="178">
        <f ca="1">IF(OR($D98&lt;&gt;"Serviço",AND(AUTOEVENTO="Manual",$M98=$A$15)),0,
         IF(OFFSET(CRONOPLE!$F$15,$M98-$A$15,BG$13)="",10^12,OFFSET(CRONOPLE!$F$15,$M98-$A$15,BG$13)))</f>
        <v>5</v>
      </c>
      <c r="BH98" s="178">
        <f ca="1">IF(OR($D98&lt;&gt;"Serviço",AND(AUTOEVENTO="Manual",$M98=$A$15)),0,
         IF(OFFSET(CRONOPLE!$F$15,$M98-$A$15,BH$13)="",10^12,OFFSET(CRONOPLE!$F$15,$M98-$A$15,BH$13)))</f>
        <v>6</v>
      </c>
      <c r="BI98" s="178">
        <f ca="1">IF(OR($D98&lt;&gt;"Serviço",AND(AUTOEVENTO="Manual",$M98=$A$15)),0,
         IF(OFFSET(CRONOPLE!$F$15,$M98-$A$15,BI$13)="",10^12,OFFSET(CRONOPLE!$F$15,$M98-$A$15,BI$13)))</f>
        <v>7</v>
      </c>
      <c r="BJ98" s="178">
        <f ca="1">IF(OR($D98&lt;&gt;"Serviço",AND(AUTOEVENTO="Manual",$M98=$A$15)),0,
         IF(OFFSET(CRONOPLE!$F$15,$M98-$A$15,BJ$13)="",10^12,OFFSET(CRONOPLE!$F$15,$M98-$A$15,BJ$13)))</f>
        <v>8</v>
      </c>
      <c r="BK98" s="178">
        <f ca="1">IF(OR($D98&lt;&gt;"Serviço",AND(AUTOEVENTO="Manual",$M98=$A$15)),0,
         IF(OFFSET(CRONOPLE!$F$15,$M98-$A$15,BK$13)="",10^12,OFFSET(CRONOPLE!$F$15,$M98-$A$15,BK$13)))</f>
        <v>9</v>
      </c>
      <c r="BL98" s="178">
        <f ca="1">IF(OR($D98&lt;&gt;"Serviço",AND(AUTOEVENTO="Manual",$M98=$A$15)),0,
         IF(OFFSET(CRONOPLE!$F$15,$M98-$A$15,BL$13)="",10^12,OFFSET(CRONOPLE!$F$15,$M98-$A$15,BL$13)))</f>
        <v>10</v>
      </c>
      <c r="BM98" s="178">
        <f ca="1">IF(OR($D98&lt;&gt;"Serviço",AND(AUTOEVENTO="Manual",$M98=$A$15)),0,
         IF(OFFSET(CRONOPLE!$F$15,$M98-$A$15,BM$13)="",10^12,OFFSET(CRONOPLE!$F$15,$M98-$A$15,BM$13)))</f>
        <v>1000000000000</v>
      </c>
      <c r="BN98" s="178">
        <f ca="1">IF(OR($D98&lt;&gt;"Serviço",AND(AUTOEVENTO="Manual",$M98=$A$15)),0,
         IF(OFFSET(CRONOPLE!$F$15,$M98-$A$15,BN$13)="",10^12,OFFSET(CRONOPLE!$F$15,$M98-$A$15,BN$13)))</f>
        <v>1000000000000</v>
      </c>
      <c r="BO98" s="178">
        <f ca="1">IF(OR($D98&lt;&gt;"Serviço",AND(AUTOEVENTO="Manual",$M98=$A$15)),0,
         IF(OFFSET(CRONOPLE!$F$15,$M98-$A$15,BO$13)="",10^12,OFFSET(CRONOPLE!$F$15,$M98-$A$15,BO$13)))</f>
        <v>1000000000000</v>
      </c>
      <c r="BP98" s="178">
        <f ca="1">IF(OR($D98&lt;&gt;"Serviço",AND(AUTOEVENTO="Manual",$M98=$A$15)),0,
         IF(OFFSET(CRONOPLE!$F$15,$M98-$A$15,BP$13)="",10^12,OFFSET(CRONOPLE!$F$15,$M98-$A$15,BP$13)))</f>
        <v>1000000000000</v>
      </c>
      <c r="BQ98" s="178">
        <f ca="1">IF(OR($D98&lt;&gt;"Serviço",AND(AUTOEVENTO="Manual",$M98=$A$15)),0,
         IF(OFFSET(CRONOPLE!$F$15,$M98-$A$15,BQ$13)="",10^12,OFFSET(CRONOPLE!$F$15,$M98-$A$15,BQ$13)))</f>
        <v>15</v>
      </c>
      <c r="BR98" s="178">
        <f ca="1">IF(OR($D98&lt;&gt;"Serviço",AND(AUTOEVENTO="Manual",$M98=$A$15)),0,
         IF(OFFSET(CRONOPLE!$F$15,$M98-$A$15,BR$13)="",10^12,OFFSET(CRONOPLE!$F$15,$M98-$A$15,BR$13)))</f>
        <v>1000000000000</v>
      </c>
      <c r="BS98" s="178">
        <f ca="1">IF(OR($D98&lt;&gt;"Serviço",AND(AUTOEVENTO="Manual",$M98=$A$15)),0,
         IF(OFFSET(CRONOPLE!$F$15,$M98-$A$15,BS$13)="",10^12,OFFSET(CRONOPLE!$F$15,$M98-$A$15,BS$13)))</f>
        <v>1000000000000</v>
      </c>
      <c r="BT98" s="178">
        <f ca="1">IF(OR($D98&lt;&gt;"Serviço",AND(AUTOEVENTO="Manual",$M98=$A$15)),0,
         IF(OFFSET(CRONOPLE!$F$15,$M98-$A$15,BT$13)="",10^12,OFFSET(CRONOPLE!$F$15,$M98-$A$15,BT$13)))</f>
        <v>1000000000000</v>
      </c>
      <c r="BV98" s="179">
        <f ca="1">IF(OR($D98&lt;&gt;"Serviço",AND(AUTOEVENTO="Manual",$M98=$A$15),$M98&gt;(ROW(PLE.lastrow)-ROW(PLE.firstrow))),0,
           IF(OFFSET(PLE!$G$15,$M98-$A$15,BV$13)="",10^12,OFFSET(PLE!$G$15,$M98-$A$15,BV$13)))</f>
        <v>1000000000000</v>
      </c>
      <c r="BW98" s="179">
        <f ca="1">IF(OR($D98&lt;&gt;"Serviço",AND(AUTOEVENTO="Manual",$M98=$A$15),$M98&gt;(ROW(PLE.lastrow)-ROW(PLE.firstrow))),0,
           IF(OFFSET(PLE!$G$15,$M98-$A$15,BW$13)="",10^12,OFFSET(PLE!$G$15,$M98-$A$15,BW$13)))</f>
        <v>1000000000000</v>
      </c>
      <c r="BX98" s="179">
        <f ca="1">IF(OR($D98&lt;&gt;"Serviço",AND(AUTOEVENTO="Manual",$M98=$A$15),$M98&gt;(ROW(PLE.lastrow)-ROW(PLE.firstrow))),0,
           IF(OFFSET(PLE!$G$15,$M98-$A$15,BX$13)="",10^12,OFFSET(PLE!$G$15,$M98-$A$15,BX$13)))</f>
        <v>1000000000000</v>
      </c>
      <c r="BY98" s="179">
        <f ca="1">IF(OR($D98&lt;&gt;"Serviço",AND(AUTOEVENTO="Manual",$M98=$A$15),$M98&gt;(ROW(PLE.lastrow)-ROW(PLE.firstrow))),0,
           IF(OFFSET(PLE!$G$15,$M98-$A$15,BY$13)="",10^12,OFFSET(PLE!$G$15,$M98-$A$15,BY$13)))</f>
        <v>1000000000000</v>
      </c>
      <c r="BZ98" s="179">
        <f ca="1">IF(OR($D98&lt;&gt;"Serviço",AND(AUTOEVENTO="Manual",$M98=$A$15),$M98&gt;(ROW(PLE.lastrow)-ROW(PLE.firstrow))),0,
           IF(OFFSET(PLE!$G$15,$M98-$A$15,BZ$13)="",10^12,OFFSET(PLE!$G$15,$M98-$A$15,BZ$13)))</f>
        <v>1000000000000</v>
      </c>
      <c r="CA98" s="179">
        <f ca="1">IF(OR($D98&lt;&gt;"Serviço",AND(AUTOEVENTO="Manual",$M98=$A$15),$M98&gt;(ROW(PLE.lastrow)-ROW(PLE.firstrow))),0,
           IF(OFFSET(PLE!$G$15,$M98-$A$15,CA$13)="",10^12,OFFSET(PLE!$G$15,$M98-$A$15,CA$13)))</f>
        <v>1000000000000</v>
      </c>
      <c r="CB98" s="179">
        <f ca="1">IF(OR($D98&lt;&gt;"Serviço",AND(AUTOEVENTO="Manual",$M98=$A$15),$M98&gt;(ROW(PLE.lastrow)-ROW(PLE.firstrow))),0,
           IF(OFFSET(PLE!$G$15,$M98-$A$15,CB$13)="",10^12,OFFSET(PLE!$G$15,$M98-$A$15,CB$13)))</f>
        <v>1000000000000</v>
      </c>
      <c r="CC98" s="179">
        <f ca="1">IF(OR($D98&lt;&gt;"Serviço",AND(AUTOEVENTO="Manual",$M98=$A$15),$M98&gt;(ROW(PLE.lastrow)-ROW(PLE.firstrow))),0,
           IF(OFFSET(PLE!$G$15,$M98-$A$15,CC$13)="",10^12,OFFSET(PLE!$G$15,$M98-$A$15,CC$13)))</f>
        <v>1000000000000</v>
      </c>
      <c r="CD98" s="179">
        <f ca="1">IF(OR($D98&lt;&gt;"Serviço",AND(AUTOEVENTO="Manual",$M98=$A$15),$M98&gt;(ROW(PLE.lastrow)-ROW(PLE.firstrow))),0,
           IF(OFFSET(PLE!$G$15,$M98-$A$15,CD$13)="",10^12,OFFSET(PLE!$G$15,$M98-$A$15,CD$13)))</f>
        <v>1000000000000</v>
      </c>
      <c r="CE98" s="179">
        <f ca="1">IF(OR($D98&lt;&gt;"Serviço",AND(AUTOEVENTO="Manual",$M98=$A$15),$M98&gt;(ROW(PLE.lastrow)-ROW(PLE.firstrow))),0,
           IF(OFFSET(PLE!$G$15,$M98-$A$15,CE$13)="",10^12,OFFSET(PLE!$G$15,$M98-$A$15,CE$13)))</f>
        <v>1000000000000</v>
      </c>
      <c r="CF98" s="179">
        <f ca="1">IF(OR($D98&lt;&gt;"Serviço",AND(AUTOEVENTO="Manual",$M98=$A$15),$M98&gt;(ROW(PLE.lastrow)-ROW(PLE.firstrow))),0,
           IF(OFFSET(PLE!$G$15,$M98-$A$15,CF$13)="",10^12,OFFSET(PLE!$G$15,$M98-$A$15,CF$13)))</f>
        <v>1000000000000</v>
      </c>
      <c r="CG98" s="179">
        <f ca="1">IF(OR($D98&lt;&gt;"Serviço",AND(AUTOEVENTO="Manual",$M98=$A$15),$M98&gt;(ROW(PLE.lastrow)-ROW(PLE.firstrow))),0,
           IF(OFFSET(PLE!$G$15,$M98-$A$15,CG$13)="",10^12,OFFSET(PLE!$G$15,$M98-$A$15,CG$13)))</f>
        <v>1000000000000</v>
      </c>
      <c r="CH98" s="179">
        <f ca="1">IF(OR($D98&lt;&gt;"Serviço",AND(AUTOEVENTO="Manual",$M98=$A$15),$M98&gt;(ROW(PLE.lastrow)-ROW(PLE.firstrow))),0,
           IF(OFFSET(PLE!$G$15,$M98-$A$15,CH$13)="",10^12,OFFSET(PLE!$G$15,$M98-$A$15,CH$13)))</f>
        <v>1000000000000</v>
      </c>
      <c r="CI98" s="179">
        <f ca="1">IF(OR($D98&lt;&gt;"Serviço",AND(AUTOEVENTO="Manual",$M98=$A$15),$M98&gt;(ROW(PLE.lastrow)-ROW(PLE.firstrow))),0,
           IF(OFFSET(PLE!$G$15,$M98-$A$15,CI$13)="",10^12,OFFSET(PLE!$G$15,$M98-$A$15,CI$13)))</f>
        <v>1000000000000</v>
      </c>
      <c r="CJ98" s="179">
        <f ca="1">IF(OR($D98&lt;&gt;"Serviço",AND(AUTOEVENTO="Manual",$M98=$A$15),$M98&gt;(ROW(PLE.lastrow)-ROW(PLE.firstrow))),0,
           IF(OFFSET(PLE!$G$15,$M98-$A$15,CJ$13)="",10^12,OFFSET(PLE!$G$15,$M98-$A$15,CJ$13)))</f>
        <v>1000000000000</v>
      </c>
      <c r="CK98" s="179">
        <f ca="1">IF(OR($D98&lt;&gt;"Serviço",AND(AUTOEVENTO="Manual",$M98=$A$15),$M98&gt;(ROW(PLE.lastrow)-ROW(PLE.firstrow))),0,
           IF(OFFSET(PLE!$G$15,$M98-$A$15,CK$13)="",10^12,OFFSET(PLE!$G$15,$M98-$A$15,CK$13)))</f>
        <v>1000000000000</v>
      </c>
      <c r="CL98" s="179">
        <f ca="1">IF(OR($D98&lt;&gt;"Serviço",AND(AUTOEVENTO="Manual",$M98=$A$15),$M98&gt;(ROW(PLE.lastrow)-ROW(PLE.firstrow))),0,
           IF(OFFSET(PLE!$G$15,$M98-$A$15,CL$13)="",10^12,OFFSET(PLE!$G$15,$M98-$A$15,CL$13)))</f>
        <v>1000000000000</v>
      </c>
      <c r="CM98" s="179">
        <f ca="1">IF(OR($D98&lt;&gt;"Serviço",AND(AUTOEVENTO="Manual",$M98=$A$15),$M98&gt;(ROW(PLE.lastrow)-ROW(PLE.firstrow))),0,
           IF(OFFSET(PLE!$G$15,$M98-$A$15,CM$13)="",10^12,OFFSET(PLE!$G$15,$M98-$A$15,CM$13)))</f>
        <v>1000000000000</v>
      </c>
    </row>
    <row r="99" spans="1:91" ht="25.5" x14ac:dyDescent="0.2">
      <c r="A99" s="7" t="str">
        <f ca="1">IF(AUTOEVENTO="Manual",IF(K99&lt;&gt;"",MIN(VALUE(LEFT(K99,FIND(".",K99)-1)),COUNTA(EVENTOS.Lista)),0),IF(OR($B99&gt;AUTOEVENTO,$B99="S",$B99=0),SUBSTITUTE(OFFSET($A99,-1,0),IF($D99="Serviço",".",""),""),ROW(A99)-ROW($A$15)&amp;"."))</f>
        <v>71</v>
      </c>
      <c r="B99" s="7" t="str">
        <f ca="1">OFFSET(ORÇAMENTO!C$15,ROW(B99)-ROW(B$15),0)</f>
        <v>S</v>
      </c>
      <c r="C99" s="7" t="str">
        <f ca="1">OFFSET(ORÇAMENTO!L$15,ROW(C99)-ROW(C$15),0)</f>
        <v>F</v>
      </c>
      <c r="D99" s="118" t="str">
        <f ca="1">OFFSET(ORÇAMENTO!N$15,ROW(D99)-ROW(D$15),0)</f>
        <v>Serviço</v>
      </c>
      <c r="E99" s="119" t="str">
        <f ca="1">OFFSET(ORÇAMENTO!O$15,ROW(E99)-ROW(E$15),0)</f>
        <v>1.12.0.0.13.</v>
      </c>
      <c r="F99" s="170" t="str">
        <f ca="1">OFFSET(ORÇAMENTO!R$15,ROW(F99)-ROW(F$15),0)</f>
        <v>DISJUNTOR MONOPOLAR TIPO DIN, CORRENTE NOMINAL DE 20A - FORNECIMENTO E INSTALAÇÃO. AF_07/2025</v>
      </c>
      <c r="G99" s="171" t="str">
        <f ca="1">IF($D99&lt;&gt;"Serviço","",OFFSET(ORÇAMENTO!S$15,ROW(G99)-ROW(G$15),0))</f>
        <v>UN</v>
      </c>
      <c r="H99" s="124" cm="1">
        <f t="array" aca="1" ref="H99" ca="1">IF($D99&lt;&gt;"Serviço",0,IF(_xlfn.SINGLE(ACOMPANHAMENTO)="BM",ROUND(OFFSET(ORÇAMENTO!AJ$15,ROW(H99)-ROW(H$15),0),15-13*ORÇAMENTO!$AF$7),SUMPRODUCT(($Q$1:$AI$1)*ROUND($Q99:$AI99,15-13*ORÇAMENTO!$AF$7))))</f>
        <v>1</v>
      </c>
      <c r="I99" s="500" t="s">
        <v>1019</v>
      </c>
      <c r="J99" s="632" t="str" cm="1">
        <f t="array" aca="1" ref="J99" ca="1">IF(B99&lt;&gt;"S","",IF(AND(ACOMPANHAMENTO="PLE",AUTOEVENTO="Manual",OR(H99&gt;0,ORÇAMENTO!AC99="QUANT."),OR(K99="",M99=0,N99="")),"►",IF(AND(ACOMPANHAMENTO="PLE",ORÇAMENTO!AC99="QUANT."),"►►",IF(AND(COUNTIF($P$11:$AI$11,"▼")=0,H99&gt;0,I99=""),"◄",""))))</f>
        <v/>
      </c>
      <c r="K99" s="624"/>
      <c r="L99" s="172" t="s">
        <v>253</v>
      </c>
      <c r="M99" s="173">
        <f ca="1">IF($D99&lt;&gt;"Serviço","",
          IF(AUTOEVENTO="manual",$A99,
                IF(ISERROR(MATCH($A99,$A$15:OFFSET($A99,-1,0),0)),MAX($M$15:OFFSET(M99,-1,0))+1,
                      INDEX($M$15:OFFSET(M99,-1,0),MATCH($A99,$A$15:OFFSET($A99,-1,0),0)))))</f>
        <v>12</v>
      </c>
      <c r="N99" s="174" t="str">
        <f ca="1">IF($D99&lt;&gt;"Serviço","",
         IF(AUTOEVENTO="Manual",
                IF($A99=0,"&lt;-- defina o número do agrupador",
                       OFFSET(EVENTOS!$D$15,$A99-$A$15,0)),
                OFFSET($F$15,$A99,0)))</f>
        <v>INSTALAÇÕES ELÉTRICAS</v>
      </c>
      <c r="O99" s="175"/>
      <c r="Q99" s="175"/>
      <c r="R99" s="176"/>
      <c r="S99" s="176"/>
      <c r="T99" s="176">
        <v>1</v>
      </c>
      <c r="U99" s="176"/>
      <c r="V99" s="176"/>
      <c r="W99" s="176"/>
      <c r="X99" s="176"/>
      <c r="Y99" s="176"/>
      <c r="Z99" s="177"/>
      <c r="AA99" s="176"/>
      <c r="AB99" s="176"/>
      <c r="AC99" s="176"/>
      <c r="AD99" s="176"/>
      <c r="AE99" s="176"/>
      <c r="AF99" s="176"/>
      <c r="AG99" s="176"/>
      <c r="AH99" s="177"/>
      <c r="AJ99" s="485">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85">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L99" s="485">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0</v>
      </c>
      <c r="AM99" s="485">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16.13</v>
      </c>
      <c r="AN99" s="485">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0</v>
      </c>
      <c r="AO99" s="485">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0</v>
      </c>
      <c r="AP99" s="485">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85">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85">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85">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85">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85">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85">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85">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85">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85">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85">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85">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8">
        <f ca="1">IF(OR($D99&lt;&gt;"Serviço",AND(AUTOEVENTO="Manual",$M99=$A$15)),0,
         IF(OFFSET(CRONOPLE!$F$15,$M99-$A$15,BC$13)="",10^12,OFFSET(CRONOPLE!$F$15,$M99-$A$15,BC$13)))</f>
        <v>1</v>
      </c>
      <c r="BD99" s="178">
        <f ca="1">IF(OR($D99&lt;&gt;"Serviço",AND(AUTOEVENTO="Manual",$M99=$A$15)),0,
         IF(OFFSET(CRONOPLE!$F$15,$M99-$A$15,BD$13)="",10^12,OFFSET(CRONOPLE!$F$15,$M99-$A$15,BD$13)))</f>
        <v>2</v>
      </c>
      <c r="BE99" s="178">
        <f ca="1">IF(OR($D99&lt;&gt;"Serviço",AND(AUTOEVENTO="Manual",$M99=$A$15)),0,
         IF(OFFSET(CRONOPLE!$F$15,$M99-$A$15,BE$13)="",10^12,OFFSET(CRONOPLE!$F$15,$M99-$A$15,BE$13)))</f>
        <v>1000000000000</v>
      </c>
      <c r="BF99" s="178">
        <f ca="1">IF(OR($D99&lt;&gt;"Serviço",AND(AUTOEVENTO="Manual",$M99=$A$15)),0,
         IF(OFFSET(CRONOPLE!$F$15,$M99-$A$15,BF$13)="",10^12,OFFSET(CRONOPLE!$F$15,$M99-$A$15,BF$13)))</f>
        <v>4</v>
      </c>
      <c r="BG99" s="178">
        <f ca="1">IF(OR($D99&lt;&gt;"Serviço",AND(AUTOEVENTO="Manual",$M99=$A$15)),0,
         IF(OFFSET(CRONOPLE!$F$15,$M99-$A$15,BG$13)="",10^12,OFFSET(CRONOPLE!$F$15,$M99-$A$15,BG$13)))</f>
        <v>5</v>
      </c>
      <c r="BH99" s="178">
        <f ca="1">IF(OR($D99&lt;&gt;"Serviço",AND(AUTOEVENTO="Manual",$M99=$A$15)),0,
         IF(OFFSET(CRONOPLE!$F$15,$M99-$A$15,BH$13)="",10^12,OFFSET(CRONOPLE!$F$15,$M99-$A$15,BH$13)))</f>
        <v>6</v>
      </c>
      <c r="BI99" s="178">
        <f ca="1">IF(OR($D99&lt;&gt;"Serviço",AND(AUTOEVENTO="Manual",$M99=$A$15)),0,
         IF(OFFSET(CRONOPLE!$F$15,$M99-$A$15,BI$13)="",10^12,OFFSET(CRONOPLE!$F$15,$M99-$A$15,BI$13)))</f>
        <v>7</v>
      </c>
      <c r="BJ99" s="178">
        <f ca="1">IF(OR($D99&lt;&gt;"Serviço",AND(AUTOEVENTO="Manual",$M99=$A$15)),0,
         IF(OFFSET(CRONOPLE!$F$15,$M99-$A$15,BJ$13)="",10^12,OFFSET(CRONOPLE!$F$15,$M99-$A$15,BJ$13)))</f>
        <v>8</v>
      </c>
      <c r="BK99" s="178">
        <f ca="1">IF(OR($D99&lt;&gt;"Serviço",AND(AUTOEVENTO="Manual",$M99=$A$15)),0,
         IF(OFFSET(CRONOPLE!$F$15,$M99-$A$15,BK$13)="",10^12,OFFSET(CRONOPLE!$F$15,$M99-$A$15,BK$13)))</f>
        <v>9</v>
      </c>
      <c r="BL99" s="178">
        <f ca="1">IF(OR($D99&lt;&gt;"Serviço",AND(AUTOEVENTO="Manual",$M99=$A$15)),0,
         IF(OFFSET(CRONOPLE!$F$15,$M99-$A$15,BL$13)="",10^12,OFFSET(CRONOPLE!$F$15,$M99-$A$15,BL$13)))</f>
        <v>10</v>
      </c>
      <c r="BM99" s="178">
        <f ca="1">IF(OR($D99&lt;&gt;"Serviço",AND(AUTOEVENTO="Manual",$M99=$A$15)),0,
         IF(OFFSET(CRONOPLE!$F$15,$M99-$A$15,BM$13)="",10^12,OFFSET(CRONOPLE!$F$15,$M99-$A$15,BM$13)))</f>
        <v>1000000000000</v>
      </c>
      <c r="BN99" s="178">
        <f ca="1">IF(OR($D99&lt;&gt;"Serviço",AND(AUTOEVENTO="Manual",$M99=$A$15)),0,
         IF(OFFSET(CRONOPLE!$F$15,$M99-$A$15,BN$13)="",10^12,OFFSET(CRONOPLE!$F$15,$M99-$A$15,BN$13)))</f>
        <v>1000000000000</v>
      </c>
      <c r="BO99" s="178">
        <f ca="1">IF(OR($D99&lt;&gt;"Serviço",AND(AUTOEVENTO="Manual",$M99=$A$15)),0,
         IF(OFFSET(CRONOPLE!$F$15,$M99-$A$15,BO$13)="",10^12,OFFSET(CRONOPLE!$F$15,$M99-$A$15,BO$13)))</f>
        <v>1000000000000</v>
      </c>
      <c r="BP99" s="178">
        <f ca="1">IF(OR($D99&lt;&gt;"Serviço",AND(AUTOEVENTO="Manual",$M99=$A$15)),0,
         IF(OFFSET(CRONOPLE!$F$15,$M99-$A$15,BP$13)="",10^12,OFFSET(CRONOPLE!$F$15,$M99-$A$15,BP$13)))</f>
        <v>1000000000000</v>
      </c>
      <c r="BQ99" s="178">
        <f ca="1">IF(OR($D99&lt;&gt;"Serviço",AND(AUTOEVENTO="Manual",$M99=$A$15)),0,
         IF(OFFSET(CRONOPLE!$F$15,$M99-$A$15,BQ$13)="",10^12,OFFSET(CRONOPLE!$F$15,$M99-$A$15,BQ$13)))</f>
        <v>15</v>
      </c>
      <c r="BR99" s="178">
        <f ca="1">IF(OR($D99&lt;&gt;"Serviço",AND(AUTOEVENTO="Manual",$M99=$A$15)),0,
         IF(OFFSET(CRONOPLE!$F$15,$M99-$A$15,BR$13)="",10^12,OFFSET(CRONOPLE!$F$15,$M99-$A$15,BR$13)))</f>
        <v>1000000000000</v>
      </c>
      <c r="BS99" s="178">
        <f ca="1">IF(OR($D99&lt;&gt;"Serviço",AND(AUTOEVENTO="Manual",$M99=$A$15)),0,
         IF(OFFSET(CRONOPLE!$F$15,$M99-$A$15,BS$13)="",10^12,OFFSET(CRONOPLE!$F$15,$M99-$A$15,BS$13)))</f>
        <v>1000000000000</v>
      </c>
      <c r="BT99" s="178">
        <f ca="1">IF(OR($D99&lt;&gt;"Serviço",AND(AUTOEVENTO="Manual",$M99=$A$15)),0,
         IF(OFFSET(CRONOPLE!$F$15,$M99-$A$15,BT$13)="",10^12,OFFSET(CRONOPLE!$F$15,$M99-$A$15,BT$13)))</f>
        <v>1000000000000</v>
      </c>
      <c r="BV99" s="179">
        <f ca="1">IF(OR($D99&lt;&gt;"Serviço",AND(AUTOEVENTO="Manual",$M99=$A$15),$M99&gt;(ROW(PLE.lastrow)-ROW(PLE.firstrow))),0,
           IF(OFFSET(PLE!$G$15,$M99-$A$15,BV$13)="",10^12,OFFSET(PLE!$G$15,$M99-$A$15,BV$13)))</f>
        <v>1000000000000</v>
      </c>
      <c r="BW99" s="179">
        <f ca="1">IF(OR($D99&lt;&gt;"Serviço",AND(AUTOEVENTO="Manual",$M99=$A$15),$M99&gt;(ROW(PLE.lastrow)-ROW(PLE.firstrow))),0,
           IF(OFFSET(PLE!$G$15,$M99-$A$15,BW$13)="",10^12,OFFSET(PLE!$G$15,$M99-$A$15,BW$13)))</f>
        <v>1000000000000</v>
      </c>
      <c r="BX99" s="179">
        <f ca="1">IF(OR($D99&lt;&gt;"Serviço",AND(AUTOEVENTO="Manual",$M99=$A$15),$M99&gt;(ROW(PLE.lastrow)-ROW(PLE.firstrow))),0,
           IF(OFFSET(PLE!$G$15,$M99-$A$15,BX$13)="",10^12,OFFSET(PLE!$G$15,$M99-$A$15,BX$13)))</f>
        <v>1000000000000</v>
      </c>
      <c r="BY99" s="179">
        <f ca="1">IF(OR($D99&lt;&gt;"Serviço",AND(AUTOEVENTO="Manual",$M99=$A$15),$M99&gt;(ROW(PLE.lastrow)-ROW(PLE.firstrow))),0,
           IF(OFFSET(PLE!$G$15,$M99-$A$15,BY$13)="",10^12,OFFSET(PLE!$G$15,$M99-$A$15,BY$13)))</f>
        <v>1000000000000</v>
      </c>
      <c r="BZ99" s="179">
        <f ca="1">IF(OR($D99&lt;&gt;"Serviço",AND(AUTOEVENTO="Manual",$M99=$A$15),$M99&gt;(ROW(PLE.lastrow)-ROW(PLE.firstrow))),0,
           IF(OFFSET(PLE!$G$15,$M99-$A$15,BZ$13)="",10^12,OFFSET(PLE!$G$15,$M99-$A$15,BZ$13)))</f>
        <v>1000000000000</v>
      </c>
      <c r="CA99" s="179">
        <f ca="1">IF(OR($D99&lt;&gt;"Serviço",AND(AUTOEVENTO="Manual",$M99=$A$15),$M99&gt;(ROW(PLE.lastrow)-ROW(PLE.firstrow))),0,
           IF(OFFSET(PLE!$G$15,$M99-$A$15,CA$13)="",10^12,OFFSET(PLE!$G$15,$M99-$A$15,CA$13)))</f>
        <v>1000000000000</v>
      </c>
      <c r="CB99" s="179">
        <f ca="1">IF(OR($D99&lt;&gt;"Serviço",AND(AUTOEVENTO="Manual",$M99=$A$15),$M99&gt;(ROW(PLE.lastrow)-ROW(PLE.firstrow))),0,
           IF(OFFSET(PLE!$G$15,$M99-$A$15,CB$13)="",10^12,OFFSET(PLE!$G$15,$M99-$A$15,CB$13)))</f>
        <v>1000000000000</v>
      </c>
      <c r="CC99" s="179">
        <f ca="1">IF(OR($D99&lt;&gt;"Serviço",AND(AUTOEVENTO="Manual",$M99=$A$15),$M99&gt;(ROW(PLE.lastrow)-ROW(PLE.firstrow))),0,
           IF(OFFSET(PLE!$G$15,$M99-$A$15,CC$13)="",10^12,OFFSET(PLE!$G$15,$M99-$A$15,CC$13)))</f>
        <v>1000000000000</v>
      </c>
      <c r="CD99" s="179">
        <f ca="1">IF(OR($D99&lt;&gt;"Serviço",AND(AUTOEVENTO="Manual",$M99=$A$15),$M99&gt;(ROW(PLE.lastrow)-ROW(PLE.firstrow))),0,
           IF(OFFSET(PLE!$G$15,$M99-$A$15,CD$13)="",10^12,OFFSET(PLE!$G$15,$M99-$A$15,CD$13)))</f>
        <v>1000000000000</v>
      </c>
      <c r="CE99" s="179">
        <f ca="1">IF(OR($D99&lt;&gt;"Serviço",AND(AUTOEVENTO="Manual",$M99=$A$15),$M99&gt;(ROW(PLE.lastrow)-ROW(PLE.firstrow))),0,
           IF(OFFSET(PLE!$G$15,$M99-$A$15,CE$13)="",10^12,OFFSET(PLE!$G$15,$M99-$A$15,CE$13)))</f>
        <v>1000000000000</v>
      </c>
      <c r="CF99" s="179">
        <f ca="1">IF(OR($D99&lt;&gt;"Serviço",AND(AUTOEVENTO="Manual",$M99=$A$15),$M99&gt;(ROW(PLE.lastrow)-ROW(PLE.firstrow))),0,
           IF(OFFSET(PLE!$G$15,$M99-$A$15,CF$13)="",10^12,OFFSET(PLE!$G$15,$M99-$A$15,CF$13)))</f>
        <v>1000000000000</v>
      </c>
      <c r="CG99" s="179">
        <f ca="1">IF(OR($D99&lt;&gt;"Serviço",AND(AUTOEVENTO="Manual",$M99=$A$15),$M99&gt;(ROW(PLE.lastrow)-ROW(PLE.firstrow))),0,
           IF(OFFSET(PLE!$G$15,$M99-$A$15,CG$13)="",10^12,OFFSET(PLE!$G$15,$M99-$A$15,CG$13)))</f>
        <v>1000000000000</v>
      </c>
      <c r="CH99" s="179">
        <f ca="1">IF(OR($D99&lt;&gt;"Serviço",AND(AUTOEVENTO="Manual",$M99=$A$15),$M99&gt;(ROW(PLE.lastrow)-ROW(PLE.firstrow))),0,
           IF(OFFSET(PLE!$G$15,$M99-$A$15,CH$13)="",10^12,OFFSET(PLE!$G$15,$M99-$A$15,CH$13)))</f>
        <v>1000000000000</v>
      </c>
      <c r="CI99" s="179">
        <f ca="1">IF(OR($D99&lt;&gt;"Serviço",AND(AUTOEVENTO="Manual",$M99=$A$15),$M99&gt;(ROW(PLE.lastrow)-ROW(PLE.firstrow))),0,
           IF(OFFSET(PLE!$G$15,$M99-$A$15,CI$13)="",10^12,OFFSET(PLE!$G$15,$M99-$A$15,CI$13)))</f>
        <v>1000000000000</v>
      </c>
      <c r="CJ99" s="179">
        <f ca="1">IF(OR($D99&lt;&gt;"Serviço",AND(AUTOEVENTO="Manual",$M99=$A$15),$M99&gt;(ROW(PLE.lastrow)-ROW(PLE.firstrow))),0,
           IF(OFFSET(PLE!$G$15,$M99-$A$15,CJ$13)="",10^12,OFFSET(PLE!$G$15,$M99-$A$15,CJ$13)))</f>
        <v>1000000000000</v>
      </c>
      <c r="CK99" s="179">
        <f ca="1">IF(OR($D99&lt;&gt;"Serviço",AND(AUTOEVENTO="Manual",$M99=$A$15),$M99&gt;(ROW(PLE.lastrow)-ROW(PLE.firstrow))),0,
           IF(OFFSET(PLE!$G$15,$M99-$A$15,CK$13)="",10^12,OFFSET(PLE!$G$15,$M99-$A$15,CK$13)))</f>
        <v>1000000000000</v>
      </c>
      <c r="CL99" s="179">
        <f ca="1">IF(OR($D99&lt;&gt;"Serviço",AND(AUTOEVENTO="Manual",$M99=$A$15),$M99&gt;(ROW(PLE.lastrow)-ROW(PLE.firstrow))),0,
           IF(OFFSET(PLE!$G$15,$M99-$A$15,CL$13)="",10^12,OFFSET(PLE!$G$15,$M99-$A$15,CL$13)))</f>
        <v>1000000000000</v>
      </c>
      <c r="CM99" s="179">
        <f ca="1">IF(OR($D99&lt;&gt;"Serviço",AND(AUTOEVENTO="Manual",$M99=$A$15),$M99&gt;(ROW(PLE.lastrow)-ROW(PLE.firstrow))),0,
           IF(OFFSET(PLE!$G$15,$M99-$A$15,CM$13)="",10^12,OFFSET(PLE!$G$15,$M99-$A$15,CM$13)))</f>
        <v>1000000000000</v>
      </c>
    </row>
    <row r="100" spans="1:91" ht="25.5" x14ac:dyDescent="0.2">
      <c r="A100" s="7" t="str">
        <f ca="1">IF(AUTOEVENTO="Manual",IF(K100&lt;&gt;"",MIN(VALUE(LEFT(K100,FIND(".",K100)-1)),COUNTA(EVENTOS.Lista)),0),IF(OR($B100&gt;AUTOEVENTO,$B100="S",$B100=0),SUBSTITUTE(OFFSET($A100,-1,0),IF($D100="Serviço",".",""),""),ROW(A100)-ROW($A$15)&amp;"."))</f>
        <v>71</v>
      </c>
      <c r="B100" s="7" t="str">
        <f ca="1">OFFSET(ORÇAMENTO!C$15,ROW(B100)-ROW(B$15),0)</f>
        <v>S</v>
      </c>
      <c r="C100" s="7" t="str">
        <f ca="1">OFFSET(ORÇAMENTO!L$15,ROW(C100)-ROW(C$15),0)</f>
        <v>F</v>
      </c>
      <c r="D100" s="118" t="str">
        <f ca="1">OFFSET(ORÇAMENTO!N$15,ROW(D100)-ROW(D$15),0)</f>
        <v>Serviço</v>
      </c>
      <c r="E100" s="119" t="str">
        <f ca="1">OFFSET(ORÇAMENTO!O$15,ROW(E100)-ROW(E$15),0)</f>
        <v>1.12.0.0.14.</v>
      </c>
      <c r="F100" s="170" t="str">
        <f ca="1">OFFSET(ORÇAMENTO!R$15,ROW(F100)-ROW(F$15),0)</f>
        <v>DISJUNTOR MONOPOLAR TIPO DIN, CORRENTE NOMINAL DE 25A - FORNECIMENTO E INSTALAÇÃO. AF_07/2025</v>
      </c>
      <c r="G100" s="171" t="str">
        <f ca="1">IF($D100&lt;&gt;"Serviço","",OFFSET(ORÇAMENTO!S$15,ROW(G100)-ROW(G$15),0))</f>
        <v>UN</v>
      </c>
      <c r="H100" s="124" cm="1">
        <f t="array" aca="1" ref="H100" ca="1">IF($D100&lt;&gt;"Serviço",0,IF(_xlfn.SINGLE(ACOMPANHAMENTO)="BM",ROUND(OFFSET(ORÇAMENTO!AJ$15,ROW(H100)-ROW(H$15),0),15-13*ORÇAMENTO!$AF$7),SUMPRODUCT(($Q$1:$AI$1)*ROUND($Q100:$AI100,15-13*ORÇAMENTO!$AF$7))))</f>
        <v>1</v>
      </c>
      <c r="I100" s="500" t="s">
        <v>1019</v>
      </c>
      <c r="J100" s="632" t="str" cm="1">
        <f t="array" aca="1" ref="J100" ca="1">IF(B100&lt;&gt;"S","",IF(AND(ACOMPANHAMENTO="PLE",AUTOEVENTO="Manual",OR(H100&gt;0,ORÇAMENTO!AC100="QUANT."),OR(K100="",M100=0,N100="")),"►",IF(AND(ACOMPANHAMENTO="PLE",ORÇAMENTO!AC100="QUANT."),"►►",IF(AND(COUNTIF($P$11:$AI$11,"▼")=0,H100&gt;0,I100=""),"◄",""))))</f>
        <v/>
      </c>
      <c r="K100" s="624"/>
      <c r="L100" s="172" t="s">
        <v>253</v>
      </c>
      <c r="M100" s="173">
        <f ca="1">IF($D100&lt;&gt;"Serviço","",
          IF(AUTOEVENTO="manual",$A100,
                IF(ISERROR(MATCH($A100,$A$15:OFFSET($A100,-1,0),0)),MAX($M$15:OFFSET(M100,-1,0))+1,
                      INDEX($M$15:OFFSET(M100,-1,0),MATCH($A100,$A$15:OFFSET($A100,-1,0),0)))))</f>
        <v>12</v>
      </c>
      <c r="N100" s="174" t="str">
        <f ca="1">IF($D100&lt;&gt;"Serviço","",
         IF(AUTOEVENTO="Manual",
                IF($A100=0,"&lt;-- defina o número do agrupador",
                       OFFSET(EVENTOS!$D$15,$A100-$A$15,0)),
                OFFSET($F$15,$A100,0)))</f>
        <v>INSTALAÇÕES ELÉTRICAS</v>
      </c>
      <c r="O100" s="175"/>
      <c r="Q100" s="175"/>
      <c r="R100" s="176"/>
      <c r="S100" s="176"/>
      <c r="T100" s="176">
        <v>1</v>
      </c>
      <c r="U100" s="176"/>
      <c r="V100" s="176"/>
      <c r="W100" s="176"/>
      <c r="X100" s="176"/>
      <c r="Y100" s="176"/>
      <c r="Z100" s="177"/>
      <c r="AA100" s="176"/>
      <c r="AB100" s="176"/>
      <c r="AC100" s="176"/>
      <c r="AD100" s="176"/>
      <c r="AE100" s="176"/>
      <c r="AF100" s="176"/>
      <c r="AG100" s="176"/>
      <c r="AH100" s="177"/>
      <c r="AJ100" s="485">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85">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L100" s="485">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0</v>
      </c>
      <c r="AM100" s="485">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17.649999999999999</v>
      </c>
      <c r="AN100" s="485">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0</v>
      </c>
      <c r="AO100" s="485">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0</v>
      </c>
      <c r="AP100" s="485">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85">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85">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85">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85">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85">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85">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85">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85">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85">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85">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85">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8">
        <f ca="1">IF(OR($D100&lt;&gt;"Serviço",AND(AUTOEVENTO="Manual",$M100=$A$15)),0,
         IF(OFFSET(CRONOPLE!$F$15,$M100-$A$15,BC$13)="",10^12,OFFSET(CRONOPLE!$F$15,$M100-$A$15,BC$13)))</f>
        <v>1</v>
      </c>
      <c r="BD100" s="178">
        <f ca="1">IF(OR($D100&lt;&gt;"Serviço",AND(AUTOEVENTO="Manual",$M100=$A$15)),0,
         IF(OFFSET(CRONOPLE!$F$15,$M100-$A$15,BD$13)="",10^12,OFFSET(CRONOPLE!$F$15,$M100-$A$15,BD$13)))</f>
        <v>2</v>
      </c>
      <c r="BE100" s="178">
        <f ca="1">IF(OR($D100&lt;&gt;"Serviço",AND(AUTOEVENTO="Manual",$M100=$A$15)),0,
         IF(OFFSET(CRONOPLE!$F$15,$M100-$A$15,BE$13)="",10^12,OFFSET(CRONOPLE!$F$15,$M100-$A$15,BE$13)))</f>
        <v>1000000000000</v>
      </c>
      <c r="BF100" s="178">
        <f ca="1">IF(OR($D100&lt;&gt;"Serviço",AND(AUTOEVENTO="Manual",$M100=$A$15)),0,
         IF(OFFSET(CRONOPLE!$F$15,$M100-$A$15,BF$13)="",10^12,OFFSET(CRONOPLE!$F$15,$M100-$A$15,BF$13)))</f>
        <v>4</v>
      </c>
      <c r="BG100" s="178">
        <f ca="1">IF(OR($D100&lt;&gt;"Serviço",AND(AUTOEVENTO="Manual",$M100=$A$15)),0,
         IF(OFFSET(CRONOPLE!$F$15,$M100-$A$15,BG$13)="",10^12,OFFSET(CRONOPLE!$F$15,$M100-$A$15,BG$13)))</f>
        <v>5</v>
      </c>
      <c r="BH100" s="178">
        <f ca="1">IF(OR($D100&lt;&gt;"Serviço",AND(AUTOEVENTO="Manual",$M100=$A$15)),0,
         IF(OFFSET(CRONOPLE!$F$15,$M100-$A$15,BH$13)="",10^12,OFFSET(CRONOPLE!$F$15,$M100-$A$15,BH$13)))</f>
        <v>6</v>
      </c>
      <c r="BI100" s="178">
        <f ca="1">IF(OR($D100&lt;&gt;"Serviço",AND(AUTOEVENTO="Manual",$M100=$A$15)),0,
         IF(OFFSET(CRONOPLE!$F$15,$M100-$A$15,BI$13)="",10^12,OFFSET(CRONOPLE!$F$15,$M100-$A$15,BI$13)))</f>
        <v>7</v>
      </c>
      <c r="BJ100" s="178">
        <f ca="1">IF(OR($D100&lt;&gt;"Serviço",AND(AUTOEVENTO="Manual",$M100=$A$15)),0,
         IF(OFFSET(CRONOPLE!$F$15,$M100-$A$15,BJ$13)="",10^12,OFFSET(CRONOPLE!$F$15,$M100-$A$15,BJ$13)))</f>
        <v>8</v>
      </c>
      <c r="BK100" s="178">
        <f ca="1">IF(OR($D100&lt;&gt;"Serviço",AND(AUTOEVENTO="Manual",$M100=$A$15)),0,
         IF(OFFSET(CRONOPLE!$F$15,$M100-$A$15,BK$13)="",10^12,OFFSET(CRONOPLE!$F$15,$M100-$A$15,BK$13)))</f>
        <v>9</v>
      </c>
      <c r="BL100" s="178">
        <f ca="1">IF(OR($D100&lt;&gt;"Serviço",AND(AUTOEVENTO="Manual",$M100=$A$15)),0,
         IF(OFFSET(CRONOPLE!$F$15,$M100-$A$15,BL$13)="",10^12,OFFSET(CRONOPLE!$F$15,$M100-$A$15,BL$13)))</f>
        <v>10</v>
      </c>
      <c r="BM100" s="178">
        <f ca="1">IF(OR($D100&lt;&gt;"Serviço",AND(AUTOEVENTO="Manual",$M100=$A$15)),0,
         IF(OFFSET(CRONOPLE!$F$15,$M100-$A$15,BM$13)="",10^12,OFFSET(CRONOPLE!$F$15,$M100-$A$15,BM$13)))</f>
        <v>1000000000000</v>
      </c>
      <c r="BN100" s="178">
        <f ca="1">IF(OR($D100&lt;&gt;"Serviço",AND(AUTOEVENTO="Manual",$M100=$A$15)),0,
         IF(OFFSET(CRONOPLE!$F$15,$M100-$A$15,BN$13)="",10^12,OFFSET(CRONOPLE!$F$15,$M100-$A$15,BN$13)))</f>
        <v>1000000000000</v>
      </c>
      <c r="BO100" s="178">
        <f ca="1">IF(OR($D100&lt;&gt;"Serviço",AND(AUTOEVENTO="Manual",$M100=$A$15)),0,
         IF(OFFSET(CRONOPLE!$F$15,$M100-$A$15,BO$13)="",10^12,OFFSET(CRONOPLE!$F$15,$M100-$A$15,BO$13)))</f>
        <v>1000000000000</v>
      </c>
      <c r="BP100" s="178">
        <f ca="1">IF(OR($D100&lt;&gt;"Serviço",AND(AUTOEVENTO="Manual",$M100=$A$15)),0,
         IF(OFFSET(CRONOPLE!$F$15,$M100-$A$15,BP$13)="",10^12,OFFSET(CRONOPLE!$F$15,$M100-$A$15,BP$13)))</f>
        <v>1000000000000</v>
      </c>
      <c r="BQ100" s="178">
        <f ca="1">IF(OR($D100&lt;&gt;"Serviço",AND(AUTOEVENTO="Manual",$M100=$A$15)),0,
         IF(OFFSET(CRONOPLE!$F$15,$M100-$A$15,BQ$13)="",10^12,OFFSET(CRONOPLE!$F$15,$M100-$A$15,BQ$13)))</f>
        <v>15</v>
      </c>
      <c r="BR100" s="178">
        <f ca="1">IF(OR($D100&lt;&gt;"Serviço",AND(AUTOEVENTO="Manual",$M100=$A$15)),0,
         IF(OFFSET(CRONOPLE!$F$15,$M100-$A$15,BR$13)="",10^12,OFFSET(CRONOPLE!$F$15,$M100-$A$15,BR$13)))</f>
        <v>1000000000000</v>
      </c>
      <c r="BS100" s="178">
        <f ca="1">IF(OR($D100&lt;&gt;"Serviço",AND(AUTOEVENTO="Manual",$M100=$A$15)),0,
         IF(OFFSET(CRONOPLE!$F$15,$M100-$A$15,BS$13)="",10^12,OFFSET(CRONOPLE!$F$15,$M100-$A$15,BS$13)))</f>
        <v>1000000000000</v>
      </c>
      <c r="BT100" s="178">
        <f ca="1">IF(OR($D100&lt;&gt;"Serviço",AND(AUTOEVENTO="Manual",$M100=$A$15)),0,
         IF(OFFSET(CRONOPLE!$F$15,$M100-$A$15,BT$13)="",10^12,OFFSET(CRONOPLE!$F$15,$M100-$A$15,BT$13)))</f>
        <v>1000000000000</v>
      </c>
      <c r="BV100" s="179">
        <f ca="1">IF(OR($D100&lt;&gt;"Serviço",AND(AUTOEVENTO="Manual",$M100=$A$15),$M100&gt;(ROW(PLE.lastrow)-ROW(PLE.firstrow))),0,
           IF(OFFSET(PLE!$G$15,$M100-$A$15,BV$13)="",10^12,OFFSET(PLE!$G$15,$M100-$A$15,BV$13)))</f>
        <v>1000000000000</v>
      </c>
      <c r="BW100" s="179">
        <f ca="1">IF(OR($D100&lt;&gt;"Serviço",AND(AUTOEVENTO="Manual",$M100=$A$15),$M100&gt;(ROW(PLE.lastrow)-ROW(PLE.firstrow))),0,
           IF(OFFSET(PLE!$G$15,$M100-$A$15,BW$13)="",10^12,OFFSET(PLE!$G$15,$M100-$A$15,BW$13)))</f>
        <v>1000000000000</v>
      </c>
      <c r="BX100" s="179">
        <f ca="1">IF(OR($D100&lt;&gt;"Serviço",AND(AUTOEVENTO="Manual",$M100=$A$15),$M100&gt;(ROW(PLE.lastrow)-ROW(PLE.firstrow))),0,
           IF(OFFSET(PLE!$G$15,$M100-$A$15,BX$13)="",10^12,OFFSET(PLE!$G$15,$M100-$A$15,BX$13)))</f>
        <v>1000000000000</v>
      </c>
      <c r="BY100" s="179">
        <f ca="1">IF(OR($D100&lt;&gt;"Serviço",AND(AUTOEVENTO="Manual",$M100=$A$15),$M100&gt;(ROW(PLE.lastrow)-ROW(PLE.firstrow))),0,
           IF(OFFSET(PLE!$G$15,$M100-$A$15,BY$13)="",10^12,OFFSET(PLE!$G$15,$M100-$A$15,BY$13)))</f>
        <v>1000000000000</v>
      </c>
      <c r="BZ100" s="179">
        <f ca="1">IF(OR($D100&lt;&gt;"Serviço",AND(AUTOEVENTO="Manual",$M100=$A$15),$M100&gt;(ROW(PLE.lastrow)-ROW(PLE.firstrow))),0,
           IF(OFFSET(PLE!$G$15,$M100-$A$15,BZ$13)="",10^12,OFFSET(PLE!$G$15,$M100-$A$15,BZ$13)))</f>
        <v>1000000000000</v>
      </c>
      <c r="CA100" s="179">
        <f ca="1">IF(OR($D100&lt;&gt;"Serviço",AND(AUTOEVENTO="Manual",$M100=$A$15),$M100&gt;(ROW(PLE.lastrow)-ROW(PLE.firstrow))),0,
           IF(OFFSET(PLE!$G$15,$M100-$A$15,CA$13)="",10^12,OFFSET(PLE!$G$15,$M100-$A$15,CA$13)))</f>
        <v>1000000000000</v>
      </c>
      <c r="CB100" s="179">
        <f ca="1">IF(OR($D100&lt;&gt;"Serviço",AND(AUTOEVENTO="Manual",$M100=$A$15),$M100&gt;(ROW(PLE.lastrow)-ROW(PLE.firstrow))),0,
           IF(OFFSET(PLE!$G$15,$M100-$A$15,CB$13)="",10^12,OFFSET(PLE!$G$15,$M100-$A$15,CB$13)))</f>
        <v>1000000000000</v>
      </c>
      <c r="CC100" s="179">
        <f ca="1">IF(OR($D100&lt;&gt;"Serviço",AND(AUTOEVENTO="Manual",$M100=$A$15),$M100&gt;(ROW(PLE.lastrow)-ROW(PLE.firstrow))),0,
           IF(OFFSET(PLE!$G$15,$M100-$A$15,CC$13)="",10^12,OFFSET(PLE!$G$15,$M100-$A$15,CC$13)))</f>
        <v>1000000000000</v>
      </c>
      <c r="CD100" s="179">
        <f ca="1">IF(OR($D100&lt;&gt;"Serviço",AND(AUTOEVENTO="Manual",$M100=$A$15),$M100&gt;(ROW(PLE.lastrow)-ROW(PLE.firstrow))),0,
           IF(OFFSET(PLE!$G$15,$M100-$A$15,CD$13)="",10^12,OFFSET(PLE!$G$15,$M100-$A$15,CD$13)))</f>
        <v>1000000000000</v>
      </c>
      <c r="CE100" s="179">
        <f ca="1">IF(OR($D100&lt;&gt;"Serviço",AND(AUTOEVENTO="Manual",$M100=$A$15),$M100&gt;(ROW(PLE.lastrow)-ROW(PLE.firstrow))),0,
           IF(OFFSET(PLE!$G$15,$M100-$A$15,CE$13)="",10^12,OFFSET(PLE!$G$15,$M100-$A$15,CE$13)))</f>
        <v>1000000000000</v>
      </c>
      <c r="CF100" s="179">
        <f ca="1">IF(OR($D100&lt;&gt;"Serviço",AND(AUTOEVENTO="Manual",$M100=$A$15),$M100&gt;(ROW(PLE.lastrow)-ROW(PLE.firstrow))),0,
           IF(OFFSET(PLE!$G$15,$M100-$A$15,CF$13)="",10^12,OFFSET(PLE!$G$15,$M100-$A$15,CF$13)))</f>
        <v>1000000000000</v>
      </c>
      <c r="CG100" s="179">
        <f ca="1">IF(OR($D100&lt;&gt;"Serviço",AND(AUTOEVENTO="Manual",$M100=$A$15),$M100&gt;(ROW(PLE.lastrow)-ROW(PLE.firstrow))),0,
           IF(OFFSET(PLE!$G$15,$M100-$A$15,CG$13)="",10^12,OFFSET(PLE!$G$15,$M100-$A$15,CG$13)))</f>
        <v>1000000000000</v>
      </c>
      <c r="CH100" s="179">
        <f ca="1">IF(OR($D100&lt;&gt;"Serviço",AND(AUTOEVENTO="Manual",$M100=$A$15),$M100&gt;(ROW(PLE.lastrow)-ROW(PLE.firstrow))),0,
           IF(OFFSET(PLE!$G$15,$M100-$A$15,CH$13)="",10^12,OFFSET(PLE!$G$15,$M100-$A$15,CH$13)))</f>
        <v>1000000000000</v>
      </c>
      <c r="CI100" s="179">
        <f ca="1">IF(OR($D100&lt;&gt;"Serviço",AND(AUTOEVENTO="Manual",$M100=$A$15),$M100&gt;(ROW(PLE.lastrow)-ROW(PLE.firstrow))),0,
           IF(OFFSET(PLE!$G$15,$M100-$A$15,CI$13)="",10^12,OFFSET(PLE!$G$15,$M100-$A$15,CI$13)))</f>
        <v>1000000000000</v>
      </c>
      <c r="CJ100" s="179">
        <f ca="1">IF(OR($D100&lt;&gt;"Serviço",AND(AUTOEVENTO="Manual",$M100=$A$15),$M100&gt;(ROW(PLE.lastrow)-ROW(PLE.firstrow))),0,
           IF(OFFSET(PLE!$G$15,$M100-$A$15,CJ$13)="",10^12,OFFSET(PLE!$G$15,$M100-$A$15,CJ$13)))</f>
        <v>1000000000000</v>
      </c>
      <c r="CK100" s="179">
        <f ca="1">IF(OR($D100&lt;&gt;"Serviço",AND(AUTOEVENTO="Manual",$M100=$A$15),$M100&gt;(ROW(PLE.lastrow)-ROW(PLE.firstrow))),0,
           IF(OFFSET(PLE!$G$15,$M100-$A$15,CK$13)="",10^12,OFFSET(PLE!$G$15,$M100-$A$15,CK$13)))</f>
        <v>1000000000000</v>
      </c>
      <c r="CL100" s="179">
        <f ca="1">IF(OR($D100&lt;&gt;"Serviço",AND(AUTOEVENTO="Manual",$M100=$A$15),$M100&gt;(ROW(PLE.lastrow)-ROW(PLE.firstrow))),0,
           IF(OFFSET(PLE!$G$15,$M100-$A$15,CL$13)="",10^12,OFFSET(PLE!$G$15,$M100-$A$15,CL$13)))</f>
        <v>1000000000000</v>
      </c>
      <c r="CM100" s="179">
        <f ca="1">IF(OR($D100&lt;&gt;"Serviço",AND(AUTOEVENTO="Manual",$M100=$A$15),$M100&gt;(ROW(PLE.lastrow)-ROW(PLE.firstrow))),0,
           IF(OFFSET(PLE!$G$15,$M100-$A$15,CM$13)="",10^12,OFFSET(PLE!$G$15,$M100-$A$15,CM$13)))</f>
        <v>1000000000000</v>
      </c>
    </row>
    <row r="101" spans="1:91" ht="25.5" x14ac:dyDescent="0.2">
      <c r="A101" s="7" t="str">
        <f ca="1">IF(AUTOEVENTO="Manual",IF(K101&lt;&gt;"",MIN(VALUE(LEFT(K101,FIND(".",K101)-1)),COUNTA(EVENTOS.Lista)),0),IF(OR($B101&gt;AUTOEVENTO,$B101="S",$B101=0),SUBSTITUTE(OFFSET($A101,-1,0),IF($D101="Serviço",".",""),""),ROW(A101)-ROW($A$15)&amp;"."))</f>
        <v>71</v>
      </c>
      <c r="B101" s="7" t="str">
        <f ca="1">OFFSET(ORÇAMENTO!C$15,ROW(B101)-ROW(B$15),0)</f>
        <v>S</v>
      </c>
      <c r="C101" s="7" t="str">
        <f ca="1">OFFSET(ORÇAMENTO!L$15,ROW(C101)-ROW(C$15),0)</f>
        <v>F</v>
      </c>
      <c r="D101" s="118" t="str">
        <f ca="1">OFFSET(ORÇAMENTO!N$15,ROW(D101)-ROW(D$15),0)</f>
        <v>Serviço</v>
      </c>
      <c r="E101" s="119" t="str">
        <f ca="1">OFFSET(ORÇAMENTO!O$15,ROW(E101)-ROW(E$15),0)</f>
        <v>1.12.0.0.15.</v>
      </c>
      <c r="F101" s="170" t="str">
        <f ca="1">OFFSET(ORÇAMENTO!R$15,ROW(F101)-ROW(F$15),0)</f>
        <v>DISJUNTOR MONOPOLAR TIPO DIN, CORRENTE NOMINAL DE 50A - FORNECIMENTO E INSTALAÇÃO. AF_07/2025</v>
      </c>
      <c r="G101" s="171" t="str">
        <f ca="1">IF($D101&lt;&gt;"Serviço","",OFFSET(ORÇAMENTO!S$15,ROW(G101)-ROW(G$15),0))</f>
        <v>UN</v>
      </c>
      <c r="H101" s="124" cm="1">
        <f t="array" aca="1" ref="H101" ca="1">IF($D101&lt;&gt;"Serviço",0,IF(_xlfn.SINGLE(ACOMPANHAMENTO)="BM",ROUND(OFFSET(ORÇAMENTO!AJ$15,ROW(H101)-ROW(H$15),0),15-13*ORÇAMENTO!$AF$7),SUMPRODUCT(($Q$1:$AI$1)*ROUND($Q101:$AI101,15-13*ORÇAMENTO!$AF$7))))</f>
        <v>1</v>
      </c>
      <c r="I101" s="500" t="s">
        <v>1019</v>
      </c>
      <c r="J101" s="632" t="str" cm="1">
        <f t="array" aca="1" ref="J101" ca="1">IF(B101&lt;&gt;"S","",IF(AND(ACOMPANHAMENTO="PLE",AUTOEVENTO="Manual",OR(H101&gt;0,ORÇAMENTO!AC101="QUANT."),OR(K101="",M101=0,N101="")),"►",IF(AND(ACOMPANHAMENTO="PLE",ORÇAMENTO!AC101="QUANT."),"►►",IF(AND(COUNTIF($P$11:$AI$11,"▼")=0,H101&gt;0,I101=""),"◄",""))))</f>
        <v/>
      </c>
      <c r="K101" s="624"/>
      <c r="L101" s="172" t="s">
        <v>253</v>
      </c>
      <c r="M101" s="173">
        <f ca="1">IF($D101&lt;&gt;"Serviço","",
          IF(AUTOEVENTO="manual",$A101,
                IF(ISERROR(MATCH($A101,$A$15:OFFSET($A101,-1,0),0)),MAX($M$15:OFFSET(M101,-1,0))+1,
                      INDEX($M$15:OFFSET(M101,-1,0),MATCH($A101,$A$15:OFFSET($A101,-1,0),0)))))</f>
        <v>12</v>
      </c>
      <c r="N101" s="174" t="str">
        <f ca="1">IF($D101&lt;&gt;"Serviço","",
         IF(AUTOEVENTO="Manual",
                IF($A101=0,"&lt;-- defina o número do agrupador",
                       OFFSET(EVENTOS!$D$15,$A101-$A$15,0)),
                OFFSET($F$15,$A101,0)))</f>
        <v>INSTALAÇÕES ELÉTRICAS</v>
      </c>
      <c r="O101" s="175"/>
      <c r="Q101" s="175"/>
      <c r="R101" s="176"/>
      <c r="S101" s="176"/>
      <c r="T101" s="176">
        <v>1</v>
      </c>
      <c r="U101" s="176"/>
      <c r="V101" s="176"/>
      <c r="W101" s="176"/>
      <c r="X101" s="176"/>
      <c r="Y101" s="176"/>
      <c r="Z101" s="177"/>
      <c r="AA101" s="176"/>
      <c r="AB101" s="176"/>
      <c r="AC101" s="176"/>
      <c r="AD101" s="176"/>
      <c r="AE101" s="176"/>
      <c r="AF101" s="176"/>
      <c r="AG101" s="176"/>
      <c r="AH101" s="177"/>
      <c r="AJ101" s="485">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85">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85">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85">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33.479999999999997</v>
      </c>
      <c r="AN101" s="485">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85">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0</v>
      </c>
      <c r="AP101" s="485">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85">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85">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85">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85">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85">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85">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85">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85">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85">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85">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85">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8">
        <f ca="1">IF(OR($D101&lt;&gt;"Serviço",AND(AUTOEVENTO="Manual",$M101=$A$15)),0,
         IF(OFFSET(CRONOPLE!$F$15,$M101-$A$15,BC$13)="",10^12,OFFSET(CRONOPLE!$F$15,$M101-$A$15,BC$13)))</f>
        <v>1</v>
      </c>
      <c r="BD101" s="178">
        <f ca="1">IF(OR($D101&lt;&gt;"Serviço",AND(AUTOEVENTO="Manual",$M101=$A$15)),0,
         IF(OFFSET(CRONOPLE!$F$15,$M101-$A$15,BD$13)="",10^12,OFFSET(CRONOPLE!$F$15,$M101-$A$15,BD$13)))</f>
        <v>2</v>
      </c>
      <c r="BE101" s="178">
        <f ca="1">IF(OR($D101&lt;&gt;"Serviço",AND(AUTOEVENTO="Manual",$M101=$A$15)),0,
         IF(OFFSET(CRONOPLE!$F$15,$M101-$A$15,BE$13)="",10^12,OFFSET(CRONOPLE!$F$15,$M101-$A$15,BE$13)))</f>
        <v>1000000000000</v>
      </c>
      <c r="BF101" s="178">
        <f ca="1">IF(OR($D101&lt;&gt;"Serviço",AND(AUTOEVENTO="Manual",$M101=$A$15)),0,
         IF(OFFSET(CRONOPLE!$F$15,$M101-$A$15,BF$13)="",10^12,OFFSET(CRONOPLE!$F$15,$M101-$A$15,BF$13)))</f>
        <v>4</v>
      </c>
      <c r="BG101" s="178">
        <f ca="1">IF(OR($D101&lt;&gt;"Serviço",AND(AUTOEVENTO="Manual",$M101=$A$15)),0,
         IF(OFFSET(CRONOPLE!$F$15,$M101-$A$15,BG$13)="",10^12,OFFSET(CRONOPLE!$F$15,$M101-$A$15,BG$13)))</f>
        <v>5</v>
      </c>
      <c r="BH101" s="178">
        <f ca="1">IF(OR($D101&lt;&gt;"Serviço",AND(AUTOEVENTO="Manual",$M101=$A$15)),0,
         IF(OFFSET(CRONOPLE!$F$15,$M101-$A$15,BH$13)="",10^12,OFFSET(CRONOPLE!$F$15,$M101-$A$15,BH$13)))</f>
        <v>6</v>
      </c>
      <c r="BI101" s="178">
        <f ca="1">IF(OR($D101&lt;&gt;"Serviço",AND(AUTOEVENTO="Manual",$M101=$A$15)),0,
         IF(OFFSET(CRONOPLE!$F$15,$M101-$A$15,BI$13)="",10^12,OFFSET(CRONOPLE!$F$15,$M101-$A$15,BI$13)))</f>
        <v>7</v>
      </c>
      <c r="BJ101" s="178">
        <f ca="1">IF(OR($D101&lt;&gt;"Serviço",AND(AUTOEVENTO="Manual",$M101=$A$15)),0,
         IF(OFFSET(CRONOPLE!$F$15,$M101-$A$15,BJ$13)="",10^12,OFFSET(CRONOPLE!$F$15,$M101-$A$15,BJ$13)))</f>
        <v>8</v>
      </c>
      <c r="BK101" s="178">
        <f ca="1">IF(OR($D101&lt;&gt;"Serviço",AND(AUTOEVENTO="Manual",$M101=$A$15)),0,
         IF(OFFSET(CRONOPLE!$F$15,$M101-$A$15,BK$13)="",10^12,OFFSET(CRONOPLE!$F$15,$M101-$A$15,BK$13)))</f>
        <v>9</v>
      </c>
      <c r="BL101" s="178">
        <f ca="1">IF(OR($D101&lt;&gt;"Serviço",AND(AUTOEVENTO="Manual",$M101=$A$15)),0,
         IF(OFFSET(CRONOPLE!$F$15,$M101-$A$15,BL$13)="",10^12,OFFSET(CRONOPLE!$F$15,$M101-$A$15,BL$13)))</f>
        <v>10</v>
      </c>
      <c r="BM101" s="178">
        <f ca="1">IF(OR($D101&lt;&gt;"Serviço",AND(AUTOEVENTO="Manual",$M101=$A$15)),0,
         IF(OFFSET(CRONOPLE!$F$15,$M101-$A$15,BM$13)="",10^12,OFFSET(CRONOPLE!$F$15,$M101-$A$15,BM$13)))</f>
        <v>1000000000000</v>
      </c>
      <c r="BN101" s="178">
        <f ca="1">IF(OR($D101&lt;&gt;"Serviço",AND(AUTOEVENTO="Manual",$M101=$A$15)),0,
         IF(OFFSET(CRONOPLE!$F$15,$M101-$A$15,BN$13)="",10^12,OFFSET(CRONOPLE!$F$15,$M101-$A$15,BN$13)))</f>
        <v>1000000000000</v>
      </c>
      <c r="BO101" s="178">
        <f ca="1">IF(OR($D101&lt;&gt;"Serviço",AND(AUTOEVENTO="Manual",$M101=$A$15)),0,
         IF(OFFSET(CRONOPLE!$F$15,$M101-$A$15,BO$13)="",10^12,OFFSET(CRONOPLE!$F$15,$M101-$A$15,BO$13)))</f>
        <v>1000000000000</v>
      </c>
      <c r="BP101" s="178">
        <f ca="1">IF(OR($D101&lt;&gt;"Serviço",AND(AUTOEVENTO="Manual",$M101=$A$15)),0,
         IF(OFFSET(CRONOPLE!$F$15,$M101-$A$15,BP$13)="",10^12,OFFSET(CRONOPLE!$F$15,$M101-$A$15,BP$13)))</f>
        <v>1000000000000</v>
      </c>
      <c r="BQ101" s="178">
        <f ca="1">IF(OR($D101&lt;&gt;"Serviço",AND(AUTOEVENTO="Manual",$M101=$A$15)),0,
         IF(OFFSET(CRONOPLE!$F$15,$M101-$A$15,BQ$13)="",10^12,OFFSET(CRONOPLE!$F$15,$M101-$A$15,BQ$13)))</f>
        <v>15</v>
      </c>
      <c r="BR101" s="178">
        <f ca="1">IF(OR($D101&lt;&gt;"Serviço",AND(AUTOEVENTO="Manual",$M101=$A$15)),0,
         IF(OFFSET(CRONOPLE!$F$15,$M101-$A$15,BR$13)="",10^12,OFFSET(CRONOPLE!$F$15,$M101-$A$15,BR$13)))</f>
        <v>1000000000000</v>
      </c>
      <c r="BS101" s="178">
        <f ca="1">IF(OR($D101&lt;&gt;"Serviço",AND(AUTOEVENTO="Manual",$M101=$A$15)),0,
         IF(OFFSET(CRONOPLE!$F$15,$M101-$A$15,BS$13)="",10^12,OFFSET(CRONOPLE!$F$15,$M101-$A$15,BS$13)))</f>
        <v>1000000000000</v>
      </c>
      <c r="BT101" s="178">
        <f ca="1">IF(OR($D101&lt;&gt;"Serviço",AND(AUTOEVENTO="Manual",$M101=$A$15)),0,
         IF(OFFSET(CRONOPLE!$F$15,$M101-$A$15,BT$13)="",10^12,OFFSET(CRONOPLE!$F$15,$M101-$A$15,BT$13)))</f>
        <v>1000000000000</v>
      </c>
      <c r="BV101" s="179">
        <f ca="1">IF(OR($D101&lt;&gt;"Serviço",AND(AUTOEVENTO="Manual",$M101=$A$15),$M101&gt;(ROW(PLE.lastrow)-ROW(PLE.firstrow))),0,
           IF(OFFSET(PLE!$G$15,$M101-$A$15,BV$13)="",10^12,OFFSET(PLE!$G$15,$M101-$A$15,BV$13)))</f>
        <v>1000000000000</v>
      </c>
      <c r="BW101" s="179">
        <f ca="1">IF(OR($D101&lt;&gt;"Serviço",AND(AUTOEVENTO="Manual",$M101=$A$15),$M101&gt;(ROW(PLE.lastrow)-ROW(PLE.firstrow))),0,
           IF(OFFSET(PLE!$G$15,$M101-$A$15,BW$13)="",10^12,OFFSET(PLE!$G$15,$M101-$A$15,BW$13)))</f>
        <v>1000000000000</v>
      </c>
      <c r="BX101" s="179">
        <f ca="1">IF(OR($D101&lt;&gt;"Serviço",AND(AUTOEVENTO="Manual",$M101=$A$15),$M101&gt;(ROW(PLE.lastrow)-ROW(PLE.firstrow))),0,
           IF(OFFSET(PLE!$G$15,$M101-$A$15,BX$13)="",10^12,OFFSET(PLE!$G$15,$M101-$A$15,BX$13)))</f>
        <v>1000000000000</v>
      </c>
      <c r="BY101" s="179">
        <f ca="1">IF(OR($D101&lt;&gt;"Serviço",AND(AUTOEVENTO="Manual",$M101=$A$15),$M101&gt;(ROW(PLE.lastrow)-ROW(PLE.firstrow))),0,
           IF(OFFSET(PLE!$G$15,$M101-$A$15,BY$13)="",10^12,OFFSET(PLE!$G$15,$M101-$A$15,BY$13)))</f>
        <v>1000000000000</v>
      </c>
      <c r="BZ101" s="179">
        <f ca="1">IF(OR($D101&lt;&gt;"Serviço",AND(AUTOEVENTO="Manual",$M101=$A$15),$M101&gt;(ROW(PLE.lastrow)-ROW(PLE.firstrow))),0,
           IF(OFFSET(PLE!$G$15,$M101-$A$15,BZ$13)="",10^12,OFFSET(PLE!$G$15,$M101-$A$15,BZ$13)))</f>
        <v>1000000000000</v>
      </c>
      <c r="CA101" s="179">
        <f ca="1">IF(OR($D101&lt;&gt;"Serviço",AND(AUTOEVENTO="Manual",$M101=$A$15),$M101&gt;(ROW(PLE.lastrow)-ROW(PLE.firstrow))),0,
           IF(OFFSET(PLE!$G$15,$M101-$A$15,CA$13)="",10^12,OFFSET(PLE!$G$15,$M101-$A$15,CA$13)))</f>
        <v>1000000000000</v>
      </c>
      <c r="CB101" s="179">
        <f ca="1">IF(OR($D101&lt;&gt;"Serviço",AND(AUTOEVENTO="Manual",$M101=$A$15),$M101&gt;(ROW(PLE.lastrow)-ROW(PLE.firstrow))),0,
           IF(OFFSET(PLE!$G$15,$M101-$A$15,CB$13)="",10^12,OFFSET(PLE!$G$15,$M101-$A$15,CB$13)))</f>
        <v>1000000000000</v>
      </c>
      <c r="CC101" s="179">
        <f ca="1">IF(OR($D101&lt;&gt;"Serviço",AND(AUTOEVENTO="Manual",$M101=$A$15),$M101&gt;(ROW(PLE.lastrow)-ROW(PLE.firstrow))),0,
           IF(OFFSET(PLE!$G$15,$M101-$A$15,CC$13)="",10^12,OFFSET(PLE!$G$15,$M101-$A$15,CC$13)))</f>
        <v>1000000000000</v>
      </c>
      <c r="CD101" s="179">
        <f ca="1">IF(OR($D101&lt;&gt;"Serviço",AND(AUTOEVENTO="Manual",$M101=$A$15),$M101&gt;(ROW(PLE.lastrow)-ROW(PLE.firstrow))),0,
           IF(OFFSET(PLE!$G$15,$M101-$A$15,CD$13)="",10^12,OFFSET(PLE!$G$15,$M101-$A$15,CD$13)))</f>
        <v>1000000000000</v>
      </c>
      <c r="CE101" s="179">
        <f ca="1">IF(OR($D101&lt;&gt;"Serviço",AND(AUTOEVENTO="Manual",$M101=$A$15),$M101&gt;(ROW(PLE.lastrow)-ROW(PLE.firstrow))),0,
           IF(OFFSET(PLE!$G$15,$M101-$A$15,CE$13)="",10^12,OFFSET(PLE!$G$15,$M101-$A$15,CE$13)))</f>
        <v>1000000000000</v>
      </c>
      <c r="CF101" s="179">
        <f ca="1">IF(OR($D101&lt;&gt;"Serviço",AND(AUTOEVENTO="Manual",$M101=$A$15),$M101&gt;(ROW(PLE.lastrow)-ROW(PLE.firstrow))),0,
           IF(OFFSET(PLE!$G$15,$M101-$A$15,CF$13)="",10^12,OFFSET(PLE!$G$15,$M101-$A$15,CF$13)))</f>
        <v>1000000000000</v>
      </c>
      <c r="CG101" s="179">
        <f ca="1">IF(OR($D101&lt;&gt;"Serviço",AND(AUTOEVENTO="Manual",$M101=$A$15),$M101&gt;(ROW(PLE.lastrow)-ROW(PLE.firstrow))),0,
           IF(OFFSET(PLE!$G$15,$M101-$A$15,CG$13)="",10^12,OFFSET(PLE!$G$15,$M101-$A$15,CG$13)))</f>
        <v>1000000000000</v>
      </c>
      <c r="CH101" s="179">
        <f ca="1">IF(OR($D101&lt;&gt;"Serviço",AND(AUTOEVENTO="Manual",$M101=$A$15),$M101&gt;(ROW(PLE.lastrow)-ROW(PLE.firstrow))),0,
           IF(OFFSET(PLE!$G$15,$M101-$A$15,CH$13)="",10^12,OFFSET(PLE!$G$15,$M101-$A$15,CH$13)))</f>
        <v>1000000000000</v>
      </c>
      <c r="CI101" s="179">
        <f ca="1">IF(OR($D101&lt;&gt;"Serviço",AND(AUTOEVENTO="Manual",$M101=$A$15),$M101&gt;(ROW(PLE.lastrow)-ROW(PLE.firstrow))),0,
           IF(OFFSET(PLE!$G$15,$M101-$A$15,CI$13)="",10^12,OFFSET(PLE!$G$15,$M101-$A$15,CI$13)))</f>
        <v>1000000000000</v>
      </c>
      <c r="CJ101" s="179">
        <f ca="1">IF(OR($D101&lt;&gt;"Serviço",AND(AUTOEVENTO="Manual",$M101=$A$15),$M101&gt;(ROW(PLE.lastrow)-ROW(PLE.firstrow))),0,
           IF(OFFSET(PLE!$G$15,$M101-$A$15,CJ$13)="",10^12,OFFSET(PLE!$G$15,$M101-$A$15,CJ$13)))</f>
        <v>1000000000000</v>
      </c>
      <c r="CK101" s="179">
        <f ca="1">IF(OR($D101&lt;&gt;"Serviço",AND(AUTOEVENTO="Manual",$M101=$A$15),$M101&gt;(ROW(PLE.lastrow)-ROW(PLE.firstrow))),0,
           IF(OFFSET(PLE!$G$15,$M101-$A$15,CK$13)="",10^12,OFFSET(PLE!$G$15,$M101-$A$15,CK$13)))</f>
        <v>1000000000000</v>
      </c>
      <c r="CL101" s="179">
        <f ca="1">IF(OR($D101&lt;&gt;"Serviço",AND(AUTOEVENTO="Manual",$M101=$A$15),$M101&gt;(ROW(PLE.lastrow)-ROW(PLE.firstrow))),0,
           IF(OFFSET(PLE!$G$15,$M101-$A$15,CL$13)="",10^12,OFFSET(PLE!$G$15,$M101-$A$15,CL$13)))</f>
        <v>1000000000000</v>
      </c>
      <c r="CM101" s="179">
        <f ca="1">IF(OR($D101&lt;&gt;"Serviço",AND(AUTOEVENTO="Manual",$M101=$A$15),$M101&gt;(ROW(PLE.lastrow)-ROW(PLE.firstrow))),0,
           IF(OFFSET(PLE!$G$15,$M101-$A$15,CM$13)="",10^12,OFFSET(PLE!$G$15,$M101-$A$15,CM$13)))</f>
        <v>1000000000000</v>
      </c>
    </row>
    <row r="102" spans="1:91" ht="25.5" x14ac:dyDescent="0.2">
      <c r="A102" s="7" t="str">
        <f ca="1">IF(AUTOEVENTO="Manual",IF(K102&lt;&gt;"",MIN(VALUE(LEFT(K102,FIND(".",K102)-1)),COUNTA(EVENTOS.Lista)),0),IF(OR($B102&gt;AUTOEVENTO,$B102="S",$B102=0),SUBSTITUTE(OFFSET($A102,-1,0),IF($D102="Serviço",".",""),""),ROW(A102)-ROW($A$15)&amp;"."))</f>
        <v>71</v>
      </c>
      <c r="B102" s="7" t="str">
        <f ca="1">OFFSET(ORÇAMENTO!C$15,ROW(B102)-ROW(B$15),0)</f>
        <v>S</v>
      </c>
      <c r="C102" s="7" t="str">
        <f ca="1">OFFSET(ORÇAMENTO!L$15,ROW(C102)-ROW(C$15),0)</f>
        <v>F</v>
      </c>
      <c r="D102" s="118" t="str">
        <f ca="1">OFFSET(ORÇAMENTO!N$15,ROW(D102)-ROW(D$15),0)</f>
        <v>Serviço</v>
      </c>
      <c r="E102" s="119" t="str">
        <f ca="1">OFFSET(ORÇAMENTO!O$15,ROW(E102)-ROW(E$15),0)</f>
        <v>1.12.0.0.16.</v>
      </c>
      <c r="F102" s="170" t="str">
        <f ca="1">OFFSET(ORÇAMENTO!R$15,ROW(F102)-ROW(F$15),0)</f>
        <v>DISPOSITIVO DR, 2 POLOS, SENSIBILIDADE DE 30 MA, CORRENTE DE 25 A, TIPO AC</v>
      </c>
      <c r="G102" s="171" t="str">
        <f ca="1">IF($D102&lt;&gt;"Serviço","",OFFSET(ORÇAMENTO!S$15,ROW(G102)-ROW(G$15),0))</f>
        <v>UN</v>
      </c>
      <c r="H102" s="124" cm="1">
        <f t="array" aca="1" ref="H102" ca="1">IF($D102&lt;&gt;"Serviço",0,IF(_xlfn.SINGLE(ACOMPANHAMENTO)="BM",ROUND(OFFSET(ORÇAMENTO!AJ$15,ROW(H102)-ROW(H$15),0),15-13*ORÇAMENTO!$AF$7),SUMPRODUCT(($Q$1:$AI$1)*ROUND($Q102:$AI102,15-13*ORÇAMENTO!$AF$7))))</f>
        <v>4</v>
      </c>
      <c r="I102" s="500" t="s">
        <v>1019</v>
      </c>
      <c r="J102" s="632" t="str" cm="1">
        <f t="array" aca="1" ref="J102" ca="1">IF(B102&lt;&gt;"S","",IF(AND(ACOMPANHAMENTO="PLE",AUTOEVENTO="Manual",OR(H102&gt;0,ORÇAMENTO!AC102="QUANT."),OR(K102="",M102=0,N102="")),"►",IF(AND(ACOMPANHAMENTO="PLE",ORÇAMENTO!AC102="QUANT."),"►►",IF(AND(COUNTIF($P$11:$AI$11,"▼")=0,H102&gt;0,I102=""),"◄",""))))</f>
        <v/>
      </c>
      <c r="K102" s="624"/>
      <c r="L102" s="172" t="s">
        <v>253</v>
      </c>
      <c r="M102" s="173">
        <f ca="1">IF($D102&lt;&gt;"Serviço","",
          IF(AUTOEVENTO="manual",$A102,
                IF(ISERROR(MATCH($A102,$A$15:OFFSET($A102,-1,0),0)),MAX($M$15:OFFSET(M102,-1,0))+1,
                      INDEX($M$15:OFFSET(M102,-1,0),MATCH($A102,$A$15:OFFSET($A102,-1,0),0)))))</f>
        <v>12</v>
      </c>
      <c r="N102" s="174" t="str">
        <f ca="1">IF($D102&lt;&gt;"Serviço","",
         IF(AUTOEVENTO="Manual",
                IF($A102=0,"&lt;-- defina o número do agrupador",
                       OFFSET(EVENTOS!$D$15,$A102-$A$15,0)),
                OFFSET($F$15,$A102,0)))</f>
        <v>INSTALAÇÕES ELÉTRICAS</v>
      </c>
      <c r="O102" s="175"/>
      <c r="Q102" s="175"/>
      <c r="R102" s="176"/>
      <c r="S102" s="176"/>
      <c r="T102" s="176">
        <v>4</v>
      </c>
      <c r="U102" s="176"/>
      <c r="V102" s="176"/>
      <c r="W102" s="176"/>
      <c r="X102" s="176"/>
      <c r="Y102" s="176"/>
      <c r="Z102" s="177"/>
      <c r="AA102" s="176"/>
      <c r="AB102" s="176"/>
      <c r="AC102" s="176"/>
      <c r="AD102" s="176"/>
      <c r="AE102" s="176"/>
      <c r="AF102" s="176"/>
      <c r="AG102" s="176"/>
      <c r="AH102" s="177"/>
      <c r="AJ102" s="485">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85">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L102" s="485">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0</v>
      </c>
      <c r="AM102" s="485">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648.52</v>
      </c>
      <c r="AN102" s="485">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0</v>
      </c>
      <c r="AO102" s="485">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0</v>
      </c>
      <c r="AP102" s="485">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85">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85">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85">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85">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85">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85">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85">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85">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85">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85">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85">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8">
        <f ca="1">IF(OR($D102&lt;&gt;"Serviço",AND(AUTOEVENTO="Manual",$M102=$A$15)),0,
         IF(OFFSET(CRONOPLE!$F$15,$M102-$A$15,BC$13)="",10^12,OFFSET(CRONOPLE!$F$15,$M102-$A$15,BC$13)))</f>
        <v>1</v>
      </c>
      <c r="BD102" s="178">
        <f ca="1">IF(OR($D102&lt;&gt;"Serviço",AND(AUTOEVENTO="Manual",$M102=$A$15)),0,
         IF(OFFSET(CRONOPLE!$F$15,$M102-$A$15,BD$13)="",10^12,OFFSET(CRONOPLE!$F$15,$M102-$A$15,BD$13)))</f>
        <v>2</v>
      </c>
      <c r="BE102" s="178">
        <f ca="1">IF(OR($D102&lt;&gt;"Serviço",AND(AUTOEVENTO="Manual",$M102=$A$15)),0,
         IF(OFFSET(CRONOPLE!$F$15,$M102-$A$15,BE$13)="",10^12,OFFSET(CRONOPLE!$F$15,$M102-$A$15,BE$13)))</f>
        <v>1000000000000</v>
      </c>
      <c r="BF102" s="178">
        <f ca="1">IF(OR($D102&lt;&gt;"Serviço",AND(AUTOEVENTO="Manual",$M102=$A$15)),0,
         IF(OFFSET(CRONOPLE!$F$15,$M102-$A$15,BF$13)="",10^12,OFFSET(CRONOPLE!$F$15,$M102-$A$15,BF$13)))</f>
        <v>4</v>
      </c>
      <c r="BG102" s="178">
        <f ca="1">IF(OR($D102&lt;&gt;"Serviço",AND(AUTOEVENTO="Manual",$M102=$A$15)),0,
         IF(OFFSET(CRONOPLE!$F$15,$M102-$A$15,BG$13)="",10^12,OFFSET(CRONOPLE!$F$15,$M102-$A$15,BG$13)))</f>
        <v>5</v>
      </c>
      <c r="BH102" s="178">
        <f ca="1">IF(OR($D102&lt;&gt;"Serviço",AND(AUTOEVENTO="Manual",$M102=$A$15)),0,
         IF(OFFSET(CRONOPLE!$F$15,$M102-$A$15,BH$13)="",10^12,OFFSET(CRONOPLE!$F$15,$M102-$A$15,BH$13)))</f>
        <v>6</v>
      </c>
      <c r="BI102" s="178">
        <f ca="1">IF(OR($D102&lt;&gt;"Serviço",AND(AUTOEVENTO="Manual",$M102=$A$15)),0,
         IF(OFFSET(CRONOPLE!$F$15,$M102-$A$15,BI$13)="",10^12,OFFSET(CRONOPLE!$F$15,$M102-$A$15,BI$13)))</f>
        <v>7</v>
      </c>
      <c r="BJ102" s="178">
        <f ca="1">IF(OR($D102&lt;&gt;"Serviço",AND(AUTOEVENTO="Manual",$M102=$A$15)),0,
         IF(OFFSET(CRONOPLE!$F$15,$M102-$A$15,BJ$13)="",10^12,OFFSET(CRONOPLE!$F$15,$M102-$A$15,BJ$13)))</f>
        <v>8</v>
      </c>
      <c r="BK102" s="178">
        <f ca="1">IF(OR($D102&lt;&gt;"Serviço",AND(AUTOEVENTO="Manual",$M102=$A$15)),0,
         IF(OFFSET(CRONOPLE!$F$15,$M102-$A$15,BK$13)="",10^12,OFFSET(CRONOPLE!$F$15,$M102-$A$15,BK$13)))</f>
        <v>9</v>
      </c>
      <c r="BL102" s="178">
        <f ca="1">IF(OR($D102&lt;&gt;"Serviço",AND(AUTOEVENTO="Manual",$M102=$A$15)),0,
         IF(OFFSET(CRONOPLE!$F$15,$M102-$A$15,BL$13)="",10^12,OFFSET(CRONOPLE!$F$15,$M102-$A$15,BL$13)))</f>
        <v>10</v>
      </c>
      <c r="BM102" s="178">
        <f ca="1">IF(OR($D102&lt;&gt;"Serviço",AND(AUTOEVENTO="Manual",$M102=$A$15)),0,
         IF(OFFSET(CRONOPLE!$F$15,$M102-$A$15,BM$13)="",10^12,OFFSET(CRONOPLE!$F$15,$M102-$A$15,BM$13)))</f>
        <v>1000000000000</v>
      </c>
      <c r="BN102" s="178">
        <f ca="1">IF(OR($D102&lt;&gt;"Serviço",AND(AUTOEVENTO="Manual",$M102=$A$15)),0,
         IF(OFFSET(CRONOPLE!$F$15,$M102-$A$15,BN$13)="",10^12,OFFSET(CRONOPLE!$F$15,$M102-$A$15,BN$13)))</f>
        <v>1000000000000</v>
      </c>
      <c r="BO102" s="178">
        <f ca="1">IF(OR($D102&lt;&gt;"Serviço",AND(AUTOEVENTO="Manual",$M102=$A$15)),0,
         IF(OFFSET(CRONOPLE!$F$15,$M102-$A$15,BO$13)="",10^12,OFFSET(CRONOPLE!$F$15,$M102-$A$15,BO$13)))</f>
        <v>1000000000000</v>
      </c>
      <c r="BP102" s="178">
        <f ca="1">IF(OR($D102&lt;&gt;"Serviço",AND(AUTOEVENTO="Manual",$M102=$A$15)),0,
         IF(OFFSET(CRONOPLE!$F$15,$M102-$A$15,BP$13)="",10^12,OFFSET(CRONOPLE!$F$15,$M102-$A$15,BP$13)))</f>
        <v>1000000000000</v>
      </c>
      <c r="BQ102" s="178">
        <f ca="1">IF(OR($D102&lt;&gt;"Serviço",AND(AUTOEVENTO="Manual",$M102=$A$15)),0,
         IF(OFFSET(CRONOPLE!$F$15,$M102-$A$15,BQ$13)="",10^12,OFFSET(CRONOPLE!$F$15,$M102-$A$15,BQ$13)))</f>
        <v>15</v>
      </c>
      <c r="BR102" s="178">
        <f ca="1">IF(OR($D102&lt;&gt;"Serviço",AND(AUTOEVENTO="Manual",$M102=$A$15)),0,
         IF(OFFSET(CRONOPLE!$F$15,$M102-$A$15,BR$13)="",10^12,OFFSET(CRONOPLE!$F$15,$M102-$A$15,BR$13)))</f>
        <v>1000000000000</v>
      </c>
      <c r="BS102" s="178">
        <f ca="1">IF(OR($D102&lt;&gt;"Serviço",AND(AUTOEVENTO="Manual",$M102=$A$15)),0,
         IF(OFFSET(CRONOPLE!$F$15,$M102-$A$15,BS$13)="",10^12,OFFSET(CRONOPLE!$F$15,$M102-$A$15,BS$13)))</f>
        <v>1000000000000</v>
      </c>
      <c r="BT102" s="178">
        <f ca="1">IF(OR($D102&lt;&gt;"Serviço",AND(AUTOEVENTO="Manual",$M102=$A$15)),0,
         IF(OFFSET(CRONOPLE!$F$15,$M102-$A$15,BT$13)="",10^12,OFFSET(CRONOPLE!$F$15,$M102-$A$15,BT$13)))</f>
        <v>1000000000000</v>
      </c>
      <c r="BV102" s="179">
        <f ca="1">IF(OR($D102&lt;&gt;"Serviço",AND(AUTOEVENTO="Manual",$M102=$A$15),$M102&gt;(ROW(PLE.lastrow)-ROW(PLE.firstrow))),0,
           IF(OFFSET(PLE!$G$15,$M102-$A$15,BV$13)="",10^12,OFFSET(PLE!$G$15,$M102-$A$15,BV$13)))</f>
        <v>1000000000000</v>
      </c>
      <c r="BW102" s="179">
        <f ca="1">IF(OR($D102&lt;&gt;"Serviço",AND(AUTOEVENTO="Manual",$M102=$A$15),$M102&gt;(ROW(PLE.lastrow)-ROW(PLE.firstrow))),0,
           IF(OFFSET(PLE!$G$15,$M102-$A$15,BW$13)="",10^12,OFFSET(PLE!$G$15,$M102-$A$15,BW$13)))</f>
        <v>1000000000000</v>
      </c>
      <c r="BX102" s="179">
        <f ca="1">IF(OR($D102&lt;&gt;"Serviço",AND(AUTOEVENTO="Manual",$M102=$A$15),$M102&gt;(ROW(PLE.lastrow)-ROW(PLE.firstrow))),0,
           IF(OFFSET(PLE!$G$15,$M102-$A$15,BX$13)="",10^12,OFFSET(PLE!$G$15,$M102-$A$15,BX$13)))</f>
        <v>1000000000000</v>
      </c>
      <c r="BY102" s="179">
        <f ca="1">IF(OR($D102&lt;&gt;"Serviço",AND(AUTOEVENTO="Manual",$M102=$A$15),$M102&gt;(ROW(PLE.lastrow)-ROW(PLE.firstrow))),0,
           IF(OFFSET(PLE!$G$15,$M102-$A$15,BY$13)="",10^12,OFFSET(PLE!$G$15,$M102-$A$15,BY$13)))</f>
        <v>1000000000000</v>
      </c>
      <c r="BZ102" s="179">
        <f ca="1">IF(OR($D102&lt;&gt;"Serviço",AND(AUTOEVENTO="Manual",$M102=$A$15),$M102&gt;(ROW(PLE.lastrow)-ROW(PLE.firstrow))),0,
           IF(OFFSET(PLE!$G$15,$M102-$A$15,BZ$13)="",10^12,OFFSET(PLE!$G$15,$M102-$A$15,BZ$13)))</f>
        <v>1000000000000</v>
      </c>
      <c r="CA102" s="179">
        <f ca="1">IF(OR($D102&lt;&gt;"Serviço",AND(AUTOEVENTO="Manual",$M102=$A$15),$M102&gt;(ROW(PLE.lastrow)-ROW(PLE.firstrow))),0,
           IF(OFFSET(PLE!$G$15,$M102-$A$15,CA$13)="",10^12,OFFSET(PLE!$G$15,$M102-$A$15,CA$13)))</f>
        <v>1000000000000</v>
      </c>
      <c r="CB102" s="179">
        <f ca="1">IF(OR($D102&lt;&gt;"Serviço",AND(AUTOEVENTO="Manual",$M102=$A$15),$M102&gt;(ROW(PLE.lastrow)-ROW(PLE.firstrow))),0,
           IF(OFFSET(PLE!$G$15,$M102-$A$15,CB$13)="",10^12,OFFSET(PLE!$G$15,$M102-$A$15,CB$13)))</f>
        <v>1000000000000</v>
      </c>
      <c r="CC102" s="179">
        <f ca="1">IF(OR($D102&lt;&gt;"Serviço",AND(AUTOEVENTO="Manual",$M102=$A$15),$M102&gt;(ROW(PLE.lastrow)-ROW(PLE.firstrow))),0,
           IF(OFFSET(PLE!$G$15,$M102-$A$15,CC$13)="",10^12,OFFSET(PLE!$G$15,$M102-$A$15,CC$13)))</f>
        <v>1000000000000</v>
      </c>
      <c r="CD102" s="179">
        <f ca="1">IF(OR($D102&lt;&gt;"Serviço",AND(AUTOEVENTO="Manual",$M102=$A$15),$M102&gt;(ROW(PLE.lastrow)-ROW(PLE.firstrow))),0,
           IF(OFFSET(PLE!$G$15,$M102-$A$15,CD$13)="",10^12,OFFSET(PLE!$G$15,$M102-$A$15,CD$13)))</f>
        <v>1000000000000</v>
      </c>
      <c r="CE102" s="179">
        <f ca="1">IF(OR($D102&lt;&gt;"Serviço",AND(AUTOEVENTO="Manual",$M102=$A$15),$M102&gt;(ROW(PLE.lastrow)-ROW(PLE.firstrow))),0,
           IF(OFFSET(PLE!$G$15,$M102-$A$15,CE$13)="",10^12,OFFSET(PLE!$G$15,$M102-$A$15,CE$13)))</f>
        <v>1000000000000</v>
      </c>
      <c r="CF102" s="179">
        <f ca="1">IF(OR($D102&lt;&gt;"Serviço",AND(AUTOEVENTO="Manual",$M102=$A$15),$M102&gt;(ROW(PLE.lastrow)-ROW(PLE.firstrow))),0,
           IF(OFFSET(PLE!$G$15,$M102-$A$15,CF$13)="",10^12,OFFSET(PLE!$G$15,$M102-$A$15,CF$13)))</f>
        <v>1000000000000</v>
      </c>
      <c r="CG102" s="179">
        <f ca="1">IF(OR($D102&lt;&gt;"Serviço",AND(AUTOEVENTO="Manual",$M102=$A$15),$M102&gt;(ROW(PLE.lastrow)-ROW(PLE.firstrow))),0,
           IF(OFFSET(PLE!$G$15,$M102-$A$15,CG$13)="",10^12,OFFSET(PLE!$G$15,$M102-$A$15,CG$13)))</f>
        <v>1000000000000</v>
      </c>
      <c r="CH102" s="179">
        <f ca="1">IF(OR($D102&lt;&gt;"Serviço",AND(AUTOEVENTO="Manual",$M102=$A$15),$M102&gt;(ROW(PLE.lastrow)-ROW(PLE.firstrow))),0,
           IF(OFFSET(PLE!$G$15,$M102-$A$15,CH$13)="",10^12,OFFSET(PLE!$G$15,$M102-$A$15,CH$13)))</f>
        <v>1000000000000</v>
      </c>
      <c r="CI102" s="179">
        <f ca="1">IF(OR($D102&lt;&gt;"Serviço",AND(AUTOEVENTO="Manual",$M102=$A$15),$M102&gt;(ROW(PLE.lastrow)-ROW(PLE.firstrow))),0,
           IF(OFFSET(PLE!$G$15,$M102-$A$15,CI$13)="",10^12,OFFSET(PLE!$G$15,$M102-$A$15,CI$13)))</f>
        <v>1000000000000</v>
      </c>
      <c r="CJ102" s="179">
        <f ca="1">IF(OR($D102&lt;&gt;"Serviço",AND(AUTOEVENTO="Manual",$M102=$A$15),$M102&gt;(ROW(PLE.lastrow)-ROW(PLE.firstrow))),0,
           IF(OFFSET(PLE!$G$15,$M102-$A$15,CJ$13)="",10^12,OFFSET(PLE!$G$15,$M102-$A$15,CJ$13)))</f>
        <v>1000000000000</v>
      </c>
      <c r="CK102" s="179">
        <f ca="1">IF(OR($D102&lt;&gt;"Serviço",AND(AUTOEVENTO="Manual",$M102=$A$15),$M102&gt;(ROW(PLE.lastrow)-ROW(PLE.firstrow))),0,
           IF(OFFSET(PLE!$G$15,$M102-$A$15,CK$13)="",10^12,OFFSET(PLE!$G$15,$M102-$A$15,CK$13)))</f>
        <v>1000000000000</v>
      </c>
      <c r="CL102" s="179">
        <f ca="1">IF(OR($D102&lt;&gt;"Serviço",AND(AUTOEVENTO="Manual",$M102=$A$15),$M102&gt;(ROW(PLE.lastrow)-ROW(PLE.firstrow))),0,
           IF(OFFSET(PLE!$G$15,$M102-$A$15,CL$13)="",10^12,OFFSET(PLE!$G$15,$M102-$A$15,CL$13)))</f>
        <v>1000000000000</v>
      </c>
      <c r="CM102" s="179">
        <f ca="1">IF(OR($D102&lt;&gt;"Serviço",AND(AUTOEVENTO="Manual",$M102=$A$15),$M102&gt;(ROW(PLE.lastrow)-ROW(PLE.firstrow))),0,
           IF(OFFSET(PLE!$G$15,$M102-$A$15,CM$13)="",10^12,OFFSET(PLE!$G$15,$M102-$A$15,CM$13)))</f>
        <v>1000000000000</v>
      </c>
    </row>
    <row r="103" spans="1:91" ht="25.5" x14ac:dyDescent="0.2">
      <c r="A103" s="7" t="str">
        <f ca="1">IF(AUTOEVENTO="Manual",IF(K103&lt;&gt;"",MIN(VALUE(LEFT(K103,FIND(".",K103)-1)),COUNTA(EVENTOS.Lista)),0),IF(OR($B103&gt;AUTOEVENTO,$B103="S",$B103=0),SUBSTITUTE(OFFSET($A103,-1,0),IF($D103="Serviço",".",""),""),ROW(A103)-ROW($A$15)&amp;"."))</f>
        <v>71</v>
      </c>
      <c r="B103" s="7" t="str">
        <f ca="1">OFFSET(ORÇAMENTO!C$15,ROW(B103)-ROW(B$15),0)</f>
        <v>S</v>
      </c>
      <c r="C103" s="7" t="str">
        <f ca="1">OFFSET(ORÇAMENTO!L$15,ROW(C103)-ROW(C$15),0)</f>
        <v>F</v>
      </c>
      <c r="D103" s="118" t="str">
        <f ca="1">OFFSET(ORÇAMENTO!N$15,ROW(D103)-ROW(D$15),0)</f>
        <v>Serviço</v>
      </c>
      <c r="E103" s="119" t="str">
        <f ca="1">OFFSET(ORÇAMENTO!O$15,ROW(E103)-ROW(E$15),0)</f>
        <v>1.12.0.0.17.</v>
      </c>
      <c r="F103" s="170" t="str">
        <f ca="1">OFFSET(ORÇAMENTO!R$15,ROW(F103)-ROW(F$15),0)</f>
        <v>DISPOSITIVO DPS 20KA-175V OU 275V - FORNECIMENTO E INSTALAÇÃO. AF_07/2025</v>
      </c>
      <c r="G103" s="171" t="str">
        <f ca="1">IF($D103&lt;&gt;"Serviço","",OFFSET(ORÇAMENTO!S$15,ROW(G103)-ROW(G$15),0))</f>
        <v>UN</v>
      </c>
      <c r="H103" s="124" cm="1">
        <f t="array" aca="1" ref="H103" ca="1">IF($D103&lt;&gt;"Serviço",0,IF(_xlfn.SINGLE(ACOMPANHAMENTO)="BM",ROUND(OFFSET(ORÇAMENTO!AJ$15,ROW(H103)-ROW(H$15),0),15-13*ORÇAMENTO!$AF$7),SUMPRODUCT(($Q$1:$AI$1)*ROUND($Q103:$AI103,15-13*ORÇAMENTO!$AF$7))))</f>
        <v>1</v>
      </c>
      <c r="I103" s="500" t="s">
        <v>1019</v>
      </c>
      <c r="J103" s="632" t="str" cm="1">
        <f t="array" aca="1" ref="J103" ca="1">IF(B103&lt;&gt;"S","",IF(AND(ACOMPANHAMENTO="PLE",AUTOEVENTO="Manual",OR(H103&gt;0,ORÇAMENTO!AC103="QUANT."),OR(K103="",M103=0,N103="")),"►",IF(AND(ACOMPANHAMENTO="PLE",ORÇAMENTO!AC103="QUANT."),"►►",IF(AND(COUNTIF($P$11:$AI$11,"▼")=0,H103&gt;0,I103=""),"◄",""))))</f>
        <v/>
      </c>
      <c r="K103" s="624"/>
      <c r="L103" s="172" t="s">
        <v>253</v>
      </c>
      <c r="M103" s="173">
        <f ca="1">IF($D103&lt;&gt;"Serviço","",
          IF(AUTOEVENTO="manual",$A103,
                IF(ISERROR(MATCH($A103,$A$15:OFFSET($A103,-1,0),0)),MAX($M$15:OFFSET(M103,-1,0))+1,
                      INDEX($M$15:OFFSET(M103,-1,0),MATCH($A103,$A$15:OFFSET($A103,-1,0),0)))))</f>
        <v>12</v>
      </c>
      <c r="N103" s="174" t="str">
        <f ca="1">IF($D103&lt;&gt;"Serviço","",
         IF(AUTOEVENTO="Manual",
                IF($A103=0,"&lt;-- defina o número do agrupador",
                       OFFSET(EVENTOS!$D$15,$A103-$A$15,0)),
                OFFSET($F$15,$A103,0)))</f>
        <v>INSTALAÇÕES ELÉTRICAS</v>
      </c>
      <c r="O103" s="175"/>
      <c r="Q103" s="175"/>
      <c r="R103" s="176"/>
      <c r="S103" s="176"/>
      <c r="T103" s="176">
        <v>1</v>
      </c>
      <c r="U103" s="176"/>
      <c r="V103" s="176"/>
      <c r="W103" s="176"/>
      <c r="X103" s="176"/>
      <c r="Y103" s="176"/>
      <c r="Z103" s="177"/>
      <c r="AA103" s="176"/>
      <c r="AB103" s="176"/>
      <c r="AC103" s="176"/>
      <c r="AD103" s="176"/>
      <c r="AE103" s="176"/>
      <c r="AF103" s="176"/>
      <c r="AG103" s="176"/>
      <c r="AH103" s="177"/>
      <c r="AJ103" s="485">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85">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L103" s="485">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0</v>
      </c>
      <c r="AM103" s="485">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92.27</v>
      </c>
      <c r="AN103" s="485">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0</v>
      </c>
      <c r="AO103" s="485">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0</v>
      </c>
      <c r="AP103" s="485">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85">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85">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85">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85">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85">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85">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85">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85">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85">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85">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85">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8">
        <f ca="1">IF(OR($D103&lt;&gt;"Serviço",AND(AUTOEVENTO="Manual",$M103=$A$15)),0,
         IF(OFFSET(CRONOPLE!$F$15,$M103-$A$15,BC$13)="",10^12,OFFSET(CRONOPLE!$F$15,$M103-$A$15,BC$13)))</f>
        <v>1</v>
      </c>
      <c r="BD103" s="178">
        <f ca="1">IF(OR($D103&lt;&gt;"Serviço",AND(AUTOEVENTO="Manual",$M103=$A$15)),0,
         IF(OFFSET(CRONOPLE!$F$15,$M103-$A$15,BD$13)="",10^12,OFFSET(CRONOPLE!$F$15,$M103-$A$15,BD$13)))</f>
        <v>2</v>
      </c>
      <c r="BE103" s="178">
        <f ca="1">IF(OR($D103&lt;&gt;"Serviço",AND(AUTOEVENTO="Manual",$M103=$A$15)),0,
         IF(OFFSET(CRONOPLE!$F$15,$M103-$A$15,BE$13)="",10^12,OFFSET(CRONOPLE!$F$15,$M103-$A$15,BE$13)))</f>
        <v>1000000000000</v>
      </c>
      <c r="BF103" s="178">
        <f ca="1">IF(OR($D103&lt;&gt;"Serviço",AND(AUTOEVENTO="Manual",$M103=$A$15)),0,
         IF(OFFSET(CRONOPLE!$F$15,$M103-$A$15,BF$13)="",10^12,OFFSET(CRONOPLE!$F$15,$M103-$A$15,BF$13)))</f>
        <v>4</v>
      </c>
      <c r="BG103" s="178">
        <f ca="1">IF(OR($D103&lt;&gt;"Serviço",AND(AUTOEVENTO="Manual",$M103=$A$15)),0,
         IF(OFFSET(CRONOPLE!$F$15,$M103-$A$15,BG$13)="",10^12,OFFSET(CRONOPLE!$F$15,$M103-$A$15,BG$13)))</f>
        <v>5</v>
      </c>
      <c r="BH103" s="178">
        <f ca="1">IF(OR($D103&lt;&gt;"Serviço",AND(AUTOEVENTO="Manual",$M103=$A$15)),0,
         IF(OFFSET(CRONOPLE!$F$15,$M103-$A$15,BH$13)="",10^12,OFFSET(CRONOPLE!$F$15,$M103-$A$15,BH$13)))</f>
        <v>6</v>
      </c>
      <c r="BI103" s="178">
        <f ca="1">IF(OR($D103&lt;&gt;"Serviço",AND(AUTOEVENTO="Manual",$M103=$A$15)),0,
         IF(OFFSET(CRONOPLE!$F$15,$M103-$A$15,BI$13)="",10^12,OFFSET(CRONOPLE!$F$15,$M103-$A$15,BI$13)))</f>
        <v>7</v>
      </c>
      <c r="BJ103" s="178">
        <f ca="1">IF(OR($D103&lt;&gt;"Serviço",AND(AUTOEVENTO="Manual",$M103=$A$15)),0,
         IF(OFFSET(CRONOPLE!$F$15,$M103-$A$15,BJ$13)="",10^12,OFFSET(CRONOPLE!$F$15,$M103-$A$15,BJ$13)))</f>
        <v>8</v>
      </c>
      <c r="BK103" s="178">
        <f ca="1">IF(OR($D103&lt;&gt;"Serviço",AND(AUTOEVENTO="Manual",$M103=$A$15)),0,
         IF(OFFSET(CRONOPLE!$F$15,$M103-$A$15,BK$13)="",10^12,OFFSET(CRONOPLE!$F$15,$M103-$A$15,BK$13)))</f>
        <v>9</v>
      </c>
      <c r="BL103" s="178">
        <f ca="1">IF(OR($D103&lt;&gt;"Serviço",AND(AUTOEVENTO="Manual",$M103=$A$15)),0,
         IF(OFFSET(CRONOPLE!$F$15,$M103-$A$15,BL$13)="",10^12,OFFSET(CRONOPLE!$F$15,$M103-$A$15,BL$13)))</f>
        <v>10</v>
      </c>
      <c r="BM103" s="178">
        <f ca="1">IF(OR($D103&lt;&gt;"Serviço",AND(AUTOEVENTO="Manual",$M103=$A$15)),0,
         IF(OFFSET(CRONOPLE!$F$15,$M103-$A$15,BM$13)="",10^12,OFFSET(CRONOPLE!$F$15,$M103-$A$15,BM$13)))</f>
        <v>1000000000000</v>
      </c>
      <c r="BN103" s="178">
        <f ca="1">IF(OR($D103&lt;&gt;"Serviço",AND(AUTOEVENTO="Manual",$M103=$A$15)),0,
         IF(OFFSET(CRONOPLE!$F$15,$M103-$A$15,BN$13)="",10^12,OFFSET(CRONOPLE!$F$15,$M103-$A$15,BN$13)))</f>
        <v>1000000000000</v>
      </c>
      <c r="BO103" s="178">
        <f ca="1">IF(OR($D103&lt;&gt;"Serviço",AND(AUTOEVENTO="Manual",$M103=$A$15)),0,
         IF(OFFSET(CRONOPLE!$F$15,$M103-$A$15,BO$13)="",10^12,OFFSET(CRONOPLE!$F$15,$M103-$A$15,BO$13)))</f>
        <v>1000000000000</v>
      </c>
      <c r="BP103" s="178">
        <f ca="1">IF(OR($D103&lt;&gt;"Serviço",AND(AUTOEVENTO="Manual",$M103=$A$15)),0,
         IF(OFFSET(CRONOPLE!$F$15,$M103-$A$15,BP$13)="",10^12,OFFSET(CRONOPLE!$F$15,$M103-$A$15,BP$13)))</f>
        <v>1000000000000</v>
      </c>
      <c r="BQ103" s="178">
        <f ca="1">IF(OR($D103&lt;&gt;"Serviço",AND(AUTOEVENTO="Manual",$M103=$A$15)),0,
         IF(OFFSET(CRONOPLE!$F$15,$M103-$A$15,BQ$13)="",10^12,OFFSET(CRONOPLE!$F$15,$M103-$A$15,BQ$13)))</f>
        <v>15</v>
      </c>
      <c r="BR103" s="178">
        <f ca="1">IF(OR($D103&lt;&gt;"Serviço",AND(AUTOEVENTO="Manual",$M103=$A$15)),0,
         IF(OFFSET(CRONOPLE!$F$15,$M103-$A$15,BR$13)="",10^12,OFFSET(CRONOPLE!$F$15,$M103-$A$15,BR$13)))</f>
        <v>1000000000000</v>
      </c>
      <c r="BS103" s="178">
        <f ca="1">IF(OR($D103&lt;&gt;"Serviço",AND(AUTOEVENTO="Manual",$M103=$A$15)),0,
         IF(OFFSET(CRONOPLE!$F$15,$M103-$A$15,BS$13)="",10^12,OFFSET(CRONOPLE!$F$15,$M103-$A$15,BS$13)))</f>
        <v>1000000000000</v>
      </c>
      <c r="BT103" s="178">
        <f ca="1">IF(OR($D103&lt;&gt;"Serviço",AND(AUTOEVENTO="Manual",$M103=$A$15)),0,
         IF(OFFSET(CRONOPLE!$F$15,$M103-$A$15,BT$13)="",10^12,OFFSET(CRONOPLE!$F$15,$M103-$A$15,BT$13)))</f>
        <v>1000000000000</v>
      </c>
      <c r="BV103" s="179">
        <f ca="1">IF(OR($D103&lt;&gt;"Serviço",AND(AUTOEVENTO="Manual",$M103=$A$15),$M103&gt;(ROW(PLE.lastrow)-ROW(PLE.firstrow))),0,
           IF(OFFSET(PLE!$G$15,$M103-$A$15,BV$13)="",10^12,OFFSET(PLE!$G$15,$M103-$A$15,BV$13)))</f>
        <v>1000000000000</v>
      </c>
      <c r="BW103" s="179">
        <f ca="1">IF(OR($D103&lt;&gt;"Serviço",AND(AUTOEVENTO="Manual",$M103=$A$15),$M103&gt;(ROW(PLE.lastrow)-ROW(PLE.firstrow))),0,
           IF(OFFSET(PLE!$G$15,$M103-$A$15,BW$13)="",10^12,OFFSET(PLE!$G$15,$M103-$A$15,BW$13)))</f>
        <v>1000000000000</v>
      </c>
      <c r="BX103" s="179">
        <f ca="1">IF(OR($D103&lt;&gt;"Serviço",AND(AUTOEVENTO="Manual",$M103=$A$15),$M103&gt;(ROW(PLE.lastrow)-ROW(PLE.firstrow))),0,
           IF(OFFSET(PLE!$G$15,$M103-$A$15,BX$13)="",10^12,OFFSET(PLE!$G$15,$M103-$A$15,BX$13)))</f>
        <v>1000000000000</v>
      </c>
      <c r="BY103" s="179">
        <f ca="1">IF(OR($D103&lt;&gt;"Serviço",AND(AUTOEVENTO="Manual",$M103=$A$15),$M103&gt;(ROW(PLE.lastrow)-ROW(PLE.firstrow))),0,
           IF(OFFSET(PLE!$G$15,$M103-$A$15,BY$13)="",10^12,OFFSET(PLE!$G$15,$M103-$A$15,BY$13)))</f>
        <v>1000000000000</v>
      </c>
      <c r="BZ103" s="179">
        <f ca="1">IF(OR($D103&lt;&gt;"Serviço",AND(AUTOEVENTO="Manual",$M103=$A$15),$M103&gt;(ROW(PLE.lastrow)-ROW(PLE.firstrow))),0,
           IF(OFFSET(PLE!$G$15,$M103-$A$15,BZ$13)="",10^12,OFFSET(PLE!$G$15,$M103-$A$15,BZ$13)))</f>
        <v>1000000000000</v>
      </c>
      <c r="CA103" s="179">
        <f ca="1">IF(OR($D103&lt;&gt;"Serviço",AND(AUTOEVENTO="Manual",$M103=$A$15),$M103&gt;(ROW(PLE.lastrow)-ROW(PLE.firstrow))),0,
           IF(OFFSET(PLE!$G$15,$M103-$A$15,CA$13)="",10^12,OFFSET(PLE!$G$15,$M103-$A$15,CA$13)))</f>
        <v>1000000000000</v>
      </c>
      <c r="CB103" s="179">
        <f ca="1">IF(OR($D103&lt;&gt;"Serviço",AND(AUTOEVENTO="Manual",$M103=$A$15),$M103&gt;(ROW(PLE.lastrow)-ROW(PLE.firstrow))),0,
           IF(OFFSET(PLE!$G$15,$M103-$A$15,CB$13)="",10^12,OFFSET(PLE!$G$15,$M103-$A$15,CB$13)))</f>
        <v>1000000000000</v>
      </c>
      <c r="CC103" s="179">
        <f ca="1">IF(OR($D103&lt;&gt;"Serviço",AND(AUTOEVENTO="Manual",$M103=$A$15),$M103&gt;(ROW(PLE.lastrow)-ROW(PLE.firstrow))),0,
           IF(OFFSET(PLE!$G$15,$M103-$A$15,CC$13)="",10^12,OFFSET(PLE!$G$15,$M103-$A$15,CC$13)))</f>
        <v>1000000000000</v>
      </c>
      <c r="CD103" s="179">
        <f ca="1">IF(OR($D103&lt;&gt;"Serviço",AND(AUTOEVENTO="Manual",$M103=$A$15),$M103&gt;(ROW(PLE.lastrow)-ROW(PLE.firstrow))),0,
           IF(OFFSET(PLE!$G$15,$M103-$A$15,CD$13)="",10^12,OFFSET(PLE!$G$15,$M103-$A$15,CD$13)))</f>
        <v>1000000000000</v>
      </c>
      <c r="CE103" s="179">
        <f ca="1">IF(OR($D103&lt;&gt;"Serviço",AND(AUTOEVENTO="Manual",$M103=$A$15),$M103&gt;(ROW(PLE.lastrow)-ROW(PLE.firstrow))),0,
           IF(OFFSET(PLE!$G$15,$M103-$A$15,CE$13)="",10^12,OFFSET(PLE!$G$15,$M103-$A$15,CE$13)))</f>
        <v>1000000000000</v>
      </c>
      <c r="CF103" s="179">
        <f ca="1">IF(OR($D103&lt;&gt;"Serviço",AND(AUTOEVENTO="Manual",$M103=$A$15),$M103&gt;(ROW(PLE.lastrow)-ROW(PLE.firstrow))),0,
           IF(OFFSET(PLE!$G$15,$M103-$A$15,CF$13)="",10^12,OFFSET(PLE!$G$15,$M103-$A$15,CF$13)))</f>
        <v>1000000000000</v>
      </c>
      <c r="CG103" s="179">
        <f ca="1">IF(OR($D103&lt;&gt;"Serviço",AND(AUTOEVENTO="Manual",$M103=$A$15),$M103&gt;(ROW(PLE.lastrow)-ROW(PLE.firstrow))),0,
           IF(OFFSET(PLE!$G$15,$M103-$A$15,CG$13)="",10^12,OFFSET(PLE!$G$15,$M103-$A$15,CG$13)))</f>
        <v>1000000000000</v>
      </c>
      <c r="CH103" s="179">
        <f ca="1">IF(OR($D103&lt;&gt;"Serviço",AND(AUTOEVENTO="Manual",$M103=$A$15),$M103&gt;(ROW(PLE.lastrow)-ROW(PLE.firstrow))),0,
           IF(OFFSET(PLE!$G$15,$M103-$A$15,CH$13)="",10^12,OFFSET(PLE!$G$15,$M103-$A$15,CH$13)))</f>
        <v>1000000000000</v>
      </c>
      <c r="CI103" s="179">
        <f ca="1">IF(OR($D103&lt;&gt;"Serviço",AND(AUTOEVENTO="Manual",$M103=$A$15),$M103&gt;(ROW(PLE.lastrow)-ROW(PLE.firstrow))),0,
           IF(OFFSET(PLE!$G$15,$M103-$A$15,CI$13)="",10^12,OFFSET(PLE!$G$15,$M103-$A$15,CI$13)))</f>
        <v>1000000000000</v>
      </c>
      <c r="CJ103" s="179">
        <f ca="1">IF(OR($D103&lt;&gt;"Serviço",AND(AUTOEVENTO="Manual",$M103=$A$15),$M103&gt;(ROW(PLE.lastrow)-ROW(PLE.firstrow))),0,
           IF(OFFSET(PLE!$G$15,$M103-$A$15,CJ$13)="",10^12,OFFSET(PLE!$G$15,$M103-$A$15,CJ$13)))</f>
        <v>1000000000000</v>
      </c>
      <c r="CK103" s="179">
        <f ca="1">IF(OR($D103&lt;&gt;"Serviço",AND(AUTOEVENTO="Manual",$M103=$A$15),$M103&gt;(ROW(PLE.lastrow)-ROW(PLE.firstrow))),0,
           IF(OFFSET(PLE!$G$15,$M103-$A$15,CK$13)="",10^12,OFFSET(PLE!$G$15,$M103-$A$15,CK$13)))</f>
        <v>1000000000000</v>
      </c>
      <c r="CL103" s="179">
        <f ca="1">IF(OR($D103&lt;&gt;"Serviço",AND(AUTOEVENTO="Manual",$M103=$A$15),$M103&gt;(ROW(PLE.lastrow)-ROW(PLE.firstrow))),0,
           IF(OFFSET(PLE!$G$15,$M103-$A$15,CL$13)="",10^12,OFFSET(PLE!$G$15,$M103-$A$15,CL$13)))</f>
        <v>1000000000000</v>
      </c>
      <c r="CM103" s="179">
        <f ca="1">IF(OR($D103&lt;&gt;"Serviço",AND(AUTOEVENTO="Manual",$M103=$A$15),$M103&gt;(ROW(PLE.lastrow)-ROW(PLE.firstrow))),0,
           IF(OFFSET(PLE!$G$15,$M103-$A$15,CM$13)="",10^12,OFFSET(PLE!$G$15,$M103-$A$15,CM$13)))</f>
        <v>1000000000000</v>
      </c>
    </row>
    <row r="104" spans="1:91" ht="38.25" x14ac:dyDescent="0.2">
      <c r="A104" s="7" t="str">
        <f ca="1">IF(AUTOEVENTO="Manual",IF(K104&lt;&gt;"",MIN(VALUE(LEFT(K104,FIND(".",K104)-1)),COUNTA(EVENTOS.Lista)),0),IF(OR($B104&gt;AUTOEVENTO,$B104="S",$B104=0),SUBSTITUTE(OFFSET($A104,-1,0),IF($D104="Serviço",".",""),""),ROW(A104)-ROW($A$15)&amp;"."))</f>
        <v>71</v>
      </c>
      <c r="B104" s="7" t="str">
        <f ca="1">OFFSET(ORÇAMENTO!C$15,ROW(B104)-ROW(B$15),0)</f>
        <v>S</v>
      </c>
      <c r="C104" s="7" t="str">
        <f ca="1">OFFSET(ORÇAMENTO!L$15,ROW(C104)-ROW(C$15),0)</f>
        <v>F</v>
      </c>
      <c r="D104" s="118" t="str">
        <f ca="1">OFFSET(ORÇAMENTO!N$15,ROW(D104)-ROW(D$15),0)</f>
        <v>Serviço</v>
      </c>
      <c r="E104" s="119" t="str">
        <f ca="1">OFFSET(ORÇAMENTO!O$15,ROW(E104)-ROW(E$15),0)</f>
        <v>1.12.0.0.18.</v>
      </c>
      <c r="F104" s="170" t="str">
        <f ca="1">OFFSET(ORÇAMENTO!R$15,ROW(F104)-ROW(F$15),0)</f>
        <v>ELETRODUTO FLEXÍVEL CORRUGADO REFORÇADO, PVC, DN 32 MM (1"), PARA CIRCUITOS TERMINAIS, INSTALADO EM LAJE - FORNECIMENTO E INSTALAÇÃO. AF_03/2023</v>
      </c>
      <c r="G104" s="171" t="str">
        <f ca="1">IF($D104&lt;&gt;"Serviço","",OFFSET(ORÇAMENTO!S$15,ROW(G104)-ROW(G$15),0))</f>
        <v>M</v>
      </c>
      <c r="H104" s="124" cm="1">
        <f t="array" aca="1" ref="H104" ca="1">IF($D104&lt;&gt;"Serviço",0,IF(_xlfn.SINGLE(ACOMPANHAMENTO)="BM",ROUND(OFFSET(ORÇAMENTO!AJ$15,ROW(H104)-ROW(H$15),0),15-13*ORÇAMENTO!$AF$7),SUMPRODUCT(($Q$1:$AI$1)*ROUND($Q104:$AI104,15-13*ORÇAMENTO!$AF$7))))</f>
        <v>8.3000000000000007</v>
      </c>
      <c r="I104" s="500" t="s">
        <v>1019</v>
      </c>
      <c r="J104" s="632" t="str" cm="1">
        <f t="array" aca="1" ref="J104" ca="1">IF(B104&lt;&gt;"S","",IF(AND(ACOMPANHAMENTO="PLE",AUTOEVENTO="Manual",OR(H104&gt;0,ORÇAMENTO!AC104="QUANT."),OR(K104="",M104=0,N104="")),"►",IF(AND(ACOMPANHAMENTO="PLE",ORÇAMENTO!AC104="QUANT."),"►►",IF(AND(COUNTIF($P$11:$AI$11,"▼")=0,H104&gt;0,I104=""),"◄",""))))</f>
        <v/>
      </c>
      <c r="K104" s="624"/>
      <c r="L104" s="172" t="s">
        <v>253</v>
      </c>
      <c r="M104" s="173">
        <f ca="1">IF($D104&lt;&gt;"Serviço","",
          IF(AUTOEVENTO="manual",$A104,
                IF(ISERROR(MATCH($A104,$A$15:OFFSET($A104,-1,0),0)),MAX($M$15:OFFSET(M104,-1,0))+1,
                      INDEX($M$15:OFFSET(M104,-1,0),MATCH($A104,$A$15:OFFSET($A104,-1,0),0)))))</f>
        <v>12</v>
      </c>
      <c r="N104" s="174" t="str">
        <f ca="1">IF($D104&lt;&gt;"Serviço","",
         IF(AUTOEVENTO="Manual",
                IF($A104=0,"&lt;-- defina o número do agrupador",
                       OFFSET(EVENTOS!$D$15,$A104-$A$15,0)),
                OFFSET($F$15,$A104,0)))</f>
        <v>INSTALAÇÕES ELÉTRICAS</v>
      </c>
      <c r="O104" s="175"/>
      <c r="Q104" s="175"/>
      <c r="R104" s="176"/>
      <c r="S104" s="176"/>
      <c r="T104" s="176">
        <v>8.3000000000000007</v>
      </c>
      <c r="U104" s="176"/>
      <c r="V104" s="176"/>
      <c r="W104" s="176"/>
      <c r="X104" s="176"/>
      <c r="Y104" s="176"/>
      <c r="Z104" s="177"/>
      <c r="AA104" s="176"/>
      <c r="AB104" s="176"/>
      <c r="AC104" s="176"/>
      <c r="AD104" s="176"/>
      <c r="AE104" s="176"/>
      <c r="AF104" s="176"/>
      <c r="AG104" s="176"/>
      <c r="AH104" s="177"/>
      <c r="AJ104" s="485">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85">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L104" s="485">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0</v>
      </c>
      <c r="AM104" s="485">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146.66</v>
      </c>
      <c r="AN104" s="485">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0</v>
      </c>
      <c r="AO104" s="485">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0</v>
      </c>
      <c r="AP104" s="485">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85">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85">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85">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85">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85">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85">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85">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85">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85">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85">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85">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8">
        <f ca="1">IF(OR($D104&lt;&gt;"Serviço",AND(AUTOEVENTO="Manual",$M104=$A$15)),0,
         IF(OFFSET(CRONOPLE!$F$15,$M104-$A$15,BC$13)="",10^12,OFFSET(CRONOPLE!$F$15,$M104-$A$15,BC$13)))</f>
        <v>1</v>
      </c>
      <c r="BD104" s="178">
        <f ca="1">IF(OR($D104&lt;&gt;"Serviço",AND(AUTOEVENTO="Manual",$M104=$A$15)),0,
         IF(OFFSET(CRONOPLE!$F$15,$M104-$A$15,BD$13)="",10^12,OFFSET(CRONOPLE!$F$15,$M104-$A$15,BD$13)))</f>
        <v>2</v>
      </c>
      <c r="BE104" s="178">
        <f ca="1">IF(OR($D104&lt;&gt;"Serviço",AND(AUTOEVENTO="Manual",$M104=$A$15)),0,
         IF(OFFSET(CRONOPLE!$F$15,$M104-$A$15,BE$13)="",10^12,OFFSET(CRONOPLE!$F$15,$M104-$A$15,BE$13)))</f>
        <v>1000000000000</v>
      </c>
      <c r="BF104" s="178">
        <f ca="1">IF(OR($D104&lt;&gt;"Serviço",AND(AUTOEVENTO="Manual",$M104=$A$15)),0,
         IF(OFFSET(CRONOPLE!$F$15,$M104-$A$15,BF$13)="",10^12,OFFSET(CRONOPLE!$F$15,$M104-$A$15,BF$13)))</f>
        <v>4</v>
      </c>
      <c r="BG104" s="178">
        <f ca="1">IF(OR($D104&lt;&gt;"Serviço",AND(AUTOEVENTO="Manual",$M104=$A$15)),0,
         IF(OFFSET(CRONOPLE!$F$15,$M104-$A$15,BG$13)="",10^12,OFFSET(CRONOPLE!$F$15,$M104-$A$15,BG$13)))</f>
        <v>5</v>
      </c>
      <c r="BH104" s="178">
        <f ca="1">IF(OR($D104&lt;&gt;"Serviço",AND(AUTOEVENTO="Manual",$M104=$A$15)),0,
         IF(OFFSET(CRONOPLE!$F$15,$M104-$A$15,BH$13)="",10^12,OFFSET(CRONOPLE!$F$15,$M104-$A$15,BH$13)))</f>
        <v>6</v>
      </c>
      <c r="BI104" s="178">
        <f ca="1">IF(OR($D104&lt;&gt;"Serviço",AND(AUTOEVENTO="Manual",$M104=$A$15)),0,
         IF(OFFSET(CRONOPLE!$F$15,$M104-$A$15,BI$13)="",10^12,OFFSET(CRONOPLE!$F$15,$M104-$A$15,BI$13)))</f>
        <v>7</v>
      </c>
      <c r="BJ104" s="178">
        <f ca="1">IF(OR($D104&lt;&gt;"Serviço",AND(AUTOEVENTO="Manual",$M104=$A$15)),0,
         IF(OFFSET(CRONOPLE!$F$15,$M104-$A$15,BJ$13)="",10^12,OFFSET(CRONOPLE!$F$15,$M104-$A$15,BJ$13)))</f>
        <v>8</v>
      </c>
      <c r="BK104" s="178">
        <f ca="1">IF(OR($D104&lt;&gt;"Serviço",AND(AUTOEVENTO="Manual",$M104=$A$15)),0,
         IF(OFFSET(CRONOPLE!$F$15,$M104-$A$15,BK$13)="",10^12,OFFSET(CRONOPLE!$F$15,$M104-$A$15,BK$13)))</f>
        <v>9</v>
      </c>
      <c r="BL104" s="178">
        <f ca="1">IF(OR($D104&lt;&gt;"Serviço",AND(AUTOEVENTO="Manual",$M104=$A$15)),0,
         IF(OFFSET(CRONOPLE!$F$15,$M104-$A$15,BL$13)="",10^12,OFFSET(CRONOPLE!$F$15,$M104-$A$15,BL$13)))</f>
        <v>10</v>
      </c>
      <c r="BM104" s="178">
        <f ca="1">IF(OR($D104&lt;&gt;"Serviço",AND(AUTOEVENTO="Manual",$M104=$A$15)),0,
         IF(OFFSET(CRONOPLE!$F$15,$M104-$A$15,BM$13)="",10^12,OFFSET(CRONOPLE!$F$15,$M104-$A$15,BM$13)))</f>
        <v>1000000000000</v>
      </c>
      <c r="BN104" s="178">
        <f ca="1">IF(OR($D104&lt;&gt;"Serviço",AND(AUTOEVENTO="Manual",$M104=$A$15)),0,
         IF(OFFSET(CRONOPLE!$F$15,$M104-$A$15,BN$13)="",10^12,OFFSET(CRONOPLE!$F$15,$M104-$A$15,BN$13)))</f>
        <v>1000000000000</v>
      </c>
      <c r="BO104" s="178">
        <f ca="1">IF(OR($D104&lt;&gt;"Serviço",AND(AUTOEVENTO="Manual",$M104=$A$15)),0,
         IF(OFFSET(CRONOPLE!$F$15,$M104-$A$15,BO$13)="",10^12,OFFSET(CRONOPLE!$F$15,$M104-$A$15,BO$13)))</f>
        <v>1000000000000</v>
      </c>
      <c r="BP104" s="178">
        <f ca="1">IF(OR($D104&lt;&gt;"Serviço",AND(AUTOEVENTO="Manual",$M104=$A$15)),0,
         IF(OFFSET(CRONOPLE!$F$15,$M104-$A$15,BP$13)="",10^12,OFFSET(CRONOPLE!$F$15,$M104-$A$15,BP$13)))</f>
        <v>1000000000000</v>
      </c>
      <c r="BQ104" s="178">
        <f ca="1">IF(OR($D104&lt;&gt;"Serviço",AND(AUTOEVENTO="Manual",$M104=$A$15)),0,
         IF(OFFSET(CRONOPLE!$F$15,$M104-$A$15,BQ$13)="",10^12,OFFSET(CRONOPLE!$F$15,$M104-$A$15,BQ$13)))</f>
        <v>15</v>
      </c>
      <c r="BR104" s="178">
        <f ca="1">IF(OR($D104&lt;&gt;"Serviço",AND(AUTOEVENTO="Manual",$M104=$A$15)),0,
         IF(OFFSET(CRONOPLE!$F$15,$M104-$A$15,BR$13)="",10^12,OFFSET(CRONOPLE!$F$15,$M104-$A$15,BR$13)))</f>
        <v>1000000000000</v>
      </c>
      <c r="BS104" s="178">
        <f ca="1">IF(OR($D104&lt;&gt;"Serviço",AND(AUTOEVENTO="Manual",$M104=$A$15)),0,
         IF(OFFSET(CRONOPLE!$F$15,$M104-$A$15,BS$13)="",10^12,OFFSET(CRONOPLE!$F$15,$M104-$A$15,BS$13)))</f>
        <v>1000000000000</v>
      </c>
      <c r="BT104" s="178">
        <f ca="1">IF(OR($D104&lt;&gt;"Serviço",AND(AUTOEVENTO="Manual",$M104=$A$15)),0,
         IF(OFFSET(CRONOPLE!$F$15,$M104-$A$15,BT$13)="",10^12,OFFSET(CRONOPLE!$F$15,$M104-$A$15,BT$13)))</f>
        <v>1000000000000</v>
      </c>
      <c r="BV104" s="179">
        <f ca="1">IF(OR($D104&lt;&gt;"Serviço",AND(AUTOEVENTO="Manual",$M104=$A$15),$M104&gt;(ROW(PLE.lastrow)-ROW(PLE.firstrow))),0,
           IF(OFFSET(PLE!$G$15,$M104-$A$15,BV$13)="",10^12,OFFSET(PLE!$G$15,$M104-$A$15,BV$13)))</f>
        <v>1000000000000</v>
      </c>
      <c r="BW104" s="179">
        <f ca="1">IF(OR($D104&lt;&gt;"Serviço",AND(AUTOEVENTO="Manual",$M104=$A$15),$M104&gt;(ROW(PLE.lastrow)-ROW(PLE.firstrow))),0,
           IF(OFFSET(PLE!$G$15,$M104-$A$15,BW$13)="",10^12,OFFSET(PLE!$G$15,$M104-$A$15,BW$13)))</f>
        <v>1000000000000</v>
      </c>
      <c r="BX104" s="179">
        <f ca="1">IF(OR($D104&lt;&gt;"Serviço",AND(AUTOEVENTO="Manual",$M104=$A$15),$M104&gt;(ROW(PLE.lastrow)-ROW(PLE.firstrow))),0,
           IF(OFFSET(PLE!$G$15,$M104-$A$15,BX$13)="",10^12,OFFSET(PLE!$G$15,$M104-$A$15,BX$13)))</f>
        <v>1000000000000</v>
      </c>
      <c r="BY104" s="179">
        <f ca="1">IF(OR($D104&lt;&gt;"Serviço",AND(AUTOEVENTO="Manual",$M104=$A$15),$M104&gt;(ROW(PLE.lastrow)-ROW(PLE.firstrow))),0,
           IF(OFFSET(PLE!$G$15,$M104-$A$15,BY$13)="",10^12,OFFSET(PLE!$G$15,$M104-$A$15,BY$13)))</f>
        <v>1000000000000</v>
      </c>
      <c r="BZ104" s="179">
        <f ca="1">IF(OR($D104&lt;&gt;"Serviço",AND(AUTOEVENTO="Manual",$M104=$A$15),$M104&gt;(ROW(PLE.lastrow)-ROW(PLE.firstrow))),0,
           IF(OFFSET(PLE!$G$15,$M104-$A$15,BZ$13)="",10^12,OFFSET(PLE!$G$15,$M104-$A$15,BZ$13)))</f>
        <v>1000000000000</v>
      </c>
      <c r="CA104" s="179">
        <f ca="1">IF(OR($D104&lt;&gt;"Serviço",AND(AUTOEVENTO="Manual",$M104=$A$15),$M104&gt;(ROW(PLE.lastrow)-ROW(PLE.firstrow))),0,
           IF(OFFSET(PLE!$G$15,$M104-$A$15,CA$13)="",10^12,OFFSET(PLE!$G$15,$M104-$A$15,CA$13)))</f>
        <v>1000000000000</v>
      </c>
      <c r="CB104" s="179">
        <f ca="1">IF(OR($D104&lt;&gt;"Serviço",AND(AUTOEVENTO="Manual",$M104=$A$15),$M104&gt;(ROW(PLE.lastrow)-ROW(PLE.firstrow))),0,
           IF(OFFSET(PLE!$G$15,$M104-$A$15,CB$13)="",10^12,OFFSET(PLE!$G$15,$M104-$A$15,CB$13)))</f>
        <v>1000000000000</v>
      </c>
      <c r="CC104" s="179">
        <f ca="1">IF(OR($D104&lt;&gt;"Serviço",AND(AUTOEVENTO="Manual",$M104=$A$15),$M104&gt;(ROW(PLE.lastrow)-ROW(PLE.firstrow))),0,
           IF(OFFSET(PLE!$G$15,$M104-$A$15,CC$13)="",10^12,OFFSET(PLE!$G$15,$M104-$A$15,CC$13)))</f>
        <v>1000000000000</v>
      </c>
      <c r="CD104" s="179">
        <f ca="1">IF(OR($D104&lt;&gt;"Serviço",AND(AUTOEVENTO="Manual",$M104=$A$15),$M104&gt;(ROW(PLE.lastrow)-ROW(PLE.firstrow))),0,
           IF(OFFSET(PLE!$G$15,$M104-$A$15,CD$13)="",10^12,OFFSET(PLE!$G$15,$M104-$A$15,CD$13)))</f>
        <v>1000000000000</v>
      </c>
      <c r="CE104" s="179">
        <f ca="1">IF(OR($D104&lt;&gt;"Serviço",AND(AUTOEVENTO="Manual",$M104=$A$15),$M104&gt;(ROW(PLE.lastrow)-ROW(PLE.firstrow))),0,
           IF(OFFSET(PLE!$G$15,$M104-$A$15,CE$13)="",10^12,OFFSET(PLE!$G$15,$M104-$A$15,CE$13)))</f>
        <v>1000000000000</v>
      </c>
      <c r="CF104" s="179">
        <f ca="1">IF(OR($D104&lt;&gt;"Serviço",AND(AUTOEVENTO="Manual",$M104=$A$15),$M104&gt;(ROW(PLE.lastrow)-ROW(PLE.firstrow))),0,
           IF(OFFSET(PLE!$G$15,$M104-$A$15,CF$13)="",10^12,OFFSET(PLE!$G$15,$M104-$A$15,CF$13)))</f>
        <v>1000000000000</v>
      </c>
      <c r="CG104" s="179">
        <f ca="1">IF(OR($D104&lt;&gt;"Serviço",AND(AUTOEVENTO="Manual",$M104=$A$15),$M104&gt;(ROW(PLE.lastrow)-ROW(PLE.firstrow))),0,
           IF(OFFSET(PLE!$G$15,$M104-$A$15,CG$13)="",10^12,OFFSET(PLE!$G$15,$M104-$A$15,CG$13)))</f>
        <v>1000000000000</v>
      </c>
      <c r="CH104" s="179">
        <f ca="1">IF(OR($D104&lt;&gt;"Serviço",AND(AUTOEVENTO="Manual",$M104=$A$15),$M104&gt;(ROW(PLE.lastrow)-ROW(PLE.firstrow))),0,
           IF(OFFSET(PLE!$G$15,$M104-$A$15,CH$13)="",10^12,OFFSET(PLE!$G$15,$M104-$A$15,CH$13)))</f>
        <v>1000000000000</v>
      </c>
      <c r="CI104" s="179">
        <f ca="1">IF(OR($D104&lt;&gt;"Serviço",AND(AUTOEVENTO="Manual",$M104=$A$15),$M104&gt;(ROW(PLE.lastrow)-ROW(PLE.firstrow))),0,
           IF(OFFSET(PLE!$G$15,$M104-$A$15,CI$13)="",10^12,OFFSET(PLE!$G$15,$M104-$A$15,CI$13)))</f>
        <v>1000000000000</v>
      </c>
      <c r="CJ104" s="179">
        <f ca="1">IF(OR($D104&lt;&gt;"Serviço",AND(AUTOEVENTO="Manual",$M104=$A$15),$M104&gt;(ROW(PLE.lastrow)-ROW(PLE.firstrow))),0,
           IF(OFFSET(PLE!$G$15,$M104-$A$15,CJ$13)="",10^12,OFFSET(PLE!$G$15,$M104-$A$15,CJ$13)))</f>
        <v>1000000000000</v>
      </c>
      <c r="CK104" s="179">
        <f ca="1">IF(OR($D104&lt;&gt;"Serviço",AND(AUTOEVENTO="Manual",$M104=$A$15),$M104&gt;(ROW(PLE.lastrow)-ROW(PLE.firstrow))),0,
           IF(OFFSET(PLE!$G$15,$M104-$A$15,CK$13)="",10^12,OFFSET(PLE!$G$15,$M104-$A$15,CK$13)))</f>
        <v>1000000000000</v>
      </c>
      <c r="CL104" s="179">
        <f ca="1">IF(OR($D104&lt;&gt;"Serviço",AND(AUTOEVENTO="Manual",$M104=$A$15),$M104&gt;(ROW(PLE.lastrow)-ROW(PLE.firstrow))),0,
           IF(OFFSET(PLE!$G$15,$M104-$A$15,CL$13)="",10^12,OFFSET(PLE!$G$15,$M104-$A$15,CL$13)))</f>
        <v>1000000000000</v>
      </c>
      <c r="CM104" s="179">
        <f ca="1">IF(OR($D104&lt;&gt;"Serviço",AND(AUTOEVENTO="Manual",$M104=$A$15),$M104&gt;(ROW(PLE.lastrow)-ROW(PLE.firstrow))),0,
           IF(OFFSET(PLE!$G$15,$M104-$A$15,CM$13)="",10^12,OFFSET(PLE!$G$15,$M104-$A$15,CM$13)))</f>
        <v>1000000000000</v>
      </c>
    </row>
    <row r="105" spans="1:91" ht="38.25" x14ac:dyDescent="0.2">
      <c r="A105" s="7" t="str">
        <f ca="1">IF(AUTOEVENTO="Manual",IF(K105&lt;&gt;"",MIN(VALUE(LEFT(K105,FIND(".",K105)-1)),COUNTA(EVENTOS.Lista)),0),IF(OR($B105&gt;AUTOEVENTO,$B105="S",$B105=0),SUBSTITUTE(OFFSET($A105,-1,0),IF($D105="Serviço",".",""),""),ROW(A105)-ROW($A$15)&amp;"."))</f>
        <v>71</v>
      </c>
      <c r="B105" s="7" t="str">
        <f ca="1">OFFSET(ORÇAMENTO!C$15,ROW(B105)-ROW(B$15),0)</f>
        <v>S</v>
      </c>
      <c r="C105" s="7" t="str">
        <f ca="1">OFFSET(ORÇAMENTO!L$15,ROW(C105)-ROW(C$15),0)</f>
        <v>F</v>
      </c>
      <c r="D105" s="118" t="str">
        <f ca="1">OFFSET(ORÇAMENTO!N$15,ROW(D105)-ROW(D$15),0)</f>
        <v>Serviço</v>
      </c>
      <c r="E105" s="119" t="str">
        <f ca="1">OFFSET(ORÇAMENTO!O$15,ROW(E105)-ROW(E$15),0)</f>
        <v>1.12.0.0.19.</v>
      </c>
      <c r="F105" s="170" t="str">
        <f ca="1">OFFSET(ORÇAMENTO!R$15,ROW(F105)-ROW(F$15),0)</f>
        <v>ELETRODUTO RÍGIDO ROSCÁVEL, PVC, DN 25 MM (3/4"), PARA CIRCUITOS TERMINAIS, INSTALADO EM PAREDE - FORNECIMENTO E INSTALAÇÃO. AF_03/2023</v>
      </c>
      <c r="G105" s="171" t="str">
        <f ca="1">IF($D105&lt;&gt;"Serviço","",OFFSET(ORÇAMENTO!S$15,ROW(G105)-ROW(G$15),0))</f>
        <v>M</v>
      </c>
      <c r="H105" s="124" cm="1">
        <f t="array" aca="1" ref="H105" ca="1">IF($D105&lt;&gt;"Serviço",0,IF(_xlfn.SINGLE(ACOMPANHAMENTO)="BM",ROUND(OFFSET(ORÇAMENTO!AJ$15,ROW(H105)-ROW(H$15),0),15-13*ORÇAMENTO!$AF$7),SUMPRODUCT(($Q$1:$AI$1)*ROUND($Q105:$AI105,15-13*ORÇAMENTO!$AF$7))))</f>
        <v>58.84</v>
      </c>
      <c r="I105" s="500" t="s">
        <v>1019</v>
      </c>
      <c r="J105" s="632" t="str" cm="1">
        <f t="array" aca="1" ref="J105" ca="1">IF(B105&lt;&gt;"S","",IF(AND(ACOMPANHAMENTO="PLE",AUTOEVENTO="Manual",OR(H105&gt;0,ORÇAMENTO!AC105="QUANT."),OR(K105="",M105=0,N105="")),"►",IF(AND(ACOMPANHAMENTO="PLE",ORÇAMENTO!AC105="QUANT."),"►►",IF(AND(COUNTIF($P$11:$AI$11,"▼")=0,H105&gt;0,I105=""),"◄",""))))</f>
        <v/>
      </c>
      <c r="K105" s="624"/>
      <c r="L105" s="172" t="s">
        <v>253</v>
      </c>
      <c r="M105" s="173">
        <f ca="1">IF($D105&lt;&gt;"Serviço","",
          IF(AUTOEVENTO="manual",$A105,
                IF(ISERROR(MATCH($A105,$A$15:OFFSET($A105,-1,0),0)),MAX($M$15:OFFSET(M105,-1,0))+1,
                      INDEX($M$15:OFFSET(M105,-1,0),MATCH($A105,$A$15:OFFSET($A105,-1,0),0)))))</f>
        <v>12</v>
      </c>
      <c r="N105" s="174" t="str">
        <f ca="1">IF($D105&lt;&gt;"Serviço","",
         IF(AUTOEVENTO="Manual",
                IF($A105=0,"&lt;-- defina o número do agrupador",
                       OFFSET(EVENTOS!$D$15,$A105-$A$15,0)),
                OFFSET($F$15,$A105,0)))</f>
        <v>INSTALAÇÕES ELÉTRICAS</v>
      </c>
      <c r="O105" s="175"/>
      <c r="Q105" s="175"/>
      <c r="R105" s="176"/>
      <c r="S105" s="176"/>
      <c r="T105" s="176">
        <v>58.84</v>
      </c>
      <c r="U105" s="176"/>
      <c r="V105" s="176"/>
      <c r="W105" s="176"/>
      <c r="X105" s="176"/>
      <c r="Y105" s="176"/>
      <c r="Z105" s="177"/>
      <c r="AA105" s="176"/>
      <c r="AB105" s="176"/>
      <c r="AC105" s="176"/>
      <c r="AD105" s="176"/>
      <c r="AE105" s="176"/>
      <c r="AF105" s="176"/>
      <c r="AG105" s="176"/>
      <c r="AH105" s="177"/>
      <c r="AJ105" s="485">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85">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L105" s="485">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0</v>
      </c>
      <c r="AM105" s="485">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1272.1199999999999</v>
      </c>
      <c r="AN105" s="485">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0</v>
      </c>
      <c r="AO105" s="485">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85">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85">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85">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85">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85">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85">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85">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85">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85">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85">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85">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85">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8">
        <f ca="1">IF(OR($D105&lt;&gt;"Serviço",AND(AUTOEVENTO="Manual",$M105=$A$15)),0,
         IF(OFFSET(CRONOPLE!$F$15,$M105-$A$15,BC$13)="",10^12,OFFSET(CRONOPLE!$F$15,$M105-$A$15,BC$13)))</f>
        <v>1</v>
      </c>
      <c r="BD105" s="178">
        <f ca="1">IF(OR($D105&lt;&gt;"Serviço",AND(AUTOEVENTO="Manual",$M105=$A$15)),0,
         IF(OFFSET(CRONOPLE!$F$15,$M105-$A$15,BD$13)="",10^12,OFFSET(CRONOPLE!$F$15,$M105-$A$15,BD$13)))</f>
        <v>2</v>
      </c>
      <c r="BE105" s="178">
        <f ca="1">IF(OR($D105&lt;&gt;"Serviço",AND(AUTOEVENTO="Manual",$M105=$A$15)),0,
         IF(OFFSET(CRONOPLE!$F$15,$M105-$A$15,BE$13)="",10^12,OFFSET(CRONOPLE!$F$15,$M105-$A$15,BE$13)))</f>
        <v>1000000000000</v>
      </c>
      <c r="BF105" s="178">
        <f ca="1">IF(OR($D105&lt;&gt;"Serviço",AND(AUTOEVENTO="Manual",$M105=$A$15)),0,
         IF(OFFSET(CRONOPLE!$F$15,$M105-$A$15,BF$13)="",10^12,OFFSET(CRONOPLE!$F$15,$M105-$A$15,BF$13)))</f>
        <v>4</v>
      </c>
      <c r="BG105" s="178">
        <f ca="1">IF(OR($D105&lt;&gt;"Serviço",AND(AUTOEVENTO="Manual",$M105=$A$15)),0,
         IF(OFFSET(CRONOPLE!$F$15,$M105-$A$15,BG$13)="",10^12,OFFSET(CRONOPLE!$F$15,$M105-$A$15,BG$13)))</f>
        <v>5</v>
      </c>
      <c r="BH105" s="178">
        <f ca="1">IF(OR($D105&lt;&gt;"Serviço",AND(AUTOEVENTO="Manual",$M105=$A$15)),0,
         IF(OFFSET(CRONOPLE!$F$15,$M105-$A$15,BH$13)="",10^12,OFFSET(CRONOPLE!$F$15,$M105-$A$15,BH$13)))</f>
        <v>6</v>
      </c>
      <c r="BI105" s="178">
        <f ca="1">IF(OR($D105&lt;&gt;"Serviço",AND(AUTOEVENTO="Manual",$M105=$A$15)),0,
         IF(OFFSET(CRONOPLE!$F$15,$M105-$A$15,BI$13)="",10^12,OFFSET(CRONOPLE!$F$15,$M105-$A$15,BI$13)))</f>
        <v>7</v>
      </c>
      <c r="BJ105" s="178">
        <f ca="1">IF(OR($D105&lt;&gt;"Serviço",AND(AUTOEVENTO="Manual",$M105=$A$15)),0,
         IF(OFFSET(CRONOPLE!$F$15,$M105-$A$15,BJ$13)="",10^12,OFFSET(CRONOPLE!$F$15,$M105-$A$15,BJ$13)))</f>
        <v>8</v>
      </c>
      <c r="BK105" s="178">
        <f ca="1">IF(OR($D105&lt;&gt;"Serviço",AND(AUTOEVENTO="Manual",$M105=$A$15)),0,
         IF(OFFSET(CRONOPLE!$F$15,$M105-$A$15,BK$13)="",10^12,OFFSET(CRONOPLE!$F$15,$M105-$A$15,BK$13)))</f>
        <v>9</v>
      </c>
      <c r="BL105" s="178">
        <f ca="1">IF(OR($D105&lt;&gt;"Serviço",AND(AUTOEVENTO="Manual",$M105=$A$15)),0,
         IF(OFFSET(CRONOPLE!$F$15,$M105-$A$15,BL$13)="",10^12,OFFSET(CRONOPLE!$F$15,$M105-$A$15,BL$13)))</f>
        <v>10</v>
      </c>
      <c r="BM105" s="178">
        <f ca="1">IF(OR($D105&lt;&gt;"Serviço",AND(AUTOEVENTO="Manual",$M105=$A$15)),0,
         IF(OFFSET(CRONOPLE!$F$15,$M105-$A$15,BM$13)="",10^12,OFFSET(CRONOPLE!$F$15,$M105-$A$15,BM$13)))</f>
        <v>1000000000000</v>
      </c>
      <c r="BN105" s="178">
        <f ca="1">IF(OR($D105&lt;&gt;"Serviço",AND(AUTOEVENTO="Manual",$M105=$A$15)),0,
         IF(OFFSET(CRONOPLE!$F$15,$M105-$A$15,BN$13)="",10^12,OFFSET(CRONOPLE!$F$15,$M105-$A$15,BN$13)))</f>
        <v>1000000000000</v>
      </c>
      <c r="BO105" s="178">
        <f ca="1">IF(OR($D105&lt;&gt;"Serviço",AND(AUTOEVENTO="Manual",$M105=$A$15)),0,
         IF(OFFSET(CRONOPLE!$F$15,$M105-$A$15,BO$13)="",10^12,OFFSET(CRONOPLE!$F$15,$M105-$A$15,BO$13)))</f>
        <v>1000000000000</v>
      </c>
      <c r="BP105" s="178">
        <f ca="1">IF(OR($D105&lt;&gt;"Serviço",AND(AUTOEVENTO="Manual",$M105=$A$15)),0,
         IF(OFFSET(CRONOPLE!$F$15,$M105-$A$15,BP$13)="",10^12,OFFSET(CRONOPLE!$F$15,$M105-$A$15,BP$13)))</f>
        <v>1000000000000</v>
      </c>
      <c r="BQ105" s="178">
        <f ca="1">IF(OR($D105&lt;&gt;"Serviço",AND(AUTOEVENTO="Manual",$M105=$A$15)),0,
         IF(OFFSET(CRONOPLE!$F$15,$M105-$A$15,BQ$13)="",10^12,OFFSET(CRONOPLE!$F$15,$M105-$A$15,BQ$13)))</f>
        <v>15</v>
      </c>
      <c r="BR105" s="178">
        <f ca="1">IF(OR($D105&lt;&gt;"Serviço",AND(AUTOEVENTO="Manual",$M105=$A$15)),0,
         IF(OFFSET(CRONOPLE!$F$15,$M105-$A$15,BR$13)="",10^12,OFFSET(CRONOPLE!$F$15,$M105-$A$15,BR$13)))</f>
        <v>1000000000000</v>
      </c>
      <c r="BS105" s="178">
        <f ca="1">IF(OR($D105&lt;&gt;"Serviço",AND(AUTOEVENTO="Manual",$M105=$A$15)),0,
         IF(OFFSET(CRONOPLE!$F$15,$M105-$A$15,BS$13)="",10^12,OFFSET(CRONOPLE!$F$15,$M105-$A$15,BS$13)))</f>
        <v>1000000000000</v>
      </c>
      <c r="BT105" s="178">
        <f ca="1">IF(OR($D105&lt;&gt;"Serviço",AND(AUTOEVENTO="Manual",$M105=$A$15)),0,
         IF(OFFSET(CRONOPLE!$F$15,$M105-$A$15,BT$13)="",10^12,OFFSET(CRONOPLE!$F$15,$M105-$A$15,BT$13)))</f>
        <v>1000000000000</v>
      </c>
      <c r="BV105" s="179">
        <f ca="1">IF(OR($D105&lt;&gt;"Serviço",AND(AUTOEVENTO="Manual",$M105=$A$15),$M105&gt;(ROW(PLE.lastrow)-ROW(PLE.firstrow))),0,
           IF(OFFSET(PLE!$G$15,$M105-$A$15,BV$13)="",10^12,OFFSET(PLE!$G$15,$M105-$A$15,BV$13)))</f>
        <v>1000000000000</v>
      </c>
      <c r="BW105" s="179">
        <f ca="1">IF(OR($D105&lt;&gt;"Serviço",AND(AUTOEVENTO="Manual",$M105=$A$15),$M105&gt;(ROW(PLE.lastrow)-ROW(PLE.firstrow))),0,
           IF(OFFSET(PLE!$G$15,$M105-$A$15,BW$13)="",10^12,OFFSET(PLE!$G$15,$M105-$A$15,BW$13)))</f>
        <v>1000000000000</v>
      </c>
      <c r="BX105" s="179">
        <f ca="1">IF(OR($D105&lt;&gt;"Serviço",AND(AUTOEVENTO="Manual",$M105=$A$15),$M105&gt;(ROW(PLE.lastrow)-ROW(PLE.firstrow))),0,
           IF(OFFSET(PLE!$G$15,$M105-$A$15,BX$13)="",10^12,OFFSET(PLE!$G$15,$M105-$A$15,BX$13)))</f>
        <v>1000000000000</v>
      </c>
      <c r="BY105" s="179">
        <f ca="1">IF(OR($D105&lt;&gt;"Serviço",AND(AUTOEVENTO="Manual",$M105=$A$15),$M105&gt;(ROW(PLE.lastrow)-ROW(PLE.firstrow))),0,
           IF(OFFSET(PLE!$G$15,$M105-$A$15,BY$13)="",10^12,OFFSET(PLE!$G$15,$M105-$A$15,BY$13)))</f>
        <v>1000000000000</v>
      </c>
      <c r="BZ105" s="179">
        <f ca="1">IF(OR($D105&lt;&gt;"Serviço",AND(AUTOEVENTO="Manual",$M105=$A$15),$M105&gt;(ROW(PLE.lastrow)-ROW(PLE.firstrow))),0,
           IF(OFFSET(PLE!$G$15,$M105-$A$15,BZ$13)="",10^12,OFFSET(PLE!$G$15,$M105-$A$15,BZ$13)))</f>
        <v>1000000000000</v>
      </c>
      <c r="CA105" s="179">
        <f ca="1">IF(OR($D105&lt;&gt;"Serviço",AND(AUTOEVENTO="Manual",$M105=$A$15),$M105&gt;(ROW(PLE.lastrow)-ROW(PLE.firstrow))),0,
           IF(OFFSET(PLE!$G$15,$M105-$A$15,CA$13)="",10^12,OFFSET(PLE!$G$15,$M105-$A$15,CA$13)))</f>
        <v>1000000000000</v>
      </c>
      <c r="CB105" s="179">
        <f ca="1">IF(OR($D105&lt;&gt;"Serviço",AND(AUTOEVENTO="Manual",$M105=$A$15),$M105&gt;(ROW(PLE.lastrow)-ROW(PLE.firstrow))),0,
           IF(OFFSET(PLE!$G$15,$M105-$A$15,CB$13)="",10^12,OFFSET(PLE!$G$15,$M105-$A$15,CB$13)))</f>
        <v>1000000000000</v>
      </c>
      <c r="CC105" s="179">
        <f ca="1">IF(OR($D105&lt;&gt;"Serviço",AND(AUTOEVENTO="Manual",$M105=$A$15),$M105&gt;(ROW(PLE.lastrow)-ROW(PLE.firstrow))),0,
           IF(OFFSET(PLE!$G$15,$M105-$A$15,CC$13)="",10^12,OFFSET(PLE!$G$15,$M105-$A$15,CC$13)))</f>
        <v>1000000000000</v>
      </c>
      <c r="CD105" s="179">
        <f ca="1">IF(OR($D105&lt;&gt;"Serviço",AND(AUTOEVENTO="Manual",$M105=$A$15),$M105&gt;(ROW(PLE.lastrow)-ROW(PLE.firstrow))),0,
           IF(OFFSET(PLE!$G$15,$M105-$A$15,CD$13)="",10^12,OFFSET(PLE!$G$15,$M105-$A$15,CD$13)))</f>
        <v>1000000000000</v>
      </c>
      <c r="CE105" s="179">
        <f ca="1">IF(OR($D105&lt;&gt;"Serviço",AND(AUTOEVENTO="Manual",$M105=$A$15),$M105&gt;(ROW(PLE.lastrow)-ROW(PLE.firstrow))),0,
           IF(OFFSET(PLE!$G$15,$M105-$A$15,CE$13)="",10^12,OFFSET(PLE!$G$15,$M105-$A$15,CE$13)))</f>
        <v>1000000000000</v>
      </c>
      <c r="CF105" s="179">
        <f ca="1">IF(OR($D105&lt;&gt;"Serviço",AND(AUTOEVENTO="Manual",$M105=$A$15),$M105&gt;(ROW(PLE.lastrow)-ROW(PLE.firstrow))),0,
           IF(OFFSET(PLE!$G$15,$M105-$A$15,CF$13)="",10^12,OFFSET(PLE!$G$15,$M105-$A$15,CF$13)))</f>
        <v>1000000000000</v>
      </c>
      <c r="CG105" s="179">
        <f ca="1">IF(OR($D105&lt;&gt;"Serviço",AND(AUTOEVENTO="Manual",$M105=$A$15),$M105&gt;(ROW(PLE.lastrow)-ROW(PLE.firstrow))),0,
           IF(OFFSET(PLE!$G$15,$M105-$A$15,CG$13)="",10^12,OFFSET(PLE!$G$15,$M105-$A$15,CG$13)))</f>
        <v>1000000000000</v>
      </c>
      <c r="CH105" s="179">
        <f ca="1">IF(OR($D105&lt;&gt;"Serviço",AND(AUTOEVENTO="Manual",$M105=$A$15),$M105&gt;(ROW(PLE.lastrow)-ROW(PLE.firstrow))),0,
           IF(OFFSET(PLE!$G$15,$M105-$A$15,CH$13)="",10^12,OFFSET(PLE!$G$15,$M105-$A$15,CH$13)))</f>
        <v>1000000000000</v>
      </c>
      <c r="CI105" s="179">
        <f ca="1">IF(OR($D105&lt;&gt;"Serviço",AND(AUTOEVENTO="Manual",$M105=$A$15),$M105&gt;(ROW(PLE.lastrow)-ROW(PLE.firstrow))),0,
           IF(OFFSET(PLE!$G$15,$M105-$A$15,CI$13)="",10^12,OFFSET(PLE!$G$15,$M105-$A$15,CI$13)))</f>
        <v>1000000000000</v>
      </c>
      <c r="CJ105" s="179">
        <f ca="1">IF(OR($D105&lt;&gt;"Serviço",AND(AUTOEVENTO="Manual",$M105=$A$15),$M105&gt;(ROW(PLE.lastrow)-ROW(PLE.firstrow))),0,
           IF(OFFSET(PLE!$G$15,$M105-$A$15,CJ$13)="",10^12,OFFSET(PLE!$G$15,$M105-$A$15,CJ$13)))</f>
        <v>1000000000000</v>
      </c>
      <c r="CK105" s="179">
        <f ca="1">IF(OR($D105&lt;&gt;"Serviço",AND(AUTOEVENTO="Manual",$M105=$A$15),$M105&gt;(ROW(PLE.lastrow)-ROW(PLE.firstrow))),0,
           IF(OFFSET(PLE!$G$15,$M105-$A$15,CK$13)="",10^12,OFFSET(PLE!$G$15,$M105-$A$15,CK$13)))</f>
        <v>1000000000000</v>
      </c>
      <c r="CL105" s="179">
        <f ca="1">IF(OR($D105&lt;&gt;"Serviço",AND(AUTOEVENTO="Manual",$M105=$A$15),$M105&gt;(ROW(PLE.lastrow)-ROW(PLE.firstrow))),0,
           IF(OFFSET(PLE!$G$15,$M105-$A$15,CL$13)="",10^12,OFFSET(PLE!$G$15,$M105-$A$15,CL$13)))</f>
        <v>1000000000000</v>
      </c>
      <c r="CM105" s="179">
        <f ca="1">IF(OR($D105&lt;&gt;"Serviço",AND(AUTOEVENTO="Manual",$M105=$A$15),$M105&gt;(ROW(PLE.lastrow)-ROW(PLE.firstrow))),0,
           IF(OFFSET(PLE!$G$15,$M105-$A$15,CM$13)="",10^12,OFFSET(PLE!$G$15,$M105-$A$15,CM$13)))</f>
        <v>1000000000000</v>
      </c>
    </row>
    <row r="106" spans="1:91" ht="38.25" x14ac:dyDescent="0.2">
      <c r="A106" s="7" t="str">
        <f ca="1">IF(AUTOEVENTO="Manual",IF(K106&lt;&gt;"",MIN(VALUE(LEFT(K106,FIND(".",K106)-1)),COUNTA(EVENTOS.Lista)),0),IF(OR($B106&gt;AUTOEVENTO,$B106="S",$B106=0),SUBSTITUTE(OFFSET($A106,-1,0),IF($D106="Serviço",".",""),""),ROW(A106)-ROW($A$15)&amp;"."))</f>
        <v>71</v>
      </c>
      <c r="B106" s="7" t="str">
        <f ca="1">OFFSET(ORÇAMENTO!C$15,ROW(B106)-ROW(B$15),0)</f>
        <v>S</v>
      </c>
      <c r="C106" s="7" t="str">
        <f ca="1">OFFSET(ORÇAMENTO!L$15,ROW(C106)-ROW(C$15),0)</f>
        <v>F</v>
      </c>
      <c r="D106" s="118" t="str">
        <f ca="1">OFFSET(ORÇAMENTO!N$15,ROW(D106)-ROW(D$15),0)</f>
        <v>Serviço</v>
      </c>
      <c r="E106" s="119" t="str">
        <f ca="1">OFFSET(ORÇAMENTO!O$15,ROW(E106)-ROW(E$15),0)</f>
        <v>1.12.0.0.20.</v>
      </c>
      <c r="F106" s="170" t="str">
        <f ca="1">OFFSET(ORÇAMENTO!R$15,ROW(F106)-ROW(F$15),0)</f>
        <v>ELETRODUTO RÍGIDO ROSCÁVEL, PVC, DN 40 MM (1 1/4"), PARA CIRCUITOS TERMINAIS, INSTALADO EM PAREDE - FORNECIMENTO E INSTALAÇÃO. AF_03/2023</v>
      </c>
      <c r="G106" s="171" t="str">
        <f ca="1">IF($D106&lt;&gt;"Serviço","",OFFSET(ORÇAMENTO!S$15,ROW(G106)-ROW(G$15),0))</f>
        <v>M</v>
      </c>
      <c r="H106" s="124" cm="1">
        <f t="array" aca="1" ref="H106" ca="1">IF($D106&lt;&gt;"Serviço",0,IF(_xlfn.SINGLE(ACOMPANHAMENTO)="BM",ROUND(OFFSET(ORÇAMENTO!AJ$15,ROW(H106)-ROW(H$15),0),15-13*ORÇAMENTO!$AF$7),SUMPRODUCT(($Q$1:$AI$1)*ROUND($Q106:$AI106,15-13*ORÇAMENTO!$AF$7))))</f>
        <v>7</v>
      </c>
      <c r="I106" s="500" t="s">
        <v>1019</v>
      </c>
      <c r="J106" s="632" t="str" cm="1">
        <f t="array" aca="1" ref="J106" ca="1">IF(B106&lt;&gt;"S","",IF(AND(ACOMPANHAMENTO="PLE",AUTOEVENTO="Manual",OR(H106&gt;0,ORÇAMENTO!AC106="QUANT."),OR(K106="",M106=0,N106="")),"►",IF(AND(ACOMPANHAMENTO="PLE",ORÇAMENTO!AC106="QUANT."),"►►",IF(AND(COUNTIF($P$11:$AI$11,"▼")=0,H106&gt;0,I106=""),"◄",""))))</f>
        <v/>
      </c>
      <c r="K106" s="624"/>
      <c r="L106" s="172" t="s">
        <v>253</v>
      </c>
      <c r="M106" s="173">
        <f ca="1">IF($D106&lt;&gt;"Serviço","",
          IF(AUTOEVENTO="manual",$A106,
                IF(ISERROR(MATCH($A106,$A$15:OFFSET($A106,-1,0),0)),MAX($M$15:OFFSET(M106,-1,0))+1,
                      INDEX($M$15:OFFSET(M106,-1,0),MATCH($A106,$A$15:OFFSET($A106,-1,0),0)))))</f>
        <v>12</v>
      </c>
      <c r="N106" s="174" t="str">
        <f ca="1">IF($D106&lt;&gt;"Serviço","",
         IF(AUTOEVENTO="Manual",
                IF($A106=0,"&lt;-- defina o número do agrupador",
                       OFFSET(EVENTOS!$D$15,$A106-$A$15,0)),
                OFFSET($F$15,$A106,0)))</f>
        <v>INSTALAÇÕES ELÉTRICAS</v>
      </c>
      <c r="O106" s="175"/>
      <c r="Q106" s="175"/>
      <c r="R106" s="176"/>
      <c r="S106" s="176"/>
      <c r="T106" s="176">
        <v>7</v>
      </c>
      <c r="U106" s="176"/>
      <c r="V106" s="176"/>
      <c r="W106" s="176"/>
      <c r="X106" s="176"/>
      <c r="Y106" s="176"/>
      <c r="Z106" s="177"/>
      <c r="AA106" s="176"/>
      <c r="AB106" s="176"/>
      <c r="AC106" s="176"/>
      <c r="AD106" s="176"/>
      <c r="AE106" s="176"/>
      <c r="AF106" s="176"/>
      <c r="AG106" s="176"/>
      <c r="AH106" s="177"/>
      <c r="AJ106" s="485">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85">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85">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85">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222.81</v>
      </c>
      <c r="AN106" s="485">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0</v>
      </c>
      <c r="AO106" s="485">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0</v>
      </c>
      <c r="AP106" s="485">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85">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85">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85">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85">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85">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85">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85">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85">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85">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85">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85">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8">
        <f ca="1">IF(OR($D106&lt;&gt;"Serviço",AND(AUTOEVENTO="Manual",$M106=$A$15)),0,
         IF(OFFSET(CRONOPLE!$F$15,$M106-$A$15,BC$13)="",10^12,OFFSET(CRONOPLE!$F$15,$M106-$A$15,BC$13)))</f>
        <v>1</v>
      </c>
      <c r="BD106" s="178">
        <f ca="1">IF(OR($D106&lt;&gt;"Serviço",AND(AUTOEVENTO="Manual",$M106=$A$15)),0,
         IF(OFFSET(CRONOPLE!$F$15,$M106-$A$15,BD$13)="",10^12,OFFSET(CRONOPLE!$F$15,$M106-$A$15,BD$13)))</f>
        <v>2</v>
      </c>
      <c r="BE106" s="178">
        <f ca="1">IF(OR($D106&lt;&gt;"Serviço",AND(AUTOEVENTO="Manual",$M106=$A$15)),0,
         IF(OFFSET(CRONOPLE!$F$15,$M106-$A$15,BE$13)="",10^12,OFFSET(CRONOPLE!$F$15,$M106-$A$15,BE$13)))</f>
        <v>1000000000000</v>
      </c>
      <c r="BF106" s="178">
        <f ca="1">IF(OR($D106&lt;&gt;"Serviço",AND(AUTOEVENTO="Manual",$M106=$A$15)),0,
         IF(OFFSET(CRONOPLE!$F$15,$M106-$A$15,BF$13)="",10^12,OFFSET(CRONOPLE!$F$15,$M106-$A$15,BF$13)))</f>
        <v>4</v>
      </c>
      <c r="BG106" s="178">
        <f ca="1">IF(OR($D106&lt;&gt;"Serviço",AND(AUTOEVENTO="Manual",$M106=$A$15)),0,
         IF(OFFSET(CRONOPLE!$F$15,$M106-$A$15,BG$13)="",10^12,OFFSET(CRONOPLE!$F$15,$M106-$A$15,BG$13)))</f>
        <v>5</v>
      </c>
      <c r="BH106" s="178">
        <f ca="1">IF(OR($D106&lt;&gt;"Serviço",AND(AUTOEVENTO="Manual",$M106=$A$15)),0,
         IF(OFFSET(CRONOPLE!$F$15,$M106-$A$15,BH$13)="",10^12,OFFSET(CRONOPLE!$F$15,$M106-$A$15,BH$13)))</f>
        <v>6</v>
      </c>
      <c r="BI106" s="178">
        <f ca="1">IF(OR($D106&lt;&gt;"Serviço",AND(AUTOEVENTO="Manual",$M106=$A$15)),0,
         IF(OFFSET(CRONOPLE!$F$15,$M106-$A$15,BI$13)="",10^12,OFFSET(CRONOPLE!$F$15,$M106-$A$15,BI$13)))</f>
        <v>7</v>
      </c>
      <c r="BJ106" s="178">
        <f ca="1">IF(OR($D106&lt;&gt;"Serviço",AND(AUTOEVENTO="Manual",$M106=$A$15)),0,
         IF(OFFSET(CRONOPLE!$F$15,$M106-$A$15,BJ$13)="",10^12,OFFSET(CRONOPLE!$F$15,$M106-$A$15,BJ$13)))</f>
        <v>8</v>
      </c>
      <c r="BK106" s="178">
        <f ca="1">IF(OR($D106&lt;&gt;"Serviço",AND(AUTOEVENTO="Manual",$M106=$A$15)),0,
         IF(OFFSET(CRONOPLE!$F$15,$M106-$A$15,BK$13)="",10^12,OFFSET(CRONOPLE!$F$15,$M106-$A$15,BK$13)))</f>
        <v>9</v>
      </c>
      <c r="BL106" s="178">
        <f ca="1">IF(OR($D106&lt;&gt;"Serviço",AND(AUTOEVENTO="Manual",$M106=$A$15)),0,
         IF(OFFSET(CRONOPLE!$F$15,$M106-$A$15,BL$13)="",10^12,OFFSET(CRONOPLE!$F$15,$M106-$A$15,BL$13)))</f>
        <v>10</v>
      </c>
      <c r="BM106" s="178">
        <f ca="1">IF(OR($D106&lt;&gt;"Serviço",AND(AUTOEVENTO="Manual",$M106=$A$15)),0,
         IF(OFFSET(CRONOPLE!$F$15,$M106-$A$15,BM$13)="",10^12,OFFSET(CRONOPLE!$F$15,$M106-$A$15,BM$13)))</f>
        <v>1000000000000</v>
      </c>
      <c r="BN106" s="178">
        <f ca="1">IF(OR($D106&lt;&gt;"Serviço",AND(AUTOEVENTO="Manual",$M106=$A$15)),0,
         IF(OFFSET(CRONOPLE!$F$15,$M106-$A$15,BN$13)="",10^12,OFFSET(CRONOPLE!$F$15,$M106-$A$15,BN$13)))</f>
        <v>1000000000000</v>
      </c>
      <c r="BO106" s="178">
        <f ca="1">IF(OR($D106&lt;&gt;"Serviço",AND(AUTOEVENTO="Manual",$M106=$A$15)),0,
         IF(OFFSET(CRONOPLE!$F$15,$M106-$A$15,BO$13)="",10^12,OFFSET(CRONOPLE!$F$15,$M106-$A$15,BO$13)))</f>
        <v>1000000000000</v>
      </c>
      <c r="BP106" s="178">
        <f ca="1">IF(OR($D106&lt;&gt;"Serviço",AND(AUTOEVENTO="Manual",$M106=$A$15)),0,
         IF(OFFSET(CRONOPLE!$F$15,$M106-$A$15,BP$13)="",10^12,OFFSET(CRONOPLE!$F$15,$M106-$A$15,BP$13)))</f>
        <v>1000000000000</v>
      </c>
      <c r="BQ106" s="178">
        <f ca="1">IF(OR($D106&lt;&gt;"Serviço",AND(AUTOEVENTO="Manual",$M106=$A$15)),0,
         IF(OFFSET(CRONOPLE!$F$15,$M106-$A$15,BQ$13)="",10^12,OFFSET(CRONOPLE!$F$15,$M106-$A$15,BQ$13)))</f>
        <v>15</v>
      </c>
      <c r="BR106" s="178">
        <f ca="1">IF(OR($D106&lt;&gt;"Serviço",AND(AUTOEVENTO="Manual",$M106=$A$15)),0,
         IF(OFFSET(CRONOPLE!$F$15,$M106-$A$15,BR$13)="",10^12,OFFSET(CRONOPLE!$F$15,$M106-$A$15,BR$13)))</f>
        <v>1000000000000</v>
      </c>
      <c r="BS106" s="178">
        <f ca="1">IF(OR($D106&lt;&gt;"Serviço",AND(AUTOEVENTO="Manual",$M106=$A$15)),0,
         IF(OFFSET(CRONOPLE!$F$15,$M106-$A$15,BS$13)="",10^12,OFFSET(CRONOPLE!$F$15,$M106-$A$15,BS$13)))</f>
        <v>1000000000000</v>
      </c>
      <c r="BT106" s="178">
        <f ca="1">IF(OR($D106&lt;&gt;"Serviço",AND(AUTOEVENTO="Manual",$M106=$A$15)),0,
         IF(OFFSET(CRONOPLE!$F$15,$M106-$A$15,BT$13)="",10^12,OFFSET(CRONOPLE!$F$15,$M106-$A$15,BT$13)))</f>
        <v>1000000000000</v>
      </c>
      <c r="BV106" s="179">
        <f ca="1">IF(OR($D106&lt;&gt;"Serviço",AND(AUTOEVENTO="Manual",$M106=$A$15),$M106&gt;(ROW(PLE.lastrow)-ROW(PLE.firstrow))),0,
           IF(OFFSET(PLE!$G$15,$M106-$A$15,BV$13)="",10^12,OFFSET(PLE!$G$15,$M106-$A$15,BV$13)))</f>
        <v>1000000000000</v>
      </c>
      <c r="BW106" s="179">
        <f ca="1">IF(OR($D106&lt;&gt;"Serviço",AND(AUTOEVENTO="Manual",$M106=$A$15),$M106&gt;(ROW(PLE.lastrow)-ROW(PLE.firstrow))),0,
           IF(OFFSET(PLE!$G$15,$M106-$A$15,BW$13)="",10^12,OFFSET(PLE!$G$15,$M106-$A$15,BW$13)))</f>
        <v>1000000000000</v>
      </c>
      <c r="BX106" s="179">
        <f ca="1">IF(OR($D106&lt;&gt;"Serviço",AND(AUTOEVENTO="Manual",$M106=$A$15),$M106&gt;(ROW(PLE.lastrow)-ROW(PLE.firstrow))),0,
           IF(OFFSET(PLE!$G$15,$M106-$A$15,BX$13)="",10^12,OFFSET(PLE!$G$15,$M106-$A$15,BX$13)))</f>
        <v>1000000000000</v>
      </c>
      <c r="BY106" s="179">
        <f ca="1">IF(OR($D106&lt;&gt;"Serviço",AND(AUTOEVENTO="Manual",$M106=$A$15),$M106&gt;(ROW(PLE.lastrow)-ROW(PLE.firstrow))),0,
           IF(OFFSET(PLE!$G$15,$M106-$A$15,BY$13)="",10^12,OFFSET(PLE!$G$15,$M106-$A$15,BY$13)))</f>
        <v>1000000000000</v>
      </c>
      <c r="BZ106" s="179">
        <f ca="1">IF(OR($D106&lt;&gt;"Serviço",AND(AUTOEVENTO="Manual",$M106=$A$15),$M106&gt;(ROW(PLE.lastrow)-ROW(PLE.firstrow))),0,
           IF(OFFSET(PLE!$G$15,$M106-$A$15,BZ$13)="",10^12,OFFSET(PLE!$G$15,$M106-$A$15,BZ$13)))</f>
        <v>1000000000000</v>
      </c>
      <c r="CA106" s="179">
        <f ca="1">IF(OR($D106&lt;&gt;"Serviço",AND(AUTOEVENTO="Manual",$M106=$A$15),$M106&gt;(ROW(PLE.lastrow)-ROW(PLE.firstrow))),0,
           IF(OFFSET(PLE!$G$15,$M106-$A$15,CA$13)="",10^12,OFFSET(PLE!$G$15,$M106-$A$15,CA$13)))</f>
        <v>1000000000000</v>
      </c>
      <c r="CB106" s="179">
        <f ca="1">IF(OR($D106&lt;&gt;"Serviço",AND(AUTOEVENTO="Manual",$M106=$A$15),$M106&gt;(ROW(PLE.lastrow)-ROW(PLE.firstrow))),0,
           IF(OFFSET(PLE!$G$15,$M106-$A$15,CB$13)="",10^12,OFFSET(PLE!$G$15,$M106-$A$15,CB$13)))</f>
        <v>1000000000000</v>
      </c>
      <c r="CC106" s="179">
        <f ca="1">IF(OR($D106&lt;&gt;"Serviço",AND(AUTOEVENTO="Manual",$M106=$A$15),$M106&gt;(ROW(PLE.lastrow)-ROW(PLE.firstrow))),0,
           IF(OFFSET(PLE!$G$15,$M106-$A$15,CC$13)="",10^12,OFFSET(PLE!$G$15,$M106-$A$15,CC$13)))</f>
        <v>1000000000000</v>
      </c>
      <c r="CD106" s="179">
        <f ca="1">IF(OR($D106&lt;&gt;"Serviço",AND(AUTOEVENTO="Manual",$M106=$A$15),$M106&gt;(ROW(PLE.lastrow)-ROW(PLE.firstrow))),0,
           IF(OFFSET(PLE!$G$15,$M106-$A$15,CD$13)="",10^12,OFFSET(PLE!$G$15,$M106-$A$15,CD$13)))</f>
        <v>1000000000000</v>
      </c>
      <c r="CE106" s="179">
        <f ca="1">IF(OR($D106&lt;&gt;"Serviço",AND(AUTOEVENTO="Manual",$M106=$A$15),$M106&gt;(ROW(PLE.lastrow)-ROW(PLE.firstrow))),0,
           IF(OFFSET(PLE!$G$15,$M106-$A$15,CE$13)="",10^12,OFFSET(PLE!$G$15,$M106-$A$15,CE$13)))</f>
        <v>1000000000000</v>
      </c>
      <c r="CF106" s="179">
        <f ca="1">IF(OR($D106&lt;&gt;"Serviço",AND(AUTOEVENTO="Manual",$M106=$A$15),$M106&gt;(ROW(PLE.lastrow)-ROW(PLE.firstrow))),0,
           IF(OFFSET(PLE!$G$15,$M106-$A$15,CF$13)="",10^12,OFFSET(PLE!$G$15,$M106-$A$15,CF$13)))</f>
        <v>1000000000000</v>
      </c>
      <c r="CG106" s="179">
        <f ca="1">IF(OR($D106&lt;&gt;"Serviço",AND(AUTOEVENTO="Manual",$M106=$A$15),$M106&gt;(ROW(PLE.lastrow)-ROW(PLE.firstrow))),0,
           IF(OFFSET(PLE!$G$15,$M106-$A$15,CG$13)="",10^12,OFFSET(PLE!$G$15,$M106-$A$15,CG$13)))</f>
        <v>1000000000000</v>
      </c>
      <c r="CH106" s="179">
        <f ca="1">IF(OR($D106&lt;&gt;"Serviço",AND(AUTOEVENTO="Manual",$M106=$A$15),$M106&gt;(ROW(PLE.lastrow)-ROW(PLE.firstrow))),0,
           IF(OFFSET(PLE!$G$15,$M106-$A$15,CH$13)="",10^12,OFFSET(PLE!$G$15,$M106-$A$15,CH$13)))</f>
        <v>1000000000000</v>
      </c>
      <c r="CI106" s="179">
        <f ca="1">IF(OR($D106&lt;&gt;"Serviço",AND(AUTOEVENTO="Manual",$M106=$A$15),$M106&gt;(ROW(PLE.lastrow)-ROW(PLE.firstrow))),0,
           IF(OFFSET(PLE!$G$15,$M106-$A$15,CI$13)="",10^12,OFFSET(PLE!$G$15,$M106-$A$15,CI$13)))</f>
        <v>1000000000000</v>
      </c>
      <c r="CJ106" s="179">
        <f ca="1">IF(OR($D106&lt;&gt;"Serviço",AND(AUTOEVENTO="Manual",$M106=$A$15),$M106&gt;(ROW(PLE.lastrow)-ROW(PLE.firstrow))),0,
           IF(OFFSET(PLE!$G$15,$M106-$A$15,CJ$13)="",10^12,OFFSET(PLE!$G$15,$M106-$A$15,CJ$13)))</f>
        <v>1000000000000</v>
      </c>
      <c r="CK106" s="179">
        <f ca="1">IF(OR($D106&lt;&gt;"Serviço",AND(AUTOEVENTO="Manual",$M106=$A$15),$M106&gt;(ROW(PLE.lastrow)-ROW(PLE.firstrow))),0,
           IF(OFFSET(PLE!$G$15,$M106-$A$15,CK$13)="",10^12,OFFSET(PLE!$G$15,$M106-$A$15,CK$13)))</f>
        <v>1000000000000</v>
      </c>
      <c r="CL106" s="179">
        <f ca="1">IF(OR($D106&lt;&gt;"Serviço",AND(AUTOEVENTO="Manual",$M106=$A$15),$M106&gt;(ROW(PLE.lastrow)-ROW(PLE.firstrow))),0,
           IF(OFFSET(PLE!$G$15,$M106-$A$15,CL$13)="",10^12,OFFSET(PLE!$G$15,$M106-$A$15,CL$13)))</f>
        <v>1000000000000</v>
      </c>
      <c r="CM106" s="179">
        <f ca="1">IF(OR($D106&lt;&gt;"Serviço",AND(AUTOEVENTO="Manual",$M106=$A$15),$M106&gt;(ROW(PLE.lastrow)-ROW(PLE.firstrow))),0,
           IF(OFFSET(PLE!$G$15,$M106-$A$15,CM$13)="",10^12,OFFSET(PLE!$G$15,$M106-$A$15,CM$13)))</f>
        <v>1000000000000</v>
      </c>
    </row>
    <row r="107" spans="1:91" ht="38.25" x14ac:dyDescent="0.2">
      <c r="A107" s="7" t="str">
        <f ca="1">IF(AUTOEVENTO="Manual",IF(K107&lt;&gt;"",MIN(VALUE(LEFT(K107,FIND(".",K107)-1)),COUNTA(EVENTOS.Lista)),0),IF(OR($B107&gt;AUTOEVENTO,$B107="S",$B107=0),SUBSTITUTE(OFFSET($A107,-1,0),IF($D107="Serviço",".",""),""),ROW(A107)-ROW($A$15)&amp;"."))</f>
        <v>71</v>
      </c>
      <c r="B107" s="7" t="str">
        <f ca="1">OFFSET(ORÇAMENTO!C$15,ROW(B107)-ROW(B$15),0)</f>
        <v>S</v>
      </c>
      <c r="C107" s="7" t="str">
        <f ca="1">OFFSET(ORÇAMENTO!L$15,ROW(C107)-ROW(C$15),0)</f>
        <v>F</v>
      </c>
      <c r="D107" s="118" t="str">
        <f ca="1">OFFSET(ORÇAMENTO!N$15,ROW(D107)-ROW(D$15),0)</f>
        <v>Serviço</v>
      </c>
      <c r="E107" s="119" t="str">
        <f ca="1">OFFSET(ORÇAMENTO!O$15,ROW(E107)-ROW(E$15),0)</f>
        <v>1.12.0.0.21.</v>
      </c>
      <c r="F107" s="170" t="str">
        <f ca="1">OFFSET(ORÇAMENTO!R$15,ROW(F107)-ROW(F$15),0)</f>
        <v>CABO DE COBRE FLEXÍVEL ISOLADO, 10 MM², ANTI-CHAMA 0,6/1,0 KV, PARA CIRCUITOS TERMINAIS - FORNECIMENTO E INSTALAÇÃO. AF_03/2023</v>
      </c>
      <c r="G107" s="171" t="str">
        <f ca="1">IF($D107&lt;&gt;"Serviço","",OFFSET(ORÇAMENTO!S$15,ROW(G107)-ROW(G$15),0))</f>
        <v>M</v>
      </c>
      <c r="H107" s="124" cm="1">
        <f t="array" aca="1" ref="H107" ca="1">IF($D107&lt;&gt;"Serviço",0,IF(_xlfn.SINGLE(ACOMPANHAMENTO)="BM",ROUND(OFFSET(ORÇAMENTO!AJ$15,ROW(H107)-ROW(H$15),0),15-13*ORÇAMENTO!$AF$7),SUMPRODUCT(($Q$1:$AI$1)*ROUND($Q107:$AI107,15-13*ORÇAMENTO!$AF$7))))</f>
        <v>8</v>
      </c>
      <c r="I107" s="500" t="s">
        <v>1019</v>
      </c>
      <c r="J107" s="632" t="str" cm="1">
        <f t="array" aca="1" ref="J107" ca="1">IF(B107&lt;&gt;"S","",IF(AND(ACOMPANHAMENTO="PLE",AUTOEVENTO="Manual",OR(H107&gt;0,ORÇAMENTO!AC107="QUANT."),OR(K107="",M107=0,N107="")),"►",IF(AND(ACOMPANHAMENTO="PLE",ORÇAMENTO!AC107="QUANT."),"►►",IF(AND(COUNTIF($P$11:$AI$11,"▼")=0,H107&gt;0,I107=""),"◄",""))))</f>
        <v/>
      </c>
      <c r="K107" s="624"/>
      <c r="L107" s="172" t="s">
        <v>253</v>
      </c>
      <c r="M107" s="173">
        <f ca="1">IF($D107&lt;&gt;"Serviço","",
          IF(AUTOEVENTO="manual",$A107,
                IF(ISERROR(MATCH($A107,$A$15:OFFSET($A107,-1,0),0)),MAX($M$15:OFFSET(M107,-1,0))+1,
                      INDEX($M$15:OFFSET(M107,-1,0),MATCH($A107,$A$15:OFFSET($A107,-1,0),0)))))</f>
        <v>12</v>
      </c>
      <c r="N107" s="174" t="str">
        <f ca="1">IF($D107&lt;&gt;"Serviço","",
         IF(AUTOEVENTO="Manual",
                IF($A107=0,"&lt;-- defina o número do agrupador",
                       OFFSET(EVENTOS!$D$15,$A107-$A$15,0)),
                OFFSET($F$15,$A107,0)))</f>
        <v>INSTALAÇÕES ELÉTRICAS</v>
      </c>
      <c r="O107" s="175"/>
      <c r="Q107" s="175"/>
      <c r="R107" s="176"/>
      <c r="S107" s="176"/>
      <c r="T107" s="176">
        <v>8</v>
      </c>
      <c r="U107" s="176"/>
      <c r="V107" s="176"/>
      <c r="W107" s="176"/>
      <c r="X107" s="176"/>
      <c r="Y107" s="176"/>
      <c r="Z107" s="177"/>
      <c r="AA107" s="176"/>
      <c r="AB107" s="176"/>
      <c r="AC107" s="176"/>
      <c r="AD107" s="176"/>
      <c r="AE107" s="176"/>
      <c r="AF107" s="176"/>
      <c r="AG107" s="176"/>
      <c r="AH107" s="177"/>
      <c r="AJ107" s="485">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85">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L107" s="485">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0</v>
      </c>
      <c r="AM107" s="485">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198.88</v>
      </c>
      <c r="AN107" s="485">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0</v>
      </c>
      <c r="AO107" s="485">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0</v>
      </c>
      <c r="AP107" s="485">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85">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85">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85">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85">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85">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85">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85">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85">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85">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85">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85">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8">
        <f ca="1">IF(OR($D107&lt;&gt;"Serviço",AND(AUTOEVENTO="Manual",$M107=$A$15)),0,
         IF(OFFSET(CRONOPLE!$F$15,$M107-$A$15,BC$13)="",10^12,OFFSET(CRONOPLE!$F$15,$M107-$A$15,BC$13)))</f>
        <v>1</v>
      </c>
      <c r="BD107" s="178">
        <f ca="1">IF(OR($D107&lt;&gt;"Serviço",AND(AUTOEVENTO="Manual",$M107=$A$15)),0,
         IF(OFFSET(CRONOPLE!$F$15,$M107-$A$15,BD$13)="",10^12,OFFSET(CRONOPLE!$F$15,$M107-$A$15,BD$13)))</f>
        <v>2</v>
      </c>
      <c r="BE107" s="178">
        <f ca="1">IF(OR($D107&lt;&gt;"Serviço",AND(AUTOEVENTO="Manual",$M107=$A$15)),0,
         IF(OFFSET(CRONOPLE!$F$15,$M107-$A$15,BE$13)="",10^12,OFFSET(CRONOPLE!$F$15,$M107-$A$15,BE$13)))</f>
        <v>1000000000000</v>
      </c>
      <c r="BF107" s="178">
        <f ca="1">IF(OR($D107&lt;&gt;"Serviço",AND(AUTOEVENTO="Manual",$M107=$A$15)),0,
         IF(OFFSET(CRONOPLE!$F$15,$M107-$A$15,BF$13)="",10^12,OFFSET(CRONOPLE!$F$15,$M107-$A$15,BF$13)))</f>
        <v>4</v>
      </c>
      <c r="BG107" s="178">
        <f ca="1">IF(OR($D107&lt;&gt;"Serviço",AND(AUTOEVENTO="Manual",$M107=$A$15)),0,
         IF(OFFSET(CRONOPLE!$F$15,$M107-$A$15,BG$13)="",10^12,OFFSET(CRONOPLE!$F$15,$M107-$A$15,BG$13)))</f>
        <v>5</v>
      </c>
      <c r="BH107" s="178">
        <f ca="1">IF(OR($D107&lt;&gt;"Serviço",AND(AUTOEVENTO="Manual",$M107=$A$15)),0,
         IF(OFFSET(CRONOPLE!$F$15,$M107-$A$15,BH$13)="",10^12,OFFSET(CRONOPLE!$F$15,$M107-$A$15,BH$13)))</f>
        <v>6</v>
      </c>
      <c r="BI107" s="178">
        <f ca="1">IF(OR($D107&lt;&gt;"Serviço",AND(AUTOEVENTO="Manual",$M107=$A$15)),0,
         IF(OFFSET(CRONOPLE!$F$15,$M107-$A$15,BI$13)="",10^12,OFFSET(CRONOPLE!$F$15,$M107-$A$15,BI$13)))</f>
        <v>7</v>
      </c>
      <c r="BJ107" s="178">
        <f ca="1">IF(OR($D107&lt;&gt;"Serviço",AND(AUTOEVENTO="Manual",$M107=$A$15)),0,
         IF(OFFSET(CRONOPLE!$F$15,$M107-$A$15,BJ$13)="",10^12,OFFSET(CRONOPLE!$F$15,$M107-$A$15,BJ$13)))</f>
        <v>8</v>
      </c>
      <c r="BK107" s="178">
        <f ca="1">IF(OR($D107&lt;&gt;"Serviço",AND(AUTOEVENTO="Manual",$M107=$A$15)),0,
         IF(OFFSET(CRONOPLE!$F$15,$M107-$A$15,BK$13)="",10^12,OFFSET(CRONOPLE!$F$15,$M107-$A$15,BK$13)))</f>
        <v>9</v>
      </c>
      <c r="BL107" s="178">
        <f ca="1">IF(OR($D107&lt;&gt;"Serviço",AND(AUTOEVENTO="Manual",$M107=$A$15)),0,
         IF(OFFSET(CRONOPLE!$F$15,$M107-$A$15,BL$13)="",10^12,OFFSET(CRONOPLE!$F$15,$M107-$A$15,BL$13)))</f>
        <v>10</v>
      </c>
      <c r="BM107" s="178">
        <f ca="1">IF(OR($D107&lt;&gt;"Serviço",AND(AUTOEVENTO="Manual",$M107=$A$15)),0,
         IF(OFFSET(CRONOPLE!$F$15,$M107-$A$15,BM$13)="",10^12,OFFSET(CRONOPLE!$F$15,$M107-$A$15,BM$13)))</f>
        <v>1000000000000</v>
      </c>
      <c r="BN107" s="178">
        <f ca="1">IF(OR($D107&lt;&gt;"Serviço",AND(AUTOEVENTO="Manual",$M107=$A$15)),0,
         IF(OFFSET(CRONOPLE!$F$15,$M107-$A$15,BN$13)="",10^12,OFFSET(CRONOPLE!$F$15,$M107-$A$15,BN$13)))</f>
        <v>1000000000000</v>
      </c>
      <c r="BO107" s="178">
        <f ca="1">IF(OR($D107&lt;&gt;"Serviço",AND(AUTOEVENTO="Manual",$M107=$A$15)),0,
         IF(OFFSET(CRONOPLE!$F$15,$M107-$A$15,BO$13)="",10^12,OFFSET(CRONOPLE!$F$15,$M107-$A$15,BO$13)))</f>
        <v>1000000000000</v>
      </c>
      <c r="BP107" s="178">
        <f ca="1">IF(OR($D107&lt;&gt;"Serviço",AND(AUTOEVENTO="Manual",$M107=$A$15)),0,
         IF(OFFSET(CRONOPLE!$F$15,$M107-$A$15,BP$13)="",10^12,OFFSET(CRONOPLE!$F$15,$M107-$A$15,BP$13)))</f>
        <v>1000000000000</v>
      </c>
      <c r="BQ107" s="178">
        <f ca="1">IF(OR($D107&lt;&gt;"Serviço",AND(AUTOEVENTO="Manual",$M107=$A$15)),0,
         IF(OFFSET(CRONOPLE!$F$15,$M107-$A$15,BQ$13)="",10^12,OFFSET(CRONOPLE!$F$15,$M107-$A$15,BQ$13)))</f>
        <v>15</v>
      </c>
      <c r="BR107" s="178">
        <f ca="1">IF(OR($D107&lt;&gt;"Serviço",AND(AUTOEVENTO="Manual",$M107=$A$15)),0,
         IF(OFFSET(CRONOPLE!$F$15,$M107-$A$15,BR$13)="",10^12,OFFSET(CRONOPLE!$F$15,$M107-$A$15,BR$13)))</f>
        <v>1000000000000</v>
      </c>
      <c r="BS107" s="178">
        <f ca="1">IF(OR($D107&lt;&gt;"Serviço",AND(AUTOEVENTO="Manual",$M107=$A$15)),0,
         IF(OFFSET(CRONOPLE!$F$15,$M107-$A$15,BS$13)="",10^12,OFFSET(CRONOPLE!$F$15,$M107-$A$15,BS$13)))</f>
        <v>1000000000000</v>
      </c>
      <c r="BT107" s="178">
        <f ca="1">IF(OR($D107&lt;&gt;"Serviço",AND(AUTOEVENTO="Manual",$M107=$A$15)),0,
         IF(OFFSET(CRONOPLE!$F$15,$M107-$A$15,BT$13)="",10^12,OFFSET(CRONOPLE!$F$15,$M107-$A$15,BT$13)))</f>
        <v>1000000000000</v>
      </c>
      <c r="BV107" s="179">
        <f ca="1">IF(OR($D107&lt;&gt;"Serviço",AND(AUTOEVENTO="Manual",$M107=$A$15),$M107&gt;(ROW(PLE.lastrow)-ROW(PLE.firstrow))),0,
           IF(OFFSET(PLE!$G$15,$M107-$A$15,BV$13)="",10^12,OFFSET(PLE!$G$15,$M107-$A$15,BV$13)))</f>
        <v>1000000000000</v>
      </c>
      <c r="BW107" s="179">
        <f ca="1">IF(OR($D107&lt;&gt;"Serviço",AND(AUTOEVENTO="Manual",$M107=$A$15),$M107&gt;(ROW(PLE.lastrow)-ROW(PLE.firstrow))),0,
           IF(OFFSET(PLE!$G$15,$M107-$A$15,BW$13)="",10^12,OFFSET(PLE!$G$15,$M107-$A$15,BW$13)))</f>
        <v>1000000000000</v>
      </c>
      <c r="BX107" s="179">
        <f ca="1">IF(OR($D107&lt;&gt;"Serviço",AND(AUTOEVENTO="Manual",$M107=$A$15),$M107&gt;(ROW(PLE.lastrow)-ROW(PLE.firstrow))),0,
           IF(OFFSET(PLE!$G$15,$M107-$A$15,BX$13)="",10^12,OFFSET(PLE!$G$15,$M107-$A$15,BX$13)))</f>
        <v>1000000000000</v>
      </c>
      <c r="BY107" s="179">
        <f ca="1">IF(OR($D107&lt;&gt;"Serviço",AND(AUTOEVENTO="Manual",$M107=$A$15),$M107&gt;(ROW(PLE.lastrow)-ROW(PLE.firstrow))),0,
           IF(OFFSET(PLE!$G$15,$M107-$A$15,BY$13)="",10^12,OFFSET(PLE!$G$15,$M107-$A$15,BY$13)))</f>
        <v>1000000000000</v>
      </c>
      <c r="BZ107" s="179">
        <f ca="1">IF(OR($D107&lt;&gt;"Serviço",AND(AUTOEVENTO="Manual",$M107=$A$15),$M107&gt;(ROW(PLE.lastrow)-ROW(PLE.firstrow))),0,
           IF(OFFSET(PLE!$G$15,$M107-$A$15,BZ$13)="",10^12,OFFSET(PLE!$G$15,$M107-$A$15,BZ$13)))</f>
        <v>1000000000000</v>
      </c>
      <c r="CA107" s="179">
        <f ca="1">IF(OR($D107&lt;&gt;"Serviço",AND(AUTOEVENTO="Manual",$M107=$A$15),$M107&gt;(ROW(PLE.lastrow)-ROW(PLE.firstrow))),0,
           IF(OFFSET(PLE!$G$15,$M107-$A$15,CA$13)="",10^12,OFFSET(PLE!$G$15,$M107-$A$15,CA$13)))</f>
        <v>1000000000000</v>
      </c>
      <c r="CB107" s="179">
        <f ca="1">IF(OR($D107&lt;&gt;"Serviço",AND(AUTOEVENTO="Manual",$M107=$A$15),$M107&gt;(ROW(PLE.lastrow)-ROW(PLE.firstrow))),0,
           IF(OFFSET(PLE!$G$15,$M107-$A$15,CB$13)="",10^12,OFFSET(PLE!$G$15,$M107-$A$15,CB$13)))</f>
        <v>1000000000000</v>
      </c>
      <c r="CC107" s="179">
        <f ca="1">IF(OR($D107&lt;&gt;"Serviço",AND(AUTOEVENTO="Manual",$M107=$A$15),$M107&gt;(ROW(PLE.lastrow)-ROW(PLE.firstrow))),0,
           IF(OFFSET(PLE!$G$15,$M107-$A$15,CC$13)="",10^12,OFFSET(PLE!$G$15,$M107-$A$15,CC$13)))</f>
        <v>1000000000000</v>
      </c>
      <c r="CD107" s="179">
        <f ca="1">IF(OR($D107&lt;&gt;"Serviço",AND(AUTOEVENTO="Manual",$M107=$A$15),$M107&gt;(ROW(PLE.lastrow)-ROW(PLE.firstrow))),0,
           IF(OFFSET(PLE!$G$15,$M107-$A$15,CD$13)="",10^12,OFFSET(PLE!$G$15,$M107-$A$15,CD$13)))</f>
        <v>1000000000000</v>
      </c>
      <c r="CE107" s="179">
        <f ca="1">IF(OR($D107&lt;&gt;"Serviço",AND(AUTOEVENTO="Manual",$M107=$A$15),$M107&gt;(ROW(PLE.lastrow)-ROW(PLE.firstrow))),0,
           IF(OFFSET(PLE!$G$15,$M107-$A$15,CE$13)="",10^12,OFFSET(PLE!$G$15,$M107-$A$15,CE$13)))</f>
        <v>1000000000000</v>
      </c>
      <c r="CF107" s="179">
        <f ca="1">IF(OR($D107&lt;&gt;"Serviço",AND(AUTOEVENTO="Manual",$M107=$A$15),$M107&gt;(ROW(PLE.lastrow)-ROW(PLE.firstrow))),0,
           IF(OFFSET(PLE!$G$15,$M107-$A$15,CF$13)="",10^12,OFFSET(PLE!$G$15,$M107-$A$15,CF$13)))</f>
        <v>1000000000000</v>
      </c>
      <c r="CG107" s="179">
        <f ca="1">IF(OR($D107&lt;&gt;"Serviço",AND(AUTOEVENTO="Manual",$M107=$A$15),$M107&gt;(ROW(PLE.lastrow)-ROW(PLE.firstrow))),0,
           IF(OFFSET(PLE!$G$15,$M107-$A$15,CG$13)="",10^12,OFFSET(PLE!$G$15,$M107-$A$15,CG$13)))</f>
        <v>1000000000000</v>
      </c>
      <c r="CH107" s="179">
        <f ca="1">IF(OR($D107&lt;&gt;"Serviço",AND(AUTOEVENTO="Manual",$M107=$A$15),$M107&gt;(ROW(PLE.lastrow)-ROW(PLE.firstrow))),0,
           IF(OFFSET(PLE!$G$15,$M107-$A$15,CH$13)="",10^12,OFFSET(PLE!$G$15,$M107-$A$15,CH$13)))</f>
        <v>1000000000000</v>
      </c>
      <c r="CI107" s="179">
        <f ca="1">IF(OR($D107&lt;&gt;"Serviço",AND(AUTOEVENTO="Manual",$M107=$A$15),$M107&gt;(ROW(PLE.lastrow)-ROW(PLE.firstrow))),0,
           IF(OFFSET(PLE!$G$15,$M107-$A$15,CI$13)="",10^12,OFFSET(PLE!$G$15,$M107-$A$15,CI$13)))</f>
        <v>1000000000000</v>
      </c>
      <c r="CJ107" s="179">
        <f ca="1">IF(OR($D107&lt;&gt;"Serviço",AND(AUTOEVENTO="Manual",$M107=$A$15),$M107&gt;(ROW(PLE.lastrow)-ROW(PLE.firstrow))),0,
           IF(OFFSET(PLE!$G$15,$M107-$A$15,CJ$13)="",10^12,OFFSET(PLE!$G$15,$M107-$A$15,CJ$13)))</f>
        <v>1000000000000</v>
      </c>
      <c r="CK107" s="179">
        <f ca="1">IF(OR($D107&lt;&gt;"Serviço",AND(AUTOEVENTO="Manual",$M107=$A$15),$M107&gt;(ROW(PLE.lastrow)-ROW(PLE.firstrow))),0,
           IF(OFFSET(PLE!$G$15,$M107-$A$15,CK$13)="",10^12,OFFSET(PLE!$G$15,$M107-$A$15,CK$13)))</f>
        <v>1000000000000</v>
      </c>
      <c r="CL107" s="179">
        <f ca="1">IF(OR($D107&lt;&gt;"Serviço",AND(AUTOEVENTO="Manual",$M107=$A$15),$M107&gt;(ROW(PLE.lastrow)-ROW(PLE.firstrow))),0,
           IF(OFFSET(PLE!$G$15,$M107-$A$15,CL$13)="",10^12,OFFSET(PLE!$G$15,$M107-$A$15,CL$13)))</f>
        <v>1000000000000</v>
      </c>
      <c r="CM107" s="179">
        <f ca="1">IF(OR($D107&lt;&gt;"Serviço",AND(AUTOEVENTO="Manual",$M107=$A$15),$M107&gt;(ROW(PLE.lastrow)-ROW(PLE.firstrow))),0,
           IF(OFFSET(PLE!$G$15,$M107-$A$15,CM$13)="",10^12,OFFSET(PLE!$G$15,$M107-$A$15,CM$13)))</f>
        <v>1000000000000</v>
      </c>
    </row>
    <row r="108" spans="1:91" ht="38.25" x14ac:dyDescent="0.2">
      <c r="A108" s="7" t="str">
        <f ca="1">IF(AUTOEVENTO="Manual",IF(K108&lt;&gt;"",MIN(VALUE(LEFT(K108,FIND(".",K108)-1)),COUNTA(EVENTOS.Lista)),0),IF(OR($B108&gt;AUTOEVENTO,$B108="S",$B108=0),SUBSTITUTE(OFFSET($A108,-1,0),IF($D108="Serviço",".",""),""),ROW(A108)-ROW($A$15)&amp;"."))</f>
        <v>71</v>
      </c>
      <c r="B108" s="7" t="str">
        <f ca="1">OFFSET(ORÇAMENTO!C$15,ROW(B108)-ROW(B$15),0)</f>
        <v>S</v>
      </c>
      <c r="C108" s="7" t="str">
        <f ca="1">OFFSET(ORÇAMENTO!L$15,ROW(C108)-ROW(C$15),0)</f>
        <v>F</v>
      </c>
      <c r="D108" s="118" t="str">
        <f ca="1">OFFSET(ORÇAMENTO!N$15,ROW(D108)-ROW(D$15),0)</f>
        <v>Serviço</v>
      </c>
      <c r="E108" s="119" t="str">
        <f ca="1">OFFSET(ORÇAMENTO!O$15,ROW(E108)-ROW(E$15),0)</f>
        <v>1.12.0.0.22.</v>
      </c>
      <c r="F108" s="170" t="str">
        <f ca="1">OFFSET(ORÇAMENTO!R$15,ROW(F108)-ROW(F$15),0)</f>
        <v>CABO DE COBRE FLEXÍVEL ISOLADO, 4 MM², ANTI-CHAMA 450/750 V, PARA CIRCUITOS TERMINAIS - FORNECIMENTO E INSTALAÇÃO. AF_03/2023</v>
      </c>
      <c r="G108" s="171" t="str">
        <f ca="1">IF($D108&lt;&gt;"Serviço","",OFFSET(ORÇAMENTO!S$15,ROW(G108)-ROW(G$15),0))</f>
        <v>M</v>
      </c>
      <c r="H108" s="124" cm="1">
        <f t="array" aca="1" ref="H108" ca="1">IF($D108&lt;&gt;"Serviço",0,IF(_xlfn.SINGLE(ACOMPANHAMENTO)="BM",ROUND(OFFSET(ORÇAMENTO!AJ$15,ROW(H108)-ROW(H$15),0),15-13*ORÇAMENTO!$AF$7),SUMPRODUCT(($Q$1:$AI$1)*ROUND($Q108:$AI108,15-13*ORÇAMENTO!$AF$7))))</f>
        <v>64.63</v>
      </c>
      <c r="I108" s="500" t="s">
        <v>1019</v>
      </c>
      <c r="J108" s="632" t="str" cm="1">
        <f t="array" aca="1" ref="J108" ca="1">IF(B108&lt;&gt;"S","",IF(AND(ACOMPANHAMENTO="PLE",AUTOEVENTO="Manual",OR(H108&gt;0,ORÇAMENTO!AC108="QUANT."),OR(K108="",M108=0,N108="")),"►",IF(AND(ACOMPANHAMENTO="PLE",ORÇAMENTO!AC108="QUANT."),"►►",IF(AND(COUNTIF($P$11:$AI$11,"▼")=0,H108&gt;0,I108=""),"◄",""))))</f>
        <v/>
      </c>
      <c r="K108" s="624"/>
      <c r="L108" s="172" t="s">
        <v>253</v>
      </c>
      <c r="M108" s="173">
        <f ca="1">IF($D108&lt;&gt;"Serviço","",
          IF(AUTOEVENTO="manual",$A108,
                IF(ISERROR(MATCH($A108,$A$15:OFFSET($A108,-1,0),0)),MAX($M$15:OFFSET(M108,-1,0))+1,
                      INDEX($M$15:OFFSET(M108,-1,0),MATCH($A108,$A$15:OFFSET($A108,-1,0),0)))))</f>
        <v>12</v>
      </c>
      <c r="N108" s="174" t="str">
        <f ca="1">IF($D108&lt;&gt;"Serviço","",
         IF(AUTOEVENTO="Manual",
                IF($A108=0,"&lt;-- defina o número do agrupador",
                       OFFSET(EVENTOS!$D$15,$A108-$A$15,0)),
                OFFSET($F$15,$A108,0)))</f>
        <v>INSTALAÇÕES ELÉTRICAS</v>
      </c>
      <c r="O108" s="175"/>
      <c r="Q108" s="175"/>
      <c r="R108" s="176"/>
      <c r="S108" s="176"/>
      <c r="T108" s="176">
        <v>64.63</v>
      </c>
      <c r="U108" s="176"/>
      <c r="V108" s="176"/>
      <c r="W108" s="176"/>
      <c r="X108" s="176"/>
      <c r="Y108" s="176"/>
      <c r="Z108" s="177"/>
      <c r="AA108" s="176"/>
      <c r="AB108" s="176"/>
      <c r="AC108" s="176"/>
      <c r="AD108" s="176"/>
      <c r="AE108" s="176"/>
      <c r="AF108" s="176"/>
      <c r="AG108" s="176"/>
      <c r="AH108" s="177"/>
      <c r="AJ108" s="485">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85">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L108" s="485">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0</v>
      </c>
      <c r="AM108" s="485">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672.8</v>
      </c>
      <c r="AN108" s="485">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0</v>
      </c>
      <c r="AO108" s="485">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0</v>
      </c>
      <c r="AP108" s="485">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85">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85">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85">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85">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85">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85">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85">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85">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85">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85">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85">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8">
        <f ca="1">IF(OR($D108&lt;&gt;"Serviço",AND(AUTOEVENTO="Manual",$M108=$A$15)),0,
         IF(OFFSET(CRONOPLE!$F$15,$M108-$A$15,BC$13)="",10^12,OFFSET(CRONOPLE!$F$15,$M108-$A$15,BC$13)))</f>
        <v>1</v>
      </c>
      <c r="BD108" s="178">
        <f ca="1">IF(OR($D108&lt;&gt;"Serviço",AND(AUTOEVENTO="Manual",$M108=$A$15)),0,
         IF(OFFSET(CRONOPLE!$F$15,$M108-$A$15,BD$13)="",10^12,OFFSET(CRONOPLE!$F$15,$M108-$A$15,BD$13)))</f>
        <v>2</v>
      </c>
      <c r="BE108" s="178">
        <f ca="1">IF(OR($D108&lt;&gt;"Serviço",AND(AUTOEVENTO="Manual",$M108=$A$15)),0,
         IF(OFFSET(CRONOPLE!$F$15,$M108-$A$15,BE$13)="",10^12,OFFSET(CRONOPLE!$F$15,$M108-$A$15,BE$13)))</f>
        <v>1000000000000</v>
      </c>
      <c r="BF108" s="178">
        <f ca="1">IF(OR($D108&lt;&gt;"Serviço",AND(AUTOEVENTO="Manual",$M108=$A$15)),0,
         IF(OFFSET(CRONOPLE!$F$15,$M108-$A$15,BF$13)="",10^12,OFFSET(CRONOPLE!$F$15,$M108-$A$15,BF$13)))</f>
        <v>4</v>
      </c>
      <c r="BG108" s="178">
        <f ca="1">IF(OR($D108&lt;&gt;"Serviço",AND(AUTOEVENTO="Manual",$M108=$A$15)),0,
         IF(OFFSET(CRONOPLE!$F$15,$M108-$A$15,BG$13)="",10^12,OFFSET(CRONOPLE!$F$15,$M108-$A$15,BG$13)))</f>
        <v>5</v>
      </c>
      <c r="BH108" s="178">
        <f ca="1">IF(OR($D108&lt;&gt;"Serviço",AND(AUTOEVENTO="Manual",$M108=$A$15)),0,
         IF(OFFSET(CRONOPLE!$F$15,$M108-$A$15,BH$13)="",10^12,OFFSET(CRONOPLE!$F$15,$M108-$A$15,BH$13)))</f>
        <v>6</v>
      </c>
      <c r="BI108" s="178">
        <f ca="1">IF(OR($D108&lt;&gt;"Serviço",AND(AUTOEVENTO="Manual",$M108=$A$15)),0,
         IF(OFFSET(CRONOPLE!$F$15,$M108-$A$15,BI$13)="",10^12,OFFSET(CRONOPLE!$F$15,$M108-$A$15,BI$13)))</f>
        <v>7</v>
      </c>
      <c r="BJ108" s="178">
        <f ca="1">IF(OR($D108&lt;&gt;"Serviço",AND(AUTOEVENTO="Manual",$M108=$A$15)),0,
         IF(OFFSET(CRONOPLE!$F$15,$M108-$A$15,BJ$13)="",10^12,OFFSET(CRONOPLE!$F$15,$M108-$A$15,BJ$13)))</f>
        <v>8</v>
      </c>
      <c r="BK108" s="178">
        <f ca="1">IF(OR($D108&lt;&gt;"Serviço",AND(AUTOEVENTO="Manual",$M108=$A$15)),0,
         IF(OFFSET(CRONOPLE!$F$15,$M108-$A$15,BK$13)="",10^12,OFFSET(CRONOPLE!$F$15,$M108-$A$15,BK$13)))</f>
        <v>9</v>
      </c>
      <c r="BL108" s="178">
        <f ca="1">IF(OR($D108&lt;&gt;"Serviço",AND(AUTOEVENTO="Manual",$M108=$A$15)),0,
         IF(OFFSET(CRONOPLE!$F$15,$M108-$A$15,BL$13)="",10^12,OFFSET(CRONOPLE!$F$15,$M108-$A$15,BL$13)))</f>
        <v>10</v>
      </c>
      <c r="BM108" s="178">
        <f ca="1">IF(OR($D108&lt;&gt;"Serviço",AND(AUTOEVENTO="Manual",$M108=$A$15)),0,
         IF(OFFSET(CRONOPLE!$F$15,$M108-$A$15,BM$13)="",10^12,OFFSET(CRONOPLE!$F$15,$M108-$A$15,BM$13)))</f>
        <v>1000000000000</v>
      </c>
      <c r="BN108" s="178">
        <f ca="1">IF(OR($D108&lt;&gt;"Serviço",AND(AUTOEVENTO="Manual",$M108=$A$15)),0,
         IF(OFFSET(CRONOPLE!$F$15,$M108-$A$15,BN$13)="",10^12,OFFSET(CRONOPLE!$F$15,$M108-$A$15,BN$13)))</f>
        <v>1000000000000</v>
      </c>
      <c r="BO108" s="178">
        <f ca="1">IF(OR($D108&lt;&gt;"Serviço",AND(AUTOEVENTO="Manual",$M108=$A$15)),0,
         IF(OFFSET(CRONOPLE!$F$15,$M108-$A$15,BO$13)="",10^12,OFFSET(CRONOPLE!$F$15,$M108-$A$15,BO$13)))</f>
        <v>1000000000000</v>
      </c>
      <c r="BP108" s="178">
        <f ca="1">IF(OR($D108&lt;&gt;"Serviço",AND(AUTOEVENTO="Manual",$M108=$A$15)),0,
         IF(OFFSET(CRONOPLE!$F$15,$M108-$A$15,BP$13)="",10^12,OFFSET(CRONOPLE!$F$15,$M108-$A$15,BP$13)))</f>
        <v>1000000000000</v>
      </c>
      <c r="BQ108" s="178">
        <f ca="1">IF(OR($D108&lt;&gt;"Serviço",AND(AUTOEVENTO="Manual",$M108=$A$15)),0,
         IF(OFFSET(CRONOPLE!$F$15,$M108-$A$15,BQ$13)="",10^12,OFFSET(CRONOPLE!$F$15,$M108-$A$15,BQ$13)))</f>
        <v>15</v>
      </c>
      <c r="BR108" s="178">
        <f ca="1">IF(OR($D108&lt;&gt;"Serviço",AND(AUTOEVENTO="Manual",$M108=$A$15)),0,
         IF(OFFSET(CRONOPLE!$F$15,$M108-$A$15,BR$13)="",10^12,OFFSET(CRONOPLE!$F$15,$M108-$A$15,BR$13)))</f>
        <v>1000000000000</v>
      </c>
      <c r="BS108" s="178">
        <f ca="1">IF(OR($D108&lt;&gt;"Serviço",AND(AUTOEVENTO="Manual",$M108=$A$15)),0,
         IF(OFFSET(CRONOPLE!$F$15,$M108-$A$15,BS$13)="",10^12,OFFSET(CRONOPLE!$F$15,$M108-$A$15,BS$13)))</f>
        <v>1000000000000</v>
      </c>
      <c r="BT108" s="178">
        <f ca="1">IF(OR($D108&lt;&gt;"Serviço",AND(AUTOEVENTO="Manual",$M108=$A$15)),0,
         IF(OFFSET(CRONOPLE!$F$15,$M108-$A$15,BT$13)="",10^12,OFFSET(CRONOPLE!$F$15,$M108-$A$15,BT$13)))</f>
        <v>1000000000000</v>
      </c>
      <c r="BV108" s="179">
        <f ca="1">IF(OR($D108&lt;&gt;"Serviço",AND(AUTOEVENTO="Manual",$M108=$A$15),$M108&gt;(ROW(PLE.lastrow)-ROW(PLE.firstrow))),0,
           IF(OFFSET(PLE!$G$15,$M108-$A$15,BV$13)="",10^12,OFFSET(PLE!$G$15,$M108-$A$15,BV$13)))</f>
        <v>1000000000000</v>
      </c>
      <c r="BW108" s="179">
        <f ca="1">IF(OR($D108&lt;&gt;"Serviço",AND(AUTOEVENTO="Manual",$M108=$A$15),$M108&gt;(ROW(PLE.lastrow)-ROW(PLE.firstrow))),0,
           IF(OFFSET(PLE!$G$15,$M108-$A$15,BW$13)="",10^12,OFFSET(PLE!$G$15,$M108-$A$15,BW$13)))</f>
        <v>1000000000000</v>
      </c>
      <c r="BX108" s="179">
        <f ca="1">IF(OR($D108&lt;&gt;"Serviço",AND(AUTOEVENTO="Manual",$M108=$A$15),$M108&gt;(ROW(PLE.lastrow)-ROW(PLE.firstrow))),0,
           IF(OFFSET(PLE!$G$15,$M108-$A$15,BX$13)="",10^12,OFFSET(PLE!$G$15,$M108-$A$15,BX$13)))</f>
        <v>1000000000000</v>
      </c>
      <c r="BY108" s="179">
        <f ca="1">IF(OR($D108&lt;&gt;"Serviço",AND(AUTOEVENTO="Manual",$M108=$A$15),$M108&gt;(ROW(PLE.lastrow)-ROW(PLE.firstrow))),0,
           IF(OFFSET(PLE!$G$15,$M108-$A$15,BY$13)="",10^12,OFFSET(PLE!$G$15,$M108-$A$15,BY$13)))</f>
        <v>1000000000000</v>
      </c>
      <c r="BZ108" s="179">
        <f ca="1">IF(OR($D108&lt;&gt;"Serviço",AND(AUTOEVENTO="Manual",$M108=$A$15),$M108&gt;(ROW(PLE.lastrow)-ROW(PLE.firstrow))),0,
           IF(OFFSET(PLE!$G$15,$M108-$A$15,BZ$13)="",10^12,OFFSET(PLE!$G$15,$M108-$A$15,BZ$13)))</f>
        <v>1000000000000</v>
      </c>
      <c r="CA108" s="179">
        <f ca="1">IF(OR($D108&lt;&gt;"Serviço",AND(AUTOEVENTO="Manual",$M108=$A$15),$M108&gt;(ROW(PLE.lastrow)-ROW(PLE.firstrow))),0,
           IF(OFFSET(PLE!$G$15,$M108-$A$15,CA$13)="",10^12,OFFSET(PLE!$G$15,$M108-$A$15,CA$13)))</f>
        <v>1000000000000</v>
      </c>
      <c r="CB108" s="179">
        <f ca="1">IF(OR($D108&lt;&gt;"Serviço",AND(AUTOEVENTO="Manual",$M108=$A$15),$M108&gt;(ROW(PLE.lastrow)-ROW(PLE.firstrow))),0,
           IF(OFFSET(PLE!$G$15,$M108-$A$15,CB$13)="",10^12,OFFSET(PLE!$G$15,$M108-$A$15,CB$13)))</f>
        <v>1000000000000</v>
      </c>
      <c r="CC108" s="179">
        <f ca="1">IF(OR($D108&lt;&gt;"Serviço",AND(AUTOEVENTO="Manual",$M108=$A$15),$M108&gt;(ROW(PLE.lastrow)-ROW(PLE.firstrow))),0,
           IF(OFFSET(PLE!$G$15,$M108-$A$15,CC$13)="",10^12,OFFSET(PLE!$G$15,$M108-$A$15,CC$13)))</f>
        <v>1000000000000</v>
      </c>
      <c r="CD108" s="179">
        <f ca="1">IF(OR($D108&lt;&gt;"Serviço",AND(AUTOEVENTO="Manual",$M108=$A$15),$M108&gt;(ROW(PLE.lastrow)-ROW(PLE.firstrow))),0,
           IF(OFFSET(PLE!$G$15,$M108-$A$15,CD$13)="",10^12,OFFSET(PLE!$G$15,$M108-$A$15,CD$13)))</f>
        <v>1000000000000</v>
      </c>
      <c r="CE108" s="179">
        <f ca="1">IF(OR($D108&lt;&gt;"Serviço",AND(AUTOEVENTO="Manual",$M108=$A$15),$M108&gt;(ROW(PLE.lastrow)-ROW(PLE.firstrow))),0,
           IF(OFFSET(PLE!$G$15,$M108-$A$15,CE$13)="",10^12,OFFSET(PLE!$G$15,$M108-$A$15,CE$13)))</f>
        <v>1000000000000</v>
      </c>
      <c r="CF108" s="179">
        <f ca="1">IF(OR($D108&lt;&gt;"Serviço",AND(AUTOEVENTO="Manual",$M108=$A$15),$M108&gt;(ROW(PLE.lastrow)-ROW(PLE.firstrow))),0,
           IF(OFFSET(PLE!$G$15,$M108-$A$15,CF$13)="",10^12,OFFSET(PLE!$G$15,$M108-$A$15,CF$13)))</f>
        <v>1000000000000</v>
      </c>
      <c r="CG108" s="179">
        <f ca="1">IF(OR($D108&lt;&gt;"Serviço",AND(AUTOEVENTO="Manual",$M108=$A$15),$M108&gt;(ROW(PLE.lastrow)-ROW(PLE.firstrow))),0,
           IF(OFFSET(PLE!$G$15,$M108-$A$15,CG$13)="",10^12,OFFSET(PLE!$G$15,$M108-$A$15,CG$13)))</f>
        <v>1000000000000</v>
      </c>
      <c r="CH108" s="179">
        <f ca="1">IF(OR($D108&lt;&gt;"Serviço",AND(AUTOEVENTO="Manual",$M108=$A$15),$M108&gt;(ROW(PLE.lastrow)-ROW(PLE.firstrow))),0,
           IF(OFFSET(PLE!$G$15,$M108-$A$15,CH$13)="",10^12,OFFSET(PLE!$G$15,$M108-$A$15,CH$13)))</f>
        <v>1000000000000</v>
      </c>
      <c r="CI108" s="179">
        <f ca="1">IF(OR($D108&lt;&gt;"Serviço",AND(AUTOEVENTO="Manual",$M108=$A$15),$M108&gt;(ROW(PLE.lastrow)-ROW(PLE.firstrow))),0,
           IF(OFFSET(PLE!$G$15,$M108-$A$15,CI$13)="",10^12,OFFSET(PLE!$G$15,$M108-$A$15,CI$13)))</f>
        <v>1000000000000</v>
      </c>
      <c r="CJ108" s="179">
        <f ca="1">IF(OR($D108&lt;&gt;"Serviço",AND(AUTOEVENTO="Manual",$M108=$A$15),$M108&gt;(ROW(PLE.lastrow)-ROW(PLE.firstrow))),0,
           IF(OFFSET(PLE!$G$15,$M108-$A$15,CJ$13)="",10^12,OFFSET(PLE!$G$15,$M108-$A$15,CJ$13)))</f>
        <v>1000000000000</v>
      </c>
      <c r="CK108" s="179">
        <f ca="1">IF(OR($D108&lt;&gt;"Serviço",AND(AUTOEVENTO="Manual",$M108=$A$15),$M108&gt;(ROW(PLE.lastrow)-ROW(PLE.firstrow))),0,
           IF(OFFSET(PLE!$G$15,$M108-$A$15,CK$13)="",10^12,OFFSET(PLE!$G$15,$M108-$A$15,CK$13)))</f>
        <v>1000000000000</v>
      </c>
      <c r="CL108" s="179">
        <f ca="1">IF(OR($D108&lt;&gt;"Serviço",AND(AUTOEVENTO="Manual",$M108=$A$15),$M108&gt;(ROW(PLE.lastrow)-ROW(PLE.firstrow))),0,
           IF(OFFSET(PLE!$G$15,$M108-$A$15,CL$13)="",10^12,OFFSET(PLE!$G$15,$M108-$A$15,CL$13)))</f>
        <v>1000000000000</v>
      </c>
      <c r="CM108" s="179">
        <f ca="1">IF(OR($D108&lt;&gt;"Serviço",AND(AUTOEVENTO="Manual",$M108=$A$15),$M108&gt;(ROW(PLE.lastrow)-ROW(PLE.firstrow))),0,
           IF(OFFSET(PLE!$G$15,$M108-$A$15,CM$13)="",10^12,OFFSET(PLE!$G$15,$M108-$A$15,CM$13)))</f>
        <v>1000000000000</v>
      </c>
    </row>
    <row r="109" spans="1:91" ht="38.25" x14ac:dyDescent="0.2">
      <c r="A109" s="7" t="str">
        <f ca="1">IF(AUTOEVENTO="Manual",IF(K109&lt;&gt;"",MIN(VALUE(LEFT(K109,FIND(".",K109)-1)),COUNTA(EVENTOS.Lista)),0),IF(OR($B109&gt;AUTOEVENTO,$B109="S",$B109=0),SUBSTITUTE(OFFSET($A109,-1,0),IF($D109="Serviço",".",""),""),ROW(A109)-ROW($A$15)&amp;"."))</f>
        <v>71</v>
      </c>
      <c r="B109" s="7" t="str">
        <f ca="1">OFFSET(ORÇAMENTO!C$15,ROW(B109)-ROW(B$15),0)</f>
        <v>S</v>
      </c>
      <c r="C109" s="7" t="str">
        <f ca="1">OFFSET(ORÇAMENTO!L$15,ROW(C109)-ROW(C$15),0)</f>
        <v>F</v>
      </c>
      <c r="D109" s="118" t="str">
        <f ca="1">OFFSET(ORÇAMENTO!N$15,ROW(D109)-ROW(D$15),0)</f>
        <v>Serviço</v>
      </c>
      <c r="E109" s="119" t="str">
        <f ca="1">OFFSET(ORÇAMENTO!O$15,ROW(E109)-ROW(E$15),0)</f>
        <v>1.12.0.0.23.</v>
      </c>
      <c r="F109" s="170" t="str">
        <f ca="1">OFFSET(ORÇAMENTO!R$15,ROW(F109)-ROW(F$15),0)</f>
        <v>CABO DE COBRE FLEXÍVEL ISOLADO, 2,5 MM², ANTI-CHAMA 450/750 V, PARA CIRCUITOS TERMINAIS - FORNECIMENTO E INSTALAÇÃO. AF_03/2023</v>
      </c>
      <c r="G109" s="171" t="str">
        <f ca="1">IF($D109&lt;&gt;"Serviço","",OFFSET(ORÇAMENTO!S$15,ROW(G109)-ROW(G$15),0))</f>
        <v>M</v>
      </c>
      <c r="H109" s="124" cm="1">
        <f t="array" aca="1" ref="H109" ca="1">IF($D109&lt;&gt;"Serviço",0,IF(_xlfn.SINGLE(ACOMPANHAMENTO)="BM",ROUND(OFFSET(ORÇAMENTO!AJ$15,ROW(H109)-ROW(H$15),0),15-13*ORÇAMENTO!$AF$7),SUMPRODUCT(($Q$1:$AI$1)*ROUND($Q109:$AI109,15-13*ORÇAMENTO!$AF$7))))</f>
        <v>1248.3</v>
      </c>
      <c r="I109" s="500" t="s">
        <v>1019</v>
      </c>
      <c r="J109" s="632" t="str" cm="1">
        <f t="array" aca="1" ref="J109" ca="1">IF(B109&lt;&gt;"S","",IF(AND(ACOMPANHAMENTO="PLE",AUTOEVENTO="Manual",OR(H109&gt;0,ORÇAMENTO!AC109="QUANT."),OR(K109="",M109=0,N109="")),"►",IF(AND(ACOMPANHAMENTO="PLE",ORÇAMENTO!AC109="QUANT."),"►►",IF(AND(COUNTIF($P$11:$AI$11,"▼")=0,H109&gt;0,I109=""),"◄",""))))</f>
        <v/>
      </c>
      <c r="K109" s="624"/>
      <c r="L109" s="172" t="s">
        <v>253</v>
      </c>
      <c r="M109" s="173">
        <f ca="1">IF($D109&lt;&gt;"Serviço","",
          IF(AUTOEVENTO="manual",$A109,
                IF(ISERROR(MATCH($A109,$A$15:OFFSET($A109,-1,0),0)),MAX($M$15:OFFSET(M109,-1,0))+1,
                      INDEX($M$15:OFFSET(M109,-1,0),MATCH($A109,$A$15:OFFSET($A109,-1,0),0)))))</f>
        <v>12</v>
      </c>
      <c r="N109" s="174" t="str">
        <f ca="1">IF($D109&lt;&gt;"Serviço","",
         IF(AUTOEVENTO="Manual",
                IF($A109=0,"&lt;-- defina o número do agrupador",
                       OFFSET(EVENTOS!$D$15,$A109-$A$15,0)),
                OFFSET($F$15,$A109,0)))</f>
        <v>INSTALAÇÕES ELÉTRICAS</v>
      </c>
      <c r="O109" s="175"/>
      <c r="Q109" s="175"/>
      <c r="R109" s="176"/>
      <c r="S109" s="176"/>
      <c r="T109" s="176">
        <v>1248.3</v>
      </c>
      <c r="U109" s="176"/>
      <c r="V109" s="176"/>
      <c r="W109" s="176"/>
      <c r="X109" s="176"/>
      <c r="Y109" s="176"/>
      <c r="Z109" s="177"/>
      <c r="AA109" s="176"/>
      <c r="AB109" s="176"/>
      <c r="AC109" s="176"/>
      <c r="AD109" s="176"/>
      <c r="AE109" s="176"/>
      <c r="AF109" s="176"/>
      <c r="AG109" s="176"/>
      <c r="AH109" s="177"/>
      <c r="AJ109" s="485">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85">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85">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85">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8450.99</v>
      </c>
      <c r="AN109" s="485">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0</v>
      </c>
      <c r="AO109" s="485">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85">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85">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85">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85">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85">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85">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85">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85">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85">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85">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85">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85">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8">
        <f ca="1">IF(OR($D109&lt;&gt;"Serviço",AND(AUTOEVENTO="Manual",$M109=$A$15)),0,
         IF(OFFSET(CRONOPLE!$F$15,$M109-$A$15,BC$13)="",10^12,OFFSET(CRONOPLE!$F$15,$M109-$A$15,BC$13)))</f>
        <v>1</v>
      </c>
      <c r="BD109" s="178">
        <f ca="1">IF(OR($D109&lt;&gt;"Serviço",AND(AUTOEVENTO="Manual",$M109=$A$15)),0,
         IF(OFFSET(CRONOPLE!$F$15,$M109-$A$15,BD$13)="",10^12,OFFSET(CRONOPLE!$F$15,$M109-$A$15,BD$13)))</f>
        <v>2</v>
      </c>
      <c r="BE109" s="178">
        <f ca="1">IF(OR($D109&lt;&gt;"Serviço",AND(AUTOEVENTO="Manual",$M109=$A$15)),0,
         IF(OFFSET(CRONOPLE!$F$15,$M109-$A$15,BE$13)="",10^12,OFFSET(CRONOPLE!$F$15,$M109-$A$15,BE$13)))</f>
        <v>1000000000000</v>
      </c>
      <c r="BF109" s="178">
        <f ca="1">IF(OR($D109&lt;&gt;"Serviço",AND(AUTOEVENTO="Manual",$M109=$A$15)),0,
         IF(OFFSET(CRONOPLE!$F$15,$M109-$A$15,BF$13)="",10^12,OFFSET(CRONOPLE!$F$15,$M109-$A$15,BF$13)))</f>
        <v>4</v>
      </c>
      <c r="BG109" s="178">
        <f ca="1">IF(OR($D109&lt;&gt;"Serviço",AND(AUTOEVENTO="Manual",$M109=$A$15)),0,
         IF(OFFSET(CRONOPLE!$F$15,$M109-$A$15,BG$13)="",10^12,OFFSET(CRONOPLE!$F$15,$M109-$A$15,BG$13)))</f>
        <v>5</v>
      </c>
      <c r="BH109" s="178">
        <f ca="1">IF(OR($D109&lt;&gt;"Serviço",AND(AUTOEVENTO="Manual",$M109=$A$15)),0,
         IF(OFFSET(CRONOPLE!$F$15,$M109-$A$15,BH$13)="",10^12,OFFSET(CRONOPLE!$F$15,$M109-$A$15,BH$13)))</f>
        <v>6</v>
      </c>
      <c r="BI109" s="178">
        <f ca="1">IF(OR($D109&lt;&gt;"Serviço",AND(AUTOEVENTO="Manual",$M109=$A$15)),0,
         IF(OFFSET(CRONOPLE!$F$15,$M109-$A$15,BI$13)="",10^12,OFFSET(CRONOPLE!$F$15,$M109-$A$15,BI$13)))</f>
        <v>7</v>
      </c>
      <c r="BJ109" s="178">
        <f ca="1">IF(OR($D109&lt;&gt;"Serviço",AND(AUTOEVENTO="Manual",$M109=$A$15)),0,
         IF(OFFSET(CRONOPLE!$F$15,$M109-$A$15,BJ$13)="",10^12,OFFSET(CRONOPLE!$F$15,$M109-$A$15,BJ$13)))</f>
        <v>8</v>
      </c>
      <c r="BK109" s="178">
        <f ca="1">IF(OR($D109&lt;&gt;"Serviço",AND(AUTOEVENTO="Manual",$M109=$A$15)),0,
         IF(OFFSET(CRONOPLE!$F$15,$M109-$A$15,BK$13)="",10^12,OFFSET(CRONOPLE!$F$15,$M109-$A$15,BK$13)))</f>
        <v>9</v>
      </c>
      <c r="BL109" s="178">
        <f ca="1">IF(OR($D109&lt;&gt;"Serviço",AND(AUTOEVENTO="Manual",$M109=$A$15)),0,
         IF(OFFSET(CRONOPLE!$F$15,$M109-$A$15,BL$13)="",10^12,OFFSET(CRONOPLE!$F$15,$M109-$A$15,BL$13)))</f>
        <v>10</v>
      </c>
      <c r="BM109" s="178">
        <f ca="1">IF(OR($D109&lt;&gt;"Serviço",AND(AUTOEVENTO="Manual",$M109=$A$15)),0,
         IF(OFFSET(CRONOPLE!$F$15,$M109-$A$15,BM$13)="",10^12,OFFSET(CRONOPLE!$F$15,$M109-$A$15,BM$13)))</f>
        <v>1000000000000</v>
      </c>
      <c r="BN109" s="178">
        <f ca="1">IF(OR($D109&lt;&gt;"Serviço",AND(AUTOEVENTO="Manual",$M109=$A$15)),0,
         IF(OFFSET(CRONOPLE!$F$15,$M109-$A$15,BN$13)="",10^12,OFFSET(CRONOPLE!$F$15,$M109-$A$15,BN$13)))</f>
        <v>1000000000000</v>
      </c>
      <c r="BO109" s="178">
        <f ca="1">IF(OR($D109&lt;&gt;"Serviço",AND(AUTOEVENTO="Manual",$M109=$A$15)),0,
         IF(OFFSET(CRONOPLE!$F$15,$M109-$A$15,BO$13)="",10^12,OFFSET(CRONOPLE!$F$15,$M109-$A$15,BO$13)))</f>
        <v>1000000000000</v>
      </c>
      <c r="BP109" s="178">
        <f ca="1">IF(OR($D109&lt;&gt;"Serviço",AND(AUTOEVENTO="Manual",$M109=$A$15)),0,
         IF(OFFSET(CRONOPLE!$F$15,$M109-$A$15,BP$13)="",10^12,OFFSET(CRONOPLE!$F$15,$M109-$A$15,BP$13)))</f>
        <v>1000000000000</v>
      </c>
      <c r="BQ109" s="178">
        <f ca="1">IF(OR($D109&lt;&gt;"Serviço",AND(AUTOEVENTO="Manual",$M109=$A$15)),0,
         IF(OFFSET(CRONOPLE!$F$15,$M109-$A$15,BQ$13)="",10^12,OFFSET(CRONOPLE!$F$15,$M109-$A$15,BQ$13)))</f>
        <v>15</v>
      </c>
      <c r="BR109" s="178">
        <f ca="1">IF(OR($D109&lt;&gt;"Serviço",AND(AUTOEVENTO="Manual",$M109=$A$15)),0,
         IF(OFFSET(CRONOPLE!$F$15,$M109-$A$15,BR$13)="",10^12,OFFSET(CRONOPLE!$F$15,$M109-$A$15,BR$13)))</f>
        <v>1000000000000</v>
      </c>
      <c r="BS109" s="178">
        <f ca="1">IF(OR($D109&lt;&gt;"Serviço",AND(AUTOEVENTO="Manual",$M109=$A$15)),0,
         IF(OFFSET(CRONOPLE!$F$15,$M109-$A$15,BS$13)="",10^12,OFFSET(CRONOPLE!$F$15,$M109-$A$15,BS$13)))</f>
        <v>1000000000000</v>
      </c>
      <c r="BT109" s="178">
        <f ca="1">IF(OR($D109&lt;&gt;"Serviço",AND(AUTOEVENTO="Manual",$M109=$A$15)),0,
         IF(OFFSET(CRONOPLE!$F$15,$M109-$A$15,BT$13)="",10^12,OFFSET(CRONOPLE!$F$15,$M109-$A$15,BT$13)))</f>
        <v>1000000000000</v>
      </c>
      <c r="BV109" s="179">
        <f ca="1">IF(OR($D109&lt;&gt;"Serviço",AND(AUTOEVENTO="Manual",$M109=$A$15),$M109&gt;(ROW(PLE.lastrow)-ROW(PLE.firstrow))),0,
           IF(OFFSET(PLE!$G$15,$M109-$A$15,BV$13)="",10^12,OFFSET(PLE!$G$15,$M109-$A$15,BV$13)))</f>
        <v>1000000000000</v>
      </c>
      <c r="BW109" s="179">
        <f ca="1">IF(OR($D109&lt;&gt;"Serviço",AND(AUTOEVENTO="Manual",$M109=$A$15),$M109&gt;(ROW(PLE.lastrow)-ROW(PLE.firstrow))),0,
           IF(OFFSET(PLE!$G$15,$M109-$A$15,BW$13)="",10^12,OFFSET(PLE!$G$15,$M109-$A$15,BW$13)))</f>
        <v>1000000000000</v>
      </c>
      <c r="BX109" s="179">
        <f ca="1">IF(OR($D109&lt;&gt;"Serviço",AND(AUTOEVENTO="Manual",$M109=$A$15),$M109&gt;(ROW(PLE.lastrow)-ROW(PLE.firstrow))),0,
           IF(OFFSET(PLE!$G$15,$M109-$A$15,BX$13)="",10^12,OFFSET(PLE!$G$15,$M109-$A$15,BX$13)))</f>
        <v>1000000000000</v>
      </c>
      <c r="BY109" s="179">
        <f ca="1">IF(OR($D109&lt;&gt;"Serviço",AND(AUTOEVENTO="Manual",$M109=$A$15),$M109&gt;(ROW(PLE.lastrow)-ROW(PLE.firstrow))),0,
           IF(OFFSET(PLE!$G$15,$M109-$A$15,BY$13)="",10^12,OFFSET(PLE!$G$15,$M109-$A$15,BY$13)))</f>
        <v>1000000000000</v>
      </c>
      <c r="BZ109" s="179">
        <f ca="1">IF(OR($D109&lt;&gt;"Serviço",AND(AUTOEVENTO="Manual",$M109=$A$15),$M109&gt;(ROW(PLE.lastrow)-ROW(PLE.firstrow))),0,
           IF(OFFSET(PLE!$G$15,$M109-$A$15,BZ$13)="",10^12,OFFSET(PLE!$G$15,$M109-$A$15,BZ$13)))</f>
        <v>1000000000000</v>
      </c>
      <c r="CA109" s="179">
        <f ca="1">IF(OR($D109&lt;&gt;"Serviço",AND(AUTOEVENTO="Manual",$M109=$A$15),$M109&gt;(ROW(PLE.lastrow)-ROW(PLE.firstrow))),0,
           IF(OFFSET(PLE!$G$15,$M109-$A$15,CA$13)="",10^12,OFFSET(PLE!$G$15,$M109-$A$15,CA$13)))</f>
        <v>1000000000000</v>
      </c>
      <c r="CB109" s="179">
        <f ca="1">IF(OR($D109&lt;&gt;"Serviço",AND(AUTOEVENTO="Manual",$M109=$A$15),$M109&gt;(ROW(PLE.lastrow)-ROW(PLE.firstrow))),0,
           IF(OFFSET(PLE!$G$15,$M109-$A$15,CB$13)="",10^12,OFFSET(PLE!$G$15,$M109-$A$15,CB$13)))</f>
        <v>1000000000000</v>
      </c>
      <c r="CC109" s="179">
        <f ca="1">IF(OR($D109&lt;&gt;"Serviço",AND(AUTOEVENTO="Manual",$M109=$A$15),$M109&gt;(ROW(PLE.lastrow)-ROW(PLE.firstrow))),0,
           IF(OFFSET(PLE!$G$15,$M109-$A$15,CC$13)="",10^12,OFFSET(PLE!$G$15,$M109-$A$15,CC$13)))</f>
        <v>1000000000000</v>
      </c>
      <c r="CD109" s="179">
        <f ca="1">IF(OR($D109&lt;&gt;"Serviço",AND(AUTOEVENTO="Manual",$M109=$A$15),$M109&gt;(ROW(PLE.lastrow)-ROW(PLE.firstrow))),0,
           IF(OFFSET(PLE!$G$15,$M109-$A$15,CD$13)="",10^12,OFFSET(PLE!$G$15,$M109-$A$15,CD$13)))</f>
        <v>1000000000000</v>
      </c>
      <c r="CE109" s="179">
        <f ca="1">IF(OR($D109&lt;&gt;"Serviço",AND(AUTOEVENTO="Manual",$M109=$A$15),$M109&gt;(ROW(PLE.lastrow)-ROW(PLE.firstrow))),0,
           IF(OFFSET(PLE!$G$15,$M109-$A$15,CE$13)="",10^12,OFFSET(PLE!$G$15,$M109-$A$15,CE$13)))</f>
        <v>1000000000000</v>
      </c>
      <c r="CF109" s="179">
        <f ca="1">IF(OR($D109&lt;&gt;"Serviço",AND(AUTOEVENTO="Manual",$M109=$A$15),$M109&gt;(ROW(PLE.lastrow)-ROW(PLE.firstrow))),0,
           IF(OFFSET(PLE!$G$15,$M109-$A$15,CF$13)="",10^12,OFFSET(PLE!$G$15,$M109-$A$15,CF$13)))</f>
        <v>1000000000000</v>
      </c>
      <c r="CG109" s="179">
        <f ca="1">IF(OR($D109&lt;&gt;"Serviço",AND(AUTOEVENTO="Manual",$M109=$A$15),$M109&gt;(ROW(PLE.lastrow)-ROW(PLE.firstrow))),0,
           IF(OFFSET(PLE!$G$15,$M109-$A$15,CG$13)="",10^12,OFFSET(PLE!$G$15,$M109-$A$15,CG$13)))</f>
        <v>1000000000000</v>
      </c>
      <c r="CH109" s="179">
        <f ca="1">IF(OR($D109&lt;&gt;"Serviço",AND(AUTOEVENTO="Manual",$M109=$A$15),$M109&gt;(ROW(PLE.lastrow)-ROW(PLE.firstrow))),0,
           IF(OFFSET(PLE!$G$15,$M109-$A$15,CH$13)="",10^12,OFFSET(PLE!$G$15,$M109-$A$15,CH$13)))</f>
        <v>1000000000000</v>
      </c>
      <c r="CI109" s="179">
        <f ca="1">IF(OR($D109&lt;&gt;"Serviço",AND(AUTOEVENTO="Manual",$M109=$A$15),$M109&gt;(ROW(PLE.lastrow)-ROW(PLE.firstrow))),0,
           IF(OFFSET(PLE!$G$15,$M109-$A$15,CI$13)="",10^12,OFFSET(PLE!$G$15,$M109-$A$15,CI$13)))</f>
        <v>1000000000000</v>
      </c>
      <c r="CJ109" s="179">
        <f ca="1">IF(OR($D109&lt;&gt;"Serviço",AND(AUTOEVENTO="Manual",$M109=$A$15),$M109&gt;(ROW(PLE.lastrow)-ROW(PLE.firstrow))),0,
           IF(OFFSET(PLE!$G$15,$M109-$A$15,CJ$13)="",10^12,OFFSET(PLE!$G$15,$M109-$A$15,CJ$13)))</f>
        <v>1000000000000</v>
      </c>
      <c r="CK109" s="179">
        <f ca="1">IF(OR($D109&lt;&gt;"Serviço",AND(AUTOEVENTO="Manual",$M109=$A$15),$M109&gt;(ROW(PLE.lastrow)-ROW(PLE.firstrow))),0,
           IF(OFFSET(PLE!$G$15,$M109-$A$15,CK$13)="",10^12,OFFSET(PLE!$G$15,$M109-$A$15,CK$13)))</f>
        <v>1000000000000</v>
      </c>
      <c r="CL109" s="179">
        <f ca="1">IF(OR($D109&lt;&gt;"Serviço",AND(AUTOEVENTO="Manual",$M109=$A$15),$M109&gt;(ROW(PLE.lastrow)-ROW(PLE.firstrow))),0,
           IF(OFFSET(PLE!$G$15,$M109-$A$15,CL$13)="",10^12,OFFSET(PLE!$G$15,$M109-$A$15,CL$13)))</f>
        <v>1000000000000</v>
      </c>
      <c r="CM109" s="179">
        <f ca="1">IF(OR($D109&lt;&gt;"Serviço",AND(AUTOEVENTO="Manual",$M109=$A$15),$M109&gt;(ROW(PLE.lastrow)-ROW(PLE.firstrow))),0,
           IF(OFFSET(PLE!$G$15,$M109-$A$15,CM$13)="",10^12,OFFSET(PLE!$G$15,$M109-$A$15,CM$13)))</f>
        <v>1000000000000</v>
      </c>
    </row>
    <row r="110" spans="1:91" ht="38.25" x14ac:dyDescent="0.2">
      <c r="A110" s="7" t="str">
        <f ca="1">IF(AUTOEVENTO="Manual",IF(K110&lt;&gt;"",MIN(VALUE(LEFT(K110,FIND(".",K110)-1)),COUNTA(EVENTOS.Lista)),0),IF(OR($B110&gt;AUTOEVENTO,$B110="S",$B110=0),SUBSTITUTE(OFFSET($A110,-1,0),IF($D110="Serviço",".",""),""),ROW(A110)-ROW($A$15)&amp;"."))</f>
        <v>71</v>
      </c>
      <c r="B110" s="7" t="str">
        <f ca="1">OFFSET(ORÇAMENTO!C$15,ROW(B110)-ROW(B$15),0)</f>
        <v>S</v>
      </c>
      <c r="C110" s="7" t="str">
        <f ca="1">OFFSET(ORÇAMENTO!L$15,ROW(C110)-ROW(C$15),0)</f>
        <v>F</v>
      </c>
      <c r="D110" s="118" t="str">
        <f ca="1">OFFSET(ORÇAMENTO!N$15,ROW(D110)-ROW(D$15),0)</f>
        <v>Serviço</v>
      </c>
      <c r="E110" s="119" t="str">
        <f ca="1">OFFSET(ORÇAMENTO!O$15,ROW(E110)-ROW(E$15),0)</f>
        <v>1.12.0.0.24.</v>
      </c>
      <c r="F110" s="170" t="str">
        <f ca="1">OFFSET(ORÇAMENTO!R$15,ROW(F110)-ROW(F$15),0)</f>
        <v>ELETRODUTO RÍGIDO ROSCÁVEL, PVC, DN 25 MM (3/4"), PARA CIRCUITOS TERMINAIS, INSTALADO EM FORRO - FORNECIMENTO E INSTALAÇÃO. AF_03/2023</v>
      </c>
      <c r="G110" s="171" t="str">
        <f ca="1">IF($D110&lt;&gt;"Serviço","",OFFSET(ORÇAMENTO!S$15,ROW(G110)-ROW(G$15),0))</f>
        <v>M</v>
      </c>
      <c r="H110" s="124" cm="1">
        <f t="array" aca="1" ref="H110" ca="1">IF($D110&lt;&gt;"Serviço",0,IF(_xlfn.SINGLE(ACOMPANHAMENTO)="BM",ROUND(OFFSET(ORÇAMENTO!AJ$15,ROW(H110)-ROW(H$15),0),15-13*ORÇAMENTO!$AF$7),SUMPRODUCT(($Q$1:$AI$1)*ROUND($Q110:$AI110,15-13*ORÇAMENTO!$AF$7))))</f>
        <v>141.13999999999999</v>
      </c>
      <c r="I110" s="500" t="s">
        <v>1019</v>
      </c>
      <c r="J110" s="632" t="str" cm="1">
        <f t="array" aca="1" ref="J110" ca="1">IF(B110&lt;&gt;"S","",IF(AND(ACOMPANHAMENTO="PLE",AUTOEVENTO="Manual",OR(H110&gt;0,ORÇAMENTO!AC110="QUANT."),OR(K110="",M110=0,N110="")),"►",IF(AND(ACOMPANHAMENTO="PLE",ORÇAMENTO!AC110="QUANT."),"►►",IF(AND(COUNTIF($P$11:$AI$11,"▼")=0,H110&gt;0,I110=""),"◄",""))))</f>
        <v/>
      </c>
      <c r="K110" s="624"/>
      <c r="L110" s="172" t="s">
        <v>253</v>
      </c>
      <c r="M110" s="173">
        <f ca="1">IF($D110&lt;&gt;"Serviço","",
          IF(AUTOEVENTO="manual",$A110,
                IF(ISERROR(MATCH($A110,$A$15:OFFSET($A110,-1,0),0)),MAX($M$15:OFFSET(M110,-1,0))+1,
                      INDEX($M$15:OFFSET(M110,-1,0),MATCH($A110,$A$15:OFFSET($A110,-1,0),0)))))</f>
        <v>12</v>
      </c>
      <c r="N110" s="174" t="str">
        <f ca="1">IF($D110&lt;&gt;"Serviço","",
         IF(AUTOEVENTO="Manual",
                IF($A110=0,"&lt;-- defina o número do agrupador",
                       OFFSET(EVENTOS!$D$15,$A110-$A$15,0)),
                OFFSET($F$15,$A110,0)))</f>
        <v>INSTALAÇÕES ELÉTRICAS</v>
      </c>
      <c r="O110" s="175"/>
      <c r="Q110" s="175"/>
      <c r="R110" s="176"/>
      <c r="S110" s="176"/>
      <c r="T110" s="176">
        <v>141.13999999999999</v>
      </c>
      <c r="U110" s="176"/>
      <c r="V110" s="176"/>
      <c r="W110" s="176"/>
      <c r="X110" s="176"/>
      <c r="Y110" s="176"/>
      <c r="Z110" s="177"/>
      <c r="AA110" s="176"/>
      <c r="AB110" s="176"/>
      <c r="AC110" s="176"/>
      <c r="AD110" s="176"/>
      <c r="AE110" s="176"/>
      <c r="AF110" s="176"/>
      <c r="AG110" s="176"/>
      <c r="AH110" s="177"/>
      <c r="AJ110" s="485">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85">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L110" s="485">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0</v>
      </c>
      <c r="AM110" s="485">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2331.63</v>
      </c>
      <c r="AN110" s="485">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0</v>
      </c>
      <c r="AO110" s="485">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0</v>
      </c>
      <c r="AP110" s="485">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85">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85">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85">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85">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85">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85">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85">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85">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85">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85">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85">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8">
        <f ca="1">IF(OR($D110&lt;&gt;"Serviço",AND(AUTOEVENTO="Manual",$M110=$A$15)),0,
         IF(OFFSET(CRONOPLE!$F$15,$M110-$A$15,BC$13)="",10^12,OFFSET(CRONOPLE!$F$15,$M110-$A$15,BC$13)))</f>
        <v>1</v>
      </c>
      <c r="BD110" s="178">
        <f ca="1">IF(OR($D110&lt;&gt;"Serviço",AND(AUTOEVENTO="Manual",$M110=$A$15)),0,
         IF(OFFSET(CRONOPLE!$F$15,$M110-$A$15,BD$13)="",10^12,OFFSET(CRONOPLE!$F$15,$M110-$A$15,BD$13)))</f>
        <v>2</v>
      </c>
      <c r="BE110" s="178">
        <f ca="1">IF(OR($D110&lt;&gt;"Serviço",AND(AUTOEVENTO="Manual",$M110=$A$15)),0,
         IF(OFFSET(CRONOPLE!$F$15,$M110-$A$15,BE$13)="",10^12,OFFSET(CRONOPLE!$F$15,$M110-$A$15,BE$13)))</f>
        <v>1000000000000</v>
      </c>
      <c r="BF110" s="178">
        <f ca="1">IF(OR($D110&lt;&gt;"Serviço",AND(AUTOEVENTO="Manual",$M110=$A$15)),0,
         IF(OFFSET(CRONOPLE!$F$15,$M110-$A$15,BF$13)="",10^12,OFFSET(CRONOPLE!$F$15,$M110-$A$15,BF$13)))</f>
        <v>4</v>
      </c>
      <c r="BG110" s="178">
        <f ca="1">IF(OR($D110&lt;&gt;"Serviço",AND(AUTOEVENTO="Manual",$M110=$A$15)),0,
         IF(OFFSET(CRONOPLE!$F$15,$M110-$A$15,BG$13)="",10^12,OFFSET(CRONOPLE!$F$15,$M110-$A$15,BG$13)))</f>
        <v>5</v>
      </c>
      <c r="BH110" s="178">
        <f ca="1">IF(OR($D110&lt;&gt;"Serviço",AND(AUTOEVENTO="Manual",$M110=$A$15)),0,
         IF(OFFSET(CRONOPLE!$F$15,$M110-$A$15,BH$13)="",10^12,OFFSET(CRONOPLE!$F$15,$M110-$A$15,BH$13)))</f>
        <v>6</v>
      </c>
      <c r="BI110" s="178">
        <f ca="1">IF(OR($D110&lt;&gt;"Serviço",AND(AUTOEVENTO="Manual",$M110=$A$15)),0,
         IF(OFFSET(CRONOPLE!$F$15,$M110-$A$15,BI$13)="",10^12,OFFSET(CRONOPLE!$F$15,$M110-$A$15,BI$13)))</f>
        <v>7</v>
      </c>
      <c r="BJ110" s="178">
        <f ca="1">IF(OR($D110&lt;&gt;"Serviço",AND(AUTOEVENTO="Manual",$M110=$A$15)),0,
         IF(OFFSET(CRONOPLE!$F$15,$M110-$A$15,BJ$13)="",10^12,OFFSET(CRONOPLE!$F$15,$M110-$A$15,BJ$13)))</f>
        <v>8</v>
      </c>
      <c r="BK110" s="178">
        <f ca="1">IF(OR($D110&lt;&gt;"Serviço",AND(AUTOEVENTO="Manual",$M110=$A$15)),0,
         IF(OFFSET(CRONOPLE!$F$15,$M110-$A$15,BK$13)="",10^12,OFFSET(CRONOPLE!$F$15,$M110-$A$15,BK$13)))</f>
        <v>9</v>
      </c>
      <c r="BL110" s="178">
        <f ca="1">IF(OR($D110&lt;&gt;"Serviço",AND(AUTOEVENTO="Manual",$M110=$A$15)),0,
         IF(OFFSET(CRONOPLE!$F$15,$M110-$A$15,BL$13)="",10^12,OFFSET(CRONOPLE!$F$15,$M110-$A$15,BL$13)))</f>
        <v>10</v>
      </c>
      <c r="BM110" s="178">
        <f ca="1">IF(OR($D110&lt;&gt;"Serviço",AND(AUTOEVENTO="Manual",$M110=$A$15)),0,
         IF(OFFSET(CRONOPLE!$F$15,$M110-$A$15,BM$13)="",10^12,OFFSET(CRONOPLE!$F$15,$M110-$A$15,BM$13)))</f>
        <v>1000000000000</v>
      </c>
      <c r="BN110" s="178">
        <f ca="1">IF(OR($D110&lt;&gt;"Serviço",AND(AUTOEVENTO="Manual",$M110=$A$15)),0,
         IF(OFFSET(CRONOPLE!$F$15,$M110-$A$15,BN$13)="",10^12,OFFSET(CRONOPLE!$F$15,$M110-$A$15,BN$13)))</f>
        <v>1000000000000</v>
      </c>
      <c r="BO110" s="178">
        <f ca="1">IF(OR($D110&lt;&gt;"Serviço",AND(AUTOEVENTO="Manual",$M110=$A$15)),0,
         IF(OFFSET(CRONOPLE!$F$15,$M110-$A$15,BO$13)="",10^12,OFFSET(CRONOPLE!$F$15,$M110-$A$15,BO$13)))</f>
        <v>1000000000000</v>
      </c>
      <c r="BP110" s="178">
        <f ca="1">IF(OR($D110&lt;&gt;"Serviço",AND(AUTOEVENTO="Manual",$M110=$A$15)),0,
         IF(OFFSET(CRONOPLE!$F$15,$M110-$A$15,BP$13)="",10^12,OFFSET(CRONOPLE!$F$15,$M110-$A$15,BP$13)))</f>
        <v>1000000000000</v>
      </c>
      <c r="BQ110" s="178">
        <f ca="1">IF(OR($D110&lt;&gt;"Serviço",AND(AUTOEVENTO="Manual",$M110=$A$15)),0,
         IF(OFFSET(CRONOPLE!$F$15,$M110-$A$15,BQ$13)="",10^12,OFFSET(CRONOPLE!$F$15,$M110-$A$15,BQ$13)))</f>
        <v>15</v>
      </c>
      <c r="BR110" s="178">
        <f ca="1">IF(OR($D110&lt;&gt;"Serviço",AND(AUTOEVENTO="Manual",$M110=$A$15)),0,
         IF(OFFSET(CRONOPLE!$F$15,$M110-$A$15,BR$13)="",10^12,OFFSET(CRONOPLE!$F$15,$M110-$A$15,BR$13)))</f>
        <v>1000000000000</v>
      </c>
      <c r="BS110" s="178">
        <f ca="1">IF(OR($D110&lt;&gt;"Serviço",AND(AUTOEVENTO="Manual",$M110=$A$15)),0,
         IF(OFFSET(CRONOPLE!$F$15,$M110-$A$15,BS$13)="",10^12,OFFSET(CRONOPLE!$F$15,$M110-$A$15,BS$13)))</f>
        <v>1000000000000</v>
      </c>
      <c r="BT110" s="178">
        <f ca="1">IF(OR($D110&lt;&gt;"Serviço",AND(AUTOEVENTO="Manual",$M110=$A$15)),0,
         IF(OFFSET(CRONOPLE!$F$15,$M110-$A$15,BT$13)="",10^12,OFFSET(CRONOPLE!$F$15,$M110-$A$15,BT$13)))</f>
        <v>1000000000000</v>
      </c>
      <c r="BV110" s="179">
        <f ca="1">IF(OR($D110&lt;&gt;"Serviço",AND(AUTOEVENTO="Manual",$M110=$A$15),$M110&gt;(ROW(PLE.lastrow)-ROW(PLE.firstrow))),0,
           IF(OFFSET(PLE!$G$15,$M110-$A$15,BV$13)="",10^12,OFFSET(PLE!$G$15,$M110-$A$15,BV$13)))</f>
        <v>1000000000000</v>
      </c>
      <c r="BW110" s="179">
        <f ca="1">IF(OR($D110&lt;&gt;"Serviço",AND(AUTOEVENTO="Manual",$M110=$A$15),$M110&gt;(ROW(PLE.lastrow)-ROW(PLE.firstrow))),0,
           IF(OFFSET(PLE!$G$15,$M110-$A$15,BW$13)="",10^12,OFFSET(PLE!$G$15,$M110-$A$15,BW$13)))</f>
        <v>1000000000000</v>
      </c>
      <c r="BX110" s="179">
        <f ca="1">IF(OR($D110&lt;&gt;"Serviço",AND(AUTOEVENTO="Manual",$M110=$A$15),$M110&gt;(ROW(PLE.lastrow)-ROW(PLE.firstrow))),0,
           IF(OFFSET(PLE!$G$15,$M110-$A$15,BX$13)="",10^12,OFFSET(PLE!$G$15,$M110-$A$15,BX$13)))</f>
        <v>1000000000000</v>
      </c>
      <c r="BY110" s="179">
        <f ca="1">IF(OR($D110&lt;&gt;"Serviço",AND(AUTOEVENTO="Manual",$M110=$A$15),$M110&gt;(ROW(PLE.lastrow)-ROW(PLE.firstrow))),0,
           IF(OFFSET(PLE!$G$15,$M110-$A$15,BY$13)="",10^12,OFFSET(PLE!$G$15,$M110-$A$15,BY$13)))</f>
        <v>1000000000000</v>
      </c>
      <c r="BZ110" s="179">
        <f ca="1">IF(OR($D110&lt;&gt;"Serviço",AND(AUTOEVENTO="Manual",$M110=$A$15),$M110&gt;(ROW(PLE.lastrow)-ROW(PLE.firstrow))),0,
           IF(OFFSET(PLE!$G$15,$M110-$A$15,BZ$13)="",10^12,OFFSET(PLE!$G$15,$M110-$A$15,BZ$13)))</f>
        <v>1000000000000</v>
      </c>
      <c r="CA110" s="179">
        <f ca="1">IF(OR($D110&lt;&gt;"Serviço",AND(AUTOEVENTO="Manual",$M110=$A$15),$M110&gt;(ROW(PLE.lastrow)-ROW(PLE.firstrow))),0,
           IF(OFFSET(PLE!$G$15,$M110-$A$15,CA$13)="",10^12,OFFSET(PLE!$G$15,$M110-$A$15,CA$13)))</f>
        <v>1000000000000</v>
      </c>
      <c r="CB110" s="179">
        <f ca="1">IF(OR($D110&lt;&gt;"Serviço",AND(AUTOEVENTO="Manual",$M110=$A$15),$M110&gt;(ROW(PLE.lastrow)-ROW(PLE.firstrow))),0,
           IF(OFFSET(PLE!$G$15,$M110-$A$15,CB$13)="",10^12,OFFSET(PLE!$G$15,$M110-$A$15,CB$13)))</f>
        <v>1000000000000</v>
      </c>
      <c r="CC110" s="179">
        <f ca="1">IF(OR($D110&lt;&gt;"Serviço",AND(AUTOEVENTO="Manual",$M110=$A$15),$M110&gt;(ROW(PLE.lastrow)-ROW(PLE.firstrow))),0,
           IF(OFFSET(PLE!$G$15,$M110-$A$15,CC$13)="",10^12,OFFSET(PLE!$G$15,$M110-$A$15,CC$13)))</f>
        <v>1000000000000</v>
      </c>
      <c r="CD110" s="179">
        <f ca="1">IF(OR($D110&lt;&gt;"Serviço",AND(AUTOEVENTO="Manual",$M110=$A$15),$M110&gt;(ROW(PLE.lastrow)-ROW(PLE.firstrow))),0,
           IF(OFFSET(PLE!$G$15,$M110-$A$15,CD$13)="",10^12,OFFSET(PLE!$G$15,$M110-$A$15,CD$13)))</f>
        <v>1000000000000</v>
      </c>
      <c r="CE110" s="179">
        <f ca="1">IF(OR($D110&lt;&gt;"Serviço",AND(AUTOEVENTO="Manual",$M110=$A$15),$M110&gt;(ROW(PLE.lastrow)-ROW(PLE.firstrow))),0,
           IF(OFFSET(PLE!$G$15,$M110-$A$15,CE$13)="",10^12,OFFSET(PLE!$G$15,$M110-$A$15,CE$13)))</f>
        <v>1000000000000</v>
      </c>
      <c r="CF110" s="179">
        <f ca="1">IF(OR($D110&lt;&gt;"Serviço",AND(AUTOEVENTO="Manual",$M110=$A$15),$M110&gt;(ROW(PLE.lastrow)-ROW(PLE.firstrow))),0,
           IF(OFFSET(PLE!$G$15,$M110-$A$15,CF$13)="",10^12,OFFSET(PLE!$G$15,$M110-$A$15,CF$13)))</f>
        <v>1000000000000</v>
      </c>
      <c r="CG110" s="179">
        <f ca="1">IF(OR($D110&lt;&gt;"Serviço",AND(AUTOEVENTO="Manual",$M110=$A$15),$M110&gt;(ROW(PLE.lastrow)-ROW(PLE.firstrow))),0,
           IF(OFFSET(PLE!$G$15,$M110-$A$15,CG$13)="",10^12,OFFSET(PLE!$G$15,$M110-$A$15,CG$13)))</f>
        <v>1000000000000</v>
      </c>
      <c r="CH110" s="179">
        <f ca="1">IF(OR($D110&lt;&gt;"Serviço",AND(AUTOEVENTO="Manual",$M110=$A$15),$M110&gt;(ROW(PLE.lastrow)-ROW(PLE.firstrow))),0,
           IF(OFFSET(PLE!$G$15,$M110-$A$15,CH$13)="",10^12,OFFSET(PLE!$G$15,$M110-$A$15,CH$13)))</f>
        <v>1000000000000</v>
      </c>
      <c r="CI110" s="179">
        <f ca="1">IF(OR($D110&lt;&gt;"Serviço",AND(AUTOEVENTO="Manual",$M110=$A$15),$M110&gt;(ROW(PLE.lastrow)-ROW(PLE.firstrow))),0,
           IF(OFFSET(PLE!$G$15,$M110-$A$15,CI$13)="",10^12,OFFSET(PLE!$G$15,$M110-$A$15,CI$13)))</f>
        <v>1000000000000</v>
      </c>
      <c r="CJ110" s="179">
        <f ca="1">IF(OR($D110&lt;&gt;"Serviço",AND(AUTOEVENTO="Manual",$M110=$A$15),$M110&gt;(ROW(PLE.lastrow)-ROW(PLE.firstrow))),0,
           IF(OFFSET(PLE!$G$15,$M110-$A$15,CJ$13)="",10^12,OFFSET(PLE!$G$15,$M110-$A$15,CJ$13)))</f>
        <v>1000000000000</v>
      </c>
      <c r="CK110" s="179">
        <f ca="1">IF(OR($D110&lt;&gt;"Serviço",AND(AUTOEVENTO="Manual",$M110=$A$15),$M110&gt;(ROW(PLE.lastrow)-ROW(PLE.firstrow))),0,
           IF(OFFSET(PLE!$G$15,$M110-$A$15,CK$13)="",10^12,OFFSET(PLE!$G$15,$M110-$A$15,CK$13)))</f>
        <v>1000000000000</v>
      </c>
      <c r="CL110" s="179">
        <f ca="1">IF(OR($D110&lt;&gt;"Serviço",AND(AUTOEVENTO="Manual",$M110=$A$15),$M110&gt;(ROW(PLE.lastrow)-ROW(PLE.firstrow))),0,
           IF(OFFSET(PLE!$G$15,$M110-$A$15,CL$13)="",10^12,OFFSET(PLE!$G$15,$M110-$A$15,CL$13)))</f>
        <v>1000000000000</v>
      </c>
      <c r="CM110" s="179">
        <f ca="1">IF(OR($D110&lt;&gt;"Serviço",AND(AUTOEVENTO="Manual",$M110=$A$15),$M110&gt;(ROW(PLE.lastrow)-ROW(PLE.firstrow))),0,
           IF(OFFSET(PLE!$G$15,$M110-$A$15,CM$13)="",10^12,OFFSET(PLE!$G$15,$M110-$A$15,CM$13)))</f>
        <v>1000000000000</v>
      </c>
    </row>
    <row r="111" spans="1:91" ht="38.25" x14ac:dyDescent="0.2">
      <c r="A111" s="7" t="str">
        <f ca="1">IF(AUTOEVENTO="Manual",IF(K111&lt;&gt;"",MIN(VALUE(LEFT(K111,FIND(".",K111)-1)),COUNTA(EVENTOS.Lista)),0),IF(OR($B111&gt;AUTOEVENTO,$B111="S",$B111=0),SUBSTITUTE(OFFSET($A111,-1,0),IF($D111="Serviço",".",""),""),ROW(A111)-ROW($A$15)&amp;"."))</f>
        <v>71</v>
      </c>
      <c r="B111" s="7" t="str">
        <f ca="1">OFFSET(ORÇAMENTO!C$15,ROW(B111)-ROW(B$15),0)</f>
        <v>S</v>
      </c>
      <c r="C111" s="7" t="str">
        <f ca="1">OFFSET(ORÇAMENTO!L$15,ROW(C111)-ROW(C$15),0)</f>
        <v>F</v>
      </c>
      <c r="D111" s="118" t="str">
        <f ca="1">OFFSET(ORÇAMENTO!N$15,ROW(D111)-ROW(D$15),0)</f>
        <v>Serviço</v>
      </c>
      <c r="E111" s="119" t="str">
        <f ca="1">OFFSET(ORÇAMENTO!O$15,ROW(E111)-ROW(E$15),0)</f>
        <v>1.12.0.0.25.</v>
      </c>
      <c r="F111" s="170" t="str">
        <f ca="1">OFFSET(ORÇAMENTO!R$15,ROW(F111)-ROW(F$15),0)</f>
        <v>LUVA PARA ELETRODUTO, PVC, ROSCÁVEL, DN 25 MM (3/4"), PARA CIRCUITOS TERMINAIS, INSTALADA EM FORRO - FORNECIMENTO E INSTALAÇÃO. AF_03/2023</v>
      </c>
      <c r="G111" s="171" t="str">
        <f ca="1">IF($D111&lt;&gt;"Serviço","",OFFSET(ORÇAMENTO!S$15,ROW(G111)-ROW(G$15),0))</f>
        <v>UN</v>
      </c>
      <c r="H111" s="124" cm="1">
        <f t="array" aca="1" ref="H111" ca="1">IF($D111&lt;&gt;"Serviço",0,IF(_xlfn.SINGLE(ACOMPANHAMENTO)="BM",ROUND(OFFSET(ORÇAMENTO!AJ$15,ROW(H111)-ROW(H$15),0),15-13*ORÇAMENTO!$AF$7),SUMPRODUCT(($Q$1:$AI$1)*ROUND($Q111:$AI111,15-13*ORÇAMENTO!$AF$7))))</f>
        <v>88</v>
      </c>
      <c r="I111" s="500" t="s">
        <v>1019</v>
      </c>
      <c r="J111" s="632" t="str" cm="1">
        <f t="array" aca="1" ref="J111" ca="1">IF(B111&lt;&gt;"S","",IF(AND(ACOMPANHAMENTO="PLE",AUTOEVENTO="Manual",OR(H111&gt;0,ORÇAMENTO!AC111="QUANT."),OR(K111="",M111=0,N111="")),"►",IF(AND(ACOMPANHAMENTO="PLE",ORÇAMENTO!AC111="QUANT."),"►►",IF(AND(COUNTIF($P$11:$AI$11,"▼")=0,H111&gt;0,I111=""),"◄",""))))</f>
        <v/>
      </c>
      <c r="K111" s="624"/>
      <c r="L111" s="172" t="s">
        <v>253</v>
      </c>
      <c r="M111" s="173">
        <f ca="1">IF($D111&lt;&gt;"Serviço","",
          IF(AUTOEVENTO="manual",$A111,
                IF(ISERROR(MATCH($A111,$A$15:OFFSET($A111,-1,0),0)),MAX($M$15:OFFSET(M111,-1,0))+1,
                      INDEX($M$15:OFFSET(M111,-1,0),MATCH($A111,$A$15:OFFSET($A111,-1,0),0)))))</f>
        <v>12</v>
      </c>
      <c r="N111" s="174" t="str">
        <f ca="1">IF($D111&lt;&gt;"Serviço","",
         IF(AUTOEVENTO="Manual",
                IF($A111=0,"&lt;-- defina o número do agrupador",
                       OFFSET(EVENTOS!$D$15,$A111-$A$15,0)),
                OFFSET($F$15,$A111,0)))</f>
        <v>INSTALAÇÕES ELÉTRICAS</v>
      </c>
      <c r="O111" s="175"/>
      <c r="Q111" s="175"/>
      <c r="R111" s="176"/>
      <c r="S111" s="176"/>
      <c r="T111" s="176">
        <v>88</v>
      </c>
      <c r="U111" s="176"/>
      <c r="V111" s="176"/>
      <c r="W111" s="176"/>
      <c r="X111" s="176"/>
      <c r="Y111" s="176"/>
      <c r="Z111" s="177"/>
      <c r="AA111" s="176"/>
      <c r="AB111" s="176"/>
      <c r="AC111" s="176"/>
      <c r="AD111" s="176"/>
      <c r="AE111" s="176"/>
      <c r="AF111" s="176"/>
      <c r="AG111" s="176"/>
      <c r="AH111" s="177"/>
      <c r="AJ111" s="485">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85">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L111" s="485">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0</v>
      </c>
      <c r="AM111" s="485">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1166.8800000000001</v>
      </c>
      <c r="AN111" s="485">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0</v>
      </c>
      <c r="AO111" s="485">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85">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85">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85">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85">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85">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85">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85">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85">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85">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85">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85">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85">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8">
        <f ca="1">IF(OR($D111&lt;&gt;"Serviço",AND(AUTOEVENTO="Manual",$M111=$A$15)),0,
         IF(OFFSET(CRONOPLE!$F$15,$M111-$A$15,BC$13)="",10^12,OFFSET(CRONOPLE!$F$15,$M111-$A$15,BC$13)))</f>
        <v>1</v>
      </c>
      <c r="BD111" s="178">
        <f ca="1">IF(OR($D111&lt;&gt;"Serviço",AND(AUTOEVENTO="Manual",$M111=$A$15)),0,
         IF(OFFSET(CRONOPLE!$F$15,$M111-$A$15,BD$13)="",10^12,OFFSET(CRONOPLE!$F$15,$M111-$A$15,BD$13)))</f>
        <v>2</v>
      </c>
      <c r="BE111" s="178">
        <f ca="1">IF(OR($D111&lt;&gt;"Serviço",AND(AUTOEVENTO="Manual",$M111=$A$15)),0,
         IF(OFFSET(CRONOPLE!$F$15,$M111-$A$15,BE$13)="",10^12,OFFSET(CRONOPLE!$F$15,$M111-$A$15,BE$13)))</f>
        <v>1000000000000</v>
      </c>
      <c r="BF111" s="178">
        <f ca="1">IF(OR($D111&lt;&gt;"Serviço",AND(AUTOEVENTO="Manual",$M111=$A$15)),0,
         IF(OFFSET(CRONOPLE!$F$15,$M111-$A$15,BF$13)="",10^12,OFFSET(CRONOPLE!$F$15,$M111-$A$15,BF$13)))</f>
        <v>4</v>
      </c>
      <c r="BG111" s="178">
        <f ca="1">IF(OR($D111&lt;&gt;"Serviço",AND(AUTOEVENTO="Manual",$M111=$A$15)),0,
         IF(OFFSET(CRONOPLE!$F$15,$M111-$A$15,BG$13)="",10^12,OFFSET(CRONOPLE!$F$15,$M111-$A$15,BG$13)))</f>
        <v>5</v>
      </c>
      <c r="BH111" s="178">
        <f ca="1">IF(OR($D111&lt;&gt;"Serviço",AND(AUTOEVENTO="Manual",$M111=$A$15)),0,
         IF(OFFSET(CRONOPLE!$F$15,$M111-$A$15,BH$13)="",10^12,OFFSET(CRONOPLE!$F$15,$M111-$A$15,BH$13)))</f>
        <v>6</v>
      </c>
      <c r="BI111" s="178">
        <f ca="1">IF(OR($D111&lt;&gt;"Serviço",AND(AUTOEVENTO="Manual",$M111=$A$15)),0,
         IF(OFFSET(CRONOPLE!$F$15,$M111-$A$15,BI$13)="",10^12,OFFSET(CRONOPLE!$F$15,$M111-$A$15,BI$13)))</f>
        <v>7</v>
      </c>
      <c r="BJ111" s="178">
        <f ca="1">IF(OR($D111&lt;&gt;"Serviço",AND(AUTOEVENTO="Manual",$M111=$A$15)),0,
         IF(OFFSET(CRONOPLE!$F$15,$M111-$A$15,BJ$13)="",10^12,OFFSET(CRONOPLE!$F$15,$M111-$A$15,BJ$13)))</f>
        <v>8</v>
      </c>
      <c r="BK111" s="178">
        <f ca="1">IF(OR($D111&lt;&gt;"Serviço",AND(AUTOEVENTO="Manual",$M111=$A$15)),0,
         IF(OFFSET(CRONOPLE!$F$15,$M111-$A$15,BK$13)="",10^12,OFFSET(CRONOPLE!$F$15,$M111-$A$15,BK$13)))</f>
        <v>9</v>
      </c>
      <c r="BL111" s="178">
        <f ca="1">IF(OR($D111&lt;&gt;"Serviço",AND(AUTOEVENTO="Manual",$M111=$A$15)),0,
         IF(OFFSET(CRONOPLE!$F$15,$M111-$A$15,BL$13)="",10^12,OFFSET(CRONOPLE!$F$15,$M111-$A$15,BL$13)))</f>
        <v>10</v>
      </c>
      <c r="BM111" s="178">
        <f ca="1">IF(OR($D111&lt;&gt;"Serviço",AND(AUTOEVENTO="Manual",$M111=$A$15)),0,
         IF(OFFSET(CRONOPLE!$F$15,$M111-$A$15,BM$13)="",10^12,OFFSET(CRONOPLE!$F$15,$M111-$A$15,BM$13)))</f>
        <v>1000000000000</v>
      </c>
      <c r="BN111" s="178">
        <f ca="1">IF(OR($D111&lt;&gt;"Serviço",AND(AUTOEVENTO="Manual",$M111=$A$15)),0,
         IF(OFFSET(CRONOPLE!$F$15,$M111-$A$15,BN$13)="",10^12,OFFSET(CRONOPLE!$F$15,$M111-$A$15,BN$13)))</f>
        <v>1000000000000</v>
      </c>
      <c r="BO111" s="178">
        <f ca="1">IF(OR($D111&lt;&gt;"Serviço",AND(AUTOEVENTO="Manual",$M111=$A$15)),0,
         IF(OFFSET(CRONOPLE!$F$15,$M111-$A$15,BO$13)="",10^12,OFFSET(CRONOPLE!$F$15,$M111-$A$15,BO$13)))</f>
        <v>1000000000000</v>
      </c>
      <c r="BP111" s="178">
        <f ca="1">IF(OR($D111&lt;&gt;"Serviço",AND(AUTOEVENTO="Manual",$M111=$A$15)),0,
         IF(OFFSET(CRONOPLE!$F$15,$M111-$A$15,BP$13)="",10^12,OFFSET(CRONOPLE!$F$15,$M111-$A$15,BP$13)))</f>
        <v>1000000000000</v>
      </c>
      <c r="BQ111" s="178">
        <f ca="1">IF(OR($D111&lt;&gt;"Serviço",AND(AUTOEVENTO="Manual",$M111=$A$15)),0,
         IF(OFFSET(CRONOPLE!$F$15,$M111-$A$15,BQ$13)="",10^12,OFFSET(CRONOPLE!$F$15,$M111-$A$15,BQ$13)))</f>
        <v>15</v>
      </c>
      <c r="BR111" s="178">
        <f ca="1">IF(OR($D111&lt;&gt;"Serviço",AND(AUTOEVENTO="Manual",$M111=$A$15)),0,
         IF(OFFSET(CRONOPLE!$F$15,$M111-$A$15,BR$13)="",10^12,OFFSET(CRONOPLE!$F$15,$M111-$A$15,BR$13)))</f>
        <v>1000000000000</v>
      </c>
      <c r="BS111" s="178">
        <f ca="1">IF(OR($D111&lt;&gt;"Serviço",AND(AUTOEVENTO="Manual",$M111=$A$15)),0,
         IF(OFFSET(CRONOPLE!$F$15,$M111-$A$15,BS$13)="",10^12,OFFSET(CRONOPLE!$F$15,$M111-$A$15,BS$13)))</f>
        <v>1000000000000</v>
      </c>
      <c r="BT111" s="178">
        <f ca="1">IF(OR($D111&lt;&gt;"Serviço",AND(AUTOEVENTO="Manual",$M111=$A$15)),0,
         IF(OFFSET(CRONOPLE!$F$15,$M111-$A$15,BT$13)="",10^12,OFFSET(CRONOPLE!$F$15,$M111-$A$15,BT$13)))</f>
        <v>1000000000000</v>
      </c>
      <c r="BV111" s="179">
        <f ca="1">IF(OR($D111&lt;&gt;"Serviço",AND(AUTOEVENTO="Manual",$M111=$A$15),$M111&gt;(ROW(PLE.lastrow)-ROW(PLE.firstrow))),0,
           IF(OFFSET(PLE!$G$15,$M111-$A$15,BV$13)="",10^12,OFFSET(PLE!$G$15,$M111-$A$15,BV$13)))</f>
        <v>1000000000000</v>
      </c>
      <c r="BW111" s="179">
        <f ca="1">IF(OR($D111&lt;&gt;"Serviço",AND(AUTOEVENTO="Manual",$M111=$A$15),$M111&gt;(ROW(PLE.lastrow)-ROW(PLE.firstrow))),0,
           IF(OFFSET(PLE!$G$15,$M111-$A$15,BW$13)="",10^12,OFFSET(PLE!$G$15,$M111-$A$15,BW$13)))</f>
        <v>1000000000000</v>
      </c>
      <c r="BX111" s="179">
        <f ca="1">IF(OR($D111&lt;&gt;"Serviço",AND(AUTOEVENTO="Manual",$M111=$A$15),$M111&gt;(ROW(PLE.lastrow)-ROW(PLE.firstrow))),0,
           IF(OFFSET(PLE!$G$15,$M111-$A$15,BX$13)="",10^12,OFFSET(PLE!$G$15,$M111-$A$15,BX$13)))</f>
        <v>1000000000000</v>
      </c>
      <c r="BY111" s="179">
        <f ca="1">IF(OR($D111&lt;&gt;"Serviço",AND(AUTOEVENTO="Manual",$M111=$A$15),$M111&gt;(ROW(PLE.lastrow)-ROW(PLE.firstrow))),0,
           IF(OFFSET(PLE!$G$15,$M111-$A$15,BY$13)="",10^12,OFFSET(PLE!$G$15,$M111-$A$15,BY$13)))</f>
        <v>1000000000000</v>
      </c>
      <c r="BZ111" s="179">
        <f ca="1">IF(OR($D111&lt;&gt;"Serviço",AND(AUTOEVENTO="Manual",$M111=$A$15),$M111&gt;(ROW(PLE.lastrow)-ROW(PLE.firstrow))),0,
           IF(OFFSET(PLE!$G$15,$M111-$A$15,BZ$13)="",10^12,OFFSET(PLE!$G$15,$M111-$A$15,BZ$13)))</f>
        <v>1000000000000</v>
      </c>
      <c r="CA111" s="179">
        <f ca="1">IF(OR($D111&lt;&gt;"Serviço",AND(AUTOEVENTO="Manual",$M111=$A$15),$M111&gt;(ROW(PLE.lastrow)-ROW(PLE.firstrow))),0,
           IF(OFFSET(PLE!$G$15,$M111-$A$15,CA$13)="",10^12,OFFSET(PLE!$G$15,$M111-$A$15,CA$13)))</f>
        <v>1000000000000</v>
      </c>
      <c r="CB111" s="179">
        <f ca="1">IF(OR($D111&lt;&gt;"Serviço",AND(AUTOEVENTO="Manual",$M111=$A$15),$M111&gt;(ROW(PLE.lastrow)-ROW(PLE.firstrow))),0,
           IF(OFFSET(PLE!$G$15,$M111-$A$15,CB$13)="",10^12,OFFSET(PLE!$G$15,$M111-$A$15,CB$13)))</f>
        <v>1000000000000</v>
      </c>
      <c r="CC111" s="179">
        <f ca="1">IF(OR($D111&lt;&gt;"Serviço",AND(AUTOEVENTO="Manual",$M111=$A$15),$M111&gt;(ROW(PLE.lastrow)-ROW(PLE.firstrow))),0,
           IF(OFFSET(PLE!$G$15,$M111-$A$15,CC$13)="",10^12,OFFSET(PLE!$G$15,$M111-$A$15,CC$13)))</f>
        <v>1000000000000</v>
      </c>
      <c r="CD111" s="179">
        <f ca="1">IF(OR($D111&lt;&gt;"Serviço",AND(AUTOEVENTO="Manual",$M111=$A$15),$M111&gt;(ROW(PLE.lastrow)-ROW(PLE.firstrow))),0,
           IF(OFFSET(PLE!$G$15,$M111-$A$15,CD$13)="",10^12,OFFSET(PLE!$G$15,$M111-$A$15,CD$13)))</f>
        <v>1000000000000</v>
      </c>
      <c r="CE111" s="179">
        <f ca="1">IF(OR($D111&lt;&gt;"Serviço",AND(AUTOEVENTO="Manual",$M111=$A$15),$M111&gt;(ROW(PLE.lastrow)-ROW(PLE.firstrow))),0,
           IF(OFFSET(PLE!$G$15,$M111-$A$15,CE$13)="",10^12,OFFSET(PLE!$G$15,$M111-$A$15,CE$13)))</f>
        <v>1000000000000</v>
      </c>
      <c r="CF111" s="179">
        <f ca="1">IF(OR($D111&lt;&gt;"Serviço",AND(AUTOEVENTO="Manual",$M111=$A$15),$M111&gt;(ROW(PLE.lastrow)-ROW(PLE.firstrow))),0,
           IF(OFFSET(PLE!$G$15,$M111-$A$15,CF$13)="",10^12,OFFSET(PLE!$G$15,$M111-$A$15,CF$13)))</f>
        <v>1000000000000</v>
      </c>
      <c r="CG111" s="179">
        <f ca="1">IF(OR($D111&lt;&gt;"Serviço",AND(AUTOEVENTO="Manual",$M111=$A$15),$M111&gt;(ROW(PLE.lastrow)-ROW(PLE.firstrow))),0,
           IF(OFFSET(PLE!$G$15,$M111-$A$15,CG$13)="",10^12,OFFSET(PLE!$G$15,$M111-$A$15,CG$13)))</f>
        <v>1000000000000</v>
      </c>
      <c r="CH111" s="179">
        <f ca="1">IF(OR($D111&lt;&gt;"Serviço",AND(AUTOEVENTO="Manual",$M111=$A$15),$M111&gt;(ROW(PLE.lastrow)-ROW(PLE.firstrow))),0,
           IF(OFFSET(PLE!$G$15,$M111-$A$15,CH$13)="",10^12,OFFSET(PLE!$G$15,$M111-$A$15,CH$13)))</f>
        <v>1000000000000</v>
      </c>
      <c r="CI111" s="179">
        <f ca="1">IF(OR($D111&lt;&gt;"Serviço",AND(AUTOEVENTO="Manual",$M111=$A$15),$M111&gt;(ROW(PLE.lastrow)-ROW(PLE.firstrow))),0,
           IF(OFFSET(PLE!$G$15,$M111-$A$15,CI$13)="",10^12,OFFSET(PLE!$G$15,$M111-$A$15,CI$13)))</f>
        <v>1000000000000</v>
      </c>
      <c r="CJ111" s="179">
        <f ca="1">IF(OR($D111&lt;&gt;"Serviço",AND(AUTOEVENTO="Manual",$M111=$A$15),$M111&gt;(ROW(PLE.lastrow)-ROW(PLE.firstrow))),0,
           IF(OFFSET(PLE!$G$15,$M111-$A$15,CJ$13)="",10^12,OFFSET(PLE!$G$15,$M111-$A$15,CJ$13)))</f>
        <v>1000000000000</v>
      </c>
      <c r="CK111" s="179">
        <f ca="1">IF(OR($D111&lt;&gt;"Serviço",AND(AUTOEVENTO="Manual",$M111=$A$15),$M111&gt;(ROW(PLE.lastrow)-ROW(PLE.firstrow))),0,
           IF(OFFSET(PLE!$G$15,$M111-$A$15,CK$13)="",10^12,OFFSET(PLE!$G$15,$M111-$A$15,CK$13)))</f>
        <v>1000000000000</v>
      </c>
      <c r="CL111" s="179">
        <f ca="1">IF(OR($D111&lt;&gt;"Serviço",AND(AUTOEVENTO="Manual",$M111=$A$15),$M111&gt;(ROW(PLE.lastrow)-ROW(PLE.firstrow))),0,
           IF(OFFSET(PLE!$G$15,$M111-$A$15,CL$13)="",10^12,OFFSET(PLE!$G$15,$M111-$A$15,CL$13)))</f>
        <v>1000000000000</v>
      </c>
      <c r="CM111" s="179">
        <f ca="1">IF(OR($D111&lt;&gt;"Serviço",AND(AUTOEVENTO="Manual",$M111=$A$15),$M111&gt;(ROW(PLE.lastrow)-ROW(PLE.firstrow))),0,
           IF(OFFSET(PLE!$G$15,$M111-$A$15,CM$13)="",10^12,OFFSET(PLE!$G$15,$M111-$A$15,CM$13)))</f>
        <v>1000000000000</v>
      </c>
    </row>
    <row r="112" spans="1:91" ht="38.25" x14ac:dyDescent="0.2">
      <c r="A112" s="7" t="str">
        <f ca="1">IF(AUTOEVENTO="Manual",IF(K112&lt;&gt;"",MIN(VALUE(LEFT(K112,FIND(".",K112)-1)),COUNTA(EVENTOS.Lista)),0),IF(OR($B112&gt;AUTOEVENTO,$B112="S",$B112=0),SUBSTITUTE(OFFSET($A112,-1,0),IF($D112="Serviço",".",""),""),ROW(A112)-ROW($A$15)&amp;"."))</f>
        <v>71</v>
      </c>
      <c r="B112" s="7" t="str">
        <f ca="1">OFFSET(ORÇAMENTO!C$15,ROW(B112)-ROW(B$15),0)</f>
        <v>S</v>
      </c>
      <c r="C112" s="7" t="str">
        <f ca="1">OFFSET(ORÇAMENTO!L$15,ROW(C112)-ROW(C$15),0)</f>
        <v>F</v>
      </c>
      <c r="D112" s="118" t="str">
        <f ca="1">OFFSET(ORÇAMENTO!N$15,ROW(D112)-ROW(D$15),0)</f>
        <v>Serviço</v>
      </c>
      <c r="E112" s="119" t="str">
        <f ca="1">OFFSET(ORÇAMENTO!O$15,ROW(E112)-ROW(E$15),0)</f>
        <v>1.12.0.0.26.</v>
      </c>
      <c r="F112" s="170" t="str">
        <f ca="1">OFFSET(ORÇAMENTO!R$15,ROW(F112)-ROW(F$15),0)</f>
        <v>LUVA PARA ELETRODUTO, PVC, ROSCÁVEL, DN 40 MM (1 1/4"), PARA CIRCUITOS TERMINAIS, INSTALADA EM FORRO - FORNECIMENTO E INSTALAÇÃO. AF_03/2023</v>
      </c>
      <c r="G112" s="171" t="str">
        <f ca="1">IF($D112&lt;&gt;"Serviço","",OFFSET(ORÇAMENTO!S$15,ROW(G112)-ROW(G$15),0))</f>
        <v>UN</v>
      </c>
      <c r="H112" s="124" cm="1">
        <f t="array" aca="1" ref="H112" ca="1">IF($D112&lt;&gt;"Serviço",0,IF(_xlfn.SINGLE(ACOMPANHAMENTO)="BM",ROUND(OFFSET(ORÇAMENTO!AJ$15,ROW(H112)-ROW(H$15),0),15-13*ORÇAMENTO!$AF$7),SUMPRODUCT(($Q$1:$AI$1)*ROUND($Q112:$AI112,15-13*ORÇAMENTO!$AF$7))))</f>
        <v>6</v>
      </c>
      <c r="I112" s="500" t="s">
        <v>1019</v>
      </c>
      <c r="J112" s="632" t="str" cm="1">
        <f t="array" aca="1" ref="J112" ca="1">IF(B112&lt;&gt;"S","",IF(AND(ACOMPANHAMENTO="PLE",AUTOEVENTO="Manual",OR(H112&gt;0,ORÇAMENTO!AC112="QUANT."),OR(K112="",M112=0,N112="")),"►",IF(AND(ACOMPANHAMENTO="PLE",ORÇAMENTO!AC112="QUANT."),"►►",IF(AND(COUNTIF($P$11:$AI$11,"▼")=0,H112&gt;0,I112=""),"◄",""))))</f>
        <v/>
      </c>
      <c r="K112" s="624"/>
      <c r="L112" s="172" t="s">
        <v>253</v>
      </c>
      <c r="M112" s="173">
        <f ca="1">IF($D112&lt;&gt;"Serviço","",
          IF(AUTOEVENTO="manual",$A112,
                IF(ISERROR(MATCH($A112,$A$15:OFFSET($A112,-1,0),0)),MAX($M$15:OFFSET(M112,-1,0))+1,
                      INDEX($M$15:OFFSET(M112,-1,0),MATCH($A112,$A$15:OFFSET($A112,-1,0),0)))))</f>
        <v>12</v>
      </c>
      <c r="N112" s="174" t="str">
        <f ca="1">IF($D112&lt;&gt;"Serviço","",
         IF(AUTOEVENTO="Manual",
                IF($A112=0,"&lt;-- defina o número do agrupador",
                       OFFSET(EVENTOS!$D$15,$A112-$A$15,0)),
                OFFSET($F$15,$A112,0)))</f>
        <v>INSTALAÇÕES ELÉTRICAS</v>
      </c>
      <c r="O112" s="175"/>
      <c r="Q112" s="175"/>
      <c r="R112" s="176"/>
      <c r="S112" s="176"/>
      <c r="T112" s="176">
        <v>6</v>
      </c>
      <c r="U112" s="176"/>
      <c r="V112" s="176"/>
      <c r="W112" s="176"/>
      <c r="X112" s="176"/>
      <c r="Y112" s="176"/>
      <c r="Z112" s="177"/>
      <c r="AA112" s="176"/>
      <c r="AB112" s="176"/>
      <c r="AC112" s="176"/>
      <c r="AD112" s="176"/>
      <c r="AE112" s="176"/>
      <c r="AF112" s="176"/>
      <c r="AG112" s="176"/>
      <c r="AH112" s="177"/>
      <c r="AJ112" s="485">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85">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85">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85">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113.94</v>
      </c>
      <c r="AN112" s="485">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0</v>
      </c>
      <c r="AO112" s="485">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0</v>
      </c>
      <c r="AP112" s="485">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85">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85">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85">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85">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85">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85">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85">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85">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85">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85">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85">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8">
        <f ca="1">IF(OR($D112&lt;&gt;"Serviço",AND(AUTOEVENTO="Manual",$M112=$A$15)),0,
         IF(OFFSET(CRONOPLE!$F$15,$M112-$A$15,BC$13)="",10^12,OFFSET(CRONOPLE!$F$15,$M112-$A$15,BC$13)))</f>
        <v>1</v>
      </c>
      <c r="BD112" s="178">
        <f ca="1">IF(OR($D112&lt;&gt;"Serviço",AND(AUTOEVENTO="Manual",$M112=$A$15)),0,
         IF(OFFSET(CRONOPLE!$F$15,$M112-$A$15,BD$13)="",10^12,OFFSET(CRONOPLE!$F$15,$M112-$A$15,BD$13)))</f>
        <v>2</v>
      </c>
      <c r="BE112" s="178">
        <f ca="1">IF(OR($D112&lt;&gt;"Serviço",AND(AUTOEVENTO="Manual",$M112=$A$15)),0,
         IF(OFFSET(CRONOPLE!$F$15,$M112-$A$15,BE$13)="",10^12,OFFSET(CRONOPLE!$F$15,$M112-$A$15,BE$13)))</f>
        <v>1000000000000</v>
      </c>
      <c r="BF112" s="178">
        <f ca="1">IF(OR($D112&lt;&gt;"Serviço",AND(AUTOEVENTO="Manual",$M112=$A$15)),0,
         IF(OFFSET(CRONOPLE!$F$15,$M112-$A$15,BF$13)="",10^12,OFFSET(CRONOPLE!$F$15,$M112-$A$15,BF$13)))</f>
        <v>4</v>
      </c>
      <c r="BG112" s="178">
        <f ca="1">IF(OR($D112&lt;&gt;"Serviço",AND(AUTOEVENTO="Manual",$M112=$A$15)),0,
         IF(OFFSET(CRONOPLE!$F$15,$M112-$A$15,BG$13)="",10^12,OFFSET(CRONOPLE!$F$15,$M112-$A$15,BG$13)))</f>
        <v>5</v>
      </c>
      <c r="BH112" s="178">
        <f ca="1">IF(OR($D112&lt;&gt;"Serviço",AND(AUTOEVENTO="Manual",$M112=$A$15)),0,
         IF(OFFSET(CRONOPLE!$F$15,$M112-$A$15,BH$13)="",10^12,OFFSET(CRONOPLE!$F$15,$M112-$A$15,BH$13)))</f>
        <v>6</v>
      </c>
      <c r="BI112" s="178">
        <f ca="1">IF(OR($D112&lt;&gt;"Serviço",AND(AUTOEVENTO="Manual",$M112=$A$15)),0,
         IF(OFFSET(CRONOPLE!$F$15,$M112-$A$15,BI$13)="",10^12,OFFSET(CRONOPLE!$F$15,$M112-$A$15,BI$13)))</f>
        <v>7</v>
      </c>
      <c r="BJ112" s="178">
        <f ca="1">IF(OR($D112&lt;&gt;"Serviço",AND(AUTOEVENTO="Manual",$M112=$A$15)),0,
         IF(OFFSET(CRONOPLE!$F$15,$M112-$A$15,BJ$13)="",10^12,OFFSET(CRONOPLE!$F$15,$M112-$A$15,BJ$13)))</f>
        <v>8</v>
      </c>
      <c r="BK112" s="178">
        <f ca="1">IF(OR($D112&lt;&gt;"Serviço",AND(AUTOEVENTO="Manual",$M112=$A$15)),0,
         IF(OFFSET(CRONOPLE!$F$15,$M112-$A$15,BK$13)="",10^12,OFFSET(CRONOPLE!$F$15,$M112-$A$15,BK$13)))</f>
        <v>9</v>
      </c>
      <c r="BL112" s="178">
        <f ca="1">IF(OR($D112&lt;&gt;"Serviço",AND(AUTOEVENTO="Manual",$M112=$A$15)),0,
         IF(OFFSET(CRONOPLE!$F$15,$M112-$A$15,BL$13)="",10^12,OFFSET(CRONOPLE!$F$15,$M112-$A$15,BL$13)))</f>
        <v>10</v>
      </c>
      <c r="BM112" s="178">
        <f ca="1">IF(OR($D112&lt;&gt;"Serviço",AND(AUTOEVENTO="Manual",$M112=$A$15)),0,
         IF(OFFSET(CRONOPLE!$F$15,$M112-$A$15,BM$13)="",10^12,OFFSET(CRONOPLE!$F$15,$M112-$A$15,BM$13)))</f>
        <v>1000000000000</v>
      </c>
      <c r="BN112" s="178">
        <f ca="1">IF(OR($D112&lt;&gt;"Serviço",AND(AUTOEVENTO="Manual",$M112=$A$15)),0,
         IF(OFFSET(CRONOPLE!$F$15,$M112-$A$15,BN$13)="",10^12,OFFSET(CRONOPLE!$F$15,$M112-$A$15,BN$13)))</f>
        <v>1000000000000</v>
      </c>
      <c r="BO112" s="178">
        <f ca="1">IF(OR($D112&lt;&gt;"Serviço",AND(AUTOEVENTO="Manual",$M112=$A$15)),0,
         IF(OFFSET(CRONOPLE!$F$15,$M112-$A$15,BO$13)="",10^12,OFFSET(CRONOPLE!$F$15,$M112-$A$15,BO$13)))</f>
        <v>1000000000000</v>
      </c>
      <c r="BP112" s="178">
        <f ca="1">IF(OR($D112&lt;&gt;"Serviço",AND(AUTOEVENTO="Manual",$M112=$A$15)),0,
         IF(OFFSET(CRONOPLE!$F$15,$M112-$A$15,BP$13)="",10^12,OFFSET(CRONOPLE!$F$15,$M112-$A$15,BP$13)))</f>
        <v>1000000000000</v>
      </c>
      <c r="BQ112" s="178">
        <f ca="1">IF(OR($D112&lt;&gt;"Serviço",AND(AUTOEVENTO="Manual",$M112=$A$15)),0,
         IF(OFFSET(CRONOPLE!$F$15,$M112-$A$15,BQ$13)="",10^12,OFFSET(CRONOPLE!$F$15,$M112-$A$15,BQ$13)))</f>
        <v>15</v>
      </c>
      <c r="BR112" s="178">
        <f ca="1">IF(OR($D112&lt;&gt;"Serviço",AND(AUTOEVENTO="Manual",$M112=$A$15)),0,
         IF(OFFSET(CRONOPLE!$F$15,$M112-$A$15,BR$13)="",10^12,OFFSET(CRONOPLE!$F$15,$M112-$A$15,BR$13)))</f>
        <v>1000000000000</v>
      </c>
      <c r="BS112" s="178">
        <f ca="1">IF(OR($D112&lt;&gt;"Serviço",AND(AUTOEVENTO="Manual",$M112=$A$15)),0,
         IF(OFFSET(CRONOPLE!$F$15,$M112-$A$15,BS$13)="",10^12,OFFSET(CRONOPLE!$F$15,$M112-$A$15,BS$13)))</f>
        <v>1000000000000</v>
      </c>
      <c r="BT112" s="178">
        <f ca="1">IF(OR($D112&lt;&gt;"Serviço",AND(AUTOEVENTO="Manual",$M112=$A$15)),0,
         IF(OFFSET(CRONOPLE!$F$15,$M112-$A$15,BT$13)="",10^12,OFFSET(CRONOPLE!$F$15,$M112-$A$15,BT$13)))</f>
        <v>1000000000000</v>
      </c>
      <c r="BV112" s="179">
        <f ca="1">IF(OR($D112&lt;&gt;"Serviço",AND(AUTOEVENTO="Manual",$M112=$A$15),$M112&gt;(ROW(PLE.lastrow)-ROW(PLE.firstrow))),0,
           IF(OFFSET(PLE!$G$15,$M112-$A$15,BV$13)="",10^12,OFFSET(PLE!$G$15,$M112-$A$15,BV$13)))</f>
        <v>1000000000000</v>
      </c>
      <c r="BW112" s="179">
        <f ca="1">IF(OR($D112&lt;&gt;"Serviço",AND(AUTOEVENTO="Manual",$M112=$A$15),$M112&gt;(ROW(PLE.lastrow)-ROW(PLE.firstrow))),0,
           IF(OFFSET(PLE!$G$15,$M112-$A$15,BW$13)="",10^12,OFFSET(PLE!$G$15,$M112-$A$15,BW$13)))</f>
        <v>1000000000000</v>
      </c>
      <c r="BX112" s="179">
        <f ca="1">IF(OR($D112&lt;&gt;"Serviço",AND(AUTOEVENTO="Manual",$M112=$A$15),$M112&gt;(ROW(PLE.lastrow)-ROW(PLE.firstrow))),0,
           IF(OFFSET(PLE!$G$15,$M112-$A$15,BX$13)="",10^12,OFFSET(PLE!$G$15,$M112-$A$15,BX$13)))</f>
        <v>1000000000000</v>
      </c>
      <c r="BY112" s="179">
        <f ca="1">IF(OR($D112&lt;&gt;"Serviço",AND(AUTOEVENTO="Manual",$M112=$A$15),$M112&gt;(ROW(PLE.lastrow)-ROW(PLE.firstrow))),0,
           IF(OFFSET(PLE!$G$15,$M112-$A$15,BY$13)="",10^12,OFFSET(PLE!$G$15,$M112-$A$15,BY$13)))</f>
        <v>1000000000000</v>
      </c>
      <c r="BZ112" s="179">
        <f ca="1">IF(OR($D112&lt;&gt;"Serviço",AND(AUTOEVENTO="Manual",$M112=$A$15),$M112&gt;(ROW(PLE.lastrow)-ROW(PLE.firstrow))),0,
           IF(OFFSET(PLE!$G$15,$M112-$A$15,BZ$13)="",10^12,OFFSET(PLE!$G$15,$M112-$A$15,BZ$13)))</f>
        <v>1000000000000</v>
      </c>
      <c r="CA112" s="179">
        <f ca="1">IF(OR($D112&lt;&gt;"Serviço",AND(AUTOEVENTO="Manual",$M112=$A$15),$M112&gt;(ROW(PLE.lastrow)-ROW(PLE.firstrow))),0,
           IF(OFFSET(PLE!$G$15,$M112-$A$15,CA$13)="",10^12,OFFSET(PLE!$G$15,$M112-$A$15,CA$13)))</f>
        <v>1000000000000</v>
      </c>
      <c r="CB112" s="179">
        <f ca="1">IF(OR($D112&lt;&gt;"Serviço",AND(AUTOEVENTO="Manual",$M112=$A$15),$M112&gt;(ROW(PLE.lastrow)-ROW(PLE.firstrow))),0,
           IF(OFFSET(PLE!$G$15,$M112-$A$15,CB$13)="",10^12,OFFSET(PLE!$G$15,$M112-$A$15,CB$13)))</f>
        <v>1000000000000</v>
      </c>
      <c r="CC112" s="179">
        <f ca="1">IF(OR($D112&lt;&gt;"Serviço",AND(AUTOEVENTO="Manual",$M112=$A$15),$M112&gt;(ROW(PLE.lastrow)-ROW(PLE.firstrow))),0,
           IF(OFFSET(PLE!$G$15,$M112-$A$15,CC$13)="",10^12,OFFSET(PLE!$G$15,$M112-$A$15,CC$13)))</f>
        <v>1000000000000</v>
      </c>
      <c r="CD112" s="179">
        <f ca="1">IF(OR($D112&lt;&gt;"Serviço",AND(AUTOEVENTO="Manual",$M112=$A$15),$M112&gt;(ROW(PLE.lastrow)-ROW(PLE.firstrow))),0,
           IF(OFFSET(PLE!$G$15,$M112-$A$15,CD$13)="",10^12,OFFSET(PLE!$G$15,$M112-$A$15,CD$13)))</f>
        <v>1000000000000</v>
      </c>
      <c r="CE112" s="179">
        <f ca="1">IF(OR($D112&lt;&gt;"Serviço",AND(AUTOEVENTO="Manual",$M112=$A$15),$M112&gt;(ROW(PLE.lastrow)-ROW(PLE.firstrow))),0,
           IF(OFFSET(PLE!$G$15,$M112-$A$15,CE$13)="",10^12,OFFSET(PLE!$G$15,$M112-$A$15,CE$13)))</f>
        <v>1000000000000</v>
      </c>
      <c r="CF112" s="179">
        <f ca="1">IF(OR($D112&lt;&gt;"Serviço",AND(AUTOEVENTO="Manual",$M112=$A$15),$M112&gt;(ROW(PLE.lastrow)-ROW(PLE.firstrow))),0,
           IF(OFFSET(PLE!$G$15,$M112-$A$15,CF$13)="",10^12,OFFSET(PLE!$G$15,$M112-$A$15,CF$13)))</f>
        <v>1000000000000</v>
      </c>
      <c r="CG112" s="179">
        <f ca="1">IF(OR($D112&lt;&gt;"Serviço",AND(AUTOEVENTO="Manual",$M112=$A$15),$M112&gt;(ROW(PLE.lastrow)-ROW(PLE.firstrow))),0,
           IF(OFFSET(PLE!$G$15,$M112-$A$15,CG$13)="",10^12,OFFSET(PLE!$G$15,$M112-$A$15,CG$13)))</f>
        <v>1000000000000</v>
      </c>
      <c r="CH112" s="179">
        <f ca="1">IF(OR($D112&lt;&gt;"Serviço",AND(AUTOEVENTO="Manual",$M112=$A$15),$M112&gt;(ROW(PLE.lastrow)-ROW(PLE.firstrow))),0,
           IF(OFFSET(PLE!$G$15,$M112-$A$15,CH$13)="",10^12,OFFSET(PLE!$G$15,$M112-$A$15,CH$13)))</f>
        <v>1000000000000</v>
      </c>
      <c r="CI112" s="179">
        <f ca="1">IF(OR($D112&lt;&gt;"Serviço",AND(AUTOEVENTO="Manual",$M112=$A$15),$M112&gt;(ROW(PLE.lastrow)-ROW(PLE.firstrow))),0,
           IF(OFFSET(PLE!$G$15,$M112-$A$15,CI$13)="",10^12,OFFSET(PLE!$G$15,$M112-$A$15,CI$13)))</f>
        <v>1000000000000</v>
      </c>
      <c r="CJ112" s="179">
        <f ca="1">IF(OR($D112&lt;&gt;"Serviço",AND(AUTOEVENTO="Manual",$M112=$A$15),$M112&gt;(ROW(PLE.lastrow)-ROW(PLE.firstrow))),0,
           IF(OFFSET(PLE!$G$15,$M112-$A$15,CJ$13)="",10^12,OFFSET(PLE!$G$15,$M112-$A$15,CJ$13)))</f>
        <v>1000000000000</v>
      </c>
      <c r="CK112" s="179">
        <f ca="1">IF(OR($D112&lt;&gt;"Serviço",AND(AUTOEVENTO="Manual",$M112=$A$15),$M112&gt;(ROW(PLE.lastrow)-ROW(PLE.firstrow))),0,
           IF(OFFSET(PLE!$G$15,$M112-$A$15,CK$13)="",10^12,OFFSET(PLE!$G$15,$M112-$A$15,CK$13)))</f>
        <v>1000000000000</v>
      </c>
      <c r="CL112" s="179">
        <f ca="1">IF(OR($D112&lt;&gt;"Serviço",AND(AUTOEVENTO="Manual",$M112=$A$15),$M112&gt;(ROW(PLE.lastrow)-ROW(PLE.firstrow))),0,
           IF(OFFSET(PLE!$G$15,$M112-$A$15,CL$13)="",10^12,OFFSET(PLE!$G$15,$M112-$A$15,CL$13)))</f>
        <v>1000000000000</v>
      </c>
      <c r="CM112" s="179">
        <f ca="1">IF(OR($D112&lt;&gt;"Serviço",AND(AUTOEVENTO="Manual",$M112=$A$15),$M112&gt;(ROW(PLE.lastrow)-ROW(PLE.firstrow))),0,
           IF(OFFSET(PLE!$G$15,$M112-$A$15,CM$13)="",10^12,OFFSET(PLE!$G$15,$M112-$A$15,CM$13)))</f>
        <v>1000000000000</v>
      </c>
    </row>
    <row r="113" spans="1:91" ht="38.25" x14ac:dyDescent="0.2">
      <c r="A113" s="7" t="str">
        <f ca="1">IF(AUTOEVENTO="Manual",IF(K113&lt;&gt;"",MIN(VALUE(LEFT(K113,FIND(".",K113)-1)),COUNTA(EVENTOS.Lista)),0),IF(OR($B113&gt;AUTOEVENTO,$B113="S",$B113=0),SUBSTITUTE(OFFSET($A113,-1,0),IF($D113="Serviço",".",""),""),ROW(A113)-ROW($A$15)&amp;"."))</f>
        <v>71</v>
      </c>
      <c r="B113" s="7" t="str">
        <f ca="1">OFFSET(ORÇAMENTO!C$15,ROW(B113)-ROW(B$15),0)</f>
        <v>S</v>
      </c>
      <c r="C113" s="7" t="str">
        <f ca="1">OFFSET(ORÇAMENTO!L$15,ROW(C113)-ROW(C$15),0)</f>
        <v>F</v>
      </c>
      <c r="D113" s="118" t="str">
        <f ca="1">OFFSET(ORÇAMENTO!N$15,ROW(D113)-ROW(D$15),0)</f>
        <v>Serviço</v>
      </c>
      <c r="E113" s="119" t="str">
        <f ca="1">OFFSET(ORÇAMENTO!O$15,ROW(E113)-ROW(E$15),0)</f>
        <v>1.12.0.0.27.</v>
      </c>
      <c r="F113" s="170" t="str">
        <f ca="1">OFFSET(ORÇAMENTO!R$15,ROW(F113)-ROW(F$15),0)</f>
        <v>ELETRODUTO FLEXÍVEL CORRUGADO, PEAD, DN 63 (2"), PARA REDE ENTERRADA DE DISTRIBUIÇÃO DE ENERGIA ELÉTRICA - FORNECIMENTO E INSTALAÇÃO. AF_12/2021</v>
      </c>
      <c r="G113" s="171" t="str">
        <f ca="1">IF($D113&lt;&gt;"Serviço","",OFFSET(ORÇAMENTO!S$15,ROW(G113)-ROW(G$15),0))</f>
        <v>M</v>
      </c>
      <c r="H113" s="124" cm="1">
        <f t="array" aca="1" ref="H113" ca="1">IF($D113&lt;&gt;"Serviço",0,IF(_xlfn.SINGLE(ACOMPANHAMENTO)="BM",ROUND(OFFSET(ORÇAMENTO!AJ$15,ROW(H113)-ROW(H$15),0),15-13*ORÇAMENTO!$AF$7),SUMPRODUCT(($Q$1:$AI$1)*ROUND($Q113:$AI113,15-13*ORÇAMENTO!$AF$7))))</f>
        <v>10.5</v>
      </c>
      <c r="I113" s="500" t="s">
        <v>1019</v>
      </c>
      <c r="J113" s="632" t="str" cm="1">
        <f t="array" aca="1" ref="J113" ca="1">IF(B113&lt;&gt;"S","",IF(AND(ACOMPANHAMENTO="PLE",AUTOEVENTO="Manual",OR(H113&gt;0,ORÇAMENTO!AC113="QUANT."),OR(K113="",M113=0,N113="")),"►",IF(AND(ACOMPANHAMENTO="PLE",ORÇAMENTO!AC113="QUANT."),"►►",IF(AND(COUNTIF($P$11:$AI$11,"▼")=0,H113&gt;0,I113=""),"◄",""))))</f>
        <v/>
      </c>
      <c r="K113" s="624"/>
      <c r="L113" s="172" t="s">
        <v>253</v>
      </c>
      <c r="M113" s="173">
        <f ca="1">IF($D113&lt;&gt;"Serviço","",
          IF(AUTOEVENTO="manual",$A113,
                IF(ISERROR(MATCH($A113,$A$15:OFFSET($A113,-1,0),0)),MAX($M$15:OFFSET(M113,-1,0))+1,
                      INDEX($M$15:OFFSET(M113,-1,0),MATCH($A113,$A$15:OFFSET($A113,-1,0),0)))))</f>
        <v>12</v>
      </c>
      <c r="N113" s="174" t="str">
        <f ca="1">IF($D113&lt;&gt;"Serviço","",
         IF(AUTOEVENTO="Manual",
                IF($A113=0,"&lt;-- defina o número do agrupador",
                       OFFSET(EVENTOS!$D$15,$A113-$A$15,0)),
                OFFSET($F$15,$A113,0)))</f>
        <v>INSTALAÇÕES ELÉTRICAS</v>
      </c>
      <c r="O113" s="175"/>
      <c r="Q113" s="175"/>
      <c r="R113" s="176"/>
      <c r="S113" s="176"/>
      <c r="T113" s="176">
        <v>10.5</v>
      </c>
      <c r="U113" s="176"/>
      <c r="V113" s="176"/>
      <c r="W113" s="176"/>
      <c r="X113" s="176"/>
      <c r="Y113" s="176"/>
      <c r="Z113" s="177"/>
      <c r="AA113" s="176"/>
      <c r="AB113" s="176"/>
      <c r="AC113" s="176"/>
      <c r="AD113" s="176"/>
      <c r="AE113" s="176"/>
      <c r="AF113" s="176"/>
      <c r="AG113" s="176"/>
      <c r="AH113" s="177"/>
      <c r="AJ113" s="485">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85">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L113" s="485">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0</v>
      </c>
      <c r="AM113" s="485">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157.71</v>
      </c>
      <c r="AN113" s="485">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0</v>
      </c>
      <c r="AO113" s="485">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0</v>
      </c>
      <c r="AP113" s="485">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85">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85">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85">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85">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85">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85">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85">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85">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85">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85">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85">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8">
        <f ca="1">IF(OR($D113&lt;&gt;"Serviço",AND(AUTOEVENTO="Manual",$M113=$A$15)),0,
         IF(OFFSET(CRONOPLE!$F$15,$M113-$A$15,BC$13)="",10^12,OFFSET(CRONOPLE!$F$15,$M113-$A$15,BC$13)))</f>
        <v>1</v>
      </c>
      <c r="BD113" s="178">
        <f ca="1">IF(OR($D113&lt;&gt;"Serviço",AND(AUTOEVENTO="Manual",$M113=$A$15)),0,
         IF(OFFSET(CRONOPLE!$F$15,$M113-$A$15,BD$13)="",10^12,OFFSET(CRONOPLE!$F$15,$M113-$A$15,BD$13)))</f>
        <v>2</v>
      </c>
      <c r="BE113" s="178">
        <f ca="1">IF(OR($D113&lt;&gt;"Serviço",AND(AUTOEVENTO="Manual",$M113=$A$15)),0,
         IF(OFFSET(CRONOPLE!$F$15,$M113-$A$15,BE$13)="",10^12,OFFSET(CRONOPLE!$F$15,$M113-$A$15,BE$13)))</f>
        <v>1000000000000</v>
      </c>
      <c r="BF113" s="178">
        <f ca="1">IF(OR($D113&lt;&gt;"Serviço",AND(AUTOEVENTO="Manual",$M113=$A$15)),0,
         IF(OFFSET(CRONOPLE!$F$15,$M113-$A$15,BF$13)="",10^12,OFFSET(CRONOPLE!$F$15,$M113-$A$15,BF$13)))</f>
        <v>4</v>
      </c>
      <c r="BG113" s="178">
        <f ca="1">IF(OR($D113&lt;&gt;"Serviço",AND(AUTOEVENTO="Manual",$M113=$A$15)),0,
         IF(OFFSET(CRONOPLE!$F$15,$M113-$A$15,BG$13)="",10^12,OFFSET(CRONOPLE!$F$15,$M113-$A$15,BG$13)))</f>
        <v>5</v>
      </c>
      <c r="BH113" s="178">
        <f ca="1">IF(OR($D113&lt;&gt;"Serviço",AND(AUTOEVENTO="Manual",$M113=$A$15)),0,
         IF(OFFSET(CRONOPLE!$F$15,$M113-$A$15,BH$13)="",10^12,OFFSET(CRONOPLE!$F$15,$M113-$A$15,BH$13)))</f>
        <v>6</v>
      </c>
      <c r="BI113" s="178">
        <f ca="1">IF(OR($D113&lt;&gt;"Serviço",AND(AUTOEVENTO="Manual",$M113=$A$15)),0,
         IF(OFFSET(CRONOPLE!$F$15,$M113-$A$15,BI$13)="",10^12,OFFSET(CRONOPLE!$F$15,$M113-$A$15,BI$13)))</f>
        <v>7</v>
      </c>
      <c r="BJ113" s="178">
        <f ca="1">IF(OR($D113&lt;&gt;"Serviço",AND(AUTOEVENTO="Manual",$M113=$A$15)),0,
         IF(OFFSET(CRONOPLE!$F$15,$M113-$A$15,BJ$13)="",10^12,OFFSET(CRONOPLE!$F$15,$M113-$A$15,BJ$13)))</f>
        <v>8</v>
      </c>
      <c r="BK113" s="178">
        <f ca="1">IF(OR($D113&lt;&gt;"Serviço",AND(AUTOEVENTO="Manual",$M113=$A$15)),0,
         IF(OFFSET(CRONOPLE!$F$15,$M113-$A$15,BK$13)="",10^12,OFFSET(CRONOPLE!$F$15,$M113-$A$15,BK$13)))</f>
        <v>9</v>
      </c>
      <c r="BL113" s="178">
        <f ca="1">IF(OR($D113&lt;&gt;"Serviço",AND(AUTOEVENTO="Manual",$M113=$A$15)),0,
         IF(OFFSET(CRONOPLE!$F$15,$M113-$A$15,BL$13)="",10^12,OFFSET(CRONOPLE!$F$15,$M113-$A$15,BL$13)))</f>
        <v>10</v>
      </c>
      <c r="BM113" s="178">
        <f ca="1">IF(OR($D113&lt;&gt;"Serviço",AND(AUTOEVENTO="Manual",$M113=$A$15)),0,
         IF(OFFSET(CRONOPLE!$F$15,$M113-$A$15,BM$13)="",10^12,OFFSET(CRONOPLE!$F$15,$M113-$A$15,BM$13)))</f>
        <v>1000000000000</v>
      </c>
      <c r="BN113" s="178">
        <f ca="1">IF(OR($D113&lt;&gt;"Serviço",AND(AUTOEVENTO="Manual",$M113=$A$15)),0,
         IF(OFFSET(CRONOPLE!$F$15,$M113-$A$15,BN$13)="",10^12,OFFSET(CRONOPLE!$F$15,$M113-$A$15,BN$13)))</f>
        <v>1000000000000</v>
      </c>
      <c r="BO113" s="178">
        <f ca="1">IF(OR($D113&lt;&gt;"Serviço",AND(AUTOEVENTO="Manual",$M113=$A$15)),0,
         IF(OFFSET(CRONOPLE!$F$15,$M113-$A$15,BO$13)="",10^12,OFFSET(CRONOPLE!$F$15,$M113-$A$15,BO$13)))</f>
        <v>1000000000000</v>
      </c>
      <c r="BP113" s="178">
        <f ca="1">IF(OR($D113&lt;&gt;"Serviço",AND(AUTOEVENTO="Manual",$M113=$A$15)),0,
         IF(OFFSET(CRONOPLE!$F$15,$M113-$A$15,BP$13)="",10^12,OFFSET(CRONOPLE!$F$15,$M113-$A$15,BP$13)))</f>
        <v>1000000000000</v>
      </c>
      <c r="BQ113" s="178">
        <f ca="1">IF(OR($D113&lt;&gt;"Serviço",AND(AUTOEVENTO="Manual",$M113=$A$15)),0,
         IF(OFFSET(CRONOPLE!$F$15,$M113-$A$15,BQ$13)="",10^12,OFFSET(CRONOPLE!$F$15,$M113-$A$15,BQ$13)))</f>
        <v>15</v>
      </c>
      <c r="BR113" s="178">
        <f ca="1">IF(OR($D113&lt;&gt;"Serviço",AND(AUTOEVENTO="Manual",$M113=$A$15)),0,
         IF(OFFSET(CRONOPLE!$F$15,$M113-$A$15,BR$13)="",10^12,OFFSET(CRONOPLE!$F$15,$M113-$A$15,BR$13)))</f>
        <v>1000000000000</v>
      </c>
      <c r="BS113" s="178">
        <f ca="1">IF(OR($D113&lt;&gt;"Serviço",AND(AUTOEVENTO="Manual",$M113=$A$15)),0,
         IF(OFFSET(CRONOPLE!$F$15,$M113-$A$15,BS$13)="",10^12,OFFSET(CRONOPLE!$F$15,$M113-$A$15,BS$13)))</f>
        <v>1000000000000</v>
      </c>
      <c r="BT113" s="178">
        <f ca="1">IF(OR($D113&lt;&gt;"Serviço",AND(AUTOEVENTO="Manual",$M113=$A$15)),0,
         IF(OFFSET(CRONOPLE!$F$15,$M113-$A$15,BT$13)="",10^12,OFFSET(CRONOPLE!$F$15,$M113-$A$15,BT$13)))</f>
        <v>1000000000000</v>
      </c>
      <c r="BV113" s="179">
        <f ca="1">IF(OR($D113&lt;&gt;"Serviço",AND(AUTOEVENTO="Manual",$M113=$A$15),$M113&gt;(ROW(PLE.lastrow)-ROW(PLE.firstrow))),0,
           IF(OFFSET(PLE!$G$15,$M113-$A$15,BV$13)="",10^12,OFFSET(PLE!$G$15,$M113-$A$15,BV$13)))</f>
        <v>1000000000000</v>
      </c>
      <c r="BW113" s="179">
        <f ca="1">IF(OR($D113&lt;&gt;"Serviço",AND(AUTOEVENTO="Manual",$M113=$A$15),$M113&gt;(ROW(PLE.lastrow)-ROW(PLE.firstrow))),0,
           IF(OFFSET(PLE!$G$15,$M113-$A$15,BW$13)="",10^12,OFFSET(PLE!$G$15,$M113-$A$15,BW$13)))</f>
        <v>1000000000000</v>
      </c>
      <c r="BX113" s="179">
        <f ca="1">IF(OR($D113&lt;&gt;"Serviço",AND(AUTOEVENTO="Manual",$M113=$A$15),$M113&gt;(ROW(PLE.lastrow)-ROW(PLE.firstrow))),0,
           IF(OFFSET(PLE!$G$15,$M113-$A$15,BX$13)="",10^12,OFFSET(PLE!$G$15,$M113-$A$15,BX$13)))</f>
        <v>1000000000000</v>
      </c>
      <c r="BY113" s="179">
        <f ca="1">IF(OR($D113&lt;&gt;"Serviço",AND(AUTOEVENTO="Manual",$M113=$A$15),$M113&gt;(ROW(PLE.lastrow)-ROW(PLE.firstrow))),0,
           IF(OFFSET(PLE!$G$15,$M113-$A$15,BY$13)="",10^12,OFFSET(PLE!$G$15,$M113-$A$15,BY$13)))</f>
        <v>1000000000000</v>
      </c>
      <c r="BZ113" s="179">
        <f ca="1">IF(OR($D113&lt;&gt;"Serviço",AND(AUTOEVENTO="Manual",$M113=$A$15),$M113&gt;(ROW(PLE.lastrow)-ROW(PLE.firstrow))),0,
           IF(OFFSET(PLE!$G$15,$M113-$A$15,BZ$13)="",10^12,OFFSET(PLE!$G$15,$M113-$A$15,BZ$13)))</f>
        <v>1000000000000</v>
      </c>
      <c r="CA113" s="179">
        <f ca="1">IF(OR($D113&lt;&gt;"Serviço",AND(AUTOEVENTO="Manual",$M113=$A$15),$M113&gt;(ROW(PLE.lastrow)-ROW(PLE.firstrow))),0,
           IF(OFFSET(PLE!$G$15,$M113-$A$15,CA$13)="",10^12,OFFSET(PLE!$G$15,$M113-$A$15,CA$13)))</f>
        <v>1000000000000</v>
      </c>
      <c r="CB113" s="179">
        <f ca="1">IF(OR($D113&lt;&gt;"Serviço",AND(AUTOEVENTO="Manual",$M113=$A$15),$M113&gt;(ROW(PLE.lastrow)-ROW(PLE.firstrow))),0,
           IF(OFFSET(PLE!$G$15,$M113-$A$15,CB$13)="",10^12,OFFSET(PLE!$G$15,$M113-$A$15,CB$13)))</f>
        <v>1000000000000</v>
      </c>
      <c r="CC113" s="179">
        <f ca="1">IF(OR($D113&lt;&gt;"Serviço",AND(AUTOEVENTO="Manual",$M113=$A$15),$M113&gt;(ROW(PLE.lastrow)-ROW(PLE.firstrow))),0,
           IF(OFFSET(PLE!$G$15,$M113-$A$15,CC$13)="",10^12,OFFSET(PLE!$G$15,$M113-$A$15,CC$13)))</f>
        <v>1000000000000</v>
      </c>
      <c r="CD113" s="179">
        <f ca="1">IF(OR($D113&lt;&gt;"Serviço",AND(AUTOEVENTO="Manual",$M113=$A$15),$M113&gt;(ROW(PLE.lastrow)-ROW(PLE.firstrow))),0,
           IF(OFFSET(PLE!$G$15,$M113-$A$15,CD$13)="",10^12,OFFSET(PLE!$G$15,$M113-$A$15,CD$13)))</f>
        <v>1000000000000</v>
      </c>
      <c r="CE113" s="179">
        <f ca="1">IF(OR($D113&lt;&gt;"Serviço",AND(AUTOEVENTO="Manual",$M113=$A$15),$M113&gt;(ROW(PLE.lastrow)-ROW(PLE.firstrow))),0,
           IF(OFFSET(PLE!$G$15,$M113-$A$15,CE$13)="",10^12,OFFSET(PLE!$G$15,$M113-$A$15,CE$13)))</f>
        <v>1000000000000</v>
      </c>
      <c r="CF113" s="179">
        <f ca="1">IF(OR($D113&lt;&gt;"Serviço",AND(AUTOEVENTO="Manual",$M113=$A$15),$M113&gt;(ROW(PLE.lastrow)-ROW(PLE.firstrow))),0,
           IF(OFFSET(PLE!$G$15,$M113-$A$15,CF$13)="",10^12,OFFSET(PLE!$G$15,$M113-$A$15,CF$13)))</f>
        <v>1000000000000</v>
      </c>
      <c r="CG113" s="179">
        <f ca="1">IF(OR($D113&lt;&gt;"Serviço",AND(AUTOEVENTO="Manual",$M113=$A$15),$M113&gt;(ROW(PLE.lastrow)-ROW(PLE.firstrow))),0,
           IF(OFFSET(PLE!$G$15,$M113-$A$15,CG$13)="",10^12,OFFSET(PLE!$G$15,$M113-$A$15,CG$13)))</f>
        <v>1000000000000</v>
      </c>
      <c r="CH113" s="179">
        <f ca="1">IF(OR($D113&lt;&gt;"Serviço",AND(AUTOEVENTO="Manual",$M113=$A$15),$M113&gt;(ROW(PLE.lastrow)-ROW(PLE.firstrow))),0,
           IF(OFFSET(PLE!$G$15,$M113-$A$15,CH$13)="",10^12,OFFSET(PLE!$G$15,$M113-$A$15,CH$13)))</f>
        <v>1000000000000</v>
      </c>
      <c r="CI113" s="179">
        <f ca="1">IF(OR($D113&lt;&gt;"Serviço",AND(AUTOEVENTO="Manual",$M113=$A$15),$M113&gt;(ROW(PLE.lastrow)-ROW(PLE.firstrow))),0,
           IF(OFFSET(PLE!$G$15,$M113-$A$15,CI$13)="",10^12,OFFSET(PLE!$G$15,$M113-$A$15,CI$13)))</f>
        <v>1000000000000</v>
      </c>
      <c r="CJ113" s="179">
        <f ca="1">IF(OR($D113&lt;&gt;"Serviço",AND(AUTOEVENTO="Manual",$M113=$A$15),$M113&gt;(ROW(PLE.lastrow)-ROW(PLE.firstrow))),0,
           IF(OFFSET(PLE!$G$15,$M113-$A$15,CJ$13)="",10^12,OFFSET(PLE!$G$15,$M113-$A$15,CJ$13)))</f>
        <v>1000000000000</v>
      </c>
      <c r="CK113" s="179">
        <f ca="1">IF(OR($D113&lt;&gt;"Serviço",AND(AUTOEVENTO="Manual",$M113=$A$15),$M113&gt;(ROW(PLE.lastrow)-ROW(PLE.firstrow))),0,
           IF(OFFSET(PLE!$G$15,$M113-$A$15,CK$13)="",10^12,OFFSET(PLE!$G$15,$M113-$A$15,CK$13)))</f>
        <v>1000000000000</v>
      </c>
      <c r="CL113" s="179">
        <f ca="1">IF(OR($D113&lt;&gt;"Serviço",AND(AUTOEVENTO="Manual",$M113=$A$15),$M113&gt;(ROW(PLE.lastrow)-ROW(PLE.firstrow))),0,
           IF(OFFSET(PLE!$G$15,$M113-$A$15,CL$13)="",10^12,OFFSET(PLE!$G$15,$M113-$A$15,CL$13)))</f>
        <v>1000000000000</v>
      </c>
      <c r="CM113" s="179">
        <f ca="1">IF(OR($D113&lt;&gt;"Serviço",AND(AUTOEVENTO="Manual",$M113=$A$15),$M113&gt;(ROW(PLE.lastrow)-ROW(PLE.firstrow))),0,
           IF(OFFSET(PLE!$G$15,$M113-$A$15,CM$13)="",10^12,OFFSET(PLE!$G$15,$M113-$A$15,CM$13)))</f>
        <v>1000000000000</v>
      </c>
    </row>
    <row r="114" spans="1:91" ht="25.5" x14ac:dyDescent="0.2">
      <c r="A114" s="7" t="str">
        <f ca="1">IF(AUTOEVENTO="Manual",IF(K114&lt;&gt;"",MIN(VALUE(LEFT(K114,FIND(".",K114)-1)),COUNTA(EVENTOS.Lista)),0),IF(OR($B114&gt;AUTOEVENTO,$B114="S",$B114=0),SUBSTITUTE(OFFSET($A114,-1,0),IF($D114="Serviço",".",""),""),ROW(A114)-ROW($A$15)&amp;"."))</f>
        <v>71</v>
      </c>
      <c r="B114" s="7" t="str">
        <f ca="1">OFFSET(ORÇAMENTO!C$15,ROW(B114)-ROW(B$15),0)</f>
        <v>S</v>
      </c>
      <c r="C114" s="7" t="str">
        <f ca="1">OFFSET(ORÇAMENTO!L$15,ROW(C114)-ROW(C$15),0)</f>
        <v>F</v>
      </c>
      <c r="D114" s="118" t="str">
        <f ca="1">OFFSET(ORÇAMENTO!N$15,ROW(D114)-ROW(D$15),0)</f>
        <v>Serviço</v>
      </c>
      <c r="E114" s="119" t="str">
        <f ca="1">OFFSET(ORÇAMENTO!O$15,ROW(E114)-ROW(E$15),0)</f>
        <v>1.12.0.0.28.</v>
      </c>
      <c r="F114" s="170" t="str">
        <f ca="1">OFFSET(ORÇAMENTO!R$15,ROW(F114)-ROW(F$15),0)</f>
        <v>SENSOR DE PRESENÇA COM FOTOCÉLULA, FIXAÇÃO EM PAREDE - FORNECIMENTO E INSTALAÇÃO. AF_09/2024</v>
      </c>
      <c r="G114" s="171" t="str">
        <f ca="1">IF($D114&lt;&gt;"Serviço","",OFFSET(ORÇAMENTO!S$15,ROW(G114)-ROW(G$15),0))</f>
        <v>UN</v>
      </c>
      <c r="H114" s="124" cm="1">
        <f t="array" aca="1" ref="H114" ca="1">IF($D114&lt;&gt;"Serviço",0,IF(_xlfn.SINGLE(ACOMPANHAMENTO)="BM",ROUND(OFFSET(ORÇAMENTO!AJ$15,ROW(H114)-ROW(H$15),0),15-13*ORÇAMENTO!$AF$7),SUMPRODUCT(($Q$1:$AI$1)*ROUND($Q114:$AI114,15-13*ORÇAMENTO!$AF$7))))</f>
        <v>5</v>
      </c>
      <c r="I114" s="500" t="s">
        <v>1019</v>
      </c>
      <c r="J114" s="632" t="str" cm="1">
        <f t="array" aca="1" ref="J114" ca="1">IF(B114&lt;&gt;"S","",IF(AND(ACOMPANHAMENTO="PLE",AUTOEVENTO="Manual",OR(H114&gt;0,ORÇAMENTO!AC114="QUANT."),OR(K114="",M114=0,N114="")),"►",IF(AND(ACOMPANHAMENTO="PLE",ORÇAMENTO!AC114="QUANT."),"►►",IF(AND(COUNTIF($P$11:$AI$11,"▼")=0,H114&gt;0,I114=""),"◄",""))))</f>
        <v/>
      </c>
      <c r="K114" s="624"/>
      <c r="L114" s="172" t="s">
        <v>253</v>
      </c>
      <c r="M114" s="173">
        <f ca="1">IF($D114&lt;&gt;"Serviço","",
          IF(AUTOEVENTO="manual",$A114,
                IF(ISERROR(MATCH($A114,$A$15:OFFSET($A114,-1,0),0)),MAX($M$15:OFFSET(M114,-1,0))+1,
                      INDEX($M$15:OFFSET(M114,-1,0),MATCH($A114,$A$15:OFFSET($A114,-1,0),0)))))</f>
        <v>12</v>
      </c>
      <c r="N114" s="174" t="str">
        <f ca="1">IF($D114&lt;&gt;"Serviço","",
         IF(AUTOEVENTO="Manual",
                IF($A114=0,"&lt;-- defina o número do agrupador",
                       OFFSET(EVENTOS!$D$15,$A114-$A$15,0)),
                OFFSET($F$15,$A114,0)))</f>
        <v>INSTALAÇÕES ELÉTRICAS</v>
      </c>
      <c r="O114" s="175"/>
      <c r="Q114" s="175"/>
      <c r="R114" s="176"/>
      <c r="S114" s="176"/>
      <c r="T114" s="176">
        <v>5</v>
      </c>
      <c r="U114" s="176"/>
      <c r="V114" s="176"/>
      <c r="W114" s="176"/>
      <c r="X114" s="176"/>
      <c r="Y114" s="176"/>
      <c r="Z114" s="177"/>
      <c r="AA114" s="176"/>
      <c r="AB114" s="176"/>
      <c r="AC114" s="176"/>
      <c r="AD114" s="176"/>
      <c r="AE114" s="176"/>
      <c r="AF114" s="176"/>
      <c r="AG114" s="176"/>
      <c r="AH114" s="177"/>
      <c r="AJ114" s="485">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85">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L114" s="485">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0</v>
      </c>
      <c r="AM114" s="485">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576.79999999999995</v>
      </c>
      <c r="AN114" s="485">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0</v>
      </c>
      <c r="AO114" s="485">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85">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85">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85">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85">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85">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85">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85">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85">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85">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85">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85">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85">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8">
        <f ca="1">IF(OR($D114&lt;&gt;"Serviço",AND(AUTOEVENTO="Manual",$M114=$A$15)),0,
         IF(OFFSET(CRONOPLE!$F$15,$M114-$A$15,BC$13)="",10^12,OFFSET(CRONOPLE!$F$15,$M114-$A$15,BC$13)))</f>
        <v>1</v>
      </c>
      <c r="BD114" s="178">
        <f ca="1">IF(OR($D114&lt;&gt;"Serviço",AND(AUTOEVENTO="Manual",$M114=$A$15)),0,
         IF(OFFSET(CRONOPLE!$F$15,$M114-$A$15,BD$13)="",10^12,OFFSET(CRONOPLE!$F$15,$M114-$A$15,BD$13)))</f>
        <v>2</v>
      </c>
      <c r="BE114" s="178">
        <f ca="1">IF(OR($D114&lt;&gt;"Serviço",AND(AUTOEVENTO="Manual",$M114=$A$15)),0,
         IF(OFFSET(CRONOPLE!$F$15,$M114-$A$15,BE$13)="",10^12,OFFSET(CRONOPLE!$F$15,$M114-$A$15,BE$13)))</f>
        <v>1000000000000</v>
      </c>
      <c r="BF114" s="178">
        <f ca="1">IF(OR($D114&lt;&gt;"Serviço",AND(AUTOEVENTO="Manual",$M114=$A$15)),0,
         IF(OFFSET(CRONOPLE!$F$15,$M114-$A$15,BF$13)="",10^12,OFFSET(CRONOPLE!$F$15,$M114-$A$15,BF$13)))</f>
        <v>4</v>
      </c>
      <c r="BG114" s="178">
        <f ca="1">IF(OR($D114&lt;&gt;"Serviço",AND(AUTOEVENTO="Manual",$M114=$A$15)),0,
         IF(OFFSET(CRONOPLE!$F$15,$M114-$A$15,BG$13)="",10^12,OFFSET(CRONOPLE!$F$15,$M114-$A$15,BG$13)))</f>
        <v>5</v>
      </c>
      <c r="BH114" s="178">
        <f ca="1">IF(OR($D114&lt;&gt;"Serviço",AND(AUTOEVENTO="Manual",$M114=$A$15)),0,
         IF(OFFSET(CRONOPLE!$F$15,$M114-$A$15,BH$13)="",10^12,OFFSET(CRONOPLE!$F$15,$M114-$A$15,BH$13)))</f>
        <v>6</v>
      </c>
      <c r="BI114" s="178">
        <f ca="1">IF(OR($D114&lt;&gt;"Serviço",AND(AUTOEVENTO="Manual",$M114=$A$15)),0,
         IF(OFFSET(CRONOPLE!$F$15,$M114-$A$15,BI$13)="",10^12,OFFSET(CRONOPLE!$F$15,$M114-$A$15,BI$13)))</f>
        <v>7</v>
      </c>
      <c r="BJ114" s="178">
        <f ca="1">IF(OR($D114&lt;&gt;"Serviço",AND(AUTOEVENTO="Manual",$M114=$A$15)),0,
         IF(OFFSET(CRONOPLE!$F$15,$M114-$A$15,BJ$13)="",10^12,OFFSET(CRONOPLE!$F$15,$M114-$A$15,BJ$13)))</f>
        <v>8</v>
      </c>
      <c r="BK114" s="178">
        <f ca="1">IF(OR($D114&lt;&gt;"Serviço",AND(AUTOEVENTO="Manual",$M114=$A$15)),0,
         IF(OFFSET(CRONOPLE!$F$15,$M114-$A$15,BK$13)="",10^12,OFFSET(CRONOPLE!$F$15,$M114-$A$15,BK$13)))</f>
        <v>9</v>
      </c>
      <c r="BL114" s="178">
        <f ca="1">IF(OR($D114&lt;&gt;"Serviço",AND(AUTOEVENTO="Manual",$M114=$A$15)),0,
         IF(OFFSET(CRONOPLE!$F$15,$M114-$A$15,BL$13)="",10^12,OFFSET(CRONOPLE!$F$15,$M114-$A$15,BL$13)))</f>
        <v>10</v>
      </c>
      <c r="BM114" s="178">
        <f ca="1">IF(OR($D114&lt;&gt;"Serviço",AND(AUTOEVENTO="Manual",$M114=$A$15)),0,
         IF(OFFSET(CRONOPLE!$F$15,$M114-$A$15,BM$13)="",10^12,OFFSET(CRONOPLE!$F$15,$M114-$A$15,BM$13)))</f>
        <v>1000000000000</v>
      </c>
      <c r="BN114" s="178">
        <f ca="1">IF(OR($D114&lt;&gt;"Serviço",AND(AUTOEVENTO="Manual",$M114=$A$15)),0,
         IF(OFFSET(CRONOPLE!$F$15,$M114-$A$15,BN$13)="",10^12,OFFSET(CRONOPLE!$F$15,$M114-$A$15,BN$13)))</f>
        <v>1000000000000</v>
      </c>
      <c r="BO114" s="178">
        <f ca="1">IF(OR($D114&lt;&gt;"Serviço",AND(AUTOEVENTO="Manual",$M114=$A$15)),0,
         IF(OFFSET(CRONOPLE!$F$15,$M114-$A$15,BO$13)="",10^12,OFFSET(CRONOPLE!$F$15,$M114-$A$15,BO$13)))</f>
        <v>1000000000000</v>
      </c>
      <c r="BP114" s="178">
        <f ca="1">IF(OR($D114&lt;&gt;"Serviço",AND(AUTOEVENTO="Manual",$M114=$A$15)),0,
         IF(OFFSET(CRONOPLE!$F$15,$M114-$A$15,BP$13)="",10^12,OFFSET(CRONOPLE!$F$15,$M114-$A$15,BP$13)))</f>
        <v>1000000000000</v>
      </c>
      <c r="BQ114" s="178">
        <f ca="1">IF(OR($D114&lt;&gt;"Serviço",AND(AUTOEVENTO="Manual",$M114=$A$15)),0,
         IF(OFFSET(CRONOPLE!$F$15,$M114-$A$15,BQ$13)="",10^12,OFFSET(CRONOPLE!$F$15,$M114-$A$15,BQ$13)))</f>
        <v>15</v>
      </c>
      <c r="BR114" s="178">
        <f ca="1">IF(OR($D114&lt;&gt;"Serviço",AND(AUTOEVENTO="Manual",$M114=$A$15)),0,
         IF(OFFSET(CRONOPLE!$F$15,$M114-$A$15,BR$13)="",10^12,OFFSET(CRONOPLE!$F$15,$M114-$A$15,BR$13)))</f>
        <v>1000000000000</v>
      </c>
      <c r="BS114" s="178">
        <f ca="1">IF(OR($D114&lt;&gt;"Serviço",AND(AUTOEVENTO="Manual",$M114=$A$15)),0,
         IF(OFFSET(CRONOPLE!$F$15,$M114-$A$15,BS$13)="",10^12,OFFSET(CRONOPLE!$F$15,$M114-$A$15,BS$13)))</f>
        <v>1000000000000</v>
      </c>
      <c r="BT114" s="178">
        <f ca="1">IF(OR($D114&lt;&gt;"Serviço",AND(AUTOEVENTO="Manual",$M114=$A$15)),0,
         IF(OFFSET(CRONOPLE!$F$15,$M114-$A$15,BT$13)="",10^12,OFFSET(CRONOPLE!$F$15,$M114-$A$15,BT$13)))</f>
        <v>1000000000000</v>
      </c>
      <c r="BV114" s="179">
        <f ca="1">IF(OR($D114&lt;&gt;"Serviço",AND(AUTOEVENTO="Manual",$M114=$A$15),$M114&gt;(ROW(PLE.lastrow)-ROW(PLE.firstrow))),0,
           IF(OFFSET(PLE!$G$15,$M114-$A$15,BV$13)="",10^12,OFFSET(PLE!$G$15,$M114-$A$15,BV$13)))</f>
        <v>1000000000000</v>
      </c>
      <c r="BW114" s="179">
        <f ca="1">IF(OR($D114&lt;&gt;"Serviço",AND(AUTOEVENTO="Manual",$M114=$A$15),$M114&gt;(ROW(PLE.lastrow)-ROW(PLE.firstrow))),0,
           IF(OFFSET(PLE!$G$15,$M114-$A$15,BW$13)="",10^12,OFFSET(PLE!$G$15,$M114-$A$15,BW$13)))</f>
        <v>1000000000000</v>
      </c>
      <c r="BX114" s="179">
        <f ca="1">IF(OR($D114&lt;&gt;"Serviço",AND(AUTOEVENTO="Manual",$M114=$A$15),$M114&gt;(ROW(PLE.lastrow)-ROW(PLE.firstrow))),0,
           IF(OFFSET(PLE!$G$15,$M114-$A$15,BX$13)="",10^12,OFFSET(PLE!$G$15,$M114-$A$15,BX$13)))</f>
        <v>1000000000000</v>
      </c>
      <c r="BY114" s="179">
        <f ca="1">IF(OR($D114&lt;&gt;"Serviço",AND(AUTOEVENTO="Manual",$M114=$A$15),$M114&gt;(ROW(PLE.lastrow)-ROW(PLE.firstrow))),0,
           IF(OFFSET(PLE!$G$15,$M114-$A$15,BY$13)="",10^12,OFFSET(PLE!$G$15,$M114-$A$15,BY$13)))</f>
        <v>1000000000000</v>
      </c>
      <c r="BZ114" s="179">
        <f ca="1">IF(OR($D114&lt;&gt;"Serviço",AND(AUTOEVENTO="Manual",$M114=$A$15),$M114&gt;(ROW(PLE.lastrow)-ROW(PLE.firstrow))),0,
           IF(OFFSET(PLE!$G$15,$M114-$A$15,BZ$13)="",10^12,OFFSET(PLE!$G$15,$M114-$A$15,BZ$13)))</f>
        <v>1000000000000</v>
      </c>
      <c r="CA114" s="179">
        <f ca="1">IF(OR($D114&lt;&gt;"Serviço",AND(AUTOEVENTO="Manual",$M114=$A$15),$M114&gt;(ROW(PLE.lastrow)-ROW(PLE.firstrow))),0,
           IF(OFFSET(PLE!$G$15,$M114-$A$15,CA$13)="",10^12,OFFSET(PLE!$G$15,$M114-$A$15,CA$13)))</f>
        <v>1000000000000</v>
      </c>
      <c r="CB114" s="179">
        <f ca="1">IF(OR($D114&lt;&gt;"Serviço",AND(AUTOEVENTO="Manual",$M114=$A$15),$M114&gt;(ROW(PLE.lastrow)-ROW(PLE.firstrow))),0,
           IF(OFFSET(PLE!$G$15,$M114-$A$15,CB$13)="",10^12,OFFSET(PLE!$G$15,$M114-$A$15,CB$13)))</f>
        <v>1000000000000</v>
      </c>
      <c r="CC114" s="179">
        <f ca="1">IF(OR($D114&lt;&gt;"Serviço",AND(AUTOEVENTO="Manual",$M114=$A$15),$M114&gt;(ROW(PLE.lastrow)-ROW(PLE.firstrow))),0,
           IF(OFFSET(PLE!$G$15,$M114-$A$15,CC$13)="",10^12,OFFSET(PLE!$G$15,$M114-$A$15,CC$13)))</f>
        <v>1000000000000</v>
      </c>
      <c r="CD114" s="179">
        <f ca="1">IF(OR($D114&lt;&gt;"Serviço",AND(AUTOEVENTO="Manual",$M114=$A$15),$M114&gt;(ROW(PLE.lastrow)-ROW(PLE.firstrow))),0,
           IF(OFFSET(PLE!$G$15,$M114-$A$15,CD$13)="",10^12,OFFSET(PLE!$G$15,$M114-$A$15,CD$13)))</f>
        <v>1000000000000</v>
      </c>
      <c r="CE114" s="179">
        <f ca="1">IF(OR($D114&lt;&gt;"Serviço",AND(AUTOEVENTO="Manual",$M114=$A$15),$M114&gt;(ROW(PLE.lastrow)-ROW(PLE.firstrow))),0,
           IF(OFFSET(PLE!$G$15,$M114-$A$15,CE$13)="",10^12,OFFSET(PLE!$G$15,$M114-$A$15,CE$13)))</f>
        <v>1000000000000</v>
      </c>
      <c r="CF114" s="179">
        <f ca="1">IF(OR($D114&lt;&gt;"Serviço",AND(AUTOEVENTO="Manual",$M114=$A$15),$M114&gt;(ROW(PLE.lastrow)-ROW(PLE.firstrow))),0,
           IF(OFFSET(PLE!$G$15,$M114-$A$15,CF$13)="",10^12,OFFSET(PLE!$G$15,$M114-$A$15,CF$13)))</f>
        <v>1000000000000</v>
      </c>
      <c r="CG114" s="179">
        <f ca="1">IF(OR($D114&lt;&gt;"Serviço",AND(AUTOEVENTO="Manual",$M114=$A$15),$M114&gt;(ROW(PLE.lastrow)-ROW(PLE.firstrow))),0,
           IF(OFFSET(PLE!$G$15,$M114-$A$15,CG$13)="",10^12,OFFSET(PLE!$G$15,$M114-$A$15,CG$13)))</f>
        <v>1000000000000</v>
      </c>
      <c r="CH114" s="179">
        <f ca="1">IF(OR($D114&lt;&gt;"Serviço",AND(AUTOEVENTO="Manual",$M114=$A$15),$M114&gt;(ROW(PLE.lastrow)-ROW(PLE.firstrow))),0,
           IF(OFFSET(PLE!$G$15,$M114-$A$15,CH$13)="",10^12,OFFSET(PLE!$G$15,$M114-$A$15,CH$13)))</f>
        <v>1000000000000</v>
      </c>
      <c r="CI114" s="179">
        <f ca="1">IF(OR($D114&lt;&gt;"Serviço",AND(AUTOEVENTO="Manual",$M114=$A$15),$M114&gt;(ROW(PLE.lastrow)-ROW(PLE.firstrow))),0,
           IF(OFFSET(PLE!$G$15,$M114-$A$15,CI$13)="",10^12,OFFSET(PLE!$G$15,$M114-$A$15,CI$13)))</f>
        <v>1000000000000</v>
      </c>
      <c r="CJ114" s="179">
        <f ca="1">IF(OR($D114&lt;&gt;"Serviço",AND(AUTOEVENTO="Manual",$M114=$A$15),$M114&gt;(ROW(PLE.lastrow)-ROW(PLE.firstrow))),0,
           IF(OFFSET(PLE!$G$15,$M114-$A$15,CJ$13)="",10^12,OFFSET(PLE!$G$15,$M114-$A$15,CJ$13)))</f>
        <v>1000000000000</v>
      </c>
      <c r="CK114" s="179">
        <f ca="1">IF(OR($D114&lt;&gt;"Serviço",AND(AUTOEVENTO="Manual",$M114=$A$15),$M114&gt;(ROW(PLE.lastrow)-ROW(PLE.firstrow))),0,
           IF(OFFSET(PLE!$G$15,$M114-$A$15,CK$13)="",10^12,OFFSET(PLE!$G$15,$M114-$A$15,CK$13)))</f>
        <v>1000000000000</v>
      </c>
      <c r="CL114" s="179">
        <f ca="1">IF(OR($D114&lt;&gt;"Serviço",AND(AUTOEVENTO="Manual",$M114=$A$15),$M114&gt;(ROW(PLE.lastrow)-ROW(PLE.firstrow))),0,
           IF(OFFSET(PLE!$G$15,$M114-$A$15,CL$13)="",10^12,OFFSET(PLE!$G$15,$M114-$A$15,CL$13)))</f>
        <v>1000000000000</v>
      </c>
      <c r="CM114" s="179">
        <f ca="1">IF(OR($D114&lt;&gt;"Serviço",AND(AUTOEVENTO="Manual",$M114=$A$15),$M114&gt;(ROW(PLE.lastrow)-ROW(PLE.firstrow))),0,
           IF(OFFSET(PLE!$G$15,$M114-$A$15,CM$13)="",10^12,OFFSET(PLE!$G$15,$M114-$A$15,CM$13)))</f>
        <v>1000000000000</v>
      </c>
    </row>
    <row r="115" spans="1:91" ht="25.5" x14ac:dyDescent="0.2">
      <c r="A115" s="7" t="str">
        <f ca="1">IF(AUTOEVENTO="Manual",IF(K115&lt;&gt;"",MIN(VALUE(LEFT(K115,FIND(".",K115)-1)),COUNTA(EVENTOS.Lista)),0),IF(OR($B115&gt;AUTOEVENTO,$B115="S",$B115=0),SUBSTITUTE(OFFSET($A115,-1,0),IF($D115="Serviço",".",""),""),ROW(A115)-ROW($A$15)&amp;"."))</f>
        <v>71</v>
      </c>
      <c r="B115" s="7" t="str">
        <f ca="1">OFFSET(ORÇAMENTO!C$15,ROW(B115)-ROW(B$15),0)</f>
        <v>S</v>
      </c>
      <c r="C115" s="7" t="str">
        <f ca="1">OFFSET(ORÇAMENTO!L$15,ROW(C115)-ROW(C$15),0)</f>
        <v>F</v>
      </c>
      <c r="D115" s="118" t="str">
        <f ca="1">OFFSET(ORÇAMENTO!N$15,ROW(D115)-ROW(D$15),0)</f>
        <v>Serviço</v>
      </c>
      <c r="E115" s="119" t="str">
        <f ca="1">OFFSET(ORÇAMENTO!O$15,ROW(E115)-ROW(E$15),0)</f>
        <v>1.12.0.0.29.</v>
      </c>
      <c r="F115" s="170" t="str">
        <f ca="1">OFFSET(ORÇAMENTO!R$15,ROW(F115)-ROW(F$15),0)</f>
        <v>11405/ORSE 	Junção interna tipo "I" para perfilado, ( ref.: Mopa ou similar)</v>
      </c>
      <c r="G115" s="171" t="str">
        <f ca="1">IF($D115&lt;&gt;"Serviço","",OFFSET(ORÇAMENTO!S$15,ROW(G115)-ROW(G$15),0))</f>
        <v>UN</v>
      </c>
      <c r="H115" s="124" cm="1">
        <f t="array" aca="1" ref="H115" ca="1">IF($D115&lt;&gt;"Serviço",0,IF(_xlfn.SINGLE(ACOMPANHAMENTO)="BM",ROUND(OFFSET(ORÇAMENTO!AJ$15,ROW(H115)-ROW(H$15),0),15-13*ORÇAMENTO!$AF$7),SUMPRODUCT(($Q$1:$AI$1)*ROUND($Q115:$AI115,15-13*ORÇAMENTO!$AF$7))))</f>
        <v>26</v>
      </c>
      <c r="I115" s="500" t="s">
        <v>1019</v>
      </c>
      <c r="J115" s="632" t="str" cm="1">
        <f t="array" aca="1" ref="J115" ca="1">IF(B115&lt;&gt;"S","",IF(AND(ACOMPANHAMENTO="PLE",AUTOEVENTO="Manual",OR(H115&gt;0,ORÇAMENTO!AC115="QUANT."),OR(K115="",M115=0,N115="")),"►",IF(AND(ACOMPANHAMENTO="PLE",ORÇAMENTO!AC115="QUANT."),"►►",IF(AND(COUNTIF($P$11:$AI$11,"▼")=0,H115&gt;0,I115=""),"◄",""))))</f>
        <v/>
      </c>
      <c r="K115" s="624"/>
      <c r="L115" s="172" t="s">
        <v>253</v>
      </c>
      <c r="M115" s="173">
        <f ca="1">IF($D115&lt;&gt;"Serviço","",
          IF(AUTOEVENTO="manual",$A115,
                IF(ISERROR(MATCH($A115,$A$15:OFFSET($A115,-1,0),0)),MAX($M$15:OFFSET(M115,-1,0))+1,
                      INDEX($M$15:OFFSET(M115,-1,0),MATCH($A115,$A$15:OFFSET($A115,-1,0),0)))))</f>
        <v>12</v>
      </c>
      <c r="N115" s="174" t="str">
        <f ca="1">IF($D115&lt;&gt;"Serviço","",
         IF(AUTOEVENTO="Manual",
                IF($A115=0,"&lt;-- defina o número do agrupador",
                       OFFSET(EVENTOS!$D$15,$A115-$A$15,0)),
                OFFSET($F$15,$A115,0)))</f>
        <v>INSTALAÇÕES ELÉTRICAS</v>
      </c>
      <c r="O115" s="175"/>
      <c r="Q115" s="175"/>
      <c r="R115" s="176"/>
      <c r="S115" s="176"/>
      <c r="T115" s="176">
        <v>26</v>
      </c>
      <c r="U115" s="176"/>
      <c r="V115" s="176"/>
      <c r="W115" s="176"/>
      <c r="X115" s="176"/>
      <c r="Y115" s="176"/>
      <c r="Z115" s="177"/>
      <c r="AA115" s="176"/>
      <c r="AB115" s="176"/>
      <c r="AC115" s="176"/>
      <c r="AD115" s="176"/>
      <c r="AE115" s="176"/>
      <c r="AF115" s="176"/>
      <c r="AG115" s="176"/>
      <c r="AH115" s="177"/>
      <c r="AJ115" s="485">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85">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L115" s="485">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0</v>
      </c>
      <c r="AM115" s="485">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389.22</v>
      </c>
      <c r="AN115" s="485">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0</v>
      </c>
      <c r="AO115" s="485">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0</v>
      </c>
      <c r="AP115" s="485">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85">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85">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85">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85">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85">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85">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85">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85">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85">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85">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85">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8">
        <f ca="1">IF(OR($D115&lt;&gt;"Serviço",AND(AUTOEVENTO="Manual",$M115=$A$15)),0,
         IF(OFFSET(CRONOPLE!$F$15,$M115-$A$15,BC$13)="",10^12,OFFSET(CRONOPLE!$F$15,$M115-$A$15,BC$13)))</f>
        <v>1</v>
      </c>
      <c r="BD115" s="178">
        <f ca="1">IF(OR($D115&lt;&gt;"Serviço",AND(AUTOEVENTO="Manual",$M115=$A$15)),0,
         IF(OFFSET(CRONOPLE!$F$15,$M115-$A$15,BD$13)="",10^12,OFFSET(CRONOPLE!$F$15,$M115-$A$15,BD$13)))</f>
        <v>2</v>
      </c>
      <c r="BE115" s="178">
        <f ca="1">IF(OR($D115&lt;&gt;"Serviço",AND(AUTOEVENTO="Manual",$M115=$A$15)),0,
         IF(OFFSET(CRONOPLE!$F$15,$M115-$A$15,BE$13)="",10^12,OFFSET(CRONOPLE!$F$15,$M115-$A$15,BE$13)))</f>
        <v>1000000000000</v>
      </c>
      <c r="BF115" s="178">
        <f ca="1">IF(OR($D115&lt;&gt;"Serviço",AND(AUTOEVENTO="Manual",$M115=$A$15)),0,
         IF(OFFSET(CRONOPLE!$F$15,$M115-$A$15,BF$13)="",10^12,OFFSET(CRONOPLE!$F$15,$M115-$A$15,BF$13)))</f>
        <v>4</v>
      </c>
      <c r="BG115" s="178">
        <f ca="1">IF(OR($D115&lt;&gt;"Serviço",AND(AUTOEVENTO="Manual",$M115=$A$15)),0,
         IF(OFFSET(CRONOPLE!$F$15,$M115-$A$15,BG$13)="",10^12,OFFSET(CRONOPLE!$F$15,$M115-$A$15,BG$13)))</f>
        <v>5</v>
      </c>
      <c r="BH115" s="178">
        <f ca="1">IF(OR($D115&lt;&gt;"Serviço",AND(AUTOEVENTO="Manual",$M115=$A$15)),0,
         IF(OFFSET(CRONOPLE!$F$15,$M115-$A$15,BH$13)="",10^12,OFFSET(CRONOPLE!$F$15,$M115-$A$15,BH$13)))</f>
        <v>6</v>
      </c>
      <c r="BI115" s="178">
        <f ca="1">IF(OR($D115&lt;&gt;"Serviço",AND(AUTOEVENTO="Manual",$M115=$A$15)),0,
         IF(OFFSET(CRONOPLE!$F$15,$M115-$A$15,BI$13)="",10^12,OFFSET(CRONOPLE!$F$15,$M115-$A$15,BI$13)))</f>
        <v>7</v>
      </c>
      <c r="BJ115" s="178">
        <f ca="1">IF(OR($D115&lt;&gt;"Serviço",AND(AUTOEVENTO="Manual",$M115=$A$15)),0,
         IF(OFFSET(CRONOPLE!$F$15,$M115-$A$15,BJ$13)="",10^12,OFFSET(CRONOPLE!$F$15,$M115-$A$15,BJ$13)))</f>
        <v>8</v>
      </c>
      <c r="BK115" s="178">
        <f ca="1">IF(OR($D115&lt;&gt;"Serviço",AND(AUTOEVENTO="Manual",$M115=$A$15)),0,
         IF(OFFSET(CRONOPLE!$F$15,$M115-$A$15,BK$13)="",10^12,OFFSET(CRONOPLE!$F$15,$M115-$A$15,BK$13)))</f>
        <v>9</v>
      </c>
      <c r="BL115" s="178">
        <f ca="1">IF(OR($D115&lt;&gt;"Serviço",AND(AUTOEVENTO="Manual",$M115=$A$15)),0,
         IF(OFFSET(CRONOPLE!$F$15,$M115-$A$15,BL$13)="",10^12,OFFSET(CRONOPLE!$F$15,$M115-$A$15,BL$13)))</f>
        <v>10</v>
      </c>
      <c r="BM115" s="178">
        <f ca="1">IF(OR($D115&lt;&gt;"Serviço",AND(AUTOEVENTO="Manual",$M115=$A$15)),0,
         IF(OFFSET(CRONOPLE!$F$15,$M115-$A$15,BM$13)="",10^12,OFFSET(CRONOPLE!$F$15,$M115-$A$15,BM$13)))</f>
        <v>1000000000000</v>
      </c>
      <c r="BN115" s="178">
        <f ca="1">IF(OR($D115&lt;&gt;"Serviço",AND(AUTOEVENTO="Manual",$M115=$A$15)),0,
         IF(OFFSET(CRONOPLE!$F$15,$M115-$A$15,BN$13)="",10^12,OFFSET(CRONOPLE!$F$15,$M115-$A$15,BN$13)))</f>
        <v>1000000000000</v>
      </c>
      <c r="BO115" s="178">
        <f ca="1">IF(OR($D115&lt;&gt;"Serviço",AND(AUTOEVENTO="Manual",$M115=$A$15)),0,
         IF(OFFSET(CRONOPLE!$F$15,$M115-$A$15,BO$13)="",10^12,OFFSET(CRONOPLE!$F$15,$M115-$A$15,BO$13)))</f>
        <v>1000000000000</v>
      </c>
      <c r="BP115" s="178">
        <f ca="1">IF(OR($D115&lt;&gt;"Serviço",AND(AUTOEVENTO="Manual",$M115=$A$15)),0,
         IF(OFFSET(CRONOPLE!$F$15,$M115-$A$15,BP$13)="",10^12,OFFSET(CRONOPLE!$F$15,$M115-$A$15,BP$13)))</f>
        <v>1000000000000</v>
      </c>
      <c r="BQ115" s="178">
        <f ca="1">IF(OR($D115&lt;&gt;"Serviço",AND(AUTOEVENTO="Manual",$M115=$A$15)),0,
         IF(OFFSET(CRONOPLE!$F$15,$M115-$A$15,BQ$13)="",10^12,OFFSET(CRONOPLE!$F$15,$M115-$A$15,BQ$13)))</f>
        <v>15</v>
      </c>
      <c r="BR115" s="178">
        <f ca="1">IF(OR($D115&lt;&gt;"Serviço",AND(AUTOEVENTO="Manual",$M115=$A$15)),0,
         IF(OFFSET(CRONOPLE!$F$15,$M115-$A$15,BR$13)="",10^12,OFFSET(CRONOPLE!$F$15,$M115-$A$15,BR$13)))</f>
        <v>1000000000000</v>
      </c>
      <c r="BS115" s="178">
        <f ca="1">IF(OR($D115&lt;&gt;"Serviço",AND(AUTOEVENTO="Manual",$M115=$A$15)),0,
         IF(OFFSET(CRONOPLE!$F$15,$M115-$A$15,BS$13)="",10^12,OFFSET(CRONOPLE!$F$15,$M115-$A$15,BS$13)))</f>
        <v>1000000000000</v>
      </c>
      <c r="BT115" s="178">
        <f ca="1">IF(OR($D115&lt;&gt;"Serviço",AND(AUTOEVENTO="Manual",$M115=$A$15)),0,
         IF(OFFSET(CRONOPLE!$F$15,$M115-$A$15,BT$13)="",10^12,OFFSET(CRONOPLE!$F$15,$M115-$A$15,BT$13)))</f>
        <v>1000000000000</v>
      </c>
      <c r="BV115" s="179">
        <f ca="1">IF(OR($D115&lt;&gt;"Serviço",AND(AUTOEVENTO="Manual",$M115=$A$15),$M115&gt;(ROW(PLE.lastrow)-ROW(PLE.firstrow))),0,
           IF(OFFSET(PLE!$G$15,$M115-$A$15,BV$13)="",10^12,OFFSET(PLE!$G$15,$M115-$A$15,BV$13)))</f>
        <v>1000000000000</v>
      </c>
      <c r="BW115" s="179">
        <f ca="1">IF(OR($D115&lt;&gt;"Serviço",AND(AUTOEVENTO="Manual",$M115=$A$15),$M115&gt;(ROW(PLE.lastrow)-ROW(PLE.firstrow))),0,
           IF(OFFSET(PLE!$G$15,$M115-$A$15,BW$13)="",10^12,OFFSET(PLE!$G$15,$M115-$A$15,BW$13)))</f>
        <v>1000000000000</v>
      </c>
      <c r="BX115" s="179">
        <f ca="1">IF(OR($D115&lt;&gt;"Serviço",AND(AUTOEVENTO="Manual",$M115=$A$15),$M115&gt;(ROW(PLE.lastrow)-ROW(PLE.firstrow))),0,
           IF(OFFSET(PLE!$G$15,$M115-$A$15,BX$13)="",10^12,OFFSET(PLE!$G$15,$M115-$A$15,BX$13)))</f>
        <v>1000000000000</v>
      </c>
      <c r="BY115" s="179">
        <f ca="1">IF(OR($D115&lt;&gt;"Serviço",AND(AUTOEVENTO="Manual",$M115=$A$15),$M115&gt;(ROW(PLE.lastrow)-ROW(PLE.firstrow))),0,
           IF(OFFSET(PLE!$G$15,$M115-$A$15,BY$13)="",10^12,OFFSET(PLE!$G$15,$M115-$A$15,BY$13)))</f>
        <v>1000000000000</v>
      </c>
      <c r="BZ115" s="179">
        <f ca="1">IF(OR($D115&lt;&gt;"Serviço",AND(AUTOEVENTO="Manual",$M115=$A$15),$M115&gt;(ROW(PLE.lastrow)-ROW(PLE.firstrow))),0,
           IF(OFFSET(PLE!$G$15,$M115-$A$15,BZ$13)="",10^12,OFFSET(PLE!$G$15,$M115-$A$15,BZ$13)))</f>
        <v>1000000000000</v>
      </c>
      <c r="CA115" s="179">
        <f ca="1">IF(OR($D115&lt;&gt;"Serviço",AND(AUTOEVENTO="Manual",$M115=$A$15),$M115&gt;(ROW(PLE.lastrow)-ROW(PLE.firstrow))),0,
           IF(OFFSET(PLE!$G$15,$M115-$A$15,CA$13)="",10^12,OFFSET(PLE!$G$15,$M115-$A$15,CA$13)))</f>
        <v>1000000000000</v>
      </c>
      <c r="CB115" s="179">
        <f ca="1">IF(OR($D115&lt;&gt;"Serviço",AND(AUTOEVENTO="Manual",$M115=$A$15),$M115&gt;(ROW(PLE.lastrow)-ROW(PLE.firstrow))),0,
           IF(OFFSET(PLE!$G$15,$M115-$A$15,CB$13)="",10^12,OFFSET(PLE!$G$15,$M115-$A$15,CB$13)))</f>
        <v>1000000000000</v>
      </c>
      <c r="CC115" s="179">
        <f ca="1">IF(OR($D115&lt;&gt;"Serviço",AND(AUTOEVENTO="Manual",$M115=$A$15),$M115&gt;(ROW(PLE.lastrow)-ROW(PLE.firstrow))),0,
           IF(OFFSET(PLE!$G$15,$M115-$A$15,CC$13)="",10^12,OFFSET(PLE!$G$15,$M115-$A$15,CC$13)))</f>
        <v>1000000000000</v>
      </c>
      <c r="CD115" s="179">
        <f ca="1">IF(OR($D115&lt;&gt;"Serviço",AND(AUTOEVENTO="Manual",$M115=$A$15),$M115&gt;(ROW(PLE.lastrow)-ROW(PLE.firstrow))),0,
           IF(OFFSET(PLE!$G$15,$M115-$A$15,CD$13)="",10^12,OFFSET(PLE!$G$15,$M115-$A$15,CD$13)))</f>
        <v>1000000000000</v>
      </c>
      <c r="CE115" s="179">
        <f ca="1">IF(OR($D115&lt;&gt;"Serviço",AND(AUTOEVENTO="Manual",$M115=$A$15),$M115&gt;(ROW(PLE.lastrow)-ROW(PLE.firstrow))),0,
           IF(OFFSET(PLE!$G$15,$M115-$A$15,CE$13)="",10^12,OFFSET(PLE!$G$15,$M115-$A$15,CE$13)))</f>
        <v>1000000000000</v>
      </c>
      <c r="CF115" s="179">
        <f ca="1">IF(OR($D115&lt;&gt;"Serviço",AND(AUTOEVENTO="Manual",$M115=$A$15),$M115&gt;(ROW(PLE.lastrow)-ROW(PLE.firstrow))),0,
           IF(OFFSET(PLE!$G$15,$M115-$A$15,CF$13)="",10^12,OFFSET(PLE!$G$15,$M115-$A$15,CF$13)))</f>
        <v>1000000000000</v>
      </c>
      <c r="CG115" s="179">
        <f ca="1">IF(OR($D115&lt;&gt;"Serviço",AND(AUTOEVENTO="Manual",$M115=$A$15),$M115&gt;(ROW(PLE.lastrow)-ROW(PLE.firstrow))),0,
           IF(OFFSET(PLE!$G$15,$M115-$A$15,CG$13)="",10^12,OFFSET(PLE!$G$15,$M115-$A$15,CG$13)))</f>
        <v>1000000000000</v>
      </c>
      <c r="CH115" s="179">
        <f ca="1">IF(OR($D115&lt;&gt;"Serviço",AND(AUTOEVENTO="Manual",$M115=$A$15),$M115&gt;(ROW(PLE.lastrow)-ROW(PLE.firstrow))),0,
           IF(OFFSET(PLE!$G$15,$M115-$A$15,CH$13)="",10^12,OFFSET(PLE!$G$15,$M115-$A$15,CH$13)))</f>
        <v>1000000000000</v>
      </c>
      <c r="CI115" s="179">
        <f ca="1">IF(OR($D115&lt;&gt;"Serviço",AND(AUTOEVENTO="Manual",$M115=$A$15),$M115&gt;(ROW(PLE.lastrow)-ROW(PLE.firstrow))),0,
           IF(OFFSET(PLE!$G$15,$M115-$A$15,CI$13)="",10^12,OFFSET(PLE!$G$15,$M115-$A$15,CI$13)))</f>
        <v>1000000000000</v>
      </c>
      <c r="CJ115" s="179">
        <f ca="1">IF(OR($D115&lt;&gt;"Serviço",AND(AUTOEVENTO="Manual",$M115=$A$15),$M115&gt;(ROW(PLE.lastrow)-ROW(PLE.firstrow))),0,
           IF(OFFSET(PLE!$G$15,$M115-$A$15,CJ$13)="",10^12,OFFSET(PLE!$G$15,$M115-$A$15,CJ$13)))</f>
        <v>1000000000000</v>
      </c>
      <c r="CK115" s="179">
        <f ca="1">IF(OR($D115&lt;&gt;"Serviço",AND(AUTOEVENTO="Manual",$M115=$A$15),$M115&gt;(ROW(PLE.lastrow)-ROW(PLE.firstrow))),0,
           IF(OFFSET(PLE!$G$15,$M115-$A$15,CK$13)="",10^12,OFFSET(PLE!$G$15,$M115-$A$15,CK$13)))</f>
        <v>1000000000000</v>
      </c>
      <c r="CL115" s="179">
        <f ca="1">IF(OR($D115&lt;&gt;"Serviço",AND(AUTOEVENTO="Manual",$M115=$A$15),$M115&gt;(ROW(PLE.lastrow)-ROW(PLE.firstrow))),0,
           IF(OFFSET(PLE!$G$15,$M115-$A$15,CL$13)="",10^12,OFFSET(PLE!$G$15,$M115-$A$15,CL$13)))</f>
        <v>1000000000000</v>
      </c>
      <c r="CM115" s="179">
        <f ca="1">IF(OR($D115&lt;&gt;"Serviço",AND(AUTOEVENTO="Manual",$M115=$A$15),$M115&gt;(ROW(PLE.lastrow)-ROW(PLE.firstrow))),0,
           IF(OFFSET(PLE!$G$15,$M115-$A$15,CM$13)="",10^12,OFFSET(PLE!$G$15,$M115-$A$15,CM$13)))</f>
        <v>1000000000000</v>
      </c>
    </row>
    <row r="116" spans="1:91" ht="25.5" x14ac:dyDescent="0.2">
      <c r="A116" s="7" t="str">
        <f ca="1">IF(AUTOEVENTO="Manual",IF(K116&lt;&gt;"",MIN(VALUE(LEFT(K116,FIND(".",K116)-1)),COUNTA(EVENTOS.Lista)),0),IF(OR($B116&gt;AUTOEVENTO,$B116="S",$B116=0),SUBSTITUTE(OFFSET($A116,-1,0),IF($D116="Serviço",".",""),""),ROW(A116)-ROW($A$15)&amp;"."))</f>
        <v>71</v>
      </c>
      <c r="B116" s="7" t="str">
        <f ca="1">OFFSET(ORÇAMENTO!C$15,ROW(B116)-ROW(B$15),0)</f>
        <v>S</v>
      </c>
      <c r="C116" s="7" t="str">
        <f ca="1">OFFSET(ORÇAMENTO!L$15,ROW(C116)-ROW(C$15),0)</f>
        <v>F</v>
      </c>
      <c r="D116" s="118" t="str">
        <f ca="1">OFFSET(ORÇAMENTO!N$15,ROW(D116)-ROW(D$15),0)</f>
        <v>Serviço</v>
      </c>
      <c r="E116" s="119" t="str">
        <f ca="1">OFFSET(ORÇAMENTO!O$15,ROW(E116)-ROW(E$15),0)</f>
        <v>1.12.0.0.30.</v>
      </c>
      <c r="F116" s="170" t="str">
        <f ca="1">OFFSET(ORÇAMENTO!R$15,ROW(F116)-ROW(F$15),0)</f>
        <v>12578/ORSE 	Saída para perfilado 38x38mm (mopa ou similar)</v>
      </c>
      <c r="G116" s="171" t="str">
        <f ca="1">IF($D116&lt;&gt;"Serviço","",OFFSET(ORÇAMENTO!S$15,ROW(G116)-ROW(G$15),0))</f>
        <v>UN</v>
      </c>
      <c r="H116" s="124" cm="1">
        <f t="array" aca="1" ref="H116" ca="1">IF($D116&lt;&gt;"Serviço",0,IF(_xlfn.SINGLE(ACOMPANHAMENTO)="BM",ROUND(OFFSET(ORÇAMENTO!AJ$15,ROW(H116)-ROW(H$15),0),15-13*ORÇAMENTO!$AF$7),SUMPRODUCT(($Q$1:$AI$1)*ROUND($Q116:$AI116,15-13*ORÇAMENTO!$AF$7))))</f>
        <v>1</v>
      </c>
      <c r="I116" s="500" t="s">
        <v>1019</v>
      </c>
      <c r="J116" s="632" t="str" cm="1">
        <f t="array" aca="1" ref="J116" ca="1">IF(B116&lt;&gt;"S","",IF(AND(ACOMPANHAMENTO="PLE",AUTOEVENTO="Manual",OR(H116&gt;0,ORÇAMENTO!AC116="QUANT."),OR(K116="",M116=0,N116="")),"►",IF(AND(ACOMPANHAMENTO="PLE",ORÇAMENTO!AC116="QUANT."),"►►",IF(AND(COUNTIF($P$11:$AI$11,"▼")=0,H116&gt;0,I116=""),"◄",""))))</f>
        <v/>
      </c>
      <c r="K116" s="624"/>
      <c r="L116" s="172" t="s">
        <v>253</v>
      </c>
      <c r="M116" s="173">
        <f ca="1">IF($D116&lt;&gt;"Serviço","",
          IF(AUTOEVENTO="manual",$A116,
                IF(ISERROR(MATCH($A116,$A$15:OFFSET($A116,-1,0),0)),MAX($M$15:OFFSET(M116,-1,0))+1,
                      INDEX($M$15:OFFSET(M116,-1,0),MATCH($A116,$A$15:OFFSET($A116,-1,0),0)))))</f>
        <v>12</v>
      </c>
      <c r="N116" s="174" t="str">
        <f ca="1">IF($D116&lt;&gt;"Serviço","",
         IF(AUTOEVENTO="Manual",
                IF($A116=0,"&lt;-- defina o número do agrupador",
                       OFFSET(EVENTOS!$D$15,$A116-$A$15,0)),
                OFFSET($F$15,$A116,0)))</f>
        <v>INSTALAÇÕES ELÉTRICAS</v>
      </c>
      <c r="O116" s="175"/>
      <c r="Q116" s="175"/>
      <c r="R116" s="176"/>
      <c r="S116" s="176"/>
      <c r="T116" s="176">
        <v>1</v>
      </c>
      <c r="U116" s="176"/>
      <c r="V116" s="176"/>
      <c r="W116" s="176"/>
      <c r="X116" s="176"/>
      <c r="Y116" s="176"/>
      <c r="Z116" s="177"/>
      <c r="AA116" s="176"/>
      <c r="AB116" s="176"/>
      <c r="AC116" s="176"/>
      <c r="AD116" s="176"/>
      <c r="AE116" s="176"/>
      <c r="AF116" s="176"/>
      <c r="AG116" s="176"/>
      <c r="AH116" s="177"/>
      <c r="AJ116" s="485">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85">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L116" s="485">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0</v>
      </c>
      <c r="AM116" s="485">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19.690000000000001</v>
      </c>
      <c r="AN116" s="485">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85">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0</v>
      </c>
      <c r="AP116" s="485">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85">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85">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85">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85">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85">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85">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85">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85">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85">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85">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85">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8">
        <f ca="1">IF(OR($D116&lt;&gt;"Serviço",AND(AUTOEVENTO="Manual",$M116=$A$15)),0,
         IF(OFFSET(CRONOPLE!$F$15,$M116-$A$15,BC$13)="",10^12,OFFSET(CRONOPLE!$F$15,$M116-$A$15,BC$13)))</f>
        <v>1</v>
      </c>
      <c r="BD116" s="178">
        <f ca="1">IF(OR($D116&lt;&gt;"Serviço",AND(AUTOEVENTO="Manual",$M116=$A$15)),0,
         IF(OFFSET(CRONOPLE!$F$15,$M116-$A$15,BD$13)="",10^12,OFFSET(CRONOPLE!$F$15,$M116-$A$15,BD$13)))</f>
        <v>2</v>
      </c>
      <c r="BE116" s="178">
        <f ca="1">IF(OR($D116&lt;&gt;"Serviço",AND(AUTOEVENTO="Manual",$M116=$A$15)),0,
         IF(OFFSET(CRONOPLE!$F$15,$M116-$A$15,BE$13)="",10^12,OFFSET(CRONOPLE!$F$15,$M116-$A$15,BE$13)))</f>
        <v>1000000000000</v>
      </c>
      <c r="BF116" s="178">
        <f ca="1">IF(OR($D116&lt;&gt;"Serviço",AND(AUTOEVENTO="Manual",$M116=$A$15)),0,
         IF(OFFSET(CRONOPLE!$F$15,$M116-$A$15,BF$13)="",10^12,OFFSET(CRONOPLE!$F$15,$M116-$A$15,BF$13)))</f>
        <v>4</v>
      </c>
      <c r="BG116" s="178">
        <f ca="1">IF(OR($D116&lt;&gt;"Serviço",AND(AUTOEVENTO="Manual",$M116=$A$15)),0,
         IF(OFFSET(CRONOPLE!$F$15,$M116-$A$15,BG$13)="",10^12,OFFSET(CRONOPLE!$F$15,$M116-$A$15,BG$13)))</f>
        <v>5</v>
      </c>
      <c r="BH116" s="178">
        <f ca="1">IF(OR($D116&lt;&gt;"Serviço",AND(AUTOEVENTO="Manual",$M116=$A$15)),0,
         IF(OFFSET(CRONOPLE!$F$15,$M116-$A$15,BH$13)="",10^12,OFFSET(CRONOPLE!$F$15,$M116-$A$15,BH$13)))</f>
        <v>6</v>
      </c>
      <c r="BI116" s="178">
        <f ca="1">IF(OR($D116&lt;&gt;"Serviço",AND(AUTOEVENTO="Manual",$M116=$A$15)),0,
         IF(OFFSET(CRONOPLE!$F$15,$M116-$A$15,BI$13)="",10^12,OFFSET(CRONOPLE!$F$15,$M116-$A$15,BI$13)))</f>
        <v>7</v>
      </c>
      <c r="BJ116" s="178">
        <f ca="1">IF(OR($D116&lt;&gt;"Serviço",AND(AUTOEVENTO="Manual",$M116=$A$15)),0,
         IF(OFFSET(CRONOPLE!$F$15,$M116-$A$15,BJ$13)="",10^12,OFFSET(CRONOPLE!$F$15,$M116-$A$15,BJ$13)))</f>
        <v>8</v>
      </c>
      <c r="BK116" s="178">
        <f ca="1">IF(OR($D116&lt;&gt;"Serviço",AND(AUTOEVENTO="Manual",$M116=$A$15)),0,
         IF(OFFSET(CRONOPLE!$F$15,$M116-$A$15,BK$13)="",10^12,OFFSET(CRONOPLE!$F$15,$M116-$A$15,BK$13)))</f>
        <v>9</v>
      </c>
      <c r="BL116" s="178">
        <f ca="1">IF(OR($D116&lt;&gt;"Serviço",AND(AUTOEVENTO="Manual",$M116=$A$15)),0,
         IF(OFFSET(CRONOPLE!$F$15,$M116-$A$15,BL$13)="",10^12,OFFSET(CRONOPLE!$F$15,$M116-$A$15,BL$13)))</f>
        <v>10</v>
      </c>
      <c r="BM116" s="178">
        <f ca="1">IF(OR($D116&lt;&gt;"Serviço",AND(AUTOEVENTO="Manual",$M116=$A$15)),0,
         IF(OFFSET(CRONOPLE!$F$15,$M116-$A$15,BM$13)="",10^12,OFFSET(CRONOPLE!$F$15,$M116-$A$15,BM$13)))</f>
        <v>1000000000000</v>
      </c>
      <c r="BN116" s="178">
        <f ca="1">IF(OR($D116&lt;&gt;"Serviço",AND(AUTOEVENTO="Manual",$M116=$A$15)),0,
         IF(OFFSET(CRONOPLE!$F$15,$M116-$A$15,BN$13)="",10^12,OFFSET(CRONOPLE!$F$15,$M116-$A$15,BN$13)))</f>
        <v>1000000000000</v>
      </c>
      <c r="BO116" s="178">
        <f ca="1">IF(OR($D116&lt;&gt;"Serviço",AND(AUTOEVENTO="Manual",$M116=$A$15)),0,
         IF(OFFSET(CRONOPLE!$F$15,$M116-$A$15,BO$13)="",10^12,OFFSET(CRONOPLE!$F$15,$M116-$A$15,BO$13)))</f>
        <v>1000000000000</v>
      </c>
      <c r="BP116" s="178">
        <f ca="1">IF(OR($D116&lt;&gt;"Serviço",AND(AUTOEVENTO="Manual",$M116=$A$15)),0,
         IF(OFFSET(CRONOPLE!$F$15,$M116-$A$15,BP$13)="",10^12,OFFSET(CRONOPLE!$F$15,$M116-$A$15,BP$13)))</f>
        <v>1000000000000</v>
      </c>
      <c r="BQ116" s="178">
        <f ca="1">IF(OR($D116&lt;&gt;"Serviço",AND(AUTOEVENTO="Manual",$M116=$A$15)),0,
         IF(OFFSET(CRONOPLE!$F$15,$M116-$A$15,BQ$13)="",10^12,OFFSET(CRONOPLE!$F$15,$M116-$A$15,BQ$13)))</f>
        <v>15</v>
      </c>
      <c r="BR116" s="178">
        <f ca="1">IF(OR($D116&lt;&gt;"Serviço",AND(AUTOEVENTO="Manual",$M116=$A$15)),0,
         IF(OFFSET(CRONOPLE!$F$15,$M116-$A$15,BR$13)="",10^12,OFFSET(CRONOPLE!$F$15,$M116-$A$15,BR$13)))</f>
        <v>1000000000000</v>
      </c>
      <c r="BS116" s="178">
        <f ca="1">IF(OR($D116&lt;&gt;"Serviço",AND(AUTOEVENTO="Manual",$M116=$A$15)),0,
         IF(OFFSET(CRONOPLE!$F$15,$M116-$A$15,BS$13)="",10^12,OFFSET(CRONOPLE!$F$15,$M116-$A$15,BS$13)))</f>
        <v>1000000000000</v>
      </c>
      <c r="BT116" s="178">
        <f ca="1">IF(OR($D116&lt;&gt;"Serviço",AND(AUTOEVENTO="Manual",$M116=$A$15)),0,
         IF(OFFSET(CRONOPLE!$F$15,$M116-$A$15,BT$13)="",10^12,OFFSET(CRONOPLE!$F$15,$M116-$A$15,BT$13)))</f>
        <v>1000000000000</v>
      </c>
      <c r="BV116" s="179">
        <f ca="1">IF(OR($D116&lt;&gt;"Serviço",AND(AUTOEVENTO="Manual",$M116=$A$15),$M116&gt;(ROW(PLE.lastrow)-ROW(PLE.firstrow))),0,
           IF(OFFSET(PLE!$G$15,$M116-$A$15,BV$13)="",10^12,OFFSET(PLE!$G$15,$M116-$A$15,BV$13)))</f>
        <v>1000000000000</v>
      </c>
      <c r="BW116" s="179">
        <f ca="1">IF(OR($D116&lt;&gt;"Serviço",AND(AUTOEVENTO="Manual",$M116=$A$15),$M116&gt;(ROW(PLE.lastrow)-ROW(PLE.firstrow))),0,
           IF(OFFSET(PLE!$G$15,$M116-$A$15,BW$13)="",10^12,OFFSET(PLE!$G$15,$M116-$A$15,BW$13)))</f>
        <v>1000000000000</v>
      </c>
      <c r="BX116" s="179">
        <f ca="1">IF(OR($D116&lt;&gt;"Serviço",AND(AUTOEVENTO="Manual",$M116=$A$15),$M116&gt;(ROW(PLE.lastrow)-ROW(PLE.firstrow))),0,
           IF(OFFSET(PLE!$G$15,$M116-$A$15,BX$13)="",10^12,OFFSET(PLE!$G$15,$M116-$A$15,BX$13)))</f>
        <v>1000000000000</v>
      </c>
      <c r="BY116" s="179">
        <f ca="1">IF(OR($D116&lt;&gt;"Serviço",AND(AUTOEVENTO="Manual",$M116=$A$15),$M116&gt;(ROW(PLE.lastrow)-ROW(PLE.firstrow))),0,
           IF(OFFSET(PLE!$G$15,$M116-$A$15,BY$13)="",10^12,OFFSET(PLE!$G$15,$M116-$A$15,BY$13)))</f>
        <v>1000000000000</v>
      </c>
      <c r="BZ116" s="179">
        <f ca="1">IF(OR($D116&lt;&gt;"Serviço",AND(AUTOEVENTO="Manual",$M116=$A$15),$M116&gt;(ROW(PLE.lastrow)-ROW(PLE.firstrow))),0,
           IF(OFFSET(PLE!$G$15,$M116-$A$15,BZ$13)="",10^12,OFFSET(PLE!$G$15,$M116-$A$15,BZ$13)))</f>
        <v>1000000000000</v>
      </c>
      <c r="CA116" s="179">
        <f ca="1">IF(OR($D116&lt;&gt;"Serviço",AND(AUTOEVENTO="Manual",$M116=$A$15),$M116&gt;(ROW(PLE.lastrow)-ROW(PLE.firstrow))),0,
           IF(OFFSET(PLE!$G$15,$M116-$A$15,CA$13)="",10^12,OFFSET(PLE!$G$15,$M116-$A$15,CA$13)))</f>
        <v>1000000000000</v>
      </c>
      <c r="CB116" s="179">
        <f ca="1">IF(OR($D116&lt;&gt;"Serviço",AND(AUTOEVENTO="Manual",$M116=$A$15),$M116&gt;(ROW(PLE.lastrow)-ROW(PLE.firstrow))),0,
           IF(OFFSET(PLE!$G$15,$M116-$A$15,CB$13)="",10^12,OFFSET(PLE!$G$15,$M116-$A$15,CB$13)))</f>
        <v>1000000000000</v>
      </c>
      <c r="CC116" s="179">
        <f ca="1">IF(OR($D116&lt;&gt;"Serviço",AND(AUTOEVENTO="Manual",$M116=$A$15),$M116&gt;(ROW(PLE.lastrow)-ROW(PLE.firstrow))),0,
           IF(OFFSET(PLE!$G$15,$M116-$A$15,CC$13)="",10^12,OFFSET(PLE!$G$15,$M116-$A$15,CC$13)))</f>
        <v>1000000000000</v>
      </c>
      <c r="CD116" s="179">
        <f ca="1">IF(OR($D116&lt;&gt;"Serviço",AND(AUTOEVENTO="Manual",$M116=$A$15),$M116&gt;(ROW(PLE.lastrow)-ROW(PLE.firstrow))),0,
           IF(OFFSET(PLE!$G$15,$M116-$A$15,CD$13)="",10^12,OFFSET(PLE!$G$15,$M116-$A$15,CD$13)))</f>
        <v>1000000000000</v>
      </c>
      <c r="CE116" s="179">
        <f ca="1">IF(OR($D116&lt;&gt;"Serviço",AND(AUTOEVENTO="Manual",$M116=$A$15),$M116&gt;(ROW(PLE.lastrow)-ROW(PLE.firstrow))),0,
           IF(OFFSET(PLE!$G$15,$M116-$A$15,CE$13)="",10^12,OFFSET(PLE!$G$15,$M116-$A$15,CE$13)))</f>
        <v>1000000000000</v>
      </c>
      <c r="CF116" s="179">
        <f ca="1">IF(OR($D116&lt;&gt;"Serviço",AND(AUTOEVENTO="Manual",$M116=$A$15),$M116&gt;(ROW(PLE.lastrow)-ROW(PLE.firstrow))),0,
           IF(OFFSET(PLE!$G$15,$M116-$A$15,CF$13)="",10^12,OFFSET(PLE!$G$15,$M116-$A$15,CF$13)))</f>
        <v>1000000000000</v>
      </c>
      <c r="CG116" s="179">
        <f ca="1">IF(OR($D116&lt;&gt;"Serviço",AND(AUTOEVENTO="Manual",$M116=$A$15),$M116&gt;(ROW(PLE.lastrow)-ROW(PLE.firstrow))),0,
           IF(OFFSET(PLE!$G$15,$M116-$A$15,CG$13)="",10^12,OFFSET(PLE!$G$15,$M116-$A$15,CG$13)))</f>
        <v>1000000000000</v>
      </c>
      <c r="CH116" s="179">
        <f ca="1">IF(OR($D116&lt;&gt;"Serviço",AND(AUTOEVENTO="Manual",$M116=$A$15),$M116&gt;(ROW(PLE.lastrow)-ROW(PLE.firstrow))),0,
           IF(OFFSET(PLE!$G$15,$M116-$A$15,CH$13)="",10^12,OFFSET(PLE!$G$15,$M116-$A$15,CH$13)))</f>
        <v>1000000000000</v>
      </c>
      <c r="CI116" s="179">
        <f ca="1">IF(OR($D116&lt;&gt;"Serviço",AND(AUTOEVENTO="Manual",$M116=$A$15),$M116&gt;(ROW(PLE.lastrow)-ROW(PLE.firstrow))),0,
           IF(OFFSET(PLE!$G$15,$M116-$A$15,CI$13)="",10^12,OFFSET(PLE!$G$15,$M116-$A$15,CI$13)))</f>
        <v>1000000000000</v>
      </c>
      <c r="CJ116" s="179">
        <f ca="1">IF(OR($D116&lt;&gt;"Serviço",AND(AUTOEVENTO="Manual",$M116=$A$15),$M116&gt;(ROW(PLE.lastrow)-ROW(PLE.firstrow))),0,
           IF(OFFSET(PLE!$G$15,$M116-$A$15,CJ$13)="",10^12,OFFSET(PLE!$G$15,$M116-$A$15,CJ$13)))</f>
        <v>1000000000000</v>
      </c>
      <c r="CK116" s="179">
        <f ca="1">IF(OR($D116&lt;&gt;"Serviço",AND(AUTOEVENTO="Manual",$M116=$A$15),$M116&gt;(ROW(PLE.lastrow)-ROW(PLE.firstrow))),0,
           IF(OFFSET(PLE!$G$15,$M116-$A$15,CK$13)="",10^12,OFFSET(PLE!$G$15,$M116-$A$15,CK$13)))</f>
        <v>1000000000000</v>
      </c>
      <c r="CL116" s="179">
        <f ca="1">IF(OR($D116&lt;&gt;"Serviço",AND(AUTOEVENTO="Manual",$M116=$A$15),$M116&gt;(ROW(PLE.lastrow)-ROW(PLE.firstrow))),0,
           IF(OFFSET(PLE!$G$15,$M116-$A$15,CL$13)="",10^12,OFFSET(PLE!$G$15,$M116-$A$15,CL$13)))</f>
        <v>1000000000000</v>
      </c>
      <c r="CM116" s="179">
        <f ca="1">IF(OR($D116&lt;&gt;"Serviço",AND(AUTOEVENTO="Manual",$M116=$A$15),$M116&gt;(ROW(PLE.lastrow)-ROW(PLE.firstrow))),0,
           IF(OFFSET(PLE!$G$15,$M116-$A$15,CM$13)="",10^12,OFFSET(PLE!$G$15,$M116-$A$15,CM$13)))</f>
        <v>1000000000000</v>
      </c>
    </row>
    <row r="117" spans="1:91" ht="25.5" x14ac:dyDescent="0.2">
      <c r="A117" s="7" t="str">
        <f ca="1">IF(AUTOEVENTO="Manual",IF(K117&lt;&gt;"",MIN(VALUE(LEFT(K117,FIND(".",K117)-1)),COUNTA(EVENTOS.Lista)),0),IF(OR($B117&gt;AUTOEVENTO,$B117="S",$B117=0),SUBSTITUTE(OFFSET($A117,-1,0),IF($D117="Serviço",".",""),""),ROW(A117)-ROW($A$15)&amp;"."))</f>
        <v>71</v>
      </c>
      <c r="B117" s="7" t="str">
        <f ca="1">OFFSET(ORÇAMENTO!C$15,ROW(B117)-ROW(B$15),0)</f>
        <v>S</v>
      </c>
      <c r="C117" s="7" t="str">
        <f ca="1">OFFSET(ORÇAMENTO!L$15,ROW(C117)-ROW(C$15),0)</f>
        <v>F</v>
      </c>
      <c r="D117" s="118" t="str">
        <f ca="1">OFFSET(ORÇAMENTO!N$15,ROW(D117)-ROW(D$15),0)</f>
        <v>Serviço</v>
      </c>
      <c r="E117" s="119" t="str">
        <f ca="1">OFFSET(ORÇAMENTO!O$15,ROW(E117)-ROW(E$15),0)</f>
        <v>1.12.0.0.31.</v>
      </c>
      <c r="F117" s="170" t="str">
        <f ca="1">OFFSET(ORÇAMENTO!R$15,ROW(F117)-ROW(F$15),0)</f>
        <v>13606/ORSE 	Perfilado, pré-zincado a fogo, perfurado 38 x 38mm</v>
      </c>
      <c r="G117" s="171" t="str">
        <f ca="1">IF($D117&lt;&gt;"Serviço","",OFFSET(ORÇAMENTO!S$15,ROW(G117)-ROW(G$15),0))</f>
        <v>M</v>
      </c>
      <c r="H117" s="124" cm="1">
        <f t="array" aca="1" ref="H117" ca="1">IF($D117&lt;&gt;"Serviço",0,IF(_xlfn.SINGLE(ACOMPANHAMENTO)="BM",ROUND(OFFSET(ORÇAMENTO!AJ$15,ROW(H117)-ROW(H$15),0),15-13*ORÇAMENTO!$AF$7),SUMPRODUCT(($Q$1:$AI$1)*ROUND($Q117:$AI117,15-13*ORÇAMENTO!$AF$7))))</f>
        <v>79.23</v>
      </c>
      <c r="I117" s="500" t="s">
        <v>1019</v>
      </c>
      <c r="J117" s="632" t="str" cm="1">
        <f t="array" aca="1" ref="J117" ca="1">IF(B117&lt;&gt;"S","",IF(AND(ACOMPANHAMENTO="PLE",AUTOEVENTO="Manual",OR(H117&gt;0,ORÇAMENTO!AC117="QUANT."),OR(K117="",M117=0,N117="")),"►",IF(AND(ACOMPANHAMENTO="PLE",ORÇAMENTO!AC117="QUANT."),"►►",IF(AND(COUNTIF($P$11:$AI$11,"▼")=0,H117&gt;0,I117=""),"◄",""))))</f>
        <v/>
      </c>
      <c r="K117" s="624"/>
      <c r="L117" s="172" t="s">
        <v>253</v>
      </c>
      <c r="M117" s="173">
        <f ca="1">IF($D117&lt;&gt;"Serviço","",
          IF(AUTOEVENTO="manual",$A117,
                IF(ISERROR(MATCH($A117,$A$15:OFFSET($A117,-1,0),0)),MAX($M$15:OFFSET(M117,-1,0))+1,
                      INDEX($M$15:OFFSET(M117,-1,0),MATCH($A117,$A$15:OFFSET($A117,-1,0),0)))))</f>
        <v>12</v>
      </c>
      <c r="N117" s="174" t="str">
        <f ca="1">IF($D117&lt;&gt;"Serviço","",
         IF(AUTOEVENTO="Manual",
                IF($A117=0,"&lt;-- defina o número do agrupador",
                       OFFSET(EVENTOS!$D$15,$A117-$A$15,0)),
                OFFSET($F$15,$A117,0)))</f>
        <v>INSTALAÇÕES ELÉTRICAS</v>
      </c>
      <c r="O117" s="175"/>
      <c r="Q117" s="175"/>
      <c r="R117" s="176"/>
      <c r="S117" s="176"/>
      <c r="T117" s="176">
        <v>79.23</v>
      </c>
      <c r="U117" s="176"/>
      <c r="V117" s="176"/>
      <c r="W117" s="176"/>
      <c r="X117" s="176"/>
      <c r="Y117" s="176"/>
      <c r="Z117" s="177"/>
      <c r="AA117" s="176"/>
      <c r="AB117" s="176"/>
      <c r="AC117" s="176"/>
      <c r="AD117" s="176"/>
      <c r="AE117" s="176"/>
      <c r="AF117" s="176"/>
      <c r="AG117" s="176"/>
      <c r="AH117" s="177"/>
      <c r="AJ117" s="485">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85">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L117" s="485">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0</v>
      </c>
      <c r="AM117" s="485">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3099.48</v>
      </c>
      <c r="AN117" s="485">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0</v>
      </c>
      <c r="AO117" s="485">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0</v>
      </c>
      <c r="AP117" s="485">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85">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85">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85">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85">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85">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85">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85">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85">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85">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85">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85">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8">
        <f ca="1">IF(OR($D117&lt;&gt;"Serviço",AND(AUTOEVENTO="Manual",$M117=$A$15)),0,
         IF(OFFSET(CRONOPLE!$F$15,$M117-$A$15,BC$13)="",10^12,OFFSET(CRONOPLE!$F$15,$M117-$A$15,BC$13)))</f>
        <v>1</v>
      </c>
      <c r="BD117" s="178">
        <f ca="1">IF(OR($D117&lt;&gt;"Serviço",AND(AUTOEVENTO="Manual",$M117=$A$15)),0,
         IF(OFFSET(CRONOPLE!$F$15,$M117-$A$15,BD$13)="",10^12,OFFSET(CRONOPLE!$F$15,$M117-$A$15,BD$13)))</f>
        <v>2</v>
      </c>
      <c r="BE117" s="178">
        <f ca="1">IF(OR($D117&lt;&gt;"Serviço",AND(AUTOEVENTO="Manual",$M117=$A$15)),0,
         IF(OFFSET(CRONOPLE!$F$15,$M117-$A$15,BE$13)="",10^12,OFFSET(CRONOPLE!$F$15,$M117-$A$15,BE$13)))</f>
        <v>1000000000000</v>
      </c>
      <c r="BF117" s="178">
        <f ca="1">IF(OR($D117&lt;&gt;"Serviço",AND(AUTOEVENTO="Manual",$M117=$A$15)),0,
         IF(OFFSET(CRONOPLE!$F$15,$M117-$A$15,BF$13)="",10^12,OFFSET(CRONOPLE!$F$15,$M117-$A$15,BF$13)))</f>
        <v>4</v>
      </c>
      <c r="BG117" s="178">
        <f ca="1">IF(OR($D117&lt;&gt;"Serviço",AND(AUTOEVENTO="Manual",$M117=$A$15)),0,
         IF(OFFSET(CRONOPLE!$F$15,$M117-$A$15,BG$13)="",10^12,OFFSET(CRONOPLE!$F$15,$M117-$A$15,BG$13)))</f>
        <v>5</v>
      </c>
      <c r="BH117" s="178">
        <f ca="1">IF(OR($D117&lt;&gt;"Serviço",AND(AUTOEVENTO="Manual",$M117=$A$15)),0,
         IF(OFFSET(CRONOPLE!$F$15,$M117-$A$15,BH$13)="",10^12,OFFSET(CRONOPLE!$F$15,$M117-$A$15,BH$13)))</f>
        <v>6</v>
      </c>
      <c r="BI117" s="178">
        <f ca="1">IF(OR($D117&lt;&gt;"Serviço",AND(AUTOEVENTO="Manual",$M117=$A$15)),0,
         IF(OFFSET(CRONOPLE!$F$15,$M117-$A$15,BI$13)="",10^12,OFFSET(CRONOPLE!$F$15,$M117-$A$15,BI$13)))</f>
        <v>7</v>
      </c>
      <c r="BJ117" s="178">
        <f ca="1">IF(OR($D117&lt;&gt;"Serviço",AND(AUTOEVENTO="Manual",$M117=$A$15)),0,
         IF(OFFSET(CRONOPLE!$F$15,$M117-$A$15,BJ$13)="",10^12,OFFSET(CRONOPLE!$F$15,$M117-$A$15,BJ$13)))</f>
        <v>8</v>
      </c>
      <c r="BK117" s="178">
        <f ca="1">IF(OR($D117&lt;&gt;"Serviço",AND(AUTOEVENTO="Manual",$M117=$A$15)),0,
         IF(OFFSET(CRONOPLE!$F$15,$M117-$A$15,BK$13)="",10^12,OFFSET(CRONOPLE!$F$15,$M117-$A$15,BK$13)))</f>
        <v>9</v>
      </c>
      <c r="BL117" s="178">
        <f ca="1">IF(OR($D117&lt;&gt;"Serviço",AND(AUTOEVENTO="Manual",$M117=$A$15)),0,
         IF(OFFSET(CRONOPLE!$F$15,$M117-$A$15,BL$13)="",10^12,OFFSET(CRONOPLE!$F$15,$M117-$A$15,BL$13)))</f>
        <v>10</v>
      </c>
      <c r="BM117" s="178">
        <f ca="1">IF(OR($D117&lt;&gt;"Serviço",AND(AUTOEVENTO="Manual",$M117=$A$15)),0,
         IF(OFFSET(CRONOPLE!$F$15,$M117-$A$15,BM$13)="",10^12,OFFSET(CRONOPLE!$F$15,$M117-$A$15,BM$13)))</f>
        <v>1000000000000</v>
      </c>
      <c r="BN117" s="178">
        <f ca="1">IF(OR($D117&lt;&gt;"Serviço",AND(AUTOEVENTO="Manual",$M117=$A$15)),0,
         IF(OFFSET(CRONOPLE!$F$15,$M117-$A$15,BN$13)="",10^12,OFFSET(CRONOPLE!$F$15,$M117-$A$15,BN$13)))</f>
        <v>1000000000000</v>
      </c>
      <c r="BO117" s="178">
        <f ca="1">IF(OR($D117&lt;&gt;"Serviço",AND(AUTOEVENTO="Manual",$M117=$A$15)),0,
         IF(OFFSET(CRONOPLE!$F$15,$M117-$A$15,BO$13)="",10^12,OFFSET(CRONOPLE!$F$15,$M117-$A$15,BO$13)))</f>
        <v>1000000000000</v>
      </c>
      <c r="BP117" s="178">
        <f ca="1">IF(OR($D117&lt;&gt;"Serviço",AND(AUTOEVENTO="Manual",$M117=$A$15)),0,
         IF(OFFSET(CRONOPLE!$F$15,$M117-$A$15,BP$13)="",10^12,OFFSET(CRONOPLE!$F$15,$M117-$A$15,BP$13)))</f>
        <v>1000000000000</v>
      </c>
      <c r="BQ117" s="178">
        <f ca="1">IF(OR($D117&lt;&gt;"Serviço",AND(AUTOEVENTO="Manual",$M117=$A$15)),0,
         IF(OFFSET(CRONOPLE!$F$15,$M117-$A$15,BQ$13)="",10^12,OFFSET(CRONOPLE!$F$15,$M117-$A$15,BQ$13)))</f>
        <v>15</v>
      </c>
      <c r="BR117" s="178">
        <f ca="1">IF(OR($D117&lt;&gt;"Serviço",AND(AUTOEVENTO="Manual",$M117=$A$15)),0,
         IF(OFFSET(CRONOPLE!$F$15,$M117-$A$15,BR$13)="",10^12,OFFSET(CRONOPLE!$F$15,$M117-$A$15,BR$13)))</f>
        <v>1000000000000</v>
      </c>
      <c r="BS117" s="178">
        <f ca="1">IF(OR($D117&lt;&gt;"Serviço",AND(AUTOEVENTO="Manual",$M117=$A$15)),0,
         IF(OFFSET(CRONOPLE!$F$15,$M117-$A$15,BS$13)="",10^12,OFFSET(CRONOPLE!$F$15,$M117-$A$15,BS$13)))</f>
        <v>1000000000000</v>
      </c>
      <c r="BT117" s="178">
        <f ca="1">IF(OR($D117&lt;&gt;"Serviço",AND(AUTOEVENTO="Manual",$M117=$A$15)),0,
         IF(OFFSET(CRONOPLE!$F$15,$M117-$A$15,BT$13)="",10^12,OFFSET(CRONOPLE!$F$15,$M117-$A$15,BT$13)))</f>
        <v>1000000000000</v>
      </c>
      <c r="BV117" s="179">
        <f ca="1">IF(OR($D117&lt;&gt;"Serviço",AND(AUTOEVENTO="Manual",$M117=$A$15),$M117&gt;(ROW(PLE.lastrow)-ROW(PLE.firstrow))),0,
           IF(OFFSET(PLE!$G$15,$M117-$A$15,BV$13)="",10^12,OFFSET(PLE!$G$15,$M117-$A$15,BV$13)))</f>
        <v>1000000000000</v>
      </c>
      <c r="BW117" s="179">
        <f ca="1">IF(OR($D117&lt;&gt;"Serviço",AND(AUTOEVENTO="Manual",$M117=$A$15),$M117&gt;(ROW(PLE.lastrow)-ROW(PLE.firstrow))),0,
           IF(OFFSET(PLE!$G$15,$M117-$A$15,BW$13)="",10^12,OFFSET(PLE!$G$15,$M117-$A$15,BW$13)))</f>
        <v>1000000000000</v>
      </c>
      <c r="BX117" s="179">
        <f ca="1">IF(OR($D117&lt;&gt;"Serviço",AND(AUTOEVENTO="Manual",$M117=$A$15),$M117&gt;(ROW(PLE.lastrow)-ROW(PLE.firstrow))),0,
           IF(OFFSET(PLE!$G$15,$M117-$A$15,BX$13)="",10^12,OFFSET(PLE!$G$15,$M117-$A$15,BX$13)))</f>
        <v>1000000000000</v>
      </c>
      <c r="BY117" s="179">
        <f ca="1">IF(OR($D117&lt;&gt;"Serviço",AND(AUTOEVENTO="Manual",$M117=$A$15),$M117&gt;(ROW(PLE.lastrow)-ROW(PLE.firstrow))),0,
           IF(OFFSET(PLE!$G$15,$M117-$A$15,BY$13)="",10^12,OFFSET(PLE!$G$15,$M117-$A$15,BY$13)))</f>
        <v>1000000000000</v>
      </c>
      <c r="BZ117" s="179">
        <f ca="1">IF(OR($D117&lt;&gt;"Serviço",AND(AUTOEVENTO="Manual",$M117=$A$15),$M117&gt;(ROW(PLE.lastrow)-ROW(PLE.firstrow))),0,
           IF(OFFSET(PLE!$G$15,$M117-$A$15,BZ$13)="",10^12,OFFSET(PLE!$G$15,$M117-$A$15,BZ$13)))</f>
        <v>1000000000000</v>
      </c>
      <c r="CA117" s="179">
        <f ca="1">IF(OR($D117&lt;&gt;"Serviço",AND(AUTOEVENTO="Manual",$M117=$A$15),$M117&gt;(ROW(PLE.lastrow)-ROW(PLE.firstrow))),0,
           IF(OFFSET(PLE!$G$15,$M117-$A$15,CA$13)="",10^12,OFFSET(PLE!$G$15,$M117-$A$15,CA$13)))</f>
        <v>1000000000000</v>
      </c>
      <c r="CB117" s="179">
        <f ca="1">IF(OR($D117&lt;&gt;"Serviço",AND(AUTOEVENTO="Manual",$M117=$A$15),$M117&gt;(ROW(PLE.lastrow)-ROW(PLE.firstrow))),0,
           IF(OFFSET(PLE!$G$15,$M117-$A$15,CB$13)="",10^12,OFFSET(PLE!$G$15,$M117-$A$15,CB$13)))</f>
        <v>1000000000000</v>
      </c>
      <c r="CC117" s="179">
        <f ca="1">IF(OR($D117&lt;&gt;"Serviço",AND(AUTOEVENTO="Manual",$M117=$A$15),$M117&gt;(ROW(PLE.lastrow)-ROW(PLE.firstrow))),0,
           IF(OFFSET(PLE!$G$15,$M117-$A$15,CC$13)="",10^12,OFFSET(PLE!$G$15,$M117-$A$15,CC$13)))</f>
        <v>1000000000000</v>
      </c>
      <c r="CD117" s="179">
        <f ca="1">IF(OR($D117&lt;&gt;"Serviço",AND(AUTOEVENTO="Manual",$M117=$A$15),$M117&gt;(ROW(PLE.lastrow)-ROW(PLE.firstrow))),0,
           IF(OFFSET(PLE!$G$15,$M117-$A$15,CD$13)="",10^12,OFFSET(PLE!$G$15,$M117-$A$15,CD$13)))</f>
        <v>1000000000000</v>
      </c>
      <c r="CE117" s="179">
        <f ca="1">IF(OR($D117&lt;&gt;"Serviço",AND(AUTOEVENTO="Manual",$M117=$A$15),$M117&gt;(ROW(PLE.lastrow)-ROW(PLE.firstrow))),0,
           IF(OFFSET(PLE!$G$15,$M117-$A$15,CE$13)="",10^12,OFFSET(PLE!$G$15,$M117-$A$15,CE$13)))</f>
        <v>1000000000000</v>
      </c>
      <c r="CF117" s="179">
        <f ca="1">IF(OR($D117&lt;&gt;"Serviço",AND(AUTOEVENTO="Manual",$M117=$A$15),$M117&gt;(ROW(PLE.lastrow)-ROW(PLE.firstrow))),0,
           IF(OFFSET(PLE!$G$15,$M117-$A$15,CF$13)="",10^12,OFFSET(PLE!$G$15,$M117-$A$15,CF$13)))</f>
        <v>1000000000000</v>
      </c>
      <c r="CG117" s="179">
        <f ca="1">IF(OR($D117&lt;&gt;"Serviço",AND(AUTOEVENTO="Manual",$M117=$A$15),$M117&gt;(ROW(PLE.lastrow)-ROW(PLE.firstrow))),0,
           IF(OFFSET(PLE!$G$15,$M117-$A$15,CG$13)="",10^12,OFFSET(PLE!$G$15,$M117-$A$15,CG$13)))</f>
        <v>1000000000000</v>
      </c>
      <c r="CH117" s="179">
        <f ca="1">IF(OR($D117&lt;&gt;"Serviço",AND(AUTOEVENTO="Manual",$M117=$A$15),$M117&gt;(ROW(PLE.lastrow)-ROW(PLE.firstrow))),0,
           IF(OFFSET(PLE!$G$15,$M117-$A$15,CH$13)="",10^12,OFFSET(PLE!$G$15,$M117-$A$15,CH$13)))</f>
        <v>1000000000000</v>
      </c>
      <c r="CI117" s="179">
        <f ca="1">IF(OR($D117&lt;&gt;"Serviço",AND(AUTOEVENTO="Manual",$M117=$A$15),$M117&gt;(ROW(PLE.lastrow)-ROW(PLE.firstrow))),0,
           IF(OFFSET(PLE!$G$15,$M117-$A$15,CI$13)="",10^12,OFFSET(PLE!$G$15,$M117-$A$15,CI$13)))</f>
        <v>1000000000000</v>
      </c>
      <c r="CJ117" s="179">
        <f ca="1">IF(OR($D117&lt;&gt;"Serviço",AND(AUTOEVENTO="Manual",$M117=$A$15),$M117&gt;(ROW(PLE.lastrow)-ROW(PLE.firstrow))),0,
           IF(OFFSET(PLE!$G$15,$M117-$A$15,CJ$13)="",10^12,OFFSET(PLE!$G$15,$M117-$A$15,CJ$13)))</f>
        <v>1000000000000</v>
      </c>
      <c r="CK117" s="179">
        <f ca="1">IF(OR($D117&lt;&gt;"Serviço",AND(AUTOEVENTO="Manual",$M117=$A$15),$M117&gt;(ROW(PLE.lastrow)-ROW(PLE.firstrow))),0,
           IF(OFFSET(PLE!$G$15,$M117-$A$15,CK$13)="",10^12,OFFSET(PLE!$G$15,$M117-$A$15,CK$13)))</f>
        <v>1000000000000</v>
      </c>
      <c r="CL117" s="179">
        <f ca="1">IF(OR($D117&lt;&gt;"Serviço",AND(AUTOEVENTO="Manual",$M117=$A$15),$M117&gt;(ROW(PLE.lastrow)-ROW(PLE.firstrow))),0,
           IF(OFFSET(PLE!$G$15,$M117-$A$15,CL$13)="",10^12,OFFSET(PLE!$G$15,$M117-$A$15,CL$13)))</f>
        <v>1000000000000</v>
      </c>
      <c r="CM117" s="179">
        <f ca="1">IF(OR($D117&lt;&gt;"Serviço",AND(AUTOEVENTO="Manual",$M117=$A$15),$M117&gt;(ROW(PLE.lastrow)-ROW(PLE.firstrow))),0,
           IF(OFFSET(PLE!$G$15,$M117-$A$15,CM$13)="",10^12,OFFSET(PLE!$G$15,$M117-$A$15,CM$13)))</f>
        <v>1000000000000</v>
      </c>
    </row>
    <row r="118" spans="1:91" ht="25.5" x14ac:dyDescent="0.2">
      <c r="A118" s="7" t="str">
        <f ca="1">IF(AUTOEVENTO="Manual",IF(K118&lt;&gt;"",MIN(VALUE(LEFT(K118,FIND(".",K118)-1)),COUNTA(EVENTOS.Lista)),0),IF(OR($B118&gt;AUTOEVENTO,$B118="S",$B118=0),SUBSTITUTE(OFFSET($A118,-1,0),IF($D118="Serviço",".",""),""),ROW(A118)-ROW($A$15)&amp;"."))</f>
        <v>71</v>
      </c>
      <c r="B118" s="7" t="str">
        <f ca="1">OFFSET(ORÇAMENTO!C$15,ROW(B118)-ROW(B$15),0)</f>
        <v>S</v>
      </c>
      <c r="C118" s="7" t="str">
        <f ca="1">OFFSET(ORÇAMENTO!L$15,ROW(C118)-ROW(C$15),0)</f>
        <v>F</v>
      </c>
      <c r="D118" s="118" t="str">
        <f ca="1">OFFSET(ORÇAMENTO!N$15,ROW(D118)-ROW(D$15),0)</f>
        <v>Serviço</v>
      </c>
      <c r="E118" s="119" t="str">
        <f ca="1">OFFSET(ORÇAMENTO!O$15,ROW(E118)-ROW(E$15),0)</f>
        <v>1.12.0.0.32.</v>
      </c>
      <c r="F118" s="170" t="str">
        <f ca="1">OFFSET(ORÇAMENTO!R$15,ROW(F118)-ROW(F$15),0)</f>
        <v>09673/ORSE 	Gancho longo para perfilado, ( ref.: Mopa ou similar)</v>
      </c>
      <c r="G118" s="171" t="str">
        <f ca="1">IF($D118&lt;&gt;"Serviço","",OFFSET(ORÇAMENTO!S$15,ROW(G118)-ROW(G$15),0))</f>
        <v>UN</v>
      </c>
      <c r="H118" s="124" cm="1">
        <f t="array" aca="1" ref="H118" ca="1">IF($D118&lt;&gt;"Serviço",0,IF(_xlfn.SINGLE(ACOMPANHAMENTO)="BM",ROUND(OFFSET(ORÇAMENTO!AJ$15,ROW(H118)-ROW(H$15),0),15-13*ORÇAMENTO!$AF$7),SUMPRODUCT(($Q$1:$AI$1)*ROUND($Q118:$AI118,15-13*ORÇAMENTO!$AF$7))))</f>
        <v>99</v>
      </c>
      <c r="I118" s="500" t="s">
        <v>1019</v>
      </c>
      <c r="J118" s="632" t="str" cm="1">
        <f t="array" aca="1" ref="J118" ca="1">IF(B118&lt;&gt;"S","",IF(AND(ACOMPANHAMENTO="PLE",AUTOEVENTO="Manual",OR(H118&gt;0,ORÇAMENTO!AC118="QUANT."),OR(K118="",M118=0,N118="")),"►",IF(AND(ACOMPANHAMENTO="PLE",ORÇAMENTO!AC118="QUANT."),"►►",IF(AND(COUNTIF($P$11:$AI$11,"▼")=0,H118&gt;0,I118=""),"◄",""))))</f>
        <v/>
      </c>
      <c r="K118" s="624"/>
      <c r="L118" s="172" t="s">
        <v>253</v>
      </c>
      <c r="M118" s="173">
        <f ca="1">IF($D118&lt;&gt;"Serviço","",
          IF(AUTOEVENTO="manual",$A118,
                IF(ISERROR(MATCH($A118,$A$15:OFFSET($A118,-1,0),0)),MAX($M$15:OFFSET(M118,-1,0))+1,
                      INDEX($M$15:OFFSET(M118,-1,0),MATCH($A118,$A$15:OFFSET($A118,-1,0),0)))))</f>
        <v>12</v>
      </c>
      <c r="N118" s="174" t="str">
        <f ca="1">IF($D118&lt;&gt;"Serviço","",
         IF(AUTOEVENTO="Manual",
                IF($A118=0,"&lt;-- defina o número do agrupador",
                       OFFSET(EVENTOS!$D$15,$A118-$A$15,0)),
                OFFSET($F$15,$A118,0)))</f>
        <v>INSTALAÇÕES ELÉTRICAS</v>
      </c>
      <c r="O118" s="175"/>
      <c r="Q118" s="175"/>
      <c r="R118" s="176"/>
      <c r="S118" s="176"/>
      <c r="T118" s="176">
        <v>99</v>
      </c>
      <c r="U118" s="176"/>
      <c r="V118" s="176"/>
      <c r="W118" s="176"/>
      <c r="X118" s="176"/>
      <c r="Y118" s="176"/>
      <c r="Z118" s="177"/>
      <c r="AA118" s="176"/>
      <c r="AB118" s="176"/>
      <c r="AC118" s="176"/>
      <c r="AD118" s="176"/>
      <c r="AE118" s="176"/>
      <c r="AF118" s="176"/>
      <c r="AG118" s="176"/>
      <c r="AH118" s="177"/>
      <c r="AJ118" s="485">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85">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L118" s="485">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0</v>
      </c>
      <c r="AM118" s="485">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1561.23</v>
      </c>
      <c r="AN118" s="485">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0</v>
      </c>
      <c r="AO118" s="485">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0</v>
      </c>
      <c r="AP118" s="485">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85">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85">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85">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85">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85">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85">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85">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85">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85">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85">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85">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8">
        <f ca="1">IF(OR($D118&lt;&gt;"Serviço",AND(AUTOEVENTO="Manual",$M118=$A$15)),0,
         IF(OFFSET(CRONOPLE!$F$15,$M118-$A$15,BC$13)="",10^12,OFFSET(CRONOPLE!$F$15,$M118-$A$15,BC$13)))</f>
        <v>1</v>
      </c>
      <c r="BD118" s="178">
        <f ca="1">IF(OR($D118&lt;&gt;"Serviço",AND(AUTOEVENTO="Manual",$M118=$A$15)),0,
         IF(OFFSET(CRONOPLE!$F$15,$M118-$A$15,BD$13)="",10^12,OFFSET(CRONOPLE!$F$15,$M118-$A$15,BD$13)))</f>
        <v>2</v>
      </c>
      <c r="BE118" s="178">
        <f ca="1">IF(OR($D118&lt;&gt;"Serviço",AND(AUTOEVENTO="Manual",$M118=$A$15)),0,
         IF(OFFSET(CRONOPLE!$F$15,$M118-$A$15,BE$13)="",10^12,OFFSET(CRONOPLE!$F$15,$M118-$A$15,BE$13)))</f>
        <v>1000000000000</v>
      </c>
      <c r="BF118" s="178">
        <f ca="1">IF(OR($D118&lt;&gt;"Serviço",AND(AUTOEVENTO="Manual",$M118=$A$15)),0,
         IF(OFFSET(CRONOPLE!$F$15,$M118-$A$15,BF$13)="",10^12,OFFSET(CRONOPLE!$F$15,$M118-$A$15,BF$13)))</f>
        <v>4</v>
      </c>
      <c r="BG118" s="178">
        <f ca="1">IF(OR($D118&lt;&gt;"Serviço",AND(AUTOEVENTO="Manual",$M118=$A$15)),0,
         IF(OFFSET(CRONOPLE!$F$15,$M118-$A$15,BG$13)="",10^12,OFFSET(CRONOPLE!$F$15,$M118-$A$15,BG$13)))</f>
        <v>5</v>
      </c>
      <c r="BH118" s="178">
        <f ca="1">IF(OR($D118&lt;&gt;"Serviço",AND(AUTOEVENTO="Manual",$M118=$A$15)),0,
         IF(OFFSET(CRONOPLE!$F$15,$M118-$A$15,BH$13)="",10^12,OFFSET(CRONOPLE!$F$15,$M118-$A$15,BH$13)))</f>
        <v>6</v>
      </c>
      <c r="BI118" s="178">
        <f ca="1">IF(OR($D118&lt;&gt;"Serviço",AND(AUTOEVENTO="Manual",$M118=$A$15)),0,
         IF(OFFSET(CRONOPLE!$F$15,$M118-$A$15,BI$13)="",10^12,OFFSET(CRONOPLE!$F$15,$M118-$A$15,BI$13)))</f>
        <v>7</v>
      </c>
      <c r="BJ118" s="178">
        <f ca="1">IF(OR($D118&lt;&gt;"Serviço",AND(AUTOEVENTO="Manual",$M118=$A$15)),0,
         IF(OFFSET(CRONOPLE!$F$15,$M118-$A$15,BJ$13)="",10^12,OFFSET(CRONOPLE!$F$15,$M118-$A$15,BJ$13)))</f>
        <v>8</v>
      </c>
      <c r="BK118" s="178">
        <f ca="1">IF(OR($D118&lt;&gt;"Serviço",AND(AUTOEVENTO="Manual",$M118=$A$15)),0,
         IF(OFFSET(CRONOPLE!$F$15,$M118-$A$15,BK$13)="",10^12,OFFSET(CRONOPLE!$F$15,$M118-$A$15,BK$13)))</f>
        <v>9</v>
      </c>
      <c r="BL118" s="178">
        <f ca="1">IF(OR($D118&lt;&gt;"Serviço",AND(AUTOEVENTO="Manual",$M118=$A$15)),0,
         IF(OFFSET(CRONOPLE!$F$15,$M118-$A$15,BL$13)="",10^12,OFFSET(CRONOPLE!$F$15,$M118-$A$15,BL$13)))</f>
        <v>10</v>
      </c>
      <c r="BM118" s="178">
        <f ca="1">IF(OR($D118&lt;&gt;"Serviço",AND(AUTOEVENTO="Manual",$M118=$A$15)),0,
         IF(OFFSET(CRONOPLE!$F$15,$M118-$A$15,BM$13)="",10^12,OFFSET(CRONOPLE!$F$15,$M118-$A$15,BM$13)))</f>
        <v>1000000000000</v>
      </c>
      <c r="BN118" s="178">
        <f ca="1">IF(OR($D118&lt;&gt;"Serviço",AND(AUTOEVENTO="Manual",$M118=$A$15)),0,
         IF(OFFSET(CRONOPLE!$F$15,$M118-$A$15,BN$13)="",10^12,OFFSET(CRONOPLE!$F$15,$M118-$A$15,BN$13)))</f>
        <v>1000000000000</v>
      </c>
      <c r="BO118" s="178">
        <f ca="1">IF(OR($D118&lt;&gt;"Serviço",AND(AUTOEVENTO="Manual",$M118=$A$15)),0,
         IF(OFFSET(CRONOPLE!$F$15,$M118-$A$15,BO$13)="",10^12,OFFSET(CRONOPLE!$F$15,$M118-$A$15,BO$13)))</f>
        <v>1000000000000</v>
      </c>
      <c r="BP118" s="178">
        <f ca="1">IF(OR($D118&lt;&gt;"Serviço",AND(AUTOEVENTO="Manual",$M118=$A$15)),0,
         IF(OFFSET(CRONOPLE!$F$15,$M118-$A$15,BP$13)="",10^12,OFFSET(CRONOPLE!$F$15,$M118-$A$15,BP$13)))</f>
        <v>1000000000000</v>
      </c>
      <c r="BQ118" s="178">
        <f ca="1">IF(OR($D118&lt;&gt;"Serviço",AND(AUTOEVENTO="Manual",$M118=$A$15)),0,
         IF(OFFSET(CRONOPLE!$F$15,$M118-$A$15,BQ$13)="",10^12,OFFSET(CRONOPLE!$F$15,$M118-$A$15,BQ$13)))</f>
        <v>15</v>
      </c>
      <c r="BR118" s="178">
        <f ca="1">IF(OR($D118&lt;&gt;"Serviço",AND(AUTOEVENTO="Manual",$M118=$A$15)),0,
         IF(OFFSET(CRONOPLE!$F$15,$M118-$A$15,BR$13)="",10^12,OFFSET(CRONOPLE!$F$15,$M118-$A$15,BR$13)))</f>
        <v>1000000000000</v>
      </c>
      <c r="BS118" s="178">
        <f ca="1">IF(OR($D118&lt;&gt;"Serviço",AND(AUTOEVENTO="Manual",$M118=$A$15)),0,
         IF(OFFSET(CRONOPLE!$F$15,$M118-$A$15,BS$13)="",10^12,OFFSET(CRONOPLE!$F$15,$M118-$A$15,BS$13)))</f>
        <v>1000000000000</v>
      </c>
      <c r="BT118" s="178">
        <f ca="1">IF(OR($D118&lt;&gt;"Serviço",AND(AUTOEVENTO="Manual",$M118=$A$15)),0,
         IF(OFFSET(CRONOPLE!$F$15,$M118-$A$15,BT$13)="",10^12,OFFSET(CRONOPLE!$F$15,$M118-$A$15,BT$13)))</f>
        <v>1000000000000</v>
      </c>
      <c r="BV118" s="179">
        <f ca="1">IF(OR($D118&lt;&gt;"Serviço",AND(AUTOEVENTO="Manual",$M118=$A$15),$M118&gt;(ROW(PLE.lastrow)-ROW(PLE.firstrow))),0,
           IF(OFFSET(PLE!$G$15,$M118-$A$15,BV$13)="",10^12,OFFSET(PLE!$G$15,$M118-$A$15,BV$13)))</f>
        <v>1000000000000</v>
      </c>
      <c r="BW118" s="179">
        <f ca="1">IF(OR($D118&lt;&gt;"Serviço",AND(AUTOEVENTO="Manual",$M118=$A$15),$M118&gt;(ROW(PLE.lastrow)-ROW(PLE.firstrow))),0,
           IF(OFFSET(PLE!$G$15,$M118-$A$15,BW$13)="",10^12,OFFSET(PLE!$G$15,$M118-$A$15,BW$13)))</f>
        <v>1000000000000</v>
      </c>
      <c r="BX118" s="179">
        <f ca="1">IF(OR($D118&lt;&gt;"Serviço",AND(AUTOEVENTO="Manual",$M118=$A$15),$M118&gt;(ROW(PLE.lastrow)-ROW(PLE.firstrow))),0,
           IF(OFFSET(PLE!$G$15,$M118-$A$15,BX$13)="",10^12,OFFSET(PLE!$G$15,$M118-$A$15,BX$13)))</f>
        <v>1000000000000</v>
      </c>
      <c r="BY118" s="179">
        <f ca="1">IF(OR($D118&lt;&gt;"Serviço",AND(AUTOEVENTO="Manual",$M118=$A$15),$M118&gt;(ROW(PLE.lastrow)-ROW(PLE.firstrow))),0,
           IF(OFFSET(PLE!$G$15,$M118-$A$15,BY$13)="",10^12,OFFSET(PLE!$G$15,$M118-$A$15,BY$13)))</f>
        <v>1000000000000</v>
      </c>
      <c r="BZ118" s="179">
        <f ca="1">IF(OR($D118&lt;&gt;"Serviço",AND(AUTOEVENTO="Manual",$M118=$A$15),$M118&gt;(ROW(PLE.lastrow)-ROW(PLE.firstrow))),0,
           IF(OFFSET(PLE!$G$15,$M118-$A$15,BZ$13)="",10^12,OFFSET(PLE!$G$15,$M118-$A$15,BZ$13)))</f>
        <v>1000000000000</v>
      </c>
      <c r="CA118" s="179">
        <f ca="1">IF(OR($D118&lt;&gt;"Serviço",AND(AUTOEVENTO="Manual",$M118=$A$15),$M118&gt;(ROW(PLE.lastrow)-ROW(PLE.firstrow))),0,
           IF(OFFSET(PLE!$G$15,$M118-$A$15,CA$13)="",10^12,OFFSET(PLE!$G$15,$M118-$A$15,CA$13)))</f>
        <v>1000000000000</v>
      </c>
      <c r="CB118" s="179">
        <f ca="1">IF(OR($D118&lt;&gt;"Serviço",AND(AUTOEVENTO="Manual",$M118=$A$15),$M118&gt;(ROW(PLE.lastrow)-ROW(PLE.firstrow))),0,
           IF(OFFSET(PLE!$G$15,$M118-$A$15,CB$13)="",10^12,OFFSET(PLE!$G$15,$M118-$A$15,CB$13)))</f>
        <v>1000000000000</v>
      </c>
      <c r="CC118" s="179">
        <f ca="1">IF(OR($D118&lt;&gt;"Serviço",AND(AUTOEVENTO="Manual",$M118=$A$15),$M118&gt;(ROW(PLE.lastrow)-ROW(PLE.firstrow))),0,
           IF(OFFSET(PLE!$G$15,$M118-$A$15,CC$13)="",10^12,OFFSET(PLE!$G$15,$M118-$A$15,CC$13)))</f>
        <v>1000000000000</v>
      </c>
      <c r="CD118" s="179">
        <f ca="1">IF(OR($D118&lt;&gt;"Serviço",AND(AUTOEVENTO="Manual",$M118=$A$15),$M118&gt;(ROW(PLE.lastrow)-ROW(PLE.firstrow))),0,
           IF(OFFSET(PLE!$G$15,$M118-$A$15,CD$13)="",10^12,OFFSET(PLE!$G$15,$M118-$A$15,CD$13)))</f>
        <v>1000000000000</v>
      </c>
      <c r="CE118" s="179">
        <f ca="1">IF(OR($D118&lt;&gt;"Serviço",AND(AUTOEVENTO="Manual",$M118=$A$15),$M118&gt;(ROW(PLE.lastrow)-ROW(PLE.firstrow))),0,
           IF(OFFSET(PLE!$G$15,$M118-$A$15,CE$13)="",10^12,OFFSET(PLE!$G$15,$M118-$A$15,CE$13)))</f>
        <v>1000000000000</v>
      </c>
      <c r="CF118" s="179">
        <f ca="1">IF(OR($D118&lt;&gt;"Serviço",AND(AUTOEVENTO="Manual",$M118=$A$15),$M118&gt;(ROW(PLE.lastrow)-ROW(PLE.firstrow))),0,
           IF(OFFSET(PLE!$G$15,$M118-$A$15,CF$13)="",10^12,OFFSET(PLE!$G$15,$M118-$A$15,CF$13)))</f>
        <v>1000000000000</v>
      </c>
      <c r="CG118" s="179">
        <f ca="1">IF(OR($D118&lt;&gt;"Serviço",AND(AUTOEVENTO="Manual",$M118=$A$15),$M118&gt;(ROW(PLE.lastrow)-ROW(PLE.firstrow))),0,
           IF(OFFSET(PLE!$G$15,$M118-$A$15,CG$13)="",10^12,OFFSET(PLE!$G$15,$M118-$A$15,CG$13)))</f>
        <v>1000000000000</v>
      </c>
      <c r="CH118" s="179">
        <f ca="1">IF(OR($D118&lt;&gt;"Serviço",AND(AUTOEVENTO="Manual",$M118=$A$15),$M118&gt;(ROW(PLE.lastrow)-ROW(PLE.firstrow))),0,
           IF(OFFSET(PLE!$G$15,$M118-$A$15,CH$13)="",10^12,OFFSET(PLE!$G$15,$M118-$A$15,CH$13)))</f>
        <v>1000000000000</v>
      </c>
      <c r="CI118" s="179">
        <f ca="1">IF(OR($D118&lt;&gt;"Serviço",AND(AUTOEVENTO="Manual",$M118=$A$15),$M118&gt;(ROW(PLE.lastrow)-ROW(PLE.firstrow))),0,
           IF(OFFSET(PLE!$G$15,$M118-$A$15,CI$13)="",10^12,OFFSET(PLE!$G$15,$M118-$A$15,CI$13)))</f>
        <v>1000000000000</v>
      </c>
      <c r="CJ118" s="179">
        <f ca="1">IF(OR($D118&lt;&gt;"Serviço",AND(AUTOEVENTO="Manual",$M118=$A$15),$M118&gt;(ROW(PLE.lastrow)-ROW(PLE.firstrow))),0,
           IF(OFFSET(PLE!$G$15,$M118-$A$15,CJ$13)="",10^12,OFFSET(PLE!$G$15,$M118-$A$15,CJ$13)))</f>
        <v>1000000000000</v>
      </c>
      <c r="CK118" s="179">
        <f ca="1">IF(OR($D118&lt;&gt;"Serviço",AND(AUTOEVENTO="Manual",$M118=$A$15),$M118&gt;(ROW(PLE.lastrow)-ROW(PLE.firstrow))),0,
           IF(OFFSET(PLE!$G$15,$M118-$A$15,CK$13)="",10^12,OFFSET(PLE!$G$15,$M118-$A$15,CK$13)))</f>
        <v>1000000000000</v>
      </c>
      <c r="CL118" s="179">
        <f ca="1">IF(OR($D118&lt;&gt;"Serviço",AND(AUTOEVENTO="Manual",$M118=$A$15),$M118&gt;(ROW(PLE.lastrow)-ROW(PLE.firstrow))),0,
           IF(OFFSET(PLE!$G$15,$M118-$A$15,CL$13)="",10^12,OFFSET(PLE!$G$15,$M118-$A$15,CL$13)))</f>
        <v>1000000000000</v>
      </c>
      <c r="CM118" s="179">
        <f ca="1">IF(OR($D118&lt;&gt;"Serviço",AND(AUTOEVENTO="Manual",$M118=$A$15),$M118&gt;(ROW(PLE.lastrow)-ROW(PLE.firstrow))),0,
           IF(OFFSET(PLE!$G$15,$M118-$A$15,CM$13)="",10^12,OFFSET(PLE!$G$15,$M118-$A$15,CM$13)))</f>
        <v>1000000000000</v>
      </c>
    </row>
    <row r="119" spans="1:91" ht="25.5" x14ac:dyDescent="0.2">
      <c r="A119" s="7" t="str">
        <f ca="1">IF(AUTOEVENTO="Manual",IF(K119&lt;&gt;"",MIN(VALUE(LEFT(K119,FIND(".",K119)-1)),COUNTA(EVENTOS.Lista)),0),IF(OR($B119&gt;AUTOEVENTO,$B119="S",$B119=0),SUBSTITUTE(OFFSET($A119,-1,0),IF($D119="Serviço",".",""),""),ROW(A119)-ROW($A$15)&amp;"."))</f>
        <v>71</v>
      </c>
      <c r="B119" s="7" t="str">
        <f ca="1">OFFSET(ORÇAMENTO!C$15,ROW(B119)-ROW(B$15),0)</f>
        <v>S</v>
      </c>
      <c r="C119" s="7" t="str">
        <f ca="1">OFFSET(ORÇAMENTO!L$15,ROW(C119)-ROW(C$15),0)</f>
        <v>F</v>
      </c>
      <c r="D119" s="118" t="str">
        <f ca="1">OFFSET(ORÇAMENTO!N$15,ROW(D119)-ROW(D$15),0)</f>
        <v>Serviço</v>
      </c>
      <c r="E119" s="119" t="str">
        <f ca="1">OFFSET(ORÇAMENTO!O$15,ROW(E119)-ROW(E$15),0)</f>
        <v>1.12.0.0.33.</v>
      </c>
      <c r="F119" s="170" t="str">
        <f ca="1">OFFSET(ORÇAMENTO!R$15,ROW(F119)-ROW(F$15),0)</f>
        <v>09987/ORSE 	Curva horizontal 38 x 38 mm para eletrocalha metálica, com ângulo 90° (ref.: mopa ou similar)</v>
      </c>
      <c r="G119" s="171" t="str">
        <f ca="1">IF($D119&lt;&gt;"Serviço","",OFFSET(ORÇAMENTO!S$15,ROW(G119)-ROW(G$15),0))</f>
        <v>UN</v>
      </c>
      <c r="H119" s="124" cm="1">
        <f t="array" aca="1" ref="H119" ca="1">IF($D119&lt;&gt;"Serviço",0,IF(_xlfn.SINGLE(ACOMPANHAMENTO)="BM",ROUND(OFFSET(ORÇAMENTO!AJ$15,ROW(H119)-ROW(H$15),0),15-13*ORÇAMENTO!$AF$7),SUMPRODUCT(($Q$1:$AI$1)*ROUND($Q119:$AI119,15-13*ORÇAMENTO!$AF$7))))</f>
        <v>1</v>
      </c>
      <c r="I119" s="500" t="s">
        <v>1019</v>
      </c>
      <c r="J119" s="632" t="str" cm="1">
        <f t="array" aca="1" ref="J119" ca="1">IF(B119&lt;&gt;"S","",IF(AND(ACOMPANHAMENTO="PLE",AUTOEVENTO="Manual",OR(H119&gt;0,ORÇAMENTO!AC119="QUANT."),OR(K119="",M119=0,N119="")),"►",IF(AND(ACOMPANHAMENTO="PLE",ORÇAMENTO!AC119="QUANT."),"►►",IF(AND(COUNTIF($P$11:$AI$11,"▼")=0,H119&gt;0,I119=""),"◄",""))))</f>
        <v/>
      </c>
      <c r="K119" s="624"/>
      <c r="L119" s="172" t="s">
        <v>253</v>
      </c>
      <c r="M119" s="173">
        <f ca="1">IF($D119&lt;&gt;"Serviço","",
          IF(AUTOEVENTO="manual",$A119,
                IF(ISERROR(MATCH($A119,$A$15:OFFSET($A119,-1,0),0)),MAX($M$15:OFFSET(M119,-1,0))+1,
                      INDEX($M$15:OFFSET(M119,-1,0),MATCH($A119,$A$15:OFFSET($A119,-1,0),0)))))</f>
        <v>12</v>
      </c>
      <c r="N119" s="174" t="str">
        <f ca="1">IF($D119&lt;&gt;"Serviço","",
         IF(AUTOEVENTO="Manual",
                IF($A119=0,"&lt;-- defina o número do agrupador",
                       OFFSET(EVENTOS!$D$15,$A119-$A$15,0)),
                OFFSET($F$15,$A119,0)))</f>
        <v>INSTALAÇÕES ELÉTRICAS</v>
      </c>
      <c r="O119" s="175"/>
      <c r="Q119" s="175"/>
      <c r="R119" s="176"/>
      <c r="S119" s="176"/>
      <c r="T119" s="176">
        <v>1</v>
      </c>
      <c r="U119" s="176"/>
      <c r="V119" s="176"/>
      <c r="W119" s="176"/>
      <c r="X119" s="176"/>
      <c r="Y119" s="176"/>
      <c r="Z119" s="177"/>
      <c r="AA119" s="176"/>
      <c r="AB119" s="176"/>
      <c r="AC119" s="176"/>
      <c r="AD119" s="176"/>
      <c r="AE119" s="176"/>
      <c r="AF119" s="176"/>
      <c r="AG119" s="176"/>
      <c r="AH119" s="177"/>
      <c r="AJ119" s="485">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85">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L119" s="485">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0</v>
      </c>
      <c r="AM119" s="485">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28.78</v>
      </c>
      <c r="AN119" s="485">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0</v>
      </c>
      <c r="AO119" s="485">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0</v>
      </c>
      <c r="AP119" s="485">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85">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85">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85">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85">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85">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85">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85">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85">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85">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85">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85">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8">
        <f ca="1">IF(OR($D119&lt;&gt;"Serviço",AND(AUTOEVENTO="Manual",$M119=$A$15)),0,
         IF(OFFSET(CRONOPLE!$F$15,$M119-$A$15,BC$13)="",10^12,OFFSET(CRONOPLE!$F$15,$M119-$A$15,BC$13)))</f>
        <v>1</v>
      </c>
      <c r="BD119" s="178">
        <f ca="1">IF(OR($D119&lt;&gt;"Serviço",AND(AUTOEVENTO="Manual",$M119=$A$15)),0,
         IF(OFFSET(CRONOPLE!$F$15,$M119-$A$15,BD$13)="",10^12,OFFSET(CRONOPLE!$F$15,$M119-$A$15,BD$13)))</f>
        <v>2</v>
      </c>
      <c r="BE119" s="178">
        <f ca="1">IF(OR($D119&lt;&gt;"Serviço",AND(AUTOEVENTO="Manual",$M119=$A$15)),0,
         IF(OFFSET(CRONOPLE!$F$15,$M119-$A$15,BE$13)="",10^12,OFFSET(CRONOPLE!$F$15,$M119-$A$15,BE$13)))</f>
        <v>1000000000000</v>
      </c>
      <c r="BF119" s="178">
        <f ca="1">IF(OR($D119&lt;&gt;"Serviço",AND(AUTOEVENTO="Manual",$M119=$A$15)),0,
         IF(OFFSET(CRONOPLE!$F$15,$M119-$A$15,BF$13)="",10^12,OFFSET(CRONOPLE!$F$15,$M119-$A$15,BF$13)))</f>
        <v>4</v>
      </c>
      <c r="BG119" s="178">
        <f ca="1">IF(OR($D119&lt;&gt;"Serviço",AND(AUTOEVENTO="Manual",$M119=$A$15)),0,
         IF(OFFSET(CRONOPLE!$F$15,$M119-$A$15,BG$13)="",10^12,OFFSET(CRONOPLE!$F$15,$M119-$A$15,BG$13)))</f>
        <v>5</v>
      </c>
      <c r="BH119" s="178">
        <f ca="1">IF(OR($D119&lt;&gt;"Serviço",AND(AUTOEVENTO="Manual",$M119=$A$15)),0,
         IF(OFFSET(CRONOPLE!$F$15,$M119-$A$15,BH$13)="",10^12,OFFSET(CRONOPLE!$F$15,$M119-$A$15,BH$13)))</f>
        <v>6</v>
      </c>
      <c r="BI119" s="178">
        <f ca="1">IF(OR($D119&lt;&gt;"Serviço",AND(AUTOEVENTO="Manual",$M119=$A$15)),0,
         IF(OFFSET(CRONOPLE!$F$15,$M119-$A$15,BI$13)="",10^12,OFFSET(CRONOPLE!$F$15,$M119-$A$15,BI$13)))</f>
        <v>7</v>
      </c>
      <c r="BJ119" s="178">
        <f ca="1">IF(OR($D119&lt;&gt;"Serviço",AND(AUTOEVENTO="Manual",$M119=$A$15)),0,
         IF(OFFSET(CRONOPLE!$F$15,$M119-$A$15,BJ$13)="",10^12,OFFSET(CRONOPLE!$F$15,$M119-$A$15,BJ$13)))</f>
        <v>8</v>
      </c>
      <c r="BK119" s="178">
        <f ca="1">IF(OR($D119&lt;&gt;"Serviço",AND(AUTOEVENTO="Manual",$M119=$A$15)),0,
         IF(OFFSET(CRONOPLE!$F$15,$M119-$A$15,BK$13)="",10^12,OFFSET(CRONOPLE!$F$15,$M119-$A$15,BK$13)))</f>
        <v>9</v>
      </c>
      <c r="BL119" s="178">
        <f ca="1">IF(OR($D119&lt;&gt;"Serviço",AND(AUTOEVENTO="Manual",$M119=$A$15)),0,
         IF(OFFSET(CRONOPLE!$F$15,$M119-$A$15,BL$13)="",10^12,OFFSET(CRONOPLE!$F$15,$M119-$A$15,BL$13)))</f>
        <v>10</v>
      </c>
      <c r="BM119" s="178">
        <f ca="1">IF(OR($D119&lt;&gt;"Serviço",AND(AUTOEVENTO="Manual",$M119=$A$15)),0,
         IF(OFFSET(CRONOPLE!$F$15,$M119-$A$15,BM$13)="",10^12,OFFSET(CRONOPLE!$F$15,$M119-$A$15,BM$13)))</f>
        <v>1000000000000</v>
      </c>
      <c r="BN119" s="178">
        <f ca="1">IF(OR($D119&lt;&gt;"Serviço",AND(AUTOEVENTO="Manual",$M119=$A$15)),0,
         IF(OFFSET(CRONOPLE!$F$15,$M119-$A$15,BN$13)="",10^12,OFFSET(CRONOPLE!$F$15,$M119-$A$15,BN$13)))</f>
        <v>1000000000000</v>
      </c>
      <c r="BO119" s="178">
        <f ca="1">IF(OR($D119&lt;&gt;"Serviço",AND(AUTOEVENTO="Manual",$M119=$A$15)),0,
         IF(OFFSET(CRONOPLE!$F$15,$M119-$A$15,BO$13)="",10^12,OFFSET(CRONOPLE!$F$15,$M119-$A$15,BO$13)))</f>
        <v>1000000000000</v>
      </c>
      <c r="BP119" s="178">
        <f ca="1">IF(OR($D119&lt;&gt;"Serviço",AND(AUTOEVENTO="Manual",$M119=$A$15)),0,
         IF(OFFSET(CRONOPLE!$F$15,$M119-$A$15,BP$13)="",10^12,OFFSET(CRONOPLE!$F$15,$M119-$A$15,BP$13)))</f>
        <v>1000000000000</v>
      </c>
      <c r="BQ119" s="178">
        <f ca="1">IF(OR($D119&lt;&gt;"Serviço",AND(AUTOEVENTO="Manual",$M119=$A$15)),0,
         IF(OFFSET(CRONOPLE!$F$15,$M119-$A$15,BQ$13)="",10^12,OFFSET(CRONOPLE!$F$15,$M119-$A$15,BQ$13)))</f>
        <v>15</v>
      </c>
      <c r="BR119" s="178">
        <f ca="1">IF(OR($D119&lt;&gt;"Serviço",AND(AUTOEVENTO="Manual",$M119=$A$15)),0,
         IF(OFFSET(CRONOPLE!$F$15,$M119-$A$15,BR$13)="",10^12,OFFSET(CRONOPLE!$F$15,$M119-$A$15,BR$13)))</f>
        <v>1000000000000</v>
      </c>
      <c r="BS119" s="178">
        <f ca="1">IF(OR($D119&lt;&gt;"Serviço",AND(AUTOEVENTO="Manual",$M119=$A$15)),0,
         IF(OFFSET(CRONOPLE!$F$15,$M119-$A$15,BS$13)="",10^12,OFFSET(CRONOPLE!$F$15,$M119-$A$15,BS$13)))</f>
        <v>1000000000000</v>
      </c>
      <c r="BT119" s="178">
        <f ca="1">IF(OR($D119&lt;&gt;"Serviço",AND(AUTOEVENTO="Manual",$M119=$A$15)),0,
         IF(OFFSET(CRONOPLE!$F$15,$M119-$A$15,BT$13)="",10^12,OFFSET(CRONOPLE!$F$15,$M119-$A$15,BT$13)))</f>
        <v>1000000000000</v>
      </c>
      <c r="BV119" s="179">
        <f ca="1">IF(OR($D119&lt;&gt;"Serviço",AND(AUTOEVENTO="Manual",$M119=$A$15),$M119&gt;(ROW(PLE.lastrow)-ROW(PLE.firstrow))),0,
           IF(OFFSET(PLE!$G$15,$M119-$A$15,BV$13)="",10^12,OFFSET(PLE!$G$15,$M119-$A$15,BV$13)))</f>
        <v>1000000000000</v>
      </c>
      <c r="BW119" s="179">
        <f ca="1">IF(OR($D119&lt;&gt;"Serviço",AND(AUTOEVENTO="Manual",$M119=$A$15),$M119&gt;(ROW(PLE.lastrow)-ROW(PLE.firstrow))),0,
           IF(OFFSET(PLE!$G$15,$M119-$A$15,BW$13)="",10^12,OFFSET(PLE!$G$15,$M119-$A$15,BW$13)))</f>
        <v>1000000000000</v>
      </c>
      <c r="BX119" s="179">
        <f ca="1">IF(OR($D119&lt;&gt;"Serviço",AND(AUTOEVENTO="Manual",$M119=$A$15),$M119&gt;(ROW(PLE.lastrow)-ROW(PLE.firstrow))),0,
           IF(OFFSET(PLE!$G$15,$M119-$A$15,BX$13)="",10^12,OFFSET(PLE!$G$15,$M119-$A$15,BX$13)))</f>
        <v>1000000000000</v>
      </c>
      <c r="BY119" s="179">
        <f ca="1">IF(OR($D119&lt;&gt;"Serviço",AND(AUTOEVENTO="Manual",$M119=$A$15),$M119&gt;(ROW(PLE.lastrow)-ROW(PLE.firstrow))),0,
           IF(OFFSET(PLE!$G$15,$M119-$A$15,BY$13)="",10^12,OFFSET(PLE!$G$15,$M119-$A$15,BY$13)))</f>
        <v>1000000000000</v>
      </c>
      <c r="BZ119" s="179">
        <f ca="1">IF(OR($D119&lt;&gt;"Serviço",AND(AUTOEVENTO="Manual",$M119=$A$15),$M119&gt;(ROW(PLE.lastrow)-ROW(PLE.firstrow))),0,
           IF(OFFSET(PLE!$G$15,$M119-$A$15,BZ$13)="",10^12,OFFSET(PLE!$G$15,$M119-$A$15,BZ$13)))</f>
        <v>1000000000000</v>
      </c>
      <c r="CA119" s="179">
        <f ca="1">IF(OR($D119&lt;&gt;"Serviço",AND(AUTOEVENTO="Manual",$M119=$A$15),$M119&gt;(ROW(PLE.lastrow)-ROW(PLE.firstrow))),0,
           IF(OFFSET(PLE!$G$15,$M119-$A$15,CA$13)="",10^12,OFFSET(PLE!$G$15,$M119-$A$15,CA$13)))</f>
        <v>1000000000000</v>
      </c>
      <c r="CB119" s="179">
        <f ca="1">IF(OR($D119&lt;&gt;"Serviço",AND(AUTOEVENTO="Manual",$M119=$A$15),$M119&gt;(ROW(PLE.lastrow)-ROW(PLE.firstrow))),0,
           IF(OFFSET(PLE!$G$15,$M119-$A$15,CB$13)="",10^12,OFFSET(PLE!$G$15,$M119-$A$15,CB$13)))</f>
        <v>1000000000000</v>
      </c>
      <c r="CC119" s="179">
        <f ca="1">IF(OR($D119&lt;&gt;"Serviço",AND(AUTOEVENTO="Manual",$M119=$A$15),$M119&gt;(ROW(PLE.lastrow)-ROW(PLE.firstrow))),0,
           IF(OFFSET(PLE!$G$15,$M119-$A$15,CC$13)="",10^12,OFFSET(PLE!$G$15,$M119-$A$15,CC$13)))</f>
        <v>1000000000000</v>
      </c>
      <c r="CD119" s="179">
        <f ca="1">IF(OR($D119&lt;&gt;"Serviço",AND(AUTOEVENTO="Manual",$M119=$A$15),$M119&gt;(ROW(PLE.lastrow)-ROW(PLE.firstrow))),0,
           IF(OFFSET(PLE!$G$15,$M119-$A$15,CD$13)="",10^12,OFFSET(PLE!$G$15,$M119-$A$15,CD$13)))</f>
        <v>1000000000000</v>
      </c>
      <c r="CE119" s="179">
        <f ca="1">IF(OR($D119&lt;&gt;"Serviço",AND(AUTOEVENTO="Manual",$M119=$A$15),$M119&gt;(ROW(PLE.lastrow)-ROW(PLE.firstrow))),0,
           IF(OFFSET(PLE!$G$15,$M119-$A$15,CE$13)="",10^12,OFFSET(PLE!$G$15,$M119-$A$15,CE$13)))</f>
        <v>1000000000000</v>
      </c>
      <c r="CF119" s="179">
        <f ca="1">IF(OR($D119&lt;&gt;"Serviço",AND(AUTOEVENTO="Manual",$M119=$A$15),$M119&gt;(ROW(PLE.lastrow)-ROW(PLE.firstrow))),0,
           IF(OFFSET(PLE!$G$15,$M119-$A$15,CF$13)="",10^12,OFFSET(PLE!$G$15,$M119-$A$15,CF$13)))</f>
        <v>1000000000000</v>
      </c>
      <c r="CG119" s="179">
        <f ca="1">IF(OR($D119&lt;&gt;"Serviço",AND(AUTOEVENTO="Manual",$M119=$A$15),$M119&gt;(ROW(PLE.lastrow)-ROW(PLE.firstrow))),0,
           IF(OFFSET(PLE!$G$15,$M119-$A$15,CG$13)="",10^12,OFFSET(PLE!$G$15,$M119-$A$15,CG$13)))</f>
        <v>1000000000000</v>
      </c>
      <c r="CH119" s="179">
        <f ca="1">IF(OR($D119&lt;&gt;"Serviço",AND(AUTOEVENTO="Manual",$M119=$A$15),$M119&gt;(ROW(PLE.lastrow)-ROW(PLE.firstrow))),0,
           IF(OFFSET(PLE!$G$15,$M119-$A$15,CH$13)="",10^12,OFFSET(PLE!$G$15,$M119-$A$15,CH$13)))</f>
        <v>1000000000000</v>
      </c>
      <c r="CI119" s="179">
        <f ca="1">IF(OR($D119&lt;&gt;"Serviço",AND(AUTOEVENTO="Manual",$M119=$A$15),$M119&gt;(ROW(PLE.lastrow)-ROW(PLE.firstrow))),0,
           IF(OFFSET(PLE!$G$15,$M119-$A$15,CI$13)="",10^12,OFFSET(PLE!$G$15,$M119-$A$15,CI$13)))</f>
        <v>1000000000000</v>
      </c>
      <c r="CJ119" s="179">
        <f ca="1">IF(OR($D119&lt;&gt;"Serviço",AND(AUTOEVENTO="Manual",$M119=$A$15),$M119&gt;(ROW(PLE.lastrow)-ROW(PLE.firstrow))),0,
           IF(OFFSET(PLE!$G$15,$M119-$A$15,CJ$13)="",10^12,OFFSET(PLE!$G$15,$M119-$A$15,CJ$13)))</f>
        <v>1000000000000</v>
      </c>
      <c r="CK119" s="179">
        <f ca="1">IF(OR($D119&lt;&gt;"Serviço",AND(AUTOEVENTO="Manual",$M119=$A$15),$M119&gt;(ROW(PLE.lastrow)-ROW(PLE.firstrow))),0,
           IF(OFFSET(PLE!$G$15,$M119-$A$15,CK$13)="",10^12,OFFSET(PLE!$G$15,$M119-$A$15,CK$13)))</f>
        <v>1000000000000</v>
      </c>
      <c r="CL119" s="179">
        <f ca="1">IF(OR($D119&lt;&gt;"Serviço",AND(AUTOEVENTO="Manual",$M119=$A$15),$M119&gt;(ROW(PLE.lastrow)-ROW(PLE.firstrow))),0,
           IF(OFFSET(PLE!$G$15,$M119-$A$15,CL$13)="",10^12,OFFSET(PLE!$G$15,$M119-$A$15,CL$13)))</f>
        <v>1000000000000</v>
      </c>
      <c r="CM119" s="179">
        <f ca="1">IF(OR($D119&lt;&gt;"Serviço",AND(AUTOEVENTO="Manual",$M119=$A$15),$M119&gt;(ROW(PLE.lastrow)-ROW(PLE.firstrow))),0,
           IF(OFFSET(PLE!$G$15,$M119-$A$15,CM$13)="",10^12,OFFSET(PLE!$G$15,$M119-$A$15,CM$13)))</f>
        <v>1000000000000</v>
      </c>
    </row>
    <row r="120" spans="1:91" ht="25.5" x14ac:dyDescent="0.2">
      <c r="A120" s="7" t="str">
        <f ca="1">IF(AUTOEVENTO="Manual",IF(K120&lt;&gt;"",MIN(VALUE(LEFT(K120,FIND(".",K120)-1)),COUNTA(EVENTOS.Lista)),0),IF(OR($B120&gt;AUTOEVENTO,$B120="S",$B120=0),SUBSTITUTE(OFFSET($A120,-1,0),IF($D120="Serviço",".",""),""),ROW(A120)-ROW($A$15)&amp;"."))</f>
        <v>71</v>
      </c>
      <c r="B120" s="7" t="str">
        <f ca="1">OFFSET(ORÇAMENTO!C$15,ROW(B120)-ROW(B$15),0)</f>
        <v>S</v>
      </c>
      <c r="C120" s="7" t="str">
        <f ca="1">OFFSET(ORÇAMENTO!L$15,ROW(C120)-ROW(C$15),0)</f>
        <v>F</v>
      </c>
      <c r="D120" s="118" t="str">
        <f ca="1">OFFSET(ORÇAMENTO!N$15,ROW(D120)-ROW(D$15),0)</f>
        <v>Serviço</v>
      </c>
      <c r="E120" s="119" t="str">
        <f ca="1">OFFSET(ORÇAMENTO!O$15,ROW(E120)-ROW(E$15),0)</f>
        <v>1.12.0.0.34.</v>
      </c>
      <c r="F120" s="170" t="str">
        <f ca="1">OFFSET(ORÇAMENTO!R$15,ROW(F120)-ROW(F$15),0)</f>
        <v>12223/ORSE 	Quadro de distribuição de embutir, em chapa de aço, para até 12 disjuntores, com barramento, padrão DIN, exclusive disjuntores</v>
      </c>
      <c r="G120" s="171" t="str">
        <f ca="1">IF($D120&lt;&gt;"Serviço","",OFFSET(ORÇAMENTO!S$15,ROW(G120)-ROW(G$15),0))</f>
        <v>UN</v>
      </c>
      <c r="H120" s="124" cm="1">
        <f t="array" aca="1" ref="H120" ca="1">IF($D120&lt;&gt;"Serviço",0,IF(_xlfn.SINGLE(ACOMPANHAMENTO)="BM",ROUND(OFFSET(ORÇAMENTO!AJ$15,ROW(H120)-ROW(H$15),0),15-13*ORÇAMENTO!$AF$7),SUMPRODUCT(($Q$1:$AI$1)*ROUND($Q120:$AI120,15-13*ORÇAMENTO!$AF$7))))</f>
        <v>1</v>
      </c>
      <c r="I120" s="500" t="s">
        <v>1019</v>
      </c>
      <c r="J120" s="632" t="str" cm="1">
        <f t="array" aca="1" ref="J120" ca="1">IF(B120&lt;&gt;"S","",IF(AND(ACOMPANHAMENTO="PLE",AUTOEVENTO="Manual",OR(H120&gt;0,ORÇAMENTO!AC120="QUANT."),OR(K120="",M120=0,N120="")),"►",IF(AND(ACOMPANHAMENTO="PLE",ORÇAMENTO!AC120="QUANT."),"►►",IF(AND(COUNTIF($P$11:$AI$11,"▼")=0,H120&gt;0,I120=""),"◄",""))))</f>
        <v/>
      </c>
      <c r="K120" s="624"/>
      <c r="L120" s="172" t="s">
        <v>253</v>
      </c>
      <c r="M120" s="173">
        <f ca="1">IF($D120&lt;&gt;"Serviço","",
          IF(AUTOEVENTO="manual",$A120,
                IF(ISERROR(MATCH($A120,$A$15:OFFSET($A120,-1,0),0)),MAX($M$15:OFFSET(M120,-1,0))+1,
                      INDEX($M$15:OFFSET(M120,-1,0),MATCH($A120,$A$15:OFFSET($A120,-1,0),0)))))</f>
        <v>12</v>
      </c>
      <c r="N120" s="174" t="str">
        <f ca="1">IF($D120&lt;&gt;"Serviço","",
         IF(AUTOEVENTO="Manual",
                IF($A120=0,"&lt;-- defina o número do agrupador",
                       OFFSET(EVENTOS!$D$15,$A120-$A$15,0)),
                OFFSET($F$15,$A120,0)))</f>
        <v>INSTALAÇÕES ELÉTRICAS</v>
      </c>
      <c r="O120" s="175"/>
      <c r="Q120" s="175"/>
      <c r="R120" s="176"/>
      <c r="S120" s="176"/>
      <c r="T120" s="176">
        <v>1</v>
      </c>
      <c r="U120" s="176"/>
      <c r="V120" s="176"/>
      <c r="W120" s="176"/>
      <c r="X120" s="176"/>
      <c r="Y120" s="176"/>
      <c r="Z120" s="177"/>
      <c r="AA120" s="176"/>
      <c r="AB120" s="176"/>
      <c r="AC120" s="176"/>
      <c r="AD120" s="176"/>
      <c r="AE120" s="176"/>
      <c r="AF120" s="176"/>
      <c r="AG120" s="176"/>
      <c r="AH120" s="177"/>
      <c r="AJ120" s="485">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85">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L120" s="485">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0</v>
      </c>
      <c r="AM120" s="485">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465.61</v>
      </c>
      <c r="AN120" s="485">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0</v>
      </c>
      <c r="AO120" s="485">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0</v>
      </c>
      <c r="AP120" s="485">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85">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85">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85">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85">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85">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85">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85">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85">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85">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85">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85">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8">
        <f ca="1">IF(OR($D120&lt;&gt;"Serviço",AND(AUTOEVENTO="Manual",$M120=$A$15)),0,
         IF(OFFSET(CRONOPLE!$F$15,$M120-$A$15,BC$13)="",10^12,OFFSET(CRONOPLE!$F$15,$M120-$A$15,BC$13)))</f>
        <v>1</v>
      </c>
      <c r="BD120" s="178">
        <f ca="1">IF(OR($D120&lt;&gt;"Serviço",AND(AUTOEVENTO="Manual",$M120=$A$15)),0,
         IF(OFFSET(CRONOPLE!$F$15,$M120-$A$15,BD$13)="",10^12,OFFSET(CRONOPLE!$F$15,$M120-$A$15,BD$13)))</f>
        <v>2</v>
      </c>
      <c r="BE120" s="178">
        <f ca="1">IF(OR($D120&lt;&gt;"Serviço",AND(AUTOEVENTO="Manual",$M120=$A$15)),0,
         IF(OFFSET(CRONOPLE!$F$15,$M120-$A$15,BE$13)="",10^12,OFFSET(CRONOPLE!$F$15,$M120-$A$15,BE$13)))</f>
        <v>1000000000000</v>
      </c>
      <c r="BF120" s="178">
        <f ca="1">IF(OR($D120&lt;&gt;"Serviço",AND(AUTOEVENTO="Manual",$M120=$A$15)),0,
         IF(OFFSET(CRONOPLE!$F$15,$M120-$A$15,BF$13)="",10^12,OFFSET(CRONOPLE!$F$15,$M120-$A$15,BF$13)))</f>
        <v>4</v>
      </c>
      <c r="BG120" s="178">
        <f ca="1">IF(OR($D120&lt;&gt;"Serviço",AND(AUTOEVENTO="Manual",$M120=$A$15)),0,
         IF(OFFSET(CRONOPLE!$F$15,$M120-$A$15,BG$13)="",10^12,OFFSET(CRONOPLE!$F$15,$M120-$A$15,BG$13)))</f>
        <v>5</v>
      </c>
      <c r="BH120" s="178">
        <f ca="1">IF(OR($D120&lt;&gt;"Serviço",AND(AUTOEVENTO="Manual",$M120=$A$15)),0,
         IF(OFFSET(CRONOPLE!$F$15,$M120-$A$15,BH$13)="",10^12,OFFSET(CRONOPLE!$F$15,$M120-$A$15,BH$13)))</f>
        <v>6</v>
      </c>
      <c r="BI120" s="178">
        <f ca="1">IF(OR($D120&lt;&gt;"Serviço",AND(AUTOEVENTO="Manual",$M120=$A$15)),0,
         IF(OFFSET(CRONOPLE!$F$15,$M120-$A$15,BI$13)="",10^12,OFFSET(CRONOPLE!$F$15,$M120-$A$15,BI$13)))</f>
        <v>7</v>
      </c>
      <c r="BJ120" s="178">
        <f ca="1">IF(OR($D120&lt;&gt;"Serviço",AND(AUTOEVENTO="Manual",$M120=$A$15)),0,
         IF(OFFSET(CRONOPLE!$F$15,$M120-$A$15,BJ$13)="",10^12,OFFSET(CRONOPLE!$F$15,$M120-$A$15,BJ$13)))</f>
        <v>8</v>
      </c>
      <c r="BK120" s="178">
        <f ca="1">IF(OR($D120&lt;&gt;"Serviço",AND(AUTOEVENTO="Manual",$M120=$A$15)),0,
         IF(OFFSET(CRONOPLE!$F$15,$M120-$A$15,BK$13)="",10^12,OFFSET(CRONOPLE!$F$15,$M120-$A$15,BK$13)))</f>
        <v>9</v>
      </c>
      <c r="BL120" s="178">
        <f ca="1">IF(OR($D120&lt;&gt;"Serviço",AND(AUTOEVENTO="Manual",$M120=$A$15)),0,
         IF(OFFSET(CRONOPLE!$F$15,$M120-$A$15,BL$13)="",10^12,OFFSET(CRONOPLE!$F$15,$M120-$A$15,BL$13)))</f>
        <v>10</v>
      </c>
      <c r="BM120" s="178">
        <f ca="1">IF(OR($D120&lt;&gt;"Serviço",AND(AUTOEVENTO="Manual",$M120=$A$15)),0,
         IF(OFFSET(CRONOPLE!$F$15,$M120-$A$15,BM$13)="",10^12,OFFSET(CRONOPLE!$F$15,$M120-$A$15,BM$13)))</f>
        <v>1000000000000</v>
      </c>
      <c r="BN120" s="178">
        <f ca="1">IF(OR($D120&lt;&gt;"Serviço",AND(AUTOEVENTO="Manual",$M120=$A$15)),0,
         IF(OFFSET(CRONOPLE!$F$15,$M120-$A$15,BN$13)="",10^12,OFFSET(CRONOPLE!$F$15,$M120-$A$15,BN$13)))</f>
        <v>1000000000000</v>
      </c>
      <c r="BO120" s="178">
        <f ca="1">IF(OR($D120&lt;&gt;"Serviço",AND(AUTOEVENTO="Manual",$M120=$A$15)),0,
         IF(OFFSET(CRONOPLE!$F$15,$M120-$A$15,BO$13)="",10^12,OFFSET(CRONOPLE!$F$15,$M120-$A$15,BO$13)))</f>
        <v>1000000000000</v>
      </c>
      <c r="BP120" s="178">
        <f ca="1">IF(OR($D120&lt;&gt;"Serviço",AND(AUTOEVENTO="Manual",$M120=$A$15)),0,
         IF(OFFSET(CRONOPLE!$F$15,$M120-$A$15,BP$13)="",10^12,OFFSET(CRONOPLE!$F$15,$M120-$A$15,BP$13)))</f>
        <v>1000000000000</v>
      </c>
      <c r="BQ120" s="178">
        <f ca="1">IF(OR($D120&lt;&gt;"Serviço",AND(AUTOEVENTO="Manual",$M120=$A$15)),0,
         IF(OFFSET(CRONOPLE!$F$15,$M120-$A$15,BQ$13)="",10^12,OFFSET(CRONOPLE!$F$15,$M120-$A$15,BQ$13)))</f>
        <v>15</v>
      </c>
      <c r="BR120" s="178">
        <f ca="1">IF(OR($D120&lt;&gt;"Serviço",AND(AUTOEVENTO="Manual",$M120=$A$15)),0,
         IF(OFFSET(CRONOPLE!$F$15,$M120-$A$15,BR$13)="",10^12,OFFSET(CRONOPLE!$F$15,$M120-$A$15,BR$13)))</f>
        <v>1000000000000</v>
      </c>
      <c r="BS120" s="178">
        <f ca="1">IF(OR($D120&lt;&gt;"Serviço",AND(AUTOEVENTO="Manual",$M120=$A$15)),0,
         IF(OFFSET(CRONOPLE!$F$15,$M120-$A$15,BS$13)="",10^12,OFFSET(CRONOPLE!$F$15,$M120-$A$15,BS$13)))</f>
        <v>1000000000000</v>
      </c>
      <c r="BT120" s="178">
        <f ca="1">IF(OR($D120&lt;&gt;"Serviço",AND(AUTOEVENTO="Manual",$M120=$A$15)),0,
         IF(OFFSET(CRONOPLE!$F$15,$M120-$A$15,BT$13)="",10^12,OFFSET(CRONOPLE!$F$15,$M120-$A$15,BT$13)))</f>
        <v>1000000000000</v>
      </c>
      <c r="BV120" s="179">
        <f ca="1">IF(OR($D120&lt;&gt;"Serviço",AND(AUTOEVENTO="Manual",$M120=$A$15),$M120&gt;(ROW(PLE.lastrow)-ROW(PLE.firstrow))),0,
           IF(OFFSET(PLE!$G$15,$M120-$A$15,BV$13)="",10^12,OFFSET(PLE!$G$15,$M120-$A$15,BV$13)))</f>
        <v>1000000000000</v>
      </c>
      <c r="BW120" s="179">
        <f ca="1">IF(OR($D120&lt;&gt;"Serviço",AND(AUTOEVENTO="Manual",$M120=$A$15),$M120&gt;(ROW(PLE.lastrow)-ROW(PLE.firstrow))),0,
           IF(OFFSET(PLE!$G$15,$M120-$A$15,BW$13)="",10^12,OFFSET(PLE!$G$15,$M120-$A$15,BW$13)))</f>
        <v>1000000000000</v>
      </c>
      <c r="BX120" s="179">
        <f ca="1">IF(OR($D120&lt;&gt;"Serviço",AND(AUTOEVENTO="Manual",$M120=$A$15),$M120&gt;(ROW(PLE.lastrow)-ROW(PLE.firstrow))),0,
           IF(OFFSET(PLE!$G$15,$M120-$A$15,BX$13)="",10^12,OFFSET(PLE!$G$15,$M120-$A$15,BX$13)))</f>
        <v>1000000000000</v>
      </c>
      <c r="BY120" s="179">
        <f ca="1">IF(OR($D120&lt;&gt;"Serviço",AND(AUTOEVENTO="Manual",$M120=$A$15),$M120&gt;(ROW(PLE.lastrow)-ROW(PLE.firstrow))),0,
           IF(OFFSET(PLE!$G$15,$M120-$A$15,BY$13)="",10^12,OFFSET(PLE!$G$15,$M120-$A$15,BY$13)))</f>
        <v>1000000000000</v>
      </c>
      <c r="BZ120" s="179">
        <f ca="1">IF(OR($D120&lt;&gt;"Serviço",AND(AUTOEVENTO="Manual",$M120=$A$15),$M120&gt;(ROW(PLE.lastrow)-ROW(PLE.firstrow))),0,
           IF(OFFSET(PLE!$G$15,$M120-$A$15,BZ$13)="",10^12,OFFSET(PLE!$G$15,$M120-$A$15,BZ$13)))</f>
        <v>1000000000000</v>
      </c>
      <c r="CA120" s="179">
        <f ca="1">IF(OR($D120&lt;&gt;"Serviço",AND(AUTOEVENTO="Manual",$M120=$A$15),$M120&gt;(ROW(PLE.lastrow)-ROW(PLE.firstrow))),0,
           IF(OFFSET(PLE!$G$15,$M120-$A$15,CA$13)="",10^12,OFFSET(PLE!$G$15,$M120-$A$15,CA$13)))</f>
        <v>1000000000000</v>
      </c>
      <c r="CB120" s="179">
        <f ca="1">IF(OR($D120&lt;&gt;"Serviço",AND(AUTOEVENTO="Manual",$M120=$A$15),$M120&gt;(ROW(PLE.lastrow)-ROW(PLE.firstrow))),0,
           IF(OFFSET(PLE!$G$15,$M120-$A$15,CB$13)="",10^12,OFFSET(PLE!$G$15,$M120-$A$15,CB$13)))</f>
        <v>1000000000000</v>
      </c>
      <c r="CC120" s="179">
        <f ca="1">IF(OR($D120&lt;&gt;"Serviço",AND(AUTOEVENTO="Manual",$M120=$A$15),$M120&gt;(ROW(PLE.lastrow)-ROW(PLE.firstrow))),0,
           IF(OFFSET(PLE!$G$15,$M120-$A$15,CC$13)="",10^12,OFFSET(PLE!$G$15,$M120-$A$15,CC$13)))</f>
        <v>1000000000000</v>
      </c>
      <c r="CD120" s="179">
        <f ca="1">IF(OR($D120&lt;&gt;"Serviço",AND(AUTOEVENTO="Manual",$M120=$A$15),$M120&gt;(ROW(PLE.lastrow)-ROW(PLE.firstrow))),0,
           IF(OFFSET(PLE!$G$15,$M120-$A$15,CD$13)="",10^12,OFFSET(PLE!$G$15,$M120-$A$15,CD$13)))</f>
        <v>1000000000000</v>
      </c>
      <c r="CE120" s="179">
        <f ca="1">IF(OR($D120&lt;&gt;"Serviço",AND(AUTOEVENTO="Manual",$M120=$A$15),$M120&gt;(ROW(PLE.lastrow)-ROW(PLE.firstrow))),0,
           IF(OFFSET(PLE!$G$15,$M120-$A$15,CE$13)="",10^12,OFFSET(PLE!$G$15,$M120-$A$15,CE$13)))</f>
        <v>1000000000000</v>
      </c>
      <c r="CF120" s="179">
        <f ca="1">IF(OR($D120&lt;&gt;"Serviço",AND(AUTOEVENTO="Manual",$M120=$A$15),$M120&gt;(ROW(PLE.lastrow)-ROW(PLE.firstrow))),0,
           IF(OFFSET(PLE!$G$15,$M120-$A$15,CF$13)="",10^12,OFFSET(PLE!$G$15,$M120-$A$15,CF$13)))</f>
        <v>1000000000000</v>
      </c>
      <c r="CG120" s="179">
        <f ca="1">IF(OR($D120&lt;&gt;"Serviço",AND(AUTOEVENTO="Manual",$M120=$A$15),$M120&gt;(ROW(PLE.lastrow)-ROW(PLE.firstrow))),0,
           IF(OFFSET(PLE!$G$15,$M120-$A$15,CG$13)="",10^12,OFFSET(PLE!$G$15,$M120-$A$15,CG$13)))</f>
        <v>1000000000000</v>
      </c>
      <c r="CH120" s="179">
        <f ca="1">IF(OR($D120&lt;&gt;"Serviço",AND(AUTOEVENTO="Manual",$M120=$A$15),$M120&gt;(ROW(PLE.lastrow)-ROW(PLE.firstrow))),0,
           IF(OFFSET(PLE!$G$15,$M120-$A$15,CH$13)="",10^12,OFFSET(PLE!$G$15,$M120-$A$15,CH$13)))</f>
        <v>1000000000000</v>
      </c>
      <c r="CI120" s="179">
        <f ca="1">IF(OR($D120&lt;&gt;"Serviço",AND(AUTOEVENTO="Manual",$M120=$A$15),$M120&gt;(ROW(PLE.lastrow)-ROW(PLE.firstrow))),0,
           IF(OFFSET(PLE!$G$15,$M120-$A$15,CI$13)="",10^12,OFFSET(PLE!$G$15,$M120-$A$15,CI$13)))</f>
        <v>1000000000000</v>
      </c>
      <c r="CJ120" s="179">
        <f ca="1">IF(OR($D120&lt;&gt;"Serviço",AND(AUTOEVENTO="Manual",$M120=$A$15),$M120&gt;(ROW(PLE.lastrow)-ROW(PLE.firstrow))),0,
           IF(OFFSET(PLE!$G$15,$M120-$A$15,CJ$13)="",10^12,OFFSET(PLE!$G$15,$M120-$A$15,CJ$13)))</f>
        <v>1000000000000</v>
      </c>
      <c r="CK120" s="179">
        <f ca="1">IF(OR($D120&lt;&gt;"Serviço",AND(AUTOEVENTO="Manual",$M120=$A$15),$M120&gt;(ROW(PLE.lastrow)-ROW(PLE.firstrow))),0,
           IF(OFFSET(PLE!$G$15,$M120-$A$15,CK$13)="",10^12,OFFSET(PLE!$G$15,$M120-$A$15,CK$13)))</f>
        <v>1000000000000</v>
      </c>
      <c r="CL120" s="179">
        <f ca="1">IF(OR($D120&lt;&gt;"Serviço",AND(AUTOEVENTO="Manual",$M120=$A$15),$M120&gt;(ROW(PLE.lastrow)-ROW(PLE.firstrow))),0,
           IF(OFFSET(PLE!$G$15,$M120-$A$15,CL$13)="",10^12,OFFSET(PLE!$G$15,$M120-$A$15,CL$13)))</f>
        <v>1000000000000</v>
      </c>
      <c r="CM120" s="179">
        <f ca="1">IF(OR($D120&lt;&gt;"Serviço",AND(AUTOEVENTO="Manual",$M120=$A$15),$M120&gt;(ROW(PLE.lastrow)-ROW(PLE.firstrow))),0,
           IF(OFFSET(PLE!$G$15,$M120-$A$15,CM$13)="",10^12,OFFSET(PLE!$G$15,$M120-$A$15,CM$13)))</f>
        <v>1000000000000</v>
      </c>
    </row>
    <row r="121" spans="1:91" ht="25.5" x14ac:dyDescent="0.2">
      <c r="A121" s="7" t="str">
        <f ca="1">IF(AUTOEVENTO="Manual",IF(K121&lt;&gt;"",MIN(VALUE(LEFT(K121,FIND(".",K121)-1)),COUNTA(EVENTOS.Lista)),0),IF(OR($B121&gt;AUTOEVENTO,$B121="S",$B121=0),SUBSTITUTE(OFFSET($A121,-1,0),IF($D121="Serviço",".",""),""),ROW(A121)-ROW($A$15)&amp;"."))</f>
        <v>71</v>
      </c>
      <c r="B121" s="7" t="str">
        <f ca="1">OFFSET(ORÇAMENTO!C$15,ROW(B121)-ROW(B$15),0)</f>
        <v>S</v>
      </c>
      <c r="C121" s="7" t="str">
        <f ca="1">OFFSET(ORÇAMENTO!L$15,ROW(C121)-ROW(C$15),0)</f>
        <v>F</v>
      </c>
      <c r="D121" s="118" t="str">
        <f ca="1">OFFSET(ORÇAMENTO!N$15,ROW(D121)-ROW(D$15),0)</f>
        <v>Serviço</v>
      </c>
      <c r="E121" s="119" t="str">
        <f ca="1">OFFSET(ORÇAMENTO!O$15,ROW(E121)-ROW(E$15),0)</f>
        <v>1.12.0.0.35.</v>
      </c>
      <c r="F121" s="170" t="str">
        <f ca="1">OFFSET(ORÇAMENTO!R$15,ROW(F121)-ROW(F$15),0)</f>
        <v>11124/ORSE 	Entrada de energia elétrica monofásica demanda entre 6,3 e 8,8 kw - Rev 01</v>
      </c>
      <c r="G121" s="171" t="str">
        <f ca="1">IF($D121&lt;&gt;"Serviço","",OFFSET(ORÇAMENTO!S$15,ROW(G121)-ROW(G$15),0))</f>
        <v>UN</v>
      </c>
      <c r="H121" s="124" cm="1">
        <f t="array" aca="1" ref="H121" ca="1">IF($D121&lt;&gt;"Serviço",0,IF(_xlfn.SINGLE(ACOMPANHAMENTO)="BM",ROUND(OFFSET(ORÇAMENTO!AJ$15,ROW(H121)-ROW(H$15),0),15-13*ORÇAMENTO!$AF$7),SUMPRODUCT(($Q$1:$AI$1)*ROUND($Q121:$AI121,15-13*ORÇAMENTO!$AF$7))))</f>
        <v>1</v>
      </c>
      <c r="I121" s="500" t="s">
        <v>1019</v>
      </c>
      <c r="J121" s="632" t="str" cm="1">
        <f t="array" aca="1" ref="J121" ca="1">IF(B121&lt;&gt;"S","",IF(AND(ACOMPANHAMENTO="PLE",AUTOEVENTO="Manual",OR(H121&gt;0,ORÇAMENTO!AC121="QUANT."),OR(K121="",M121=0,N121="")),"►",IF(AND(ACOMPANHAMENTO="PLE",ORÇAMENTO!AC121="QUANT."),"►►",IF(AND(COUNTIF($P$11:$AI$11,"▼")=0,H121&gt;0,I121=""),"◄",""))))</f>
        <v/>
      </c>
      <c r="K121" s="624"/>
      <c r="L121" s="172" t="s">
        <v>253</v>
      </c>
      <c r="M121" s="173">
        <f ca="1">IF($D121&lt;&gt;"Serviço","",
          IF(AUTOEVENTO="manual",$A121,
                IF(ISERROR(MATCH($A121,$A$15:OFFSET($A121,-1,0),0)),MAX($M$15:OFFSET(M121,-1,0))+1,
                      INDEX($M$15:OFFSET(M121,-1,0),MATCH($A121,$A$15:OFFSET($A121,-1,0),0)))))</f>
        <v>12</v>
      </c>
      <c r="N121" s="174" t="str">
        <f ca="1">IF($D121&lt;&gt;"Serviço","",
         IF(AUTOEVENTO="Manual",
                IF($A121=0,"&lt;-- defina o número do agrupador",
                       OFFSET(EVENTOS!$D$15,$A121-$A$15,0)),
                OFFSET($F$15,$A121,0)))</f>
        <v>INSTALAÇÕES ELÉTRICAS</v>
      </c>
      <c r="O121" s="175"/>
      <c r="Q121" s="175"/>
      <c r="R121" s="176"/>
      <c r="S121" s="176"/>
      <c r="T121" s="176">
        <v>1</v>
      </c>
      <c r="U121" s="176"/>
      <c r="V121" s="176"/>
      <c r="W121" s="176"/>
      <c r="X121" s="176"/>
      <c r="Y121" s="176"/>
      <c r="Z121" s="177"/>
      <c r="AA121" s="176"/>
      <c r="AB121" s="176"/>
      <c r="AC121" s="176"/>
      <c r="AD121" s="176"/>
      <c r="AE121" s="176"/>
      <c r="AF121" s="176"/>
      <c r="AG121" s="176"/>
      <c r="AH121" s="177"/>
      <c r="AJ121" s="485">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85">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L121" s="485">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0</v>
      </c>
      <c r="AM121" s="485">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2346.77</v>
      </c>
      <c r="AN121" s="485">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0</v>
      </c>
      <c r="AO121" s="485">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0</v>
      </c>
      <c r="AP121" s="485">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85">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85">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85">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85">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85">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85">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85">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85">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85">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85">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85">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8">
        <f ca="1">IF(OR($D121&lt;&gt;"Serviço",AND(AUTOEVENTO="Manual",$M121=$A$15)),0,
         IF(OFFSET(CRONOPLE!$F$15,$M121-$A$15,BC$13)="",10^12,OFFSET(CRONOPLE!$F$15,$M121-$A$15,BC$13)))</f>
        <v>1</v>
      </c>
      <c r="BD121" s="178">
        <f ca="1">IF(OR($D121&lt;&gt;"Serviço",AND(AUTOEVENTO="Manual",$M121=$A$15)),0,
         IF(OFFSET(CRONOPLE!$F$15,$M121-$A$15,BD$13)="",10^12,OFFSET(CRONOPLE!$F$15,$M121-$A$15,BD$13)))</f>
        <v>2</v>
      </c>
      <c r="BE121" s="178">
        <f ca="1">IF(OR($D121&lt;&gt;"Serviço",AND(AUTOEVENTO="Manual",$M121=$A$15)),0,
         IF(OFFSET(CRONOPLE!$F$15,$M121-$A$15,BE$13)="",10^12,OFFSET(CRONOPLE!$F$15,$M121-$A$15,BE$13)))</f>
        <v>1000000000000</v>
      </c>
      <c r="BF121" s="178">
        <f ca="1">IF(OR($D121&lt;&gt;"Serviço",AND(AUTOEVENTO="Manual",$M121=$A$15)),0,
         IF(OFFSET(CRONOPLE!$F$15,$M121-$A$15,BF$13)="",10^12,OFFSET(CRONOPLE!$F$15,$M121-$A$15,BF$13)))</f>
        <v>4</v>
      </c>
      <c r="BG121" s="178">
        <f ca="1">IF(OR($D121&lt;&gt;"Serviço",AND(AUTOEVENTO="Manual",$M121=$A$15)),0,
         IF(OFFSET(CRONOPLE!$F$15,$M121-$A$15,BG$13)="",10^12,OFFSET(CRONOPLE!$F$15,$M121-$A$15,BG$13)))</f>
        <v>5</v>
      </c>
      <c r="BH121" s="178">
        <f ca="1">IF(OR($D121&lt;&gt;"Serviço",AND(AUTOEVENTO="Manual",$M121=$A$15)),0,
         IF(OFFSET(CRONOPLE!$F$15,$M121-$A$15,BH$13)="",10^12,OFFSET(CRONOPLE!$F$15,$M121-$A$15,BH$13)))</f>
        <v>6</v>
      </c>
      <c r="BI121" s="178">
        <f ca="1">IF(OR($D121&lt;&gt;"Serviço",AND(AUTOEVENTO="Manual",$M121=$A$15)),0,
         IF(OFFSET(CRONOPLE!$F$15,$M121-$A$15,BI$13)="",10^12,OFFSET(CRONOPLE!$F$15,$M121-$A$15,BI$13)))</f>
        <v>7</v>
      </c>
      <c r="BJ121" s="178">
        <f ca="1">IF(OR($D121&lt;&gt;"Serviço",AND(AUTOEVENTO="Manual",$M121=$A$15)),0,
         IF(OFFSET(CRONOPLE!$F$15,$M121-$A$15,BJ$13)="",10^12,OFFSET(CRONOPLE!$F$15,$M121-$A$15,BJ$13)))</f>
        <v>8</v>
      </c>
      <c r="BK121" s="178">
        <f ca="1">IF(OR($D121&lt;&gt;"Serviço",AND(AUTOEVENTO="Manual",$M121=$A$15)),0,
         IF(OFFSET(CRONOPLE!$F$15,$M121-$A$15,BK$13)="",10^12,OFFSET(CRONOPLE!$F$15,$M121-$A$15,BK$13)))</f>
        <v>9</v>
      </c>
      <c r="BL121" s="178">
        <f ca="1">IF(OR($D121&lt;&gt;"Serviço",AND(AUTOEVENTO="Manual",$M121=$A$15)),0,
         IF(OFFSET(CRONOPLE!$F$15,$M121-$A$15,BL$13)="",10^12,OFFSET(CRONOPLE!$F$15,$M121-$A$15,BL$13)))</f>
        <v>10</v>
      </c>
      <c r="BM121" s="178">
        <f ca="1">IF(OR($D121&lt;&gt;"Serviço",AND(AUTOEVENTO="Manual",$M121=$A$15)),0,
         IF(OFFSET(CRONOPLE!$F$15,$M121-$A$15,BM$13)="",10^12,OFFSET(CRONOPLE!$F$15,$M121-$A$15,BM$13)))</f>
        <v>1000000000000</v>
      </c>
      <c r="BN121" s="178">
        <f ca="1">IF(OR($D121&lt;&gt;"Serviço",AND(AUTOEVENTO="Manual",$M121=$A$15)),0,
         IF(OFFSET(CRONOPLE!$F$15,$M121-$A$15,BN$13)="",10^12,OFFSET(CRONOPLE!$F$15,$M121-$A$15,BN$13)))</f>
        <v>1000000000000</v>
      </c>
      <c r="BO121" s="178">
        <f ca="1">IF(OR($D121&lt;&gt;"Serviço",AND(AUTOEVENTO="Manual",$M121=$A$15)),0,
         IF(OFFSET(CRONOPLE!$F$15,$M121-$A$15,BO$13)="",10^12,OFFSET(CRONOPLE!$F$15,$M121-$A$15,BO$13)))</f>
        <v>1000000000000</v>
      </c>
      <c r="BP121" s="178">
        <f ca="1">IF(OR($D121&lt;&gt;"Serviço",AND(AUTOEVENTO="Manual",$M121=$A$15)),0,
         IF(OFFSET(CRONOPLE!$F$15,$M121-$A$15,BP$13)="",10^12,OFFSET(CRONOPLE!$F$15,$M121-$A$15,BP$13)))</f>
        <v>1000000000000</v>
      </c>
      <c r="BQ121" s="178">
        <f ca="1">IF(OR($D121&lt;&gt;"Serviço",AND(AUTOEVENTO="Manual",$M121=$A$15)),0,
         IF(OFFSET(CRONOPLE!$F$15,$M121-$A$15,BQ$13)="",10^12,OFFSET(CRONOPLE!$F$15,$M121-$A$15,BQ$13)))</f>
        <v>15</v>
      </c>
      <c r="BR121" s="178">
        <f ca="1">IF(OR($D121&lt;&gt;"Serviço",AND(AUTOEVENTO="Manual",$M121=$A$15)),0,
         IF(OFFSET(CRONOPLE!$F$15,$M121-$A$15,BR$13)="",10^12,OFFSET(CRONOPLE!$F$15,$M121-$A$15,BR$13)))</f>
        <v>1000000000000</v>
      </c>
      <c r="BS121" s="178">
        <f ca="1">IF(OR($D121&lt;&gt;"Serviço",AND(AUTOEVENTO="Manual",$M121=$A$15)),0,
         IF(OFFSET(CRONOPLE!$F$15,$M121-$A$15,BS$13)="",10^12,OFFSET(CRONOPLE!$F$15,$M121-$A$15,BS$13)))</f>
        <v>1000000000000</v>
      </c>
      <c r="BT121" s="178">
        <f ca="1">IF(OR($D121&lt;&gt;"Serviço",AND(AUTOEVENTO="Manual",$M121=$A$15)),0,
         IF(OFFSET(CRONOPLE!$F$15,$M121-$A$15,BT$13)="",10^12,OFFSET(CRONOPLE!$F$15,$M121-$A$15,BT$13)))</f>
        <v>1000000000000</v>
      </c>
      <c r="BV121" s="179">
        <f ca="1">IF(OR($D121&lt;&gt;"Serviço",AND(AUTOEVENTO="Manual",$M121=$A$15),$M121&gt;(ROW(PLE.lastrow)-ROW(PLE.firstrow))),0,
           IF(OFFSET(PLE!$G$15,$M121-$A$15,BV$13)="",10^12,OFFSET(PLE!$G$15,$M121-$A$15,BV$13)))</f>
        <v>1000000000000</v>
      </c>
      <c r="BW121" s="179">
        <f ca="1">IF(OR($D121&lt;&gt;"Serviço",AND(AUTOEVENTO="Manual",$M121=$A$15),$M121&gt;(ROW(PLE.lastrow)-ROW(PLE.firstrow))),0,
           IF(OFFSET(PLE!$G$15,$M121-$A$15,BW$13)="",10^12,OFFSET(PLE!$G$15,$M121-$A$15,BW$13)))</f>
        <v>1000000000000</v>
      </c>
      <c r="BX121" s="179">
        <f ca="1">IF(OR($D121&lt;&gt;"Serviço",AND(AUTOEVENTO="Manual",$M121=$A$15),$M121&gt;(ROW(PLE.lastrow)-ROW(PLE.firstrow))),0,
           IF(OFFSET(PLE!$G$15,$M121-$A$15,BX$13)="",10^12,OFFSET(PLE!$G$15,$M121-$A$15,BX$13)))</f>
        <v>1000000000000</v>
      </c>
      <c r="BY121" s="179">
        <f ca="1">IF(OR($D121&lt;&gt;"Serviço",AND(AUTOEVENTO="Manual",$M121=$A$15),$M121&gt;(ROW(PLE.lastrow)-ROW(PLE.firstrow))),0,
           IF(OFFSET(PLE!$G$15,$M121-$A$15,BY$13)="",10^12,OFFSET(PLE!$G$15,$M121-$A$15,BY$13)))</f>
        <v>1000000000000</v>
      </c>
      <c r="BZ121" s="179">
        <f ca="1">IF(OR($D121&lt;&gt;"Serviço",AND(AUTOEVENTO="Manual",$M121=$A$15),$M121&gt;(ROW(PLE.lastrow)-ROW(PLE.firstrow))),0,
           IF(OFFSET(PLE!$G$15,$M121-$A$15,BZ$13)="",10^12,OFFSET(PLE!$G$15,$M121-$A$15,BZ$13)))</f>
        <v>1000000000000</v>
      </c>
      <c r="CA121" s="179">
        <f ca="1">IF(OR($D121&lt;&gt;"Serviço",AND(AUTOEVENTO="Manual",$M121=$A$15),$M121&gt;(ROW(PLE.lastrow)-ROW(PLE.firstrow))),0,
           IF(OFFSET(PLE!$G$15,$M121-$A$15,CA$13)="",10^12,OFFSET(PLE!$G$15,$M121-$A$15,CA$13)))</f>
        <v>1000000000000</v>
      </c>
      <c r="CB121" s="179">
        <f ca="1">IF(OR($D121&lt;&gt;"Serviço",AND(AUTOEVENTO="Manual",$M121=$A$15),$M121&gt;(ROW(PLE.lastrow)-ROW(PLE.firstrow))),0,
           IF(OFFSET(PLE!$G$15,$M121-$A$15,CB$13)="",10^12,OFFSET(PLE!$G$15,$M121-$A$15,CB$13)))</f>
        <v>1000000000000</v>
      </c>
      <c r="CC121" s="179">
        <f ca="1">IF(OR($D121&lt;&gt;"Serviço",AND(AUTOEVENTO="Manual",$M121=$A$15),$M121&gt;(ROW(PLE.lastrow)-ROW(PLE.firstrow))),0,
           IF(OFFSET(PLE!$G$15,$M121-$A$15,CC$13)="",10^12,OFFSET(PLE!$G$15,$M121-$A$15,CC$13)))</f>
        <v>1000000000000</v>
      </c>
      <c r="CD121" s="179">
        <f ca="1">IF(OR($D121&lt;&gt;"Serviço",AND(AUTOEVENTO="Manual",$M121=$A$15),$M121&gt;(ROW(PLE.lastrow)-ROW(PLE.firstrow))),0,
           IF(OFFSET(PLE!$G$15,$M121-$A$15,CD$13)="",10^12,OFFSET(PLE!$G$15,$M121-$A$15,CD$13)))</f>
        <v>1000000000000</v>
      </c>
      <c r="CE121" s="179">
        <f ca="1">IF(OR($D121&lt;&gt;"Serviço",AND(AUTOEVENTO="Manual",$M121=$A$15),$M121&gt;(ROW(PLE.lastrow)-ROW(PLE.firstrow))),0,
           IF(OFFSET(PLE!$G$15,$M121-$A$15,CE$13)="",10^12,OFFSET(PLE!$G$15,$M121-$A$15,CE$13)))</f>
        <v>1000000000000</v>
      </c>
      <c r="CF121" s="179">
        <f ca="1">IF(OR($D121&lt;&gt;"Serviço",AND(AUTOEVENTO="Manual",$M121=$A$15),$M121&gt;(ROW(PLE.lastrow)-ROW(PLE.firstrow))),0,
           IF(OFFSET(PLE!$G$15,$M121-$A$15,CF$13)="",10^12,OFFSET(PLE!$G$15,$M121-$A$15,CF$13)))</f>
        <v>1000000000000</v>
      </c>
      <c r="CG121" s="179">
        <f ca="1">IF(OR($D121&lt;&gt;"Serviço",AND(AUTOEVENTO="Manual",$M121=$A$15),$M121&gt;(ROW(PLE.lastrow)-ROW(PLE.firstrow))),0,
           IF(OFFSET(PLE!$G$15,$M121-$A$15,CG$13)="",10^12,OFFSET(PLE!$G$15,$M121-$A$15,CG$13)))</f>
        <v>1000000000000</v>
      </c>
      <c r="CH121" s="179">
        <f ca="1">IF(OR($D121&lt;&gt;"Serviço",AND(AUTOEVENTO="Manual",$M121=$A$15),$M121&gt;(ROW(PLE.lastrow)-ROW(PLE.firstrow))),0,
           IF(OFFSET(PLE!$G$15,$M121-$A$15,CH$13)="",10^12,OFFSET(PLE!$G$15,$M121-$A$15,CH$13)))</f>
        <v>1000000000000</v>
      </c>
      <c r="CI121" s="179">
        <f ca="1">IF(OR($D121&lt;&gt;"Serviço",AND(AUTOEVENTO="Manual",$M121=$A$15),$M121&gt;(ROW(PLE.lastrow)-ROW(PLE.firstrow))),0,
           IF(OFFSET(PLE!$G$15,$M121-$A$15,CI$13)="",10^12,OFFSET(PLE!$G$15,$M121-$A$15,CI$13)))</f>
        <v>1000000000000</v>
      </c>
      <c r="CJ121" s="179">
        <f ca="1">IF(OR($D121&lt;&gt;"Serviço",AND(AUTOEVENTO="Manual",$M121=$A$15),$M121&gt;(ROW(PLE.lastrow)-ROW(PLE.firstrow))),0,
           IF(OFFSET(PLE!$G$15,$M121-$A$15,CJ$13)="",10^12,OFFSET(PLE!$G$15,$M121-$A$15,CJ$13)))</f>
        <v>1000000000000</v>
      </c>
      <c r="CK121" s="179">
        <f ca="1">IF(OR($D121&lt;&gt;"Serviço",AND(AUTOEVENTO="Manual",$M121=$A$15),$M121&gt;(ROW(PLE.lastrow)-ROW(PLE.firstrow))),0,
           IF(OFFSET(PLE!$G$15,$M121-$A$15,CK$13)="",10^12,OFFSET(PLE!$G$15,$M121-$A$15,CK$13)))</f>
        <v>1000000000000</v>
      </c>
      <c r="CL121" s="179">
        <f ca="1">IF(OR($D121&lt;&gt;"Serviço",AND(AUTOEVENTO="Manual",$M121=$A$15),$M121&gt;(ROW(PLE.lastrow)-ROW(PLE.firstrow))),0,
           IF(OFFSET(PLE!$G$15,$M121-$A$15,CL$13)="",10^12,OFFSET(PLE!$G$15,$M121-$A$15,CL$13)))</f>
        <v>1000000000000</v>
      </c>
      <c r="CM121" s="179">
        <f ca="1">IF(OR($D121&lt;&gt;"Serviço",AND(AUTOEVENTO="Manual",$M121=$A$15),$M121&gt;(ROW(PLE.lastrow)-ROW(PLE.firstrow))),0,
           IF(OFFSET(PLE!$G$15,$M121-$A$15,CM$13)="",10^12,OFFSET(PLE!$G$15,$M121-$A$15,CM$13)))</f>
        <v>1000000000000</v>
      </c>
    </row>
    <row r="122" spans="1:91" ht="38.25" x14ac:dyDescent="0.2">
      <c r="A122" s="7" t="str">
        <f ca="1">IF(AUTOEVENTO="Manual",IF(K122&lt;&gt;"",MIN(VALUE(LEFT(K122,FIND(".",K122)-1)),COUNTA(EVENTOS.Lista)),0),IF(OR($B122&gt;AUTOEVENTO,$B122="S",$B122=0),SUBSTITUTE(OFFSET($A122,-1,0),IF($D122="Serviço",".",""),""),ROW(A122)-ROW($A$15)&amp;"."))</f>
        <v>71</v>
      </c>
      <c r="B122" s="7" t="str">
        <f ca="1">OFFSET(ORÇAMENTO!C$15,ROW(B122)-ROW(B$15),0)</f>
        <v>S</v>
      </c>
      <c r="C122" s="7" t="str">
        <f ca="1">OFFSET(ORÇAMENTO!L$15,ROW(C122)-ROW(C$15),0)</f>
        <v>F</v>
      </c>
      <c r="D122" s="118" t="str">
        <f ca="1">OFFSET(ORÇAMENTO!N$15,ROW(D122)-ROW(D$15),0)</f>
        <v>Serviço</v>
      </c>
      <c r="E122" s="119" t="str">
        <f ca="1">OFFSET(ORÇAMENTO!O$15,ROW(E122)-ROW(E$15),0)</f>
        <v>1.12.0.0.36.</v>
      </c>
      <c r="F122" s="170" t="str">
        <f ca="1">OFFSET(ORÇAMENTO!R$15,ROW(F122)-ROW(F$15),0)</f>
        <v>CAIXA ENTERRADA ELÉTRICA RETANGULAR, EM ALVENARIA COM TIJOLOS CERÂMICOS MACIÇOS, FUNDO COM BRITA, DIMENSÕES INTERNAS: 0,6X0,6X0,6 M. AF_12/2020</v>
      </c>
      <c r="G122" s="171" t="str">
        <f ca="1">IF($D122&lt;&gt;"Serviço","",OFFSET(ORÇAMENTO!S$15,ROW(G122)-ROW(G$15),0))</f>
        <v>UN</v>
      </c>
      <c r="H122" s="124" cm="1">
        <f t="array" aca="1" ref="H122" ca="1">IF($D122&lt;&gt;"Serviço",0,IF(_xlfn.SINGLE(ACOMPANHAMENTO)="BM",ROUND(OFFSET(ORÇAMENTO!AJ$15,ROW(H122)-ROW(H$15),0),15-13*ORÇAMENTO!$AF$7),SUMPRODUCT(($Q$1:$AI$1)*ROUND($Q122:$AI122,15-13*ORÇAMENTO!$AF$7))))</f>
        <v>1</v>
      </c>
      <c r="I122" s="500" t="s">
        <v>1019</v>
      </c>
      <c r="J122" s="632" t="str" cm="1">
        <f t="array" aca="1" ref="J122" ca="1">IF(B122&lt;&gt;"S","",IF(AND(ACOMPANHAMENTO="PLE",AUTOEVENTO="Manual",OR(H122&gt;0,ORÇAMENTO!AC122="QUANT."),OR(K122="",M122=0,N122="")),"►",IF(AND(ACOMPANHAMENTO="PLE",ORÇAMENTO!AC122="QUANT."),"►►",IF(AND(COUNTIF($P$11:$AI$11,"▼")=0,H122&gt;0,I122=""),"◄",""))))</f>
        <v/>
      </c>
      <c r="K122" s="624"/>
      <c r="L122" s="172" t="s">
        <v>253</v>
      </c>
      <c r="M122" s="173">
        <f ca="1">IF($D122&lt;&gt;"Serviço","",
          IF(AUTOEVENTO="manual",$A122,
                IF(ISERROR(MATCH($A122,$A$15:OFFSET($A122,-1,0),0)),MAX($M$15:OFFSET(M122,-1,0))+1,
                      INDEX($M$15:OFFSET(M122,-1,0),MATCH($A122,$A$15:OFFSET($A122,-1,0),0)))))</f>
        <v>12</v>
      </c>
      <c r="N122" s="174" t="str">
        <f ca="1">IF($D122&lt;&gt;"Serviço","",
         IF(AUTOEVENTO="Manual",
                IF($A122=0,"&lt;-- defina o número do agrupador",
                       OFFSET(EVENTOS!$D$15,$A122-$A$15,0)),
                OFFSET($F$15,$A122,0)))</f>
        <v>INSTALAÇÕES ELÉTRICAS</v>
      </c>
      <c r="O122" s="175"/>
      <c r="Q122" s="175"/>
      <c r="R122" s="176"/>
      <c r="S122" s="176"/>
      <c r="T122" s="176">
        <v>1</v>
      </c>
      <c r="U122" s="176"/>
      <c r="V122" s="176"/>
      <c r="W122" s="176"/>
      <c r="X122" s="176"/>
      <c r="Y122" s="176"/>
      <c r="Z122" s="177"/>
      <c r="AA122" s="176"/>
      <c r="AB122" s="176"/>
      <c r="AC122" s="176"/>
      <c r="AD122" s="176"/>
      <c r="AE122" s="176"/>
      <c r="AF122" s="176"/>
      <c r="AG122" s="176"/>
      <c r="AH122" s="177"/>
      <c r="AJ122" s="485">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85">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85">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85">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735.71</v>
      </c>
      <c r="AN122" s="485">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0</v>
      </c>
      <c r="AO122" s="485">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0</v>
      </c>
      <c r="AP122" s="485">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85">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85">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85">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85">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85">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85">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85">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85">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85">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85">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85">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8">
        <f ca="1">IF(OR($D122&lt;&gt;"Serviço",AND(AUTOEVENTO="Manual",$M122=$A$15)),0,
         IF(OFFSET(CRONOPLE!$F$15,$M122-$A$15,BC$13)="",10^12,OFFSET(CRONOPLE!$F$15,$M122-$A$15,BC$13)))</f>
        <v>1</v>
      </c>
      <c r="BD122" s="178">
        <f ca="1">IF(OR($D122&lt;&gt;"Serviço",AND(AUTOEVENTO="Manual",$M122=$A$15)),0,
         IF(OFFSET(CRONOPLE!$F$15,$M122-$A$15,BD$13)="",10^12,OFFSET(CRONOPLE!$F$15,$M122-$A$15,BD$13)))</f>
        <v>2</v>
      </c>
      <c r="BE122" s="178">
        <f ca="1">IF(OR($D122&lt;&gt;"Serviço",AND(AUTOEVENTO="Manual",$M122=$A$15)),0,
         IF(OFFSET(CRONOPLE!$F$15,$M122-$A$15,BE$13)="",10^12,OFFSET(CRONOPLE!$F$15,$M122-$A$15,BE$13)))</f>
        <v>1000000000000</v>
      </c>
      <c r="BF122" s="178">
        <f ca="1">IF(OR($D122&lt;&gt;"Serviço",AND(AUTOEVENTO="Manual",$M122=$A$15)),0,
         IF(OFFSET(CRONOPLE!$F$15,$M122-$A$15,BF$13)="",10^12,OFFSET(CRONOPLE!$F$15,$M122-$A$15,BF$13)))</f>
        <v>4</v>
      </c>
      <c r="BG122" s="178">
        <f ca="1">IF(OR($D122&lt;&gt;"Serviço",AND(AUTOEVENTO="Manual",$M122=$A$15)),0,
         IF(OFFSET(CRONOPLE!$F$15,$M122-$A$15,BG$13)="",10^12,OFFSET(CRONOPLE!$F$15,$M122-$A$15,BG$13)))</f>
        <v>5</v>
      </c>
      <c r="BH122" s="178">
        <f ca="1">IF(OR($D122&lt;&gt;"Serviço",AND(AUTOEVENTO="Manual",$M122=$A$15)),0,
         IF(OFFSET(CRONOPLE!$F$15,$M122-$A$15,BH$13)="",10^12,OFFSET(CRONOPLE!$F$15,$M122-$A$15,BH$13)))</f>
        <v>6</v>
      </c>
      <c r="BI122" s="178">
        <f ca="1">IF(OR($D122&lt;&gt;"Serviço",AND(AUTOEVENTO="Manual",$M122=$A$15)),0,
         IF(OFFSET(CRONOPLE!$F$15,$M122-$A$15,BI$13)="",10^12,OFFSET(CRONOPLE!$F$15,$M122-$A$15,BI$13)))</f>
        <v>7</v>
      </c>
      <c r="BJ122" s="178">
        <f ca="1">IF(OR($D122&lt;&gt;"Serviço",AND(AUTOEVENTO="Manual",$M122=$A$15)),0,
         IF(OFFSET(CRONOPLE!$F$15,$M122-$A$15,BJ$13)="",10^12,OFFSET(CRONOPLE!$F$15,$M122-$A$15,BJ$13)))</f>
        <v>8</v>
      </c>
      <c r="BK122" s="178">
        <f ca="1">IF(OR($D122&lt;&gt;"Serviço",AND(AUTOEVENTO="Manual",$M122=$A$15)),0,
         IF(OFFSET(CRONOPLE!$F$15,$M122-$A$15,BK$13)="",10^12,OFFSET(CRONOPLE!$F$15,$M122-$A$15,BK$13)))</f>
        <v>9</v>
      </c>
      <c r="BL122" s="178">
        <f ca="1">IF(OR($D122&lt;&gt;"Serviço",AND(AUTOEVENTO="Manual",$M122=$A$15)),0,
         IF(OFFSET(CRONOPLE!$F$15,$M122-$A$15,BL$13)="",10^12,OFFSET(CRONOPLE!$F$15,$M122-$A$15,BL$13)))</f>
        <v>10</v>
      </c>
      <c r="BM122" s="178">
        <f ca="1">IF(OR($D122&lt;&gt;"Serviço",AND(AUTOEVENTO="Manual",$M122=$A$15)),0,
         IF(OFFSET(CRONOPLE!$F$15,$M122-$A$15,BM$13)="",10^12,OFFSET(CRONOPLE!$F$15,$M122-$A$15,BM$13)))</f>
        <v>1000000000000</v>
      </c>
      <c r="BN122" s="178">
        <f ca="1">IF(OR($D122&lt;&gt;"Serviço",AND(AUTOEVENTO="Manual",$M122=$A$15)),0,
         IF(OFFSET(CRONOPLE!$F$15,$M122-$A$15,BN$13)="",10^12,OFFSET(CRONOPLE!$F$15,$M122-$A$15,BN$13)))</f>
        <v>1000000000000</v>
      </c>
      <c r="BO122" s="178">
        <f ca="1">IF(OR($D122&lt;&gt;"Serviço",AND(AUTOEVENTO="Manual",$M122=$A$15)),0,
         IF(OFFSET(CRONOPLE!$F$15,$M122-$A$15,BO$13)="",10^12,OFFSET(CRONOPLE!$F$15,$M122-$A$15,BO$13)))</f>
        <v>1000000000000</v>
      </c>
      <c r="BP122" s="178">
        <f ca="1">IF(OR($D122&lt;&gt;"Serviço",AND(AUTOEVENTO="Manual",$M122=$A$15)),0,
         IF(OFFSET(CRONOPLE!$F$15,$M122-$A$15,BP$13)="",10^12,OFFSET(CRONOPLE!$F$15,$M122-$A$15,BP$13)))</f>
        <v>1000000000000</v>
      </c>
      <c r="BQ122" s="178">
        <f ca="1">IF(OR($D122&lt;&gt;"Serviço",AND(AUTOEVENTO="Manual",$M122=$A$15)),0,
         IF(OFFSET(CRONOPLE!$F$15,$M122-$A$15,BQ$13)="",10^12,OFFSET(CRONOPLE!$F$15,$M122-$A$15,BQ$13)))</f>
        <v>15</v>
      </c>
      <c r="BR122" s="178">
        <f ca="1">IF(OR($D122&lt;&gt;"Serviço",AND(AUTOEVENTO="Manual",$M122=$A$15)),0,
         IF(OFFSET(CRONOPLE!$F$15,$M122-$A$15,BR$13)="",10^12,OFFSET(CRONOPLE!$F$15,$M122-$A$15,BR$13)))</f>
        <v>1000000000000</v>
      </c>
      <c r="BS122" s="178">
        <f ca="1">IF(OR($D122&lt;&gt;"Serviço",AND(AUTOEVENTO="Manual",$M122=$A$15)),0,
         IF(OFFSET(CRONOPLE!$F$15,$M122-$A$15,BS$13)="",10^12,OFFSET(CRONOPLE!$F$15,$M122-$A$15,BS$13)))</f>
        <v>1000000000000</v>
      </c>
      <c r="BT122" s="178">
        <f ca="1">IF(OR($D122&lt;&gt;"Serviço",AND(AUTOEVENTO="Manual",$M122=$A$15)),0,
         IF(OFFSET(CRONOPLE!$F$15,$M122-$A$15,BT$13)="",10^12,OFFSET(CRONOPLE!$F$15,$M122-$A$15,BT$13)))</f>
        <v>1000000000000</v>
      </c>
      <c r="BV122" s="179">
        <f ca="1">IF(OR($D122&lt;&gt;"Serviço",AND(AUTOEVENTO="Manual",$M122=$A$15),$M122&gt;(ROW(PLE.lastrow)-ROW(PLE.firstrow))),0,
           IF(OFFSET(PLE!$G$15,$M122-$A$15,BV$13)="",10^12,OFFSET(PLE!$G$15,$M122-$A$15,BV$13)))</f>
        <v>1000000000000</v>
      </c>
      <c r="BW122" s="179">
        <f ca="1">IF(OR($D122&lt;&gt;"Serviço",AND(AUTOEVENTO="Manual",$M122=$A$15),$M122&gt;(ROW(PLE.lastrow)-ROW(PLE.firstrow))),0,
           IF(OFFSET(PLE!$G$15,$M122-$A$15,BW$13)="",10^12,OFFSET(PLE!$G$15,$M122-$A$15,BW$13)))</f>
        <v>1000000000000</v>
      </c>
      <c r="BX122" s="179">
        <f ca="1">IF(OR($D122&lt;&gt;"Serviço",AND(AUTOEVENTO="Manual",$M122=$A$15),$M122&gt;(ROW(PLE.lastrow)-ROW(PLE.firstrow))),0,
           IF(OFFSET(PLE!$G$15,$M122-$A$15,BX$13)="",10^12,OFFSET(PLE!$G$15,$M122-$A$15,BX$13)))</f>
        <v>1000000000000</v>
      </c>
      <c r="BY122" s="179">
        <f ca="1">IF(OR($D122&lt;&gt;"Serviço",AND(AUTOEVENTO="Manual",$M122=$A$15),$M122&gt;(ROW(PLE.lastrow)-ROW(PLE.firstrow))),0,
           IF(OFFSET(PLE!$G$15,$M122-$A$15,BY$13)="",10^12,OFFSET(PLE!$G$15,$M122-$A$15,BY$13)))</f>
        <v>1000000000000</v>
      </c>
      <c r="BZ122" s="179">
        <f ca="1">IF(OR($D122&lt;&gt;"Serviço",AND(AUTOEVENTO="Manual",$M122=$A$15),$M122&gt;(ROW(PLE.lastrow)-ROW(PLE.firstrow))),0,
           IF(OFFSET(PLE!$G$15,$M122-$A$15,BZ$13)="",10^12,OFFSET(PLE!$G$15,$M122-$A$15,BZ$13)))</f>
        <v>1000000000000</v>
      </c>
      <c r="CA122" s="179">
        <f ca="1">IF(OR($D122&lt;&gt;"Serviço",AND(AUTOEVENTO="Manual",$M122=$A$15),$M122&gt;(ROW(PLE.lastrow)-ROW(PLE.firstrow))),0,
           IF(OFFSET(PLE!$G$15,$M122-$A$15,CA$13)="",10^12,OFFSET(PLE!$G$15,$M122-$A$15,CA$13)))</f>
        <v>1000000000000</v>
      </c>
      <c r="CB122" s="179">
        <f ca="1">IF(OR($D122&lt;&gt;"Serviço",AND(AUTOEVENTO="Manual",$M122=$A$15),$M122&gt;(ROW(PLE.lastrow)-ROW(PLE.firstrow))),0,
           IF(OFFSET(PLE!$G$15,$M122-$A$15,CB$13)="",10^12,OFFSET(PLE!$G$15,$M122-$A$15,CB$13)))</f>
        <v>1000000000000</v>
      </c>
      <c r="CC122" s="179">
        <f ca="1">IF(OR($D122&lt;&gt;"Serviço",AND(AUTOEVENTO="Manual",$M122=$A$15),$M122&gt;(ROW(PLE.lastrow)-ROW(PLE.firstrow))),0,
           IF(OFFSET(PLE!$G$15,$M122-$A$15,CC$13)="",10^12,OFFSET(PLE!$G$15,$M122-$A$15,CC$13)))</f>
        <v>1000000000000</v>
      </c>
      <c r="CD122" s="179">
        <f ca="1">IF(OR($D122&lt;&gt;"Serviço",AND(AUTOEVENTO="Manual",$M122=$A$15),$M122&gt;(ROW(PLE.lastrow)-ROW(PLE.firstrow))),0,
           IF(OFFSET(PLE!$G$15,$M122-$A$15,CD$13)="",10^12,OFFSET(PLE!$G$15,$M122-$A$15,CD$13)))</f>
        <v>1000000000000</v>
      </c>
      <c r="CE122" s="179">
        <f ca="1">IF(OR($D122&lt;&gt;"Serviço",AND(AUTOEVENTO="Manual",$M122=$A$15),$M122&gt;(ROW(PLE.lastrow)-ROW(PLE.firstrow))),0,
           IF(OFFSET(PLE!$G$15,$M122-$A$15,CE$13)="",10^12,OFFSET(PLE!$G$15,$M122-$A$15,CE$13)))</f>
        <v>1000000000000</v>
      </c>
      <c r="CF122" s="179">
        <f ca="1">IF(OR($D122&lt;&gt;"Serviço",AND(AUTOEVENTO="Manual",$M122=$A$15),$M122&gt;(ROW(PLE.lastrow)-ROW(PLE.firstrow))),0,
           IF(OFFSET(PLE!$G$15,$M122-$A$15,CF$13)="",10^12,OFFSET(PLE!$G$15,$M122-$A$15,CF$13)))</f>
        <v>1000000000000</v>
      </c>
      <c r="CG122" s="179">
        <f ca="1">IF(OR($D122&lt;&gt;"Serviço",AND(AUTOEVENTO="Manual",$M122=$A$15),$M122&gt;(ROW(PLE.lastrow)-ROW(PLE.firstrow))),0,
           IF(OFFSET(PLE!$G$15,$M122-$A$15,CG$13)="",10^12,OFFSET(PLE!$G$15,$M122-$A$15,CG$13)))</f>
        <v>1000000000000</v>
      </c>
      <c r="CH122" s="179">
        <f ca="1">IF(OR($D122&lt;&gt;"Serviço",AND(AUTOEVENTO="Manual",$M122=$A$15),$M122&gt;(ROW(PLE.lastrow)-ROW(PLE.firstrow))),0,
           IF(OFFSET(PLE!$G$15,$M122-$A$15,CH$13)="",10^12,OFFSET(PLE!$G$15,$M122-$A$15,CH$13)))</f>
        <v>1000000000000</v>
      </c>
      <c r="CI122" s="179">
        <f ca="1">IF(OR($D122&lt;&gt;"Serviço",AND(AUTOEVENTO="Manual",$M122=$A$15),$M122&gt;(ROW(PLE.lastrow)-ROW(PLE.firstrow))),0,
           IF(OFFSET(PLE!$G$15,$M122-$A$15,CI$13)="",10^12,OFFSET(PLE!$G$15,$M122-$A$15,CI$13)))</f>
        <v>1000000000000</v>
      </c>
      <c r="CJ122" s="179">
        <f ca="1">IF(OR($D122&lt;&gt;"Serviço",AND(AUTOEVENTO="Manual",$M122=$A$15),$M122&gt;(ROW(PLE.lastrow)-ROW(PLE.firstrow))),0,
           IF(OFFSET(PLE!$G$15,$M122-$A$15,CJ$13)="",10^12,OFFSET(PLE!$G$15,$M122-$A$15,CJ$13)))</f>
        <v>1000000000000</v>
      </c>
      <c r="CK122" s="179">
        <f ca="1">IF(OR($D122&lt;&gt;"Serviço",AND(AUTOEVENTO="Manual",$M122=$A$15),$M122&gt;(ROW(PLE.lastrow)-ROW(PLE.firstrow))),0,
           IF(OFFSET(PLE!$G$15,$M122-$A$15,CK$13)="",10^12,OFFSET(PLE!$G$15,$M122-$A$15,CK$13)))</f>
        <v>1000000000000</v>
      </c>
      <c r="CL122" s="179">
        <f ca="1">IF(OR($D122&lt;&gt;"Serviço",AND(AUTOEVENTO="Manual",$M122=$A$15),$M122&gt;(ROW(PLE.lastrow)-ROW(PLE.firstrow))),0,
           IF(OFFSET(PLE!$G$15,$M122-$A$15,CL$13)="",10^12,OFFSET(PLE!$G$15,$M122-$A$15,CL$13)))</f>
        <v>1000000000000</v>
      </c>
      <c r="CM122" s="179">
        <f ca="1">IF(OR($D122&lt;&gt;"Serviço",AND(AUTOEVENTO="Manual",$M122=$A$15),$M122&gt;(ROW(PLE.lastrow)-ROW(PLE.firstrow))),0,
           IF(OFFSET(PLE!$G$15,$M122-$A$15,CM$13)="",10^12,OFFSET(PLE!$G$15,$M122-$A$15,CM$13)))</f>
        <v>1000000000000</v>
      </c>
    </row>
    <row r="123" spans="1:91" ht="25.5" x14ac:dyDescent="0.2">
      <c r="A123" s="7" t="str">
        <f ca="1">IF(AUTOEVENTO="Manual",IF(K123&lt;&gt;"",MIN(VALUE(LEFT(K123,FIND(".",K123)-1)),COUNTA(EVENTOS.Lista)),0),IF(OR($B123&gt;AUTOEVENTO,$B123="S",$B123=0),SUBSTITUTE(OFFSET($A123,-1,0),IF($D123="Serviço",".",""),""),ROW(A123)-ROW($A$15)&amp;"."))</f>
        <v>71</v>
      </c>
      <c r="B123" s="7" t="str">
        <f ca="1">OFFSET(ORÇAMENTO!C$15,ROW(B123)-ROW(B$15),0)</f>
        <v>S</v>
      </c>
      <c r="C123" s="7" t="str">
        <f ca="1">OFFSET(ORÇAMENTO!L$15,ROW(C123)-ROW(C$15),0)</f>
        <v>F</v>
      </c>
      <c r="D123" s="118" t="str">
        <f ca="1">OFFSET(ORÇAMENTO!N$15,ROW(D123)-ROW(D$15),0)</f>
        <v>Serviço</v>
      </c>
      <c r="E123" s="119" t="str">
        <f ca="1">OFFSET(ORÇAMENTO!O$15,ROW(E123)-ROW(E$15),0)</f>
        <v>1.12.0.0.37.</v>
      </c>
      <c r="F123" s="170" t="str">
        <f ca="1">OFFSET(ORÇAMENTO!R$15,ROW(F123)-ROW(F$15),0)</f>
        <v>10332/ORSE 	Tampa de ferro fundido 60X40cm</v>
      </c>
      <c r="G123" s="171" t="str">
        <f ca="1">IF($D123&lt;&gt;"Serviço","",OFFSET(ORÇAMENTO!S$15,ROW(G123)-ROW(G$15),0))</f>
        <v>UN</v>
      </c>
      <c r="H123" s="124" cm="1">
        <f t="array" aca="1" ref="H123" ca="1">IF($D123&lt;&gt;"Serviço",0,IF(_xlfn.SINGLE(ACOMPANHAMENTO)="BM",ROUND(OFFSET(ORÇAMENTO!AJ$15,ROW(H123)-ROW(H$15),0),15-13*ORÇAMENTO!$AF$7),SUMPRODUCT(($Q$1:$AI$1)*ROUND($Q123:$AI123,15-13*ORÇAMENTO!$AF$7))))</f>
        <v>1</v>
      </c>
      <c r="I123" s="500" t="s">
        <v>1019</v>
      </c>
      <c r="J123" s="632" t="str" cm="1">
        <f t="array" aca="1" ref="J123" ca="1">IF(B123&lt;&gt;"S","",IF(AND(ACOMPANHAMENTO="PLE",AUTOEVENTO="Manual",OR(H123&gt;0,ORÇAMENTO!AC123="QUANT."),OR(K123="",M123=0,N123="")),"►",IF(AND(ACOMPANHAMENTO="PLE",ORÇAMENTO!AC123="QUANT."),"►►",IF(AND(COUNTIF($P$11:$AI$11,"▼")=0,H123&gt;0,I123=""),"◄",""))))</f>
        <v/>
      </c>
      <c r="K123" s="624"/>
      <c r="L123" s="172" t="s">
        <v>253</v>
      </c>
      <c r="M123" s="173">
        <f ca="1">IF($D123&lt;&gt;"Serviço","",
          IF(AUTOEVENTO="manual",$A123,
                IF(ISERROR(MATCH($A123,$A$15:OFFSET($A123,-1,0),0)),MAX($M$15:OFFSET(M123,-1,0))+1,
                      INDEX($M$15:OFFSET(M123,-1,0),MATCH($A123,$A$15:OFFSET($A123,-1,0),0)))))</f>
        <v>12</v>
      </c>
      <c r="N123" s="174" t="str">
        <f ca="1">IF($D123&lt;&gt;"Serviço","",
         IF(AUTOEVENTO="Manual",
                IF($A123=0,"&lt;-- defina o número do agrupador",
                       OFFSET(EVENTOS!$D$15,$A123-$A$15,0)),
                OFFSET($F$15,$A123,0)))</f>
        <v>INSTALAÇÕES ELÉTRICAS</v>
      </c>
      <c r="O123" s="175"/>
      <c r="Q123" s="175"/>
      <c r="R123" s="176"/>
      <c r="S123" s="176"/>
      <c r="T123" s="176">
        <v>1</v>
      </c>
      <c r="U123" s="176"/>
      <c r="V123" s="176"/>
      <c r="W123" s="176"/>
      <c r="X123" s="176"/>
      <c r="Y123" s="176"/>
      <c r="Z123" s="177"/>
      <c r="AA123" s="176"/>
      <c r="AB123" s="176"/>
      <c r="AC123" s="176"/>
      <c r="AD123" s="176"/>
      <c r="AE123" s="176"/>
      <c r="AF123" s="176"/>
      <c r="AG123" s="176"/>
      <c r="AH123" s="177"/>
      <c r="AJ123" s="485">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85">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L123" s="485">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0</v>
      </c>
      <c r="AM123" s="485">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652.88</v>
      </c>
      <c r="AN123" s="485">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0</v>
      </c>
      <c r="AO123" s="485">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0</v>
      </c>
      <c r="AP123" s="485">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85">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85">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85">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85">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85">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85">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85">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85">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85">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85">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85">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8">
        <f ca="1">IF(OR($D123&lt;&gt;"Serviço",AND(AUTOEVENTO="Manual",$M123=$A$15)),0,
         IF(OFFSET(CRONOPLE!$F$15,$M123-$A$15,BC$13)="",10^12,OFFSET(CRONOPLE!$F$15,$M123-$A$15,BC$13)))</f>
        <v>1</v>
      </c>
      <c r="BD123" s="178">
        <f ca="1">IF(OR($D123&lt;&gt;"Serviço",AND(AUTOEVENTO="Manual",$M123=$A$15)),0,
         IF(OFFSET(CRONOPLE!$F$15,$M123-$A$15,BD$13)="",10^12,OFFSET(CRONOPLE!$F$15,$M123-$A$15,BD$13)))</f>
        <v>2</v>
      </c>
      <c r="BE123" s="178">
        <f ca="1">IF(OR($D123&lt;&gt;"Serviço",AND(AUTOEVENTO="Manual",$M123=$A$15)),0,
         IF(OFFSET(CRONOPLE!$F$15,$M123-$A$15,BE$13)="",10^12,OFFSET(CRONOPLE!$F$15,$M123-$A$15,BE$13)))</f>
        <v>1000000000000</v>
      </c>
      <c r="BF123" s="178">
        <f ca="1">IF(OR($D123&lt;&gt;"Serviço",AND(AUTOEVENTO="Manual",$M123=$A$15)),0,
         IF(OFFSET(CRONOPLE!$F$15,$M123-$A$15,BF$13)="",10^12,OFFSET(CRONOPLE!$F$15,$M123-$A$15,BF$13)))</f>
        <v>4</v>
      </c>
      <c r="BG123" s="178">
        <f ca="1">IF(OR($D123&lt;&gt;"Serviço",AND(AUTOEVENTO="Manual",$M123=$A$15)),0,
         IF(OFFSET(CRONOPLE!$F$15,$M123-$A$15,BG$13)="",10^12,OFFSET(CRONOPLE!$F$15,$M123-$A$15,BG$13)))</f>
        <v>5</v>
      </c>
      <c r="BH123" s="178">
        <f ca="1">IF(OR($D123&lt;&gt;"Serviço",AND(AUTOEVENTO="Manual",$M123=$A$15)),0,
         IF(OFFSET(CRONOPLE!$F$15,$M123-$A$15,BH$13)="",10^12,OFFSET(CRONOPLE!$F$15,$M123-$A$15,BH$13)))</f>
        <v>6</v>
      </c>
      <c r="BI123" s="178">
        <f ca="1">IF(OR($D123&lt;&gt;"Serviço",AND(AUTOEVENTO="Manual",$M123=$A$15)),0,
         IF(OFFSET(CRONOPLE!$F$15,$M123-$A$15,BI$13)="",10^12,OFFSET(CRONOPLE!$F$15,$M123-$A$15,BI$13)))</f>
        <v>7</v>
      </c>
      <c r="BJ123" s="178">
        <f ca="1">IF(OR($D123&lt;&gt;"Serviço",AND(AUTOEVENTO="Manual",$M123=$A$15)),0,
         IF(OFFSET(CRONOPLE!$F$15,$M123-$A$15,BJ$13)="",10^12,OFFSET(CRONOPLE!$F$15,$M123-$A$15,BJ$13)))</f>
        <v>8</v>
      </c>
      <c r="BK123" s="178">
        <f ca="1">IF(OR($D123&lt;&gt;"Serviço",AND(AUTOEVENTO="Manual",$M123=$A$15)),0,
         IF(OFFSET(CRONOPLE!$F$15,$M123-$A$15,BK$13)="",10^12,OFFSET(CRONOPLE!$F$15,$M123-$A$15,BK$13)))</f>
        <v>9</v>
      </c>
      <c r="BL123" s="178">
        <f ca="1">IF(OR($D123&lt;&gt;"Serviço",AND(AUTOEVENTO="Manual",$M123=$A$15)),0,
         IF(OFFSET(CRONOPLE!$F$15,$M123-$A$15,BL$13)="",10^12,OFFSET(CRONOPLE!$F$15,$M123-$A$15,BL$13)))</f>
        <v>10</v>
      </c>
      <c r="BM123" s="178">
        <f ca="1">IF(OR($D123&lt;&gt;"Serviço",AND(AUTOEVENTO="Manual",$M123=$A$15)),0,
         IF(OFFSET(CRONOPLE!$F$15,$M123-$A$15,BM$13)="",10^12,OFFSET(CRONOPLE!$F$15,$M123-$A$15,BM$13)))</f>
        <v>1000000000000</v>
      </c>
      <c r="BN123" s="178">
        <f ca="1">IF(OR($D123&lt;&gt;"Serviço",AND(AUTOEVENTO="Manual",$M123=$A$15)),0,
         IF(OFFSET(CRONOPLE!$F$15,$M123-$A$15,BN$13)="",10^12,OFFSET(CRONOPLE!$F$15,$M123-$A$15,BN$13)))</f>
        <v>1000000000000</v>
      </c>
      <c r="BO123" s="178">
        <f ca="1">IF(OR($D123&lt;&gt;"Serviço",AND(AUTOEVENTO="Manual",$M123=$A$15)),0,
         IF(OFFSET(CRONOPLE!$F$15,$M123-$A$15,BO$13)="",10^12,OFFSET(CRONOPLE!$F$15,$M123-$A$15,BO$13)))</f>
        <v>1000000000000</v>
      </c>
      <c r="BP123" s="178">
        <f ca="1">IF(OR($D123&lt;&gt;"Serviço",AND(AUTOEVENTO="Manual",$M123=$A$15)),0,
         IF(OFFSET(CRONOPLE!$F$15,$M123-$A$15,BP$13)="",10^12,OFFSET(CRONOPLE!$F$15,$M123-$A$15,BP$13)))</f>
        <v>1000000000000</v>
      </c>
      <c r="BQ123" s="178">
        <f ca="1">IF(OR($D123&lt;&gt;"Serviço",AND(AUTOEVENTO="Manual",$M123=$A$15)),0,
         IF(OFFSET(CRONOPLE!$F$15,$M123-$A$15,BQ$13)="",10^12,OFFSET(CRONOPLE!$F$15,$M123-$A$15,BQ$13)))</f>
        <v>15</v>
      </c>
      <c r="BR123" s="178">
        <f ca="1">IF(OR($D123&lt;&gt;"Serviço",AND(AUTOEVENTO="Manual",$M123=$A$15)),0,
         IF(OFFSET(CRONOPLE!$F$15,$M123-$A$15,BR$13)="",10^12,OFFSET(CRONOPLE!$F$15,$M123-$A$15,BR$13)))</f>
        <v>1000000000000</v>
      </c>
      <c r="BS123" s="178">
        <f ca="1">IF(OR($D123&lt;&gt;"Serviço",AND(AUTOEVENTO="Manual",$M123=$A$15)),0,
         IF(OFFSET(CRONOPLE!$F$15,$M123-$A$15,BS$13)="",10^12,OFFSET(CRONOPLE!$F$15,$M123-$A$15,BS$13)))</f>
        <v>1000000000000</v>
      </c>
      <c r="BT123" s="178">
        <f ca="1">IF(OR($D123&lt;&gt;"Serviço",AND(AUTOEVENTO="Manual",$M123=$A$15)),0,
         IF(OFFSET(CRONOPLE!$F$15,$M123-$A$15,BT$13)="",10^12,OFFSET(CRONOPLE!$F$15,$M123-$A$15,BT$13)))</f>
        <v>1000000000000</v>
      </c>
      <c r="BV123" s="179">
        <f ca="1">IF(OR($D123&lt;&gt;"Serviço",AND(AUTOEVENTO="Manual",$M123=$A$15),$M123&gt;(ROW(PLE.lastrow)-ROW(PLE.firstrow))),0,
           IF(OFFSET(PLE!$G$15,$M123-$A$15,BV$13)="",10^12,OFFSET(PLE!$G$15,$M123-$A$15,BV$13)))</f>
        <v>1000000000000</v>
      </c>
      <c r="BW123" s="179">
        <f ca="1">IF(OR($D123&lt;&gt;"Serviço",AND(AUTOEVENTO="Manual",$M123=$A$15),$M123&gt;(ROW(PLE.lastrow)-ROW(PLE.firstrow))),0,
           IF(OFFSET(PLE!$G$15,$M123-$A$15,BW$13)="",10^12,OFFSET(PLE!$G$15,$M123-$A$15,BW$13)))</f>
        <v>1000000000000</v>
      </c>
      <c r="BX123" s="179">
        <f ca="1">IF(OR($D123&lt;&gt;"Serviço",AND(AUTOEVENTO="Manual",$M123=$A$15),$M123&gt;(ROW(PLE.lastrow)-ROW(PLE.firstrow))),0,
           IF(OFFSET(PLE!$G$15,$M123-$A$15,BX$13)="",10^12,OFFSET(PLE!$G$15,$M123-$A$15,BX$13)))</f>
        <v>1000000000000</v>
      </c>
      <c r="BY123" s="179">
        <f ca="1">IF(OR($D123&lt;&gt;"Serviço",AND(AUTOEVENTO="Manual",$M123=$A$15),$M123&gt;(ROW(PLE.lastrow)-ROW(PLE.firstrow))),0,
           IF(OFFSET(PLE!$G$15,$M123-$A$15,BY$13)="",10^12,OFFSET(PLE!$G$15,$M123-$A$15,BY$13)))</f>
        <v>1000000000000</v>
      </c>
      <c r="BZ123" s="179">
        <f ca="1">IF(OR($D123&lt;&gt;"Serviço",AND(AUTOEVENTO="Manual",$M123=$A$15),$M123&gt;(ROW(PLE.lastrow)-ROW(PLE.firstrow))),0,
           IF(OFFSET(PLE!$G$15,$M123-$A$15,BZ$13)="",10^12,OFFSET(PLE!$G$15,$M123-$A$15,BZ$13)))</f>
        <v>1000000000000</v>
      </c>
      <c r="CA123" s="179">
        <f ca="1">IF(OR($D123&lt;&gt;"Serviço",AND(AUTOEVENTO="Manual",$M123=$A$15),$M123&gt;(ROW(PLE.lastrow)-ROW(PLE.firstrow))),0,
           IF(OFFSET(PLE!$G$15,$M123-$A$15,CA$13)="",10^12,OFFSET(PLE!$G$15,$M123-$A$15,CA$13)))</f>
        <v>1000000000000</v>
      </c>
      <c r="CB123" s="179">
        <f ca="1">IF(OR($D123&lt;&gt;"Serviço",AND(AUTOEVENTO="Manual",$M123=$A$15),$M123&gt;(ROW(PLE.lastrow)-ROW(PLE.firstrow))),0,
           IF(OFFSET(PLE!$G$15,$M123-$A$15,CB$13)="",10^12,OFFSET(PLE!$G$15,$M123-$A$15,CB$13)))</f>
        <v>1000000000000</v>
      </c>
      <c r="CC123" s="179">
        <f ca="1">IF(OR($D123&lt;&gt;"Serviço",AND(AUTOEVENTO="Manual",$M123=$A$15),$M123&gt;(ROW(PLE.lastrow)-ROW(PLE.firstrow))),0,
           IF(OFFSET(PLE!$G$15,$M123-$A$15,CC$13)="",10^12,OFFSET(PLE!$G$15,$M123-$A$15,CC$13)))</f>
        <v>1000000000000</v>
      </c>
      <c r="CD123" s="179">
        <f ca="1">IF(OR($D123&lt;&gt;"Serviço",AND(AUTOEVENTO="Manual",$M123=$A$15),$M123&gt;(ROW(PLE.lastrow)-ROW(PLE.firstrow))),0,
           IF(OFFSET(PLE!$G$15,$M123-$A$15,CD$13)="",10^12,OFFSET(PLE!$G$15,$M123-$A$15,CD$13)))</f>
        <v>1000000000000</v>
      </c>
      <c r="CE123" s="179">
        <f ca="1">IF(OR($D123&lt;&gt;"Serviço",AND(AUTOEVENTO="Manual",$M123=$A$15),$M123&gt;(ROW(PLE.lastrow)-ROW(PLE.firstrow))),0,
           IF(OFFSET(PLE!$G$15,$M123-$A$15,CE$13)="",10^12,OFFSET(PLE!$G$15,$M123-$A$15,CE$13)))</f>
        <v>1000000000000</v>
      </c>
      <c r="CF123" s="179">
        <f ca="1">IF(OR($D123&lt;&gt;"Serviço",AND(AUTOEVENTO="Manual",$M123=$A$15),$M123&gt;(ROW(PLE.lastrow)-ROW(PLE.firstrow))),0,
           IF(OFFSET(PLE!$G$15,$M123-$A$15,CF$13)="",10^12,OFFSET(PLE!$G$15,$M123-$A$15,CF$13)))</f>
        <v>1000000000000</v>
      </c>
      <c r="CG123" s="179">
        <f ca="1">IF(OR($D123&lt;&gt;"Serviço",AND(AUTOEVENTO="Manual",$M123=$A$15),$M123&gt;(ROW(PLE.lastrow)-ROW(PLE.firstrow))),0,
           IF(OFFSET(PLE!$G$15,$M123-$A$15,CG$13)="",10^12,OFFSET(PLE!$G$15,$M123-$A$15,CG$13)))</f>
        <v>1000000000000</v>
      </c>
      <c r="CH123" s="179">
        <f ca="1">IF(OR($D123&lt;&gt;"Serviço",AND(AUTOEVENTO="Manual",$M123=$A$15),$M123&gt;(ROW(PLE.lastrow)-ROW(PLE.firstrow))),0,
           IF(OFFSET(PLE!$G$15,$M123-$A$15,CH$13)="",10^12,OFFSET(PLE!$G$15,$M123-$A$15,CH$13)))</f>
        <v>1000000000000</v>
      </c>
      <c r="CI123" s="179">
        <f ca="1">IF(OR($D123&lt;&gt;"Serviço",AND(AUTOEVENTO="Manual",$M123=$A$15),$M123&gt;(ROW(PLE.lastrow)-ROW(PLE.firstrow))),0,
           IF(OFFSET(PLE!$G$15,$M123-$A$15,CI$13)="",10^12,OFFSET(PLE!$G$15,$M123-$A$15,CI$13)))</f>
        <v>1000000000000</v>
      </c>
      <c r="CJ123" s="179">
        <f ca="1">IF(OR($D123&lt;&gt;"Serviço",AND(AUTOEVENTO="Manual",$M123=$A$15),$M123&gt;(ROW(PLE.lastrow)-ROW(PLE.firstrow))),0,
           IF(OFFSET(PLE!$G$15,$M123-$A$15,CJ$13)="",10^12,OFFSET(PLE!$G$15,$M123-$A$15,CJ$13)))</f>
        <v>1000000000000</v>
      </c>
      <c r="CK123" s="179">
        <f ca="1">IF(OR($D123&lt;&gt;"Serviço",AND(AUTOEVENTO="Manual",$M123=$A$15),$M123&gt;(ROW(PLE.lastrow)-ROW(PLE.firstrow))),0,
           IF(OFFSET(PLE!$G$15,$M123-$A$15,CK$13)="",10^12,OFFSET(PLE!$G$15,$M123-$A$15,CK$13)))</f>
        <v>1000000000000</v>
      </c>
      <c r="CL123" s="179">
        <f ca="1">IF(OR($D123&lt;&gt;"Serviço",AND(AUTOEVENTO="Manual",$M123=$A$15),$M123&gt;(ROW(PLE.lastrow)-ROW(PLE.firstrow))),0,
           IF(OFFSET(PLE!$G$15,$M123-$A$15,CL$13)="",10^12,OFFSET(PLE!$G$15,$M123-$A$15,CL$13)))</f>
        <v>1000000000000</v>
      </c>
      <c r="CM123" s="179">
        <f ca="1">IF(OR($D123&lt;&gt;"Serviço",AND(AUTOEVENTO="Manual",$M123=$A$15),$M123&gt;(ROW(PLE.lastrow)-ROW(PLE.firstrow))),0,
           IF(OFFSET(PLE!$G$15,$M123-$A$15,CM$13)="",10^12,OFFSET(PLE!$G$15,$M123-$A$15,CM$13)))</f>
        <v>1000000000000</v>
      </c>
    </row>
    <row r="124" spans="1:91" ht="25.5" x14ac:dyDescent="0.2">
      <c r="A124" s="7" t="str">
        <f ca="1">IF(AUTOEVENTO="Manual",IF(K124&lt;&gt;"",MIN(VALUE(LEFT(K124,FIND(".",K124)-1)),COUNTA(EVENTOS.Lista)),0),IF(OR($B124&gt;AUTOEVENTO,$B124="S",$B124=0),SUBSTITUTE(OFFSET($A124,-1,0),IF($D124="Serviço",".",""),""),ROW(A124)-ROW($A$15)&amp;"."))</f>
        <v>71</v>
      </c>
      <c r="B124" s="7" t="str">
        <f ca="1">OFFSET(ORÇAMENTO!C$15,ROW(B124)-ROW(B$15),0)</f>
        <v>S</v>
      </c>
      <c r="C124" s="7" t="str">
        <f ca="1">OFFSET(ORÇAMENTO!L$15,ROW(C124)-ROW(C$15),0)</f>
        <v>F</v>
      </c>
      <c r="D124" s="118" t="str">
        <f ca="1">OFFSET(ORÇAMENTO!N$15,ROW(D124)-ROW(D$15),0)</f>
        <v>Serviço</v>
      </c>
      <c r="E124" s="119" t="str">
        <f ca="1">OFFSET(ORÇAMENTO!O$15,ROW(E124)-ROW(E$15),0)</f>
        <v>1.12.0.0.38.</v>
      </c>
      <c r="F124" s="170" t="str">
        <f ca="1">OFFSET(ORÇAMENTO!R$15,ROW(F124)-ROW(F$15),0)</f>
        <v>LASTRO DE CONCRETO MAGRO, APLICADO EM PISOS, LAJES SOBRE SOLO OU RADIERS. AF_01/2024</v>
      </c>
      <c r="G124" s="171" t="str">
        <f ca="1">IF($D124&lt;&gt;"Serviço","",OFFSET(ORÇAMENTO!S$15,ROW(G124)-ROW(G$15),0))</f>
        <v>M3</v>
      </c>
      <c r="H124" s="124" cm="1">
        <f t="array" aca="1" ref="H124" ca="1">IF($D124&lt;&gt;"Serviço",0,IF(_xlfn.SINGLE(ACOMPANHAMENTO)="BM",ROUND(OFFSET(ORÇAMENTO!AJ$15,ROW(H124)-ROW(H$15),0),15-13*ORÇAMENTO!$AF$7),SUMPRODUCT(($Q$1:$AI$1)*ROUND($Q124:$AI124,15-13*ORÇAMENTO!$AF$7))))</f>
        <v>0.57999999999999996</v>
      </c>
      <c r="I124" s="500" t="s">
        <v>1019</v>
      </c>
      <c r="J124" s="632" t="str" cm="1">
        <f t="array" aca="1" ref="J124" ca="1">IF(B124&lt;&gt;"S","",IF(AND(ACOMPANHAMENTO="PLE",AUTOEVENTO="Manual",OR(H124&gt;0,ORÇAMENTO!AC124="QUANT."),OR(K124="",M124=0,N124="")),"►",IF(AND(ACOMPANHAMENTO="PLE",ORÇAMENTO!AC124="QUANT."),"►►",IF(AND(COUNTIF($P$11:$AI$11,"▼")=0,H124&gt;0,I124=""),"◄",""))))</f>
        <v/>
      </c>
      <c r="K124" s="624"/>
      <c r="L124" s="172" t="s">
        <v>253</v>
      </c>
      <c r="M124" s="173">
        <f ca="1">IF($D124&lt;&gt;"Serviço","",
          IF(AUTOEVENTO="manual",$A124,
                IF(ISERROR(MATCH($A124,$A$15:OFFSET($A124,-1,0),0)),MAX($M$15:OFFSET(M124,-1,0))+1,
                      INDEX($M$15:OFFSET(M124,-1,0),MATCH($A124,$A$15:OFFSET($A124,-1,0),0)))))</f>
        <v>12</v>
      </c>
      <c r="N124" s="174" t="str">
        <f ca="1">IF($D124&lt;&gt;"Serviço","",
         IF(AUTOEVENTO="Manual",
                IF($A124=0,"&lt;-- defina o número do agrupador",
                       OFFSET(EVENTOS!$D$15,$A124-$A$15,0)),
                OFFSET($F$15,$A124,0)))</f>
        <v>INSTALAÇÕES ELÉTRICAS</v>
      </c>
      <c r="O124" s="175"/>
      <c r="Q124" s="175"/>
      <c r="R124" s="176"/>
      <c r="S124" s="176"/>
      <c r="T124" s="176">
        <v>0.57599999999999996</v>
      </c>
      <c r="U124" s="176"/>
      <c r="V124" s="176"/>
      <c r="W124" s="176"/>
      <c r="X124" s="176"/>
      <c r="Y124" s="176"/>
      <c r="Z124" s="177"/>
      <c r="AA124" s="176"/>
      <c r="AB124" s="176"/>
      <c r="AC124" s="176"/>
      <c r="AD124" s="176"/>
      <c r="AE124" s="176"/>
      <c r="AF124" s="176"/>
      <c r="AG124" s="176"/>
      <c r="AH124" s="177"/>
      <c r="AJ124" s="485">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85">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L124" s="485">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0</v>
      </c>
      <c r="AM124" s="485">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642.32000000000005</v>
      </c>
      <c r="AN124" s="485">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85">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0</v>
      </c>
      <c r="AP124" s="485">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85">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85">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85">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85">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85">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85">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85">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85">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85">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85">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85">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8">
        <f ca="1">IF(OR($D124&lt;&gt;"Serviço",AND(AUTOEVENTO="Manual",$M124=$A$15)),0,
         IF(OFFSET(CRONOPLE!$F$15,$M124-$A$15,BC$13)="",10^12,OFFSET(CRONOPLE!$F$15,$M124-$A$15,BC$13)))</f>
        <v>1</v>
      </c>
      <c r="BD124" s="178">
        <f ca="1">IF(OR($D124&lt;&gt;"Serviço",AND(AUTOEVENTO="Manual",$M124=$A$15)),0,
         IF(OFFSET(CRONOPLE!$F$15,$M124-$A$15,BD$13)="",10^12,OFFSET(CRONOPLE!$F$15,$M124-$A$15,BD$13)))</f>
        <v>2</v>
      </c>
      <c r="BE124" s="178">
        <f ca="1">IF(OR($D124&lt;&gt;"Serviço",AND(AUTOEVENTO="Manual",$M124=$A$15)),0,
         IF(OFFSET(CRONOPLE!$F$15,$M124-$A$15,BE$13)="",10^12,OFFSET(CRONOPLE!$F$15,$M124-$A$15,BE$13)))</f>
        <v>1000000000000</v>
      </c>
      <c r="BF124" s="178">
        <f ca="1">IF(OR($D124&lt;&gt;"Serviço",AND(AUTOEVENTO="Manual",$M124=$A$15)),0,
         IF(OFFSET(CRONOPLE!$F$15,$M124-$A$15,BF$13)="",10^12,OFFSET(CRONOPLE!$F$15,$M124-$A$15,BF$13)))</f>
        <v>4</v>
      </c>
      <c r="BG124" s="178">
        <f ca="1">IF(OR($D124&lt;&gt;"Serviço",AND(AUTOEVENTO="Manual",$M124=$A$15)),0,
         IF(OFFSET(CRONOPLE!$F$15,$M124-$A$15,BG$13)="",10^12,OFFSET(CRONOPLE!$F$15,$M124-$A$15,BG$13)))</f>
        <v>5</v>
      </c>
      <c r="BH124" s="178">
        <f ca="1">IF(OR($D124&lt;&gt;"Serviço",AND(AUTOEVENTO="Manual",$M124=$A$15)),0,
         IF(OFFSET(CRONOPLE!$F$15,$M124-$A$15,BH$13)="",10^12,OFFSET(CRONOPLE!$F$15,$M124-$A$15,BH$13)))</f>
        <v>6</v>
      </c>
      <c r="BI124" s="178">
        <f ca="1">IF(OR($D124&lt;&gt;"Serviço",AND(AUTOEVENTO="Manual",$M124=$A$15)),0,
         IF(OFFSET(CRONOPLE!$F$15,$M124-$A$15,BI$13)="",10^12,OFFSET(CRONOPLE!$F$15,$M124-$A$15,BI$13)))</f>
        <v>7</v>
      </c>
      <c r="BJ124" s="178">
        <f ca="1">IF(OR($D124&lt;&gt;"Serviço",AND(AUTOEVENTO="Manual",$M124=$A$15)),0,
         IF(OFFSET(CRONOPLE!$F$15,$M124-$A$15,BJ$13)="",10^12,OFFSET(CRONOPLE!$F$15,$M124-$A$15,BJ$13)))</f>
        <v>8</v>
      </c>
      <c r="BK124" s="178">
        <f ca="1">IF(OR($D124&lt;&gt;"Serviço",AND(AUTOEVENTO="Manual",$M124=$A$15)),0,
         IF(OFFSET(CRONOPLE!$F$15,$M124-$A$15,BK$13)="",10^12,OFFSET(CRONOPLE!$F$15,$M124-$A$15,BK$13)))</f>
        <v>9</v>
      </c>
      <c r="BL124" s="178">
        <f ca="1">IF(OR($D124&lt;&gt;"Serviço",AND(AUTOEVENTO="Manual",$M124=$A$15)),0,
         IF(OFFSET(CRONOPLE!$F$15,$M124-$A$15,BL$13)="",10^12,OFFSET(CRONOPLE!$F$15,$M124-$A$15,BL$13)))</f>
        <v>10</v>
      </c>
      <c r="BM124" s="178">
        <f ca="1">IF(OR($D124&lt;&gt;"Serviço",AND(AUTOEVENTO="Manual",$M124=$A$15)),0,
         IF(OFFSET(CRONOPLE!$F$15,$M124-$A$15,BM$13)="",10^12,OFFSET(CRONOPLE!$F$15,$M124-$A$15,BM$13)))</f>
        <v>1000000000000</v>
      </c>
      <c r="BN124" s="178">
        <f ca="1">IF(OR($D124&lt;&gt;"Serviço",AND(AUTOEVENTO="Manual",$M124=$A$15)),0,
         IF(OFFSET(CRONOPLE!$F$15,$M124-$A$15,BN$13)="",10^12,OFFSET(CRONOPLE!$F$15,$M124-$A$15,BN$13)))</f>
        <v>1000000000000</v>
      </c>
      <c r="BO124" s="178">
        <f ca="1">IF(OR($D124&lt;&gt;"Serviço",AND(AUTOEVENTO="Manual",$M124=$A$15)),0,
         IF(OFFSET(CRONOPLE!$F$15,$M124-$A$15,BO$13)="",10^12,OFFSET(CRONOPLE!$F$15,$M124-$A$15,BO$13)))</f>
        <v>1000000000000</v>
      </c>
      <c r="BP124" s="178">
        <f ca="1">IF(OR($D124&lt;&gt;"Serviço",AND(AUTOEVENTO="Manual",$M124=$A$15)),0,
         IF(OFFSET(CRONOPLE!$F$15,$M124-$A$15,BP$13)="",10^12,OFFSET(CRONOPLE!$F$15,$M124-$A$15,BP$13)))</f>
        <v>1000000000000</v>
      </c>
      <c r="BQ124" s="178">
        <f ca="1">IF(OR($D124&lt;&gt;"Serviço",AND(AUTOEVENTO="Manual",$M124=$A$15)),0,
         IF(OFFSET(CRONOPLE!$F$15,$M124-$A$15,BQ$13)="",10^12,OFFSET(CRONOPLE!$F$15,$M124-$A$15,BQ$13)))</f>
        <v>15</v>
      </c>
      <c r="BR124" s="178">
        <f ca="1">IF(OR($D124&lt;&gt;"Serviço",AND(AUTOEVENTO="Manual",$M124=$A$15)),0,
         IF(OFFSET(CRONOPLE!$F$15,$M124-$A$15,BR$13)="",10^12,OFFSET(CRONOPLE!$F$15,$M124-$A$15,BR$13)))</f>
        <v>1000000000000</v>
      </c>
      <c r="BS124" s="178">
        <f ca="1">IF(OR($D124&lt;&gt;"Serviço",AND(AUTOEVENTO="Manual",$M124=$A$15)),0,
         IF(OFFSET(CRONOPLE!$F$15,$M124-$A$15,BS$13)="",10^12,OFFSET(CRONOPLE!$F$15,$M124-$A$15,BS$13)))</f>
        <v>1000000000000</v>
      </c>
      <c r="BT124" s="178">
        <f ca="1">IF(OR($D124&lt;&gt;"Serviço",AND(AUTOEVENTO="Manual",$M124=$A$15)),0,
         IF(OFFSET(CRONOPLE!$F$15,$M124-$A$15,BT$13)="",10^12,OFFSET(CRONOPLE!$F$15,$M124-$A$15,BT$13)))</f>
        <v>1000000000000</v>
      </c>
      <c r="BV124" s="179">
        <f ca="1">IF(OR($D124&lt;&gt;"Serviço",AND(AUTOEVENTO="Manual",$M124=$A$15),$M124&gt;(ROW(PLE.lastrow)-ROW(PLE.firstrow))),0,
           IF(OFFSET(PLE!$G$15,$M124-$A$15,BV$13)="",10^12,OFFSET(PLE!$G$15,$M124-$A$15,BV$13)))</f>
        <v>1000000000000</v>
      </c>
      <c r="BW124" s="179">
        <f ca="1">IF(OR($D124&lt;&gt;"Serviço",AND(AUTOEVENTO="Manual",$M124=$A$15),$M124&gt;(ROW(PLE.lastrow)-ROW(PLE.firstrow))),0,
           IF(OFFSET(PLE!$G$15,$M124-$A$15,BW$13)="",10^12,OFFSET(PLE!$G$15,$M124-$A$15,BW$13)))</f>
        <v>1000000000000</v>
      </c>
      <c r="BX124" s="179">
        <f ca="1">IF(OR($D124&lt;&gt;"Serviço",AND(AUTOEVENTO="Manual",$M124=$A$15),$M124&gt;(ROW(PLE.lastrow)-ROW(PLE.firstrow))),0,
           IF(OFFSET(PLE!$G$15,$M124-$A$15,BX$13)="",10^12,OFFSET(PLE!$G$15,$M124-$A$15,BX$13)))</f>
        <v>1000000000000</v>
      </c>
      <c r="BY124" s="179">
        <f ca="1">IF(OR($D124&lt;&gt;"Serviço",AND(AUTOEVENTO="Manual",$M124=$A$15),$M124&gt;(ROW(PLE.lastrow)-ROW(PLE.firstrow))),0,
           IF(OFFSET(PLE!$G$15,$M124-$A$15,BY$13)="",10^12,OFFSET(PLE!$G$15,$M124-$A$15,BY$13)))</f>
        <v>1000000000000</v>
      </c>
      <c r="BZ124" s="179">
        <f ca="1">IF(OR($D124&lt;&gt;"Serviço",AND(AUTOEVENTO="Manual",$M124=$A$15),$M124&gt;(ROW(PLE.lastrow)-ROW(PLE.firstrow))),0,
           IF(OFFSET(PLE!$G$15,$M124-$A$15,BZ$13)="",10^12,OFFSET(PLE!$G$15,$M124-$A$15,BZ$13)))</f>
        <v>1000000000000</v>
      </c>
      <c r="CA124" s="179">
        <f ca="1">IF(OR($D124&lt;&gt;"Serviço",AND(AUTOEVENTO="Manual",$M124=$A$15),$M124&gt;(ROW(PLE.lastrow)-ROW(PLE.firstrow))),0,
           IF(OFFSET(PLE!$G$15,$M124-$A$15,CA$13)="",10^12,OFFSET(PLE!$G$15,$M124-$A$15,CA$13)))</f>
        <v>1000000000000</v>
      </c>
      <c r="CB124" s="179">
        <f ca="1">IF(OR($D124&lt;&gt;"Serviço",AND(AUTOEVENTO="Manual",$M124=$A$15),$M124&gt;(ROW(PLE.lastrow)-ROW(PLE.firstrow))),0,
           IF(OFFSET(PLE!$G$15,$M124-$A$15,CB$13)="",10^12,OFFSET(PLE!$G$15,$M124-$A$15,CB$13)))</f>
        <v>1000000000000</v>
      </c>
      <c r="CC124" s="179">
        <f ca="1">IF(OR($D124&lt;&gt;"Serviço",AND(AUTOEVENTO="Manual",$M124=$A$15),$M124&gt;(ROW(PLE.lastrow)-ROW(PLE.firstrow))),0,
           IF(OFFSET(PLE!$G$15,$M124-$A$15,CC$13)="",10^12,OFFSET(PLE!$G$15,$M124-$A$15,CC$13)))</f>
        <v>1000000000000</v>
      </c>
      <c r="CD124" s="179">
        <f ca="1">IF(OR($D124&lt;&gt;"Serviço",AND(AUTOEVENTO="Manual",$M124=$A$15),$M124&gt;(ROW(PLE.lastrow)-ROW(PLE.firstrow))),0,
           IF(OFFSET(PLE!$G$15,$M124-$A$15,CD$13)="",10^12,OFFSET(PLE!$G$15,$M124-$A$15,CD$13)))</f>
        <v>1000000000000</v>
      </c>
      <c r="CE124" s="179">
        <f ca="1">IF(OR($D124&lt;&gt;"Serviço",AND(AUTOEVENTO="Manual",$M124=$A$15),$M124&gt;(ROW(PLE.lastrow)-ROW(PLE.firstrow))),0,
           IF(OFFSET(PLE!$G$15,$M124-$A$15,CE$13)="",10^12,OFFSET(PLE!$G$15,$M124-$A$15,CE$13)))</f>
        <v>1000000000000</v>
      </c>
      <c r="CF124" s="179">
        <f ca="1">IF(OR($D124&lt;&gt;"Serviço",AND(AUTOEVENTO="Manual",$M124=$A$15),$M124&gt;(ROW(PLE.lastrow)-ROW(PLE.firstrow))),0,
           IF(OFFSET(PLE!$G$15,$M124-$A$15,CF$13)="",10^12,OFFSET(PLE!$G$15,$M124-$A$15,CF$13)))</f>
        <v>1000000000000</v>
      </c>
      <c r="CG124" s="179">
        <f ca="1">IF(OR($D124&lt;&gt;"Serviço",AND(AUTOEVENTO="Manual",$M124=$A$15),$M124&gt;(ROW(PLE.lastrow)-ROW(PLE.firstrow))),0,
           IF(OFFSET(PLE!$G$15,$M124-$A$15,CG$13)="",10^12,OFFSET(PLE!$G$15,$M124-$A$15,CG$13)))</f>
        <v>1000000000000</v>
      </c>
      <c r="CH124" s="179">
        <f ca="1">IF(OR($D124&lt;&gt;"Serviço",AND(AUTOEVENTO="Manual",$M124=$A$15),$M124&gt;(ROW(PLE.lastrow)-ROW(PLE.firstrow))),0,
           IF(OFFSET(PLE!$G$15,$M124-$A$15,CH$13)="",10^12,OFFSET(PLE!$G$15,$M124-$A$15,CH$13)))</f>
        <v>1000000000000</v>
      </c>
      <c r="CI124" s="179">
        <f ca="1">IF(OR($D124&lt;&gt;"Serviço",AND(AUTOEVENTO="Manual",$M124=$A$15),$M124&gt;(ROW(PLE.lastrow)-ROW(PLE.firstrow))),0,
           IF(OFFSET(PLE!$G$15,$M124-$A$15,CI$13)="",10^12,OFFSET(PLE!$G$15,$M124-$A$15,CI$13)))</f>
        <v>1000000000000</v>
      </c>
      <c r="CJ124" s="179">
        <f ca="1">IF(OR($D124&lt;&gt;"Serviço",AND(AUTOEVENTO="Manual",$M124=$A$15),$M124&gt;(ROW(PLE.lastrow)-ROW(PLE.firstrow))),0,
           IF(OFFSET(PLE!$G$15,$M124-$A$15,CJ$13)="",10^12,OFFSET(PLE!$G$15,$M124-$A$15,CJ$13)))</f>
        <v>1000000000000</v>
      </c>
      <c r="CK124" s="179">
        <f ca="1">IF(OR($D124&lt;&gt;"Serviço",AND(AUTOEVENTO="Manual",$M124=$A$15),$M124&gt;(ROW(PLE.lastrow)-ROW(PLE.firstrow))),0,
           IF(OFFSET(PLE!$G$15,$M124-$A$15,CK$13)="",10^12,OFFSET(PLE!$G$15,$M124-$A$15,CK$13)))</f>
        <v>1000000000000</v>
      </c>
      <c r="CL124" s="179">
        <f ca="1">IF(OR($D124&lt;&gt;"Serviço",AND(AUTOEVENTO="Manual",$M124=$A$15),$M124&gt;(ROW(PLE.lastrow)-ROW(PLE.firstrow))),0,
           IF(OFFSET(PLE!$G$15,$M124-$A$15,CL$13)="",10^12,OFFSET(PLE!$G$15,$M124-$A$15,CL$13)))</f>
        <v>1000000000000</v>
      </c>
      <c r="CM124" s="179">
        <f ca="1">IF(OR($D124&lt;&gt;"Serviço",AND(AUTOEVENTO="Manual",$M124=$A$15),$M124&gt;(ROW(PLE.lastrow)-ROW(PLE.firstrow))),0,
           IF(OFFSET(PLE!$G$15,$M124-$A$15,CM$13)="",10^12,OFFSET(PLE!$G$15,$M124-$A$15,CM$13)))</f>
        <v>1000000000000</v>
      </c>
    </row>
    <row r="125" spans="1:91" ht="25.5" x14ac:dyDescent="0.2">
      <c r="A125" s="7" t="str">
        <f ca="1">IF(AUTOEVENTO="Manual",IF(K125&lt;&gt;"",MIN(VALUE(LEFT(K125,FIND(".",K125)-1)),COUNTA(EVENTOS.Lista)),0),IF(OR($B125&gt;AUTOEVENTO,$B125="S",$B125=0),SUBSTITUTE(OFFSET($A125,-1,0),IF($D125="Serviço",".",""),""),ROW(A125)-ROW($A$15)&amp;"."))</f>
        <v>71</v>
      </c>
      <c r="B125" s="7" t="str">
        <f ca="1">OFFSET(ORÇAMENTO!C$15,ROW(B125)-ROW(B$15),0)</f>
        <v>S</v>
      </c>
      <c r="C125" s="7" t="str">
        <f ca="1">OFFSET(ORÇAMENTO!L$15,ROW(C125)-ROW(C$15),0)</f>
        <v>F</v>
      </c>
      <c r="D125" s="118" t="str">
        <f ca="1">OFFSET(ORÇAMENTO!N$15,ROW(D125)-ROW(D$15),0)</f>
        <v>Serviço</v>
      </c>
      <c r="E125" s="119" t="str">
        <f ca="1">OFFSET(ORÇAMENTO!O$15,ROW(E125)-ROW(E$15),0)</f>
        <v>1.12.0.0.39.</v>
      </c>
      <c r="F125" s="170" t="str">
        <f ca="1">OFFSET(ORÇAMENTO!R$15,ROW(F125)-ROW(F$15),0)</f>
        <v>FORNECIMENTO E INSTALAÇÃO DE LUMINÁRIA TL SLIM CONFORME DETALHES E ESPECIFICAÇÕES LISTADAS EM PROJETO ELÉTRICO</v>
      </c>
      <c r="G125" s="171" t="str">
        <f ca="1">IF($D125&lt;&gt;"Serviço","",OFFSET(ORÇAMENTO!S$15,ROW(G125)-ROW(G$15),0))</f>
        <v>UN</v>
      </c>
      <c r="H125" s="124" cm="1">
        <f t="array" aca="1" ref="H125" ca="1">IF($D125&lt;&gt;"Serviço",0,IF(_xlfn.SINGLE(ACOMPANHAMENTO)="BM",ROUND(OFFSET(ORÇAMENTO!AJ$15,ROW(H125)-ROW(H$15),0),15-13*ORÇAMENTO!$AF$7),SUMPRODUCT(($Q$1:$AI$1)*ROUND($Q125:$AI125,15-13*ORÇAMENTO!$AF$7))))</f>
        <v>28</v>
      </c>
      <c r="I125" s="500" t="s">
        <v>1019</v>
      </c>
      <c r="J125" s="632" t="str" cm="1">
        <f t="array" aca="1" ref="J125" ca="1">IF(B125&lt;&gt;"S","",IF(AND(ACOMPANHAMENTO="PLE",AUTOEVENTO="Manual",OR(H125&gt;0,ORÇAMENTO!AC125="QUANT."),OR(K125="",M125=0,N125="")),"►",IF(AND(ACOMPANHAMENTO="PLE",ORÇAMENTO!AC125="QUANT."),"►►",IF(AND(COUNTIF($P$11:$AI$11,"▼")=0,H125&gt;0,I125=""),"◄",""))))</f>
        <v/>
      </c>
      <c r="K125" s="624"/>
      <c r="L125" s="172" t="s">
        <v>253</v>
      </c>
      <c r="M125" s="173">
        <f ca="1">IF($D125&lt;&gt;"Serviço","",
          IF(AUTOEVENTO="manual",$A125,
                IF(ISERROR(MATCH($A125,$A$15:OFFSET($A125,-1,0),0)),MAX($M$15:OFFSET(M125,-1,0))+1,
                      INDEX($M$15:OFFSET(M125,-1,0),MATCH($A125,$A$15:OFFSET($A125,-1,0),0)))))</f>
        <v>12</v>
      </c>
      <c r="N125" s="174" t="str">
        <f ca="1">IF($D125&lt;&gt;"Serviço","",
         IF(AUTOEVENTO="Manual",
                IF($A125=0,"&lt;-- defina o número do agrupador",
                       OFFSET(EVENTOS!$D$15,$A125-$A$15,0)),
                OFFSET($F$15,$A125,0)))</f>
        <v>INSTALAÇÕES ELÉTRICAS</v>
      </c>
      <c r="O125" s="175"/>
      <c r="Q125" s="175"/>
      <c r="R125" s="176"/>
      <c r="S125" s="176"/>
      <c r="T125" s="176">
        <v>28</v>
      </c>
      <c r="U125" s="176"/>
      <c r="V125" s="176"/>
      <c r="W125" s="176"/>
      <c r="X125" s="176"/>
      <c r="Y125" s="176"/>
      <c r="Z125" s="177"/>
      <c r="AA125" s="176"/>
      <c r="AB125" s="176"/>
      <c r="AC125" s="176"/>
      <c r="AD125" s="176"/>
      <c r="AE125" s="176"/>
      <c r="AF125" s="176"/>
      <c r="AG125" s="176"/>
      <c r="AH125" s="177"/>
      <c r="AJ125" s="485">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85">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85">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85">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8315.16</v>
      </c>
      <c r="AN125" s="485">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0</v>
      </c>
      <c r="AO125" s="485">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0</v>
      </c>
      <c r="AP125" s="485">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85">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85">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85">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85">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85">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85">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85">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85">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85">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85">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85">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8">
        <f ca="1">IF(OR($D125&lt;&gt;"Serviço",AND(AUTOEVENTO="Manual",$M125=$A$15)),0,
         IF(OFFSET(CRONOPLE!$F$15,$M125-$A$15,BC$13)="",10^12,OFFSET(CRONOPLE!$F$15,$M125-$A$15,BC$13)))</f>
        <v>1</v>
      </c>
      <c r="BD125" s="178">
        <f ca="1">IF(OR($D125&lt;&gt;"Serviço",AND(AUTOEVENTO="Manual",$M125=$A$15)),0,
         IF(OFFSET(CRONOPLE!$F$15,$M125-$A$15,BD$13)="",10^12,OFFSET(CRONOPLE!$F$15,$M125-$A$15,BD$13)))</f>
        <v>2</v>
      </c>
      <c r="BE125" s="178">
        <f ca="1">IF(OR($D125&lt;&gt;"Serviço",AND(AUTOEVENTO="Manual",$M125=$A$15)),0,
         IF(OFFSET(CRONOPLE!$F$15,$M125-$A$15,BE$13)="",10^12,OFFSET(CRONOPLE!$F$15,$M125-$A$15,BE$13)))</f>
        <v>1000000000000</v>
      </c>
      <c r="BF125" s="178">
        <f ca="1">IF(OR($D125&lt;&gt;"Serviço",AND(AUTOEVENTO="Manual",$M125=$A$15)),0,
         IF(OFFSET(CRONOPLE!$F$15,$M125-$A$15,BF$13)="",10^12,OFFSET(CRONOPLE!$F$15,$M125-$A$15,BF$13)))</f>
        <v>4</v>
      </c>
      <c r="BG125" s="178">
        <f ca="1">IF(OR($D125&lt;&gt;"Serviço",AND(AUTOEVENTO="Manual",$M125=$A$15)),0,
         IF(OFFSET(CRONOPLE!$F$15,$M125-$A$15,BG$13)="",10^12,OFFSET(CRONOPLE!$F$15,$M125-$A$15,BG$13)))</f>
        <v>5</v>
      </c>
      <c r="BH125" s="178">
        <f ca="1">IF(OR($D125&lt;&gt;"Serviço",AND(AUTOEVENTO="Manual",$M125=$A$15)),0,
         IF(OFFSET(CRONOPLE!$F$15,$M125-$A$15,BH$13)="",10^12,OFFSET(CRONOPLE!$F$15,$M125-$A$15,BH$13)))</f>
        <v>6</v>
      </c>
      <c r="BI125" s="178">
        <f ca="1">IF(OR($D125&lt;&gt;"Serviço",AND(AUTOEVENTO="Manual",$M125=$A$15)),0,
         IF(OFFSET(CRONOPLE!$F$15,$M125-$A$15,BI$13)="",10^12,OFFSET(CRONOPLE!$F$15,$M125-$A$15,BI$13)))</f>
        <v>7</v>
      </c>
      <c r="BJ125" s="178">
        <f ca="1">IF(OR($D125&lt;&gt;"Serviço",AND(AUTOEVENTO="Manual",$M125=$A$15)),0,
         IF(OFFSET(CRONOPLE!$F$15,$M125-$A$15,BJ$13)="",10^12,OFFSET(CRONOPLE!$F$15,$M125-$A$15,BJ$13)))</f>
        <v>8</v>
      </c>
      <c r="BK125" s="178">
        <f ca="1">IF(OR($D125&lt;&gt;"Serviço",AND(AUTOEVENTO="Manual",$M125=$A$15)),0,
         IF(OFFSET(CRONOPLE!$F$15,$M125-$A$15,BK$13)="",10^12,OFFSET(CRONOPLE!$F$15,$M125-$A$15,BK$13)))</f>
        <v>9</v>
      </c>
      <c r="BL125" s="178">
        <f ca="1">IF(OR($D125&lt;&gt;"Serviço",AND(AUTOEVENTO="Manual",$M125=$A$15)),0,
         IF(OFFSET(CRONOPLE!$F$15,$M125-$A$15,BL$13)="",10^12,OFFSET(CRONOPLE!$F$15,$M125-$A$15,BL$13)))</f>
        <v>10</v>
      </c>
      <c r="BM125" s="178">
        <f ca="1">IF(OR($D125&lt;&gt;"Serviço",AND(AUTOEVENTO="Manual",$M125=$A$15)),0,
         IF(OFFSET(CRONOPLE!$F$15,$M125-$A$15,BM$13)="",10^12,OFFSET(CRONOPLE!$F$15,$M125-$A$15,BM$13)))</f>
        <v>1000000000000</v>
      </c>
      <c r="BN125" s="178">
        <f ca="1">IF(OR($D125&lt;&gt;"Serviço",AND(AUTOEVENTO="Manual",$M125=$A$15)),0,
         IF(OFFSET(CRONOPLE!$F$15,$M125-$A$15,BN$13)="",10^12,OFFSET(CRONOPLE!$F$15,$M125-$A$15,BN$13)))</f>
        <v>1000000000000</v>
      </c>
      <c r="BO125" s="178">
        <f ca="1">IF(OR($D125&lt;&gt;"Serviço",AND(AUTOEVENTO="Manual",$M125=$A$15)),0,
         IF(OFFSET(CRONOPLE!$F$15,$M125-$A$15,BO$13)="",10^12,OFFSET(CRONOPLE!$F$15,$M125-$A$15,BO$13)))</f>
        <v>1000000000000</v>
      </c>
      <c r="BP125" s="178">
        <f ca="1">IF(OR($D125&lt;&gt;"Serviço",AND(AUTOEVENTO="Manual",$M125=$A$15)),0,
         IF(OFFSET(CRONOPLE!$F$15,$M125-$A$15,BP$13)="",10^12,OFFSET(CRONOPLE!$F$15,$M125-$A$15,BP$13)))</f>
        <v>1000000000000</v>
      </c>
      <c r="BQ125" s="178">
        <f ca="1">IF(OR($D125&lt;&gt;"Serviço",AND(AUTOEVENTO="Manual",$M125=$A$15)),0,
         IF(OFFSET(CRONOPLE!$F$15,$M125-$A$15,BQ$13)="",10^12,OFFSET(CRONOPLE!$F$15,$M125-$A$15,BQ$13)))</f>
        <v>15</v>
      </c>
      <c r="BR125" s="178">
        <f ca="1">IF(OR($D125&lt;&gt;"Serviço",AND(AUTOEVENTO="Manual",$M125=$A$15)),0,
         IF(OFFSET(CRONOPLE!$F$15,$M125-$A$15,BR$13)="",10^12,OFFSET(CRONOPLE!$F$15,$M125-$A$15,BR$13)))</f>
        <v>1000000000000</v>
      </c>
      <c r="BS125" s="178">
        <f ca="1">IF(OR($D125&lt;&gt;"Serviço",AND(AUTOEVENTO="Manual",$M125=$A$15)),0,
         IF(OFFSET(CRONOPLE!$F$15,$M125-$A$15,BS$13)="",10^12,OFFSET(CRONOPLE!$F$15,$M125-$A$15,BS$13)))</f>
        <v>1000000000000</v>
      </c>
      <c r="BT125" s="178">
        <f ca="1">IF(OR($D125&lt;&gt;"Serviço",AND(AUTOEVENTO="Manual",$M125=$A$15)),0,
         IF(OFFSET(CRONOPLE!$F$15,$M125-$A$15,BT$13)="",10^12,OFFSET(CRONOPLE!$F$15,$M125-$A$15,BT$13)))</f>
        <v>1000000000000</v>
      </c>
      <c r="BV125" s="179">
        <f ca="1">IF(OR($D125&lt;&gt;"Serviço",AND(AUTOEVENTO="Manual",$M125=$A$15),$M125&gt;(ROW(PLE.lastrow)-ROW(PLE.firstrow))),0,
           IF(OFFSET(PLE!$G$15,$M125-$A$15,BV$13)="",10^12,OFFSET(PLE!$G$15,$M125-$A$15,BV$13)))</f>
        <v>1000000000000</v>
      </c>
      <c r="BW125" s="179">
        <f ca="1">IF(OR($D125&lt;&gt;"Serviço",AND(AUTOEVENTO="Manual",$M125=$A$15),$M125&gt;(ROW(PLE.lastrow)-ROW(PLE.firstrow))),0,
           IF(OFFSET(PLE!$G$15,$M125-$A$15,BW$13)="",10^12,OFFSET(PLE!$G$15,$M125-$A$15,BW$13)))</f>
        <v>1000000000000</v>
      </c>
      <c r="BX125" s="179">
        <f ca="1">IF(OR($D125&lt;&gt;"Serviço",AND(AUTOEVENTO="Manual",$M125=$A$15),$M125&gt;(ROW(PLE.lastrow)-ROW(PLE.firstrow))),0,
           IF(OFFSET(PLE!$G$15,$M125-$A$15,BX$13)="",10^12,OFFSET(PLE!$G$15,$M125-$A$15,BX$13)))</f>
        <v>1000000000000</v>
      </c>
      <c r="BY125" s="179">
        <f ca="1">IF(OR($D125&lt;&gt;"Serviço",AND(AUTOEVENTO="Manual",$M125=$A$15),$M125&gt;(ROW(PLE.lastrow)-ROW(PLE.firstrow))),0,
           IF(OFFSET(PLE!$G$15,$M125-$A$15,BY$13)="",10^12,OFFSET(PLE!$G$15,$M125-$A$15,BY$13)))</f>
        <v>1000000000000</v>
      </c>
      <c r="BZ125" s="179">
        <f ca="1">IF(OR($D125&lt;&gt;"Serviço",AND(AUTOEVENTO="Manual",$M125=$A$15),$M125&gt;(ROW(PLE.lastrow)-ROW(PLE.firstrow))),0,
           IF(OFFSET(PLE!$G$15,$M125-$A$15,BZ$13)="",10^12,OFFSET(PLE!$G$15,$M125-$A$15,BZ$13)))</f>
        <v>1000000000000</v>
      </c>
      <c r="CA125" s="179">
        <f ca="1">IF(OR($D125&lt;&gt;"Serviço",AND(AUTOEVENTO="Manual",$M125=$A$15),$M125&gt;(ROW(PLE.lastrow)-ROW(PLE.firstrow))),0,
           IF(OFFSET(PLE!$G$15,$M125-$A$15,CA$13)="",10^12,OFFSET(PLE!$G$15,$M125-$A$15,CA$13)))</f>
        <v>1000000000000</v>
      </c>
      <c r="CB125" s="179">
        <f ca="1">IF(OR($D125&lt;&gt;"Serviço",AND(AUTOEVENTO="Manual",$M125=$A$15),$M125&gt;(ROW(PLE.lastrow)-ROW(PLE.firstrow))),0,
           IF(OFFSET(PLE!$G$15,$M125-$A$15,CB$13)="",10^12,OFFSET(PLE!$G$15,$M125-$A$15,CB$13)))</f>
        <v>1000000000000</v>
      </c>
      <c r="CC125" s="179">
        <f ca="1">IF(OR($D125&lt;&gt;"Serviço",AND(AUTOEVENTO="Manual",$M125=$A$15),$M125&gt;(ROW(PLE.lastrow)-ROW(PLE.firstrow))),0,
           IF(OFFSET(PLE!$G$15,$M125-$A$15,CC$13)="",10^12,OFFSET(PLE!$G$15,$M125-$A$15,CC$13)))</f>
        <v>1000000000000</v>
      </c>
      <c r="CD125" s="179">
        <f ca="1">IF(OR($D125&lt;&gt;"Serviço",AND(AUTOEVENTO="Manual",$M125=$A$15),$M125&gt;(ROW(PLE.lastrow)-ROW(PLE.firstrow))),0,
           IF(OFFSET(PLE!$G$15,$M125-$A$15,CD$13)="",10^12,OFFSET(PLE!$G$15,$M125-$A$15,CD$13)))</f>
        <v>1000000000000</v>
      </c>
      <c r="CE125" s="179">
        <f ca="1">IF(OR($D125&lt;&gt;"Serviço",AND(AUTOEVENTO="Manual",$M125=$A$15),$M125&gt;(ROW(PLE.lastrow)-ROW(PLE.firstrow))),0,
           IF(OFFSET(PLE!$G$15,$M125-$A$15,CE$13)="",10^12,OFFSET(PLE!$G$15,$M125-$A$15,CE$13)))</f>
        <v>1000000000000</v>
      </c>
      <c r="CF125" s="179">
        <f ca="1">IF(OR($D125&lt;&gt;"Serviço",AND(AUTOEVENTO="Manual",$M125=$A$15),$M125&gt;(ROW(PLE.lastrow)-ROW(PLE.firstrow))),0,
           IF(OFFSET(PLE!$G$15,$M125-$A$15,CF$13)="",10^12,OFFSET(PLE!$G$15,$M125-$A$15,CF$13)))</f>
        <v>1000000000000</v>
      </c>
      <c r="CG125" s="179">
        <f ca="1">IF(OR($D125&lt;&gt;"Serviço",AND(AUTOEVENTO="Manual",$M125=$A$15),$M125&gt;(ROW(PLE.lastrow)-ROW(PLE.firstrow))),0,
           IF(OFFSET(PLE!$G$15,$M125-$A$15,CG$13)="",10^12,OFFSET(PLE!$G$15,$M125-$A$15,CG$13)))</f>
        <v>1000000000000</v>
      </c>
      <c r="CH125" s="179">
        <f ca="1">IF(OR($D125&lt;&gt;"Serviço",AND(AUTOEVENTO="Manual",$M125=$A$15),$M125&gt;(ROW(PLE.lastrow)-ROW(PLE.firstrow))),0,
           IF(OFFSET(PLE!$G$15,$M125-$A$15,CH$13)="",10^12,OFFSET(PLE!$G$15,$M125-$A$15,CH$13)))</f>
        <v>1000000000000</v>
      </c>
      <c r="CI125" s="179">
        <f ca="1">IF(OR($D125&lt;&gt;"Serviço",AND(AUTOEVENTO="Manual",$M125=$A$15),$M125&gt;(ROW(PLE.lastrow)-ROW(PLE.firstrow))),0,
           IF(OFFSET(PLE!$G$15,$M125-$A$15,CI$13)="",10^12,OFFSET(PLE!$G$15,$M125-$A$15,CI$13)))</f>
        <v>1000000000000</v>
      </c>
      <c r="CJ125" s="179">
        <f ca="1">IF(OR($D125&lt;&gt;"Serviço",AND(AUTOEVENTO="Manual",$M125=$A$15),$M125&gt;(ROW(PLE.lastrow)-ROW(PLE.firstrow))),0,
           IF(OFFSET(PLE!$G$15,$M125-$A$15,CJ$13)="",10^12,OFFSET(PLE!$G$15,$M125-$A$15,CJ$13)))</f>
        <v>1000000000000</v>
      </c>
      <c r="CK125" s="179">
        <f ca="1">IF(OR($D125&lt;&gt;"Serviço",AND(AUTOEVENTO="Manual",$M125=$A$15),$M125&gt;(ROW(PLE.lastrow)-ROW(PLE.firstrow))),0,
           IF(OFFSET(PLE!$G$15,$M125-$A$15,CK$13)="",10^12,OFFSET(PLE!$G$15,$M125-$A$15,CK$13)))</f>
        <v>1000000000000</v>
      </c>
      <c r="CL125" s="179">
        <f ca="1">IF(OR($D125&lt;&gt;"Serviço",AND(AUTOEVENTO="Manual",$M125=$A$15),$M125&gt;(ROW(PLE.lastrow)-ROW(PLE.firstrow))),0,
           IF(OFFSET(PLE!$G$15,$M125-$A$15,CL$13)="",10^12,OFFSET(PLE!$G$15,$M125-$A$15,CL$13)))</f>
        <v>1000000000000</v>
      </c>
      <c r="CM125" s="179">
        <f ca="1">IF(OR($D125&lt;&gt;"Serviço",AND(AUTOEVENTO="Manual",$M125=$A$15),$M125&gt;(ROW(PLE.lastrow)-ROW(PLE.firstrow))),0,
           IF(OFFSET(PLE!$G$15,$M125-$A$15,CM$13)="",10^12,OFFSET(PLE!$G$15,$M125-$A$15,CM$13)))</f>
        <v>1000000000000</v>
      </c>
    </row>
    <row r="126" spans="1:91" ht="38.25" x14ac:dyDescent="0.2">
      <c r="A126" s="7" t="str">
        <f ca="1">IF(AUTOEVENTO="Manual",IF(K126&lt;&gt;"",MIN(VALUE(LEFT(K126,FIND(".",K126)-1)),COUNTA(EVENTOS.Lista)),0),IF(OR($B126&gt;AUTOEVENTO,$B126="S",$B126=0),SUBSTITUTE(OFFSET($A126,-1,0),IF($D126="Serviço",".",""),""),ROW(A126)-ROW($A$15)&amp;"."))</f>
        <v>71</v>
      </c>
      <c r="B126" s="7" t="str">
        <f ca="1">OFFSET(ORÇAMENTO!C$15,ROW(B126)-ROW(B$15),0)</f>
        <v>S</v>
      </c>
      <c r="C126" s="7" t="str">
        <f ca="1">OFFSET(ORÇAMENTO!L$15,ROW(C126)-ROW(C$15),0)</f>
        <v>F</v>
      </c>
      <c r="D126" s="118" t="str">
        <f ca="1">OFFSET(ORÇAMENTO!N$15,ROW(D126)-ROW(D$15),0)</f>
        <v>Serviço</v>
      </c>
      <c r="E126" s="119" t="str">
        <f ca="1">OFFSET(ORÇAMENTO!O$15,ROW(E126)-ROW(E$15),0)</f>
        <v>1.12.0.0.40.</v>
      </c>
      <c r="F126" s="170" t="str">
        <f ca="1">OFFSET(ORÇAMENTO!R$15,ROW(F126)-ROW(F$15),0)</f>
        <v>FORNECIMENTO E INSTALAÇÃO DE LUMINÁRIA LINEAR DE ALTA EFICIÊNCIA CONFORME DETALHES E ESPECIFICAÇÕES LISTADAS EM PROJETO ELÉTRICO</v>
      </c>
      <c r="G126" s="171" t="str">
        <f ca="1">IF($D126&lt;&gt;"Serviço","",OFFSET(ORÇAMENTO!S$15,ROW(G126)-ROW(G$15),0))</f>
        <v>UN</v>
      </c>
      <c r="H126" s="124" cm="1">
        <f t="array" aca="1" ref="H126" ca="1">IF($D126&lt;&gt;"Serviço",0,IF(_xlfn.SINGLE(ACOMPANHAMENTO)="BM",ROUND(OFFSET(ORÇAMENTO!AJ$15,ROW(H126)-ROW(H$15),0),15-13*ORÇAMENTO!$AF$7),SUMPRODUCT(($Q$1:$AI$1)*ROUND($Q126:$AI126,15-13*ORÇAMENTO!$AF$7))))</f>
        <v>14</v>
      </c>
      <c r="I126" s="500" t="s">
        <v>1019</v>
      </c>
      <c r="J126" s="632" t="str" cm="1">
        <f t="array" aca="1" ref="J126" ca="1">IF(B126&lt;&gt;"S","",IF(AND(ACOMPANHAMENTO="PLE",AUTOEVENTO="Manual",OR(H126&gt;0,ORÇAMENTO!AC126="QUANT."),OR(K126="",M126=0,N126="")),"►",IF(AND(ACOMPANHAMENTO="PLE",ORÇAMENTO!AC126="QUANT."),"►►",IF(AND(COUNTIF($P$11:$AI$11,"▼")=0,H126&gt;0,I126=""),"◄",""))))</f>
        <v/>
      </c>
      <c r="K126" s="624"/>
      <c r="L126" s="172" t="s">
        <v>253</v>
      </c>
      <c r="M126" s="173">
        <f ca="1">IF($D126&lt;&gt;"Serviço","",
          IF(AUTOEVENTO="manual",$A126,
                IF(ISERROR(MATCH($A126,$A$15:OFFSET($A126,-1,0),0)),MAX($M$15:OFFSET(M126,-1,0))+1,
                      INDEX($M$15:OFFSET(M126,-1,0),MATCH($A126,$A$15:OFFSET($A126,-1,0),0)))))</f>
        <v>12</v>
      </c>
      <c r="N126" s="174" t="str">
        <f ca="1">IF($D126&lt;&gt;"Serviço","",
         IF(AUTOEVENTO="Manual",
                IF($A126=0,"&lt;-- defina o número do agrupador",
                       OFFSET(EVENTOS!$D$15,$A126-$A$15,0)),
                OFFSET($F$15,$A126,0)))</f>
        <v>INSTALAÇÕES ELÉTRICAS</v>
      </c>
      <c r="O126" s="175"/>
      <c r="Q126" s="175"/>
      <c r="R126" s="176"/>
      <c r="S126" s="176"/>
      <c r="T126" s="176">
        <v>14</v>
      </c>
      <c r="U126" s="176"/>
      <c r="V126" s="176"/>
      <c r="W126" s="176"/>
      <c r="X126" s="176"/>
      <c r="Y126" s="176"/>
      <c r="Z126" s="177"/>
      <c r="AA126" s="176"/>
      <c r="AB126" s="176"/>
      <c r="AC126" s="176"/>
      <c r="AD126" s="176"/>
      <c r="AE126" s="176"/>
      <c r="AF126" s="176"/>
      <c r="AG126" s="176"/>
      <c r="AH126" s="177"/>
      <c r="AJ126" s="485">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85">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L126" s="485">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0</v>
      </c>
      <c r="AM126" s="485">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12532.1</v>
      </c>
      <c r="AN126" s="485">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0</v>
      </c>
      <c r="AO126" s="485">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0</v>
      </c>
      <c r="AP126" s="485">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85">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85">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85">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85">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85">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85">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85">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85">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85">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85">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85">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8">
        <f ca="1">IF(OR($D126&lt;&gt;"Serviço",AND(AUTOEVENTO="Manual",$M126=$A$15)),0,
         IF(OFFSET(CRONOPLE!$F$15,$M126-$A$15,BC$13)="",10^12,OFFSET(CRONOPLE!$F$15,$M126-$A$15,BC$13)))</f>
        <v>1</v>
      </c>
      <c r="BD126" s="178">
        <f ca="1">IF(OR($D126&lt;&gt;"Serviço",AND(AUTOEVENTO="Manual",$M126=$A$15)),0,
         IF(OFFSET(CRONOPLE!$F$15,$M126-$A$15,BD$13)="",10^12,OFFSET(CRONOPLE!$F$15,$M126-$A$15,BD$13)))</f>
        <v>2</v>
      </c>
      <c r="BE126" s="178">
        <f ca="1">IF(OR($D126&lt;&gt;"Serviço",AND(AUTOEVENTO="Manual",$M126=$A$15)),0,
         IF(OFFSET(CRONOPLE!$F$15,$M126-$A$15,BE$13)="",10^12,OFFSET(CRONOPLE!$F$15,$M126-$A$15,BE$13)))</f>
        <v>1000000000000</v>
      </c>
      <c r="BF126" s="178">
        <f ca="1">IF(OR($D126&lt;&gt;"Serviço",AND(AUTOEVENTO="Manual",$M126=$A$15)),0,
         IF(OFFSET(CRONOPLE!$F$15,$M126-$A$15,BF$13)="",10^12,OFFSET(CRONOPLE!$F$15,$M126-$A$15,BF$13)))</f>
        <v>4</v>
      </c>
      <c r="BG126" s="178">
        <f ca="1">IF(OR($D126&lt;&gt;"Serviço",AND(AUTOEVENTO="Manual",$M126=$A$15)),0,
         IF(OFFSET(CRONOPLE!$F$15,$M126-$A$15,BG$13)="",10^12,OFFSET(CRONOPLE!$F$15,$M126-$A$15,BG$13)))</f>
        <v>5</v>
      </c>
      <c r="BH126" s="178">
        <f ca="1">IF(OR($D126&lt;&gt;"Serviço",AND(AUTOEVENTO="Manual",$M126=$A$15)),0,
         IF(OFFSET(CRONOPLE!$F$15,$M126-$A$15,BH$13)="",10^12,OFFSET(CRONOPLE!$F$15,$M126-$A$15,BH$13)))</f>
        <v>6</v>
      </c>
      <c r="BI126" s="178">
        <f ca="1">IF(OR($D126&lt;&gt;"Serviço",AND(AUTOEVENTO="Manual",$M126=$A$15)),0,
         IF(OFFSET(CRONOPLE!$F$15,$M126-$A$15,BI$13)="",10^12,OFFSET(CRONOPLE!$F$15,$M126-$A$15,BI$13)))</f>
        <v>7</v>
      </c>
      <c r="BJ126" s="178">
        <f ca="1">IF(OR($D126&lt;&gt;"Serviço",AND(AUTOEVENTO="Manual",$M126=$A$15)),0,
         IF(OFFSET(CRONOPLE!$F$15,$M126-$A$15,BJ$13)="",10^12,OFFSET(CRONOPLE!$F$15,$M126-$A$15,BJ$13)))</f>
        <v>8</v>
      </c>
      <c r="BK126" s="178">
        <f ca="1">IF(OR($D126&lt;&gt;"Serviço",AND(AUTOEVENTO="Manual",$M126=$A$15)),0,
         IF(OFFSET(CRONOPLE!$F$15,$M126-$A$15,BK$13)="",10^12,OFFSET(CRONOPLE!$F$15,$M126-$A$15,BK$13)))</f>
        <v>9</v>
      </c>
      <c r="BL126" s="178">
        <f ca="1">IF(OR($D126&lt;&gt;"Serviço",AND(AUTOEVENTO="Manual",$M126=$A$15)),0,
         IF(OFFSET(CRONOPLE!$F$15,$M126-$A$15,BL$13)="",10^12,OFFSET(CRONOPLE!$F$15,$M126-$A$15,BL$13)))</f>
        <v>10</v>
      </c>
      <c r="BM126" s="178">
        <f ca="1">IF(OR($D126&lt;&gt;"Serviço",AND(AUTOEVENTO="Manual",$M126=$A$15)),0,
         IF(OFFSET(CRONOPLE!$F$15,$M126-$A$15,BM$13)="",10^12,OFFSET(CRONOPLE!$F$15,$M126-$A$15,BM$13)))</f>
        <v>1000000000000</v>
      </c>
      <c r="BN126" s="178">
        <f ca="1">IF(OR($D126&lt;&gt;"Serviço",AND(AUTOEVENTO="Manual",$M126=$A$15)),0,
         IF(OFFSET(CRONOPLE!$F$15,$M126-$A$15,BN$13)="",10^12,OFFSET(CRONOPLE!$F$15,$M126-$A$15,BN$13)))</f>
        <v>1000000000000</v>
      </c>
      <c r="BO126" s="178">
        <f ca="1">IF(OR($D126&lt;&gt;"Serviço",AND(AUTOEVENTO="Manual",$M126=$A$15)),0,
         IF(OFFSET(CRONOPLE!$F$15,$M126-$A$15,BO$13)="",10^12,OFFSET(CRONOPLE!$F$15,$M126-$A$15,BO$13)))</f>
        <v>1000000000000</v>
      </c>
      <c r="BP126" s="178">
        <f ca="1">IF(OR($D126&lt;&gt;"Serviço",AND(AUTOEVENTO="Manual",$M126=$A$15)),0,
         IF(OFFSET(CRONOPLE!$F$15,$M126-$A$15,BP$13)="",10^12,OFFSET(CRONOPLE!$F$15,$M126-$A$15,BP$13)))</f>
        <v>1000000000000</v>
      </c>
      <c r="BQ126" s="178">
        <f ca="1">IF(OR($D126&lt;&gt;"Serviço",AND(AUTOEVENTO="Manual",$M126=$A$15)),0,
         IF(OFFSET(CRONOPLE!$F$15,$M126-$A$15,BQ$13)="",10^12,OFFSET(CRONOPLE!$F$15,$M126-$A$15,BQ$13)))</f>
        <v>15</v>
      </c>
      <c r="BR126" s="178">
        <f ca="1">IF(OR($D126&lt;&gt;"Serviço",AND(AUTOEVENTO="Manual",$M126=$A$15)),0,
         IF(OFFSET(CRONOPLE!$F$15,$M126-$A$15,BR$13)="",10^12,OFFSET(CRONOPLE!$F$15,$M126-$A$15,BR$13)))</f>
        <v>1000000000000</v>
      </c>
      <c r="BS126" s="178">
        <f ca="1">IF(OR($D126&lt;&gt;"Serviço",AND(AUTOEVENTO="Manual",$M126=$A$15)),0,
         IF(OFFSET(CRONOPLE!$F$15,$M126-$A$15,BS$13)="",10^12,OFFSET(CRONOPLE!$F$15,$M126-$A$15,BS$13)))</f>
        <v>1000000000000</v>
      </c>
      <c r="BT126" s="178">
        <f ca="1">IF(OR($D126&lt;&gt;"Serviço",AND(AUTOEVENTO="Manual",$M126=$A$15)),0,
         IF(OFFSET(CRONOPLE!$F$15,$M126-$A$15,BT$13)="",10^12,OFFSET(CRONOPLE!$F$15,$M126-$A$15,BT$13)))</f>
        <v>1000000000000</v>
      </c>
      <c r="BV126" s="179">
        <f ca="1">IF(OR($D126&lt;&gt;"Serviço",AND(AUTOEVENTO="Manual",$M126=$A$15),$M126&gt;(ROW(PLE.lastrow)-ROW(PLE.firstrow))),0,
           IF(OFFSET(PLE!$G$15,$M126-$A$15,BV$13)="",10^12,OFFSET(PLE!$G$15,$M126-$A$15,BV$13)))</f>
        <v>1000000000000</v>
      </c>
      <c r="BW126" s="179">
        <f ca="1">IF(OR($D126&lt;&gt;"Serviço",AND(AUTOEVENTO="Manual",$M126=$A$15),$M126&gt;(ROW(PLE.lastrow)-ROW(PLE.firstrow))),0,
           IF(OFFSET(PLE!$G$15,$M126-$A$15,BW$13)="",10^12,OFFSET(PLE!$G$15,$M126-$A$15,BW$13)))</f>
        <v>1000000000000</v>
      </c>
      <c r="BX126" s="179">
        <f ca="1">IF(OR($D126&lt;&gt;"Serviço",AND(AUTOEVENTO="Manual",$M126=$A$15),$M126&gt;(ROW(PLE.lastrow)-ROW(PLE.firstrow))),0,
           IF(OFFSET(PLE!$G$15,$M126-$A$15,BX$13)="",10^12,OFFSET(PLE!$G$15,$M126-$A$15,BX$13)))</f>
        <v>1000000000000</v>
      </c>
      <c r="BY126" s="179">
        <f ca="1">IF(OR($D126&lt;&gt;"Serviço",AND(AUTOEVENTO="Manual",$M126=$A$15),$M126&gt;(ROW(PLE.lastrow)-ROW(PLE.firstrow))),0,
           IF(OFFSET(PLE!$G$15,$M126-$A$15,BY$13)="",10^12,OFFSET(PLE!$G$15,$M126-$A$15,BY$13)))</f>
        <v>1000000000000</v>
      </c>
      <c r="BZ126" s="179">
        <f ca="1">IF(OR($D126&lt;&gt;"Serviço",AND(AUTOEVENTO="Manual",$M126=$A$15),$M126&gt;(ROW(PLE.lastrow)-ROW(PLE.firstrow))),0,
           IF(OFFSET(PLE!$G$15,$M126-$A$15,BZ$13)="",10^12,OFFSET(PLE!$G$15,$M126-$A$15,BZ$13)))</f>
        <v>1000000000000</v>
      </c>
      <c r="CA126" s="179">
        <f ca="1">IF(OR($D126&lt;&gt;"Serviço",AND(AUTOEVENTO="Manual",$M126=$A$15),$M126&gt;(ROW(PLE.lastrow)-ROW(PLE.firstrow))),0,
           IF(OFFSET(PLE!$G$15,$M126-$A$15,CA$13)="",10^12,OFFSET(PLE!$G$15,$M126-$A$15,CA$13)))</f>
        <v>1000000000000</v>
      </c>
      <c r="CB126" s="179">
        <f ca="1">IF(OR($D126&lt;&gt;"Serviço",AND(AUTOEVENTO="Manual",$M126=$A$15),$M126&gt;(ROW(PLE.lastrow)-ROW(PLE.firstrow))),0,
           IF(OFFSET(PLE!$G$15,$M126-$A$15,CB$13)="",10^12,OFFSET(PLE!$G$15,$M126-$A$15,CB$13)))</f>
        <v>1000000000000</v>
      </c>
      <c r="CC126" s="179">
        <f ca="1">IF(OR($D126&lt;&gt;"Serviço",AND(AUTOEVENTO="Manual",$M126=$A$15),$M126&gt;(ROW(PLE.lastrow)-ROW(PLE.firstrow))),0,
           IF(OFFSET(PLE!$G$15,$M126-$A$15,CC$13)="",10^12,OFFSET(PLE!$G$15,$M126-$A$15,CC$13)))</f>
        <v>1000000000000</v>
      </c>
      <c r="CD126" s="179">
        <f ca="1">IF(OR($D126&lt;&gt;"Serviço",AND(AUTOEVENTO="Manual",$M126=$A$15),$M126&gt;(ROW(PLE.lastrow)-ROW(PLE.firstrow))),0,
           IF(OFFSET(PLE!$G$15,$M126-$A$15,CD$13)="",10^12,OFFSET(PLE!$G$15,$M126-$A$15,CD$13)))</f>
        <v>1000000000000</v>
      </c>
      <c r="CE126" s="179">
        <f ca="1">IF(OR($D126&lt;&gt;"Serviço",AND(AUTOEVENTO="Manual",$M126=$A$15),$M126&gt;(ROW(PLE.lastrow)-ROW(PLE.firstrow))),0,
           IF(OFFSET(PLE!$G$15,$M126-$A$15,CE$13)="",10^12,OFFSET(PLE!$G$15,$M126-$A$15,CE$13)))</f>
        <v>1000000000000</v>
      </c>
      <c r="CF126" s="179">
        <f ca="1">IF(OR($D126&lt;&gt;"Serviço",AND(AUTOEVENTO="Manual",$M126=$A$15),$M126&gt;(ROW(PLE.lastrow)-ROW(PLE.firstrow))),0,
           IF(OFFSET(PLE!$G$15,$M126-$A$15,CF$13)="",10^12,OFFSET(PLE!$G$15,$M126-$A$15,CF$13)))</f>
        <v>1000000000000</v>
      </c>
      <c r="CG126" s="179">
        <f ca="1">IF(OR($D126&lt;&gt;"Serviço",AND(AUTOEVENTO="Manual",$M126=$A$15),$M126&gt;(ROW(PLE.lastrow)-ROW(PLE.firstrow))),0,
           IF(OFFSET(PLE!$G$15,$M126-$A$15,CG$13)="",10^12,OFFSET(PLE!$G$15,$M126-$A$15,CG$13)))</f>
        <v>1000000000000</v>
      </c>
      <c r="CH126" s="179">
        <f ca="1">IF(OR($D126&lt;&gt;"Serviço",AND(AUTOEVENTO="Manual",$M126=$A$15),$M126&gt;(ROW(PLE.lastrow)-ROW(PLE.firstrow))),0,
           IF(OFFSET(PLE!$G$15,$M126-$A$15,CH$13)="",10^12,OFFSET(PLE!$G$15,$M126-$A$15,CH$13)))</f>
        <v>1000000000000</v>
      </c>
      <c r="CI126" s="179">
        <f ca="1">IF(OR($D126&lt;&gt;"Serviço",AND(AUTOEVENTO="Manual",$M126=$A$15),$M126&gt;(ROW(PLE.lastrow)-ROW(PLE.firstrow))),0,
           IF(OFFSET(PLE!$G$15,$M126-$A$15,CI$13)="",10^12,OFFSET(PLE!$G$15,$M126-$A$15,CI$13)))</f>
        <v>1000000000000</v>
      </c>
      <c r="CJ126" s="179">
        <f ca="1">IF(OR($D126&lt;&gt;"Serviço",AND(AUTOEVENTO="Manual",$M126=$A$15),$M126&gt;(ROW(PLE.lastrow)-ROW(PLE.firstrow))),0,
           IF(OFFSET(PLE!$G$15,$M126-$A$15,CJ$13)="",10^12,OFFSET(PLE!$G$15,$M126-$A$15,CJ$13)))</f>
        <v>1000000000000</v>
      </c>
      <c r="CK126" s="179">
        <f ca="1">IF(OR($D126&lt;&gt;"Serviço",AND(AUTOEVENTO="Manual",$M126=$A$15),$M126&gt;(ROW(PLE.lastrow)-ROW(PLE.firstrow))),0,
           IF(OFFSET(PLE!$G$15,$M126-$A$15,CK$13)="",10^12,OFFSET(PLE!$G$15,$M126-$A$15,CK$13)))</f>
        <v>1000000000000</v>
      </c>
      <c r="CL126" s="179">
        <f ca="1">IF(OR($D126&lt;&gt;"Serviço",AND(AUTOEVENTO="Manual",$M126=$A$15),$M126&gt;(ROW(PLE.lastrow)-ROW(PLE.firstrow))),0,
           IF(OFFSET(PLE!$G$15,$M126-$A$15,CL$13)="",10^12,OFFSET(PLE!$G$15,$M126-$A$15,CL$13)))</f>
        <v>1000000000000</v>
      </c>
      <c r="CM126" s="179">
        <f ca="1">IF(OR($D126&lt;&gt;"Serviço",AND(AUTOEVENTO="Manual",$M126=$A$15),$M126&gt;(ROW(PLE.lastrow)-ROW(PLE.firstrow))),0,
           IF(OFFSET(PLE!$G$15,$M126-$A$15,CM$13)="",10^12,OFFSET(PLE!$G$15,$M126-$A$15,CM$13)))</f>
        <v>1000000000000</v>
      </c>
    </row>
    <row r="127" spans="1:91" ht="38.25" x14ac:dyDescent="0.2">
      <c r="A127" s="7" t="str">
        <f ca="1">IF(AUTOEVENTO="Manual",IF(K127&lt;&gt;"",MIN(VALUE(LEFT(K127,FIND(".",K127)-1)),COUNTA(EVENTOS.Lista)),0),IF(OR($B127&gt;AUTOEVENTO,$B127="S",$B127=0),SUBSTITUTE(OFFSET($A127,-1,0),IF($D127="Serviço",".",""),""),ROW(A127)-ROW($A$15)&amp;"."))</f>
        <v>71</v>
      </c>
      <c r="B127" s="7" t="str">
        <f ca="1">OFFSET(ORÇAMENTO!C$15,ROW(B127)-ROW(B$15),0)</f>
        <v>S</v>
      </c>
      <c r="C127" s="7" t="str">
        <f ca="1">OFFSET(ORÇAMENTO!L$15,ROW(C127)-ROW(C$15),0)</f>
        <v>F</v>
      </c>
      <c r="D127" s="118" t="str">
        <f ca="1">OFFSET(ORÇAMENTO!N$15,ROW(D127)-ROW(D$15),0)</f>
        <v>Serviço</v>
      </c>
      <c r="E127" s="119" t="str">
        <f ca="1">OFFSET(ORÇAMENTO!O$15,ROW(E127)-ROW(E$15),0)</f>
        <v>1.12.0.0.41.</v>
      </c>
      <c r="F127" s="170" t="str">
        <f ca="1">OFFSET(ORÇAMENTO!R$15,ROW(F127)-ROW(F$15),0)</f>
        <v>FORNECIMENTO E INSTALAÇÃO DE LUMINÁRIA REFLETOR LED CONFORME DETALHES E ESPECIFICAÇÕES LISTADAS EM PROJETO ELÉTRICO</v>
      </c>
      <c r="G127" s="171" t="str">
        <f ca="1">IF($D127&lt;&gt;"Serviço","",OFFSET(ORÇAMENTO!S$15,ROW(G127)-ROW(G$15),0))</f>
        <v>UN</v>
      </c>
      <c r="H127" s="124" cm="1">
        <f t="array" aca="1" ref="H127" ca="1">IF($D127&lt;&gt;"Serviço",0,IF(_xlfn.SINGLE(ACOMPANHAMENTO)="BM",ROUND(OFFSET(ORÇAMENTO!AJ$15,ROW(H127)-ROW(H$15),0),15-13*ORÇAMENTO!$AF$7),SUMPRODUCT(($Q$1:$AI$1)*ROUND($Q127:$AI127,15-13*ORÇAMENTO!$AF$7))))</f>
        <v>4</v>
      </c>
      <c r="I127" s="500" t="s">
        <v>1019</v>
      </c>
      <c r="J127" s="632" t="str" cm="1">
        <f t="array" aca="1" ref="J127" ca="1">IF(B127&lt;&gt;"S","",IF(AND(ACOMPANHAMENTO="PLE",AUTOEVENTO="Manual",OR(H127&gt;0,ORÇAMENTO!AC127="QUANT."),OR(K127="",M127=0,N127="")),"►",IF(AND(ACOMPANHAMENTO="PLE",ORÇAMENTO!AC127="QUANT."),"►►",IF(AND(COUNTIF($P$11:$AI$11,"▼")=0,H127&gt;0,I127=""),"◄",""))))</f>
        <v/>
      </c>
      <c r="K127" s="624"/>
      <c r="L127" s="172" t="s">
        <v>253</v>
      </c>
      <c r="M127" s="173">
        <f ca="1">IF($D127&lt;&gt;"Serviço","",
          IF(AUTOEVENTO="manual",$A127,
                IF(ISERROR(MATCH($A127,$A$15:OFFSET($A127,-1,0),0)),MAX($M$15:OFFSET(M127,-1,0))+1,
                      INDEX($M$15:OFFSET(M127,-1,0),MATCH($A127,$A$15:OFFSET($A127,-1,0),0)))))</f>
        <v>12</v>
      </c>
      <c r="N127" s="174" t="str">
        <f ca="1">IF($D127&lt;&gt;"Serviço","",
         IF(AUTOEVENTO="Manual",
                IF($A127=0,"&lt;-- defina o número do agrupador",
                       OFFSET(EVENTOS!$D$15,$A127-$A$15,0)),
                OFFSET($F$15,$A127,0)))</f>
        <v>INSTALAÇÕES ELÉTRICAS</v>
      </c>
      <c r="O127" s="175"/>
      <c r="Q127" s="175"/>
      <c r="R127" s="176"/>
      <c r="S127" s="176"/>
      <c r="T127" s="176">
        <v>4</v>
      </c>
      <c r="U127" s="176"/>
      <c r="V127" s="176"/>
      <c r="W127" s="176"/>
      <c r="X127" s="176"/>
      <c r="Y127" s="176"/>
      <c r="Z127" s="177"/>
      <c r="AA127" s="176"/>
      <c r="AB127" s="176"/>
      <c r="AC127" s="176"/>
      <c r="AD127" s="176"/>
      <c r="AE127" s="176"/>
      <c r="AF127" s="176"/>
      <c r="AG127" s="176"/>
      <c r="AH127" s="177"/>
      <c r="AJ127" s="485">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85">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L127" s="485">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0</v>
      </c>
      <c r="AM127" s="485">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385.28</v>
      </c>
      <c r="AN127" s="485">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0</v>
      </c>
      <c r="AO127" s="485">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0</v>
      </c>
      <c r="AP127" s="485">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85">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85">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85">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85">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85">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85">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85">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85">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85">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85">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85">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8">
        <f ca="1">IF(OR($D127&lt;&gt;"Serviço",AND(AUTOEVENTO="Manual",$M127=$A$15)),0,
         IF(OFFSET(CRONOPLE!$F$15,$M127-$A$15,BC$13)="",10^12,OFFSET(CRONOPLE!$F$15,$M127-$A$15,BC$13)))</f>
        <v>1</v>
      </c>
      <c r="BD127" s="178">
        <f ca="1">IF(OR($D127&lt;&gt;"Serviço",AND(AUTOEVENTO="Manual",$M127=$A$15)),0,
         IF(OFFSET(CRONOPLE!$F$15,$M127-$A$15,BD$13)="",10^12,OFFSET(CRONOPLE!$F$15,$M127-$A$15,BD$13)))</f>
        <v>2</v>
      </c>
      <c r="BE127" s="178">
        <f ca="1">IF(OR($D127&lt;&gt;"Serviço",AND(AUTOEVENTO="Manual",$M127=$A$15)),0,
         IF(OFFSET(CRONOPLE!$F$15,$M127-$A$15,BE$13)="",10^12,OFFSET(CRONOPLE!$F$15,$M127-$A$15,BE$13)))</f>
        <v>1000000000000</v>
      </c>
      <c r="BF127" s="178">
        <f ca="1">IF(OR($D127&lt;&gt;"Serviço",AND(AUTOEVENTO="Manual",$M127=$A$15)),0,
         IF(OFFSET(CRONOPLE!$F$15,$M127-$A$15,BF$13)="",10^12,OFFSET(CRONOPLE!$F$15,$M127-$A$15,BF$13)))</f>
        <v>4</v>
      </c>
      <c r="BG127" s="178">
        <f ca="1">IF(OR($D127&lt;&gt;"Serviço",AND(AUTOEVENTO="Manual",$M127=$A$15)),0,
         IF(OFFSET(CRONOPLE!$F$15,$M127-$A$15,BG$13)="",10^12,OFFSET(CRONOPLE!$F$15,$M127-$A$15,BG$13)))</f>
        <v>5</v>
      </c>
      <c r="BH127" s="178">
        <f ca="1">IF(OR($D127&lt;&gt;"Serviço",AND(AUTOEVENTO="Manual",$M127=$A$15)),0,
         IF(OFFSET(CRONOPLE!$F$15,$M127-$A$15,BH$13)="",10^12,OFFSET(CRONOPLE!$F$15,$M127-$A$15,BH$13)))</f>
        <v>6</v>
      </c>
      <c r="BI127" s="178">
        <f ca="1">IF(OR($D127&lt;&gt;"Serviço",AND(AUTOEVENTO="Manual",$M127=$A$15)),0,
         IF(OFFSET(CRONOPLE!$F$15,$M127-$A$15,BI$13)="",10^12,OFFSET(CRONOPLE!$F$15,$M127-$A$15,BI$13)))</f>
        <v>7</v>
      </c>
      <c r="BJ127" s="178">
        <f ca="1">IF(OR($D127&lt;&gt;"Serviço",AND(AUTOEVENTO="Manual",$M127=$A$15)),0,
         IF(OFFSET(CRONOPLE!$F$15,$M127-$A$15,BJ$13)="",10^12,OFFSET(CRONOPLE!$F$15,$M127-$A$15,BJ$13)))</f>
        <v>8</v>
      </c>
      <c r="BK127" s="178">
        <f ca="1">IF(OR($D127&lt;&gt;"Serviço",AND(AUTOEVENTO="Manual",$M127=$A$15)),0,
         IF(OFFSET(CRONOPLE!$F$15,$M127-$A$15,BK$13)="",10^12,OFFSET(CRONOPLE!$F$15,$M127-$A$15,BK$13)))</f>
        <v>9</v>
      </c>
      <c r="BL127" s="178">
        <f ca="1">IF(OR($D127&lt;&gt;"Serviço",AND(AUTOEVENTO="Manual",$M127=$A$15)),0,
         IF(OFFSET(CRONOPLE!$F$15,$M127-$A$15,BL$13)="",10^12,OFFSET(CRONOPLE!$F$15,$M127-$A$15,BL$13)))</f>
        <v>10</v>
      </c>
      <c r="BM127" s="178">
        <f ca="1">IF(OR($D127&lt;&gt;"Serviço",AND(AUTOEVENTO="Manual",$M127=$A$15)),0,
         IF(OFFSET(CRONOPLE!$F$15,$M127-$A$15,BM$13)="",10^12,OFFSET(CRONOPLE!$F$15,$M127-$A$15,BM$13)))</f>
        <v>1000000000000</v>
      </c>
      <c r="BN127" s="178">
        <f ca="1">IF(OR($D127&lt;&gt;"Serviço",AND(AUTOEVENTO="Manual",$M127=$A$15)),0,
         IF(OFFSET(CRONOPLE!$F$15,$M127-$A$15,BN$13)="",10^12,OFFSET(CRONOPLE!$F$15,$M127-$A$15,BN$13)))</f>
        <v>1000000000000</v>
      </c>
      <c r="BO127" s="178">
        <f ca="1">IF(OR($D127&lt;&gt;"Serviço",AND(AUTOEVENTO="Manual",$M127=$A$15)),0,
         IF(OFFSET(CRONOPLE!$F$15,$M127-$A$15,BO$13)="",10^12,OFFSET(CRONOPLE!$F$15,$M127-$A$15,BO$13)))</f>
        <v>1000000000000</v>
      </c>
      <c r="BP127" s="178">
        <f ca="1">IF(OR($D127&lt;&gt;"Serviço",AND(AUTOEVENTO="Manual",$M127=$A$15)),0,
         IF(OFFSET(CRONOPLE!$F$15,$M127-$A$15,BP$13)="",10^12,OFFSET(CRONOPLE!$F$15,$M127-$A$15,BP$13)))</f>
        <v>1000000000000</v>
      </c>
      <c r="BQ127" s="178">
        <f ca="1">IF(OR($D127&lt;&gt;"Serviço",AND(AUTOEVENTO="Manual",$M127=$A$15)),0,
         IF(OFFSET(CRONOPLE!$F$15,$M127-$A$15,BQ$13)="",10^12,OFFSET(CRONOPLE!$F$15,$M127-$A$15,BQ$13)))</f>
        <v>15</v>
      </c>
      <c r="BR127" s="178">
        <f ca="1">IF(OR($D127&lt;&gt;"Serviço",AND(AUTOEVENTO="Manual",$M127=$A$15)),0,
         IF(OFFSET(CRONOPLE!$F$15,$M127-$A$15,BR$13)="",10^12,OFFSET(CRONOPLE!$F$15,$M127-$A$15,BR$13)))</f>
        <v>1000000000000</v>
      </c>
      <c r="BS127" s="178">
        <f ca="1">IF(OR($D127&lt;&gt;"Serviço",AND(AUTOEVENTO="Manual",$M127=$A$15)),0,
         IF(OFFSET(CRONOPLE!$F$15,$M127-$A$15,BS$13)="",10^12,OFFSET(CRONOPLE!$F$15,$M127-$A$15,BS$13)))</f>
        <v>1000000000000</v>
      </c>
      <c r="BT127" s="178">
        <f ca="1">IF(OR($D127&lt;&gt;"Serviço",AND(AUTOEVENTO="Manual",$M127=$A$15)),0,
         IF(OFFSET(CRONOPLE!$F$15,$M127-$A$15,BT$13)="",10^12,OFFSET(CRONOPLE!$F$15,$M127-$A$15,BT$13)))</f>
        <v>1000000000000</v>
      </c>
      <c r="BV127" s="179">
        <f ca="1">IF(OR($D127&lt;&gt;"Serviço",AND(AUTOEVENTO="Manual",$M127=$A$15),$M127&gt;(ROW(PLE.lastrow)-ROW(PLE.firstrow))),0,
           IF(OFFSET(PLE!$G$15,$M127-$A$15,BV$13)="",10^12,OFFSET(PLE!$G$15,$M127-$A$15,BV$13)))</f>
        <v>1000000000000</v>
      </c>
      <c r="BW127" s="179">
        <f ca="1">IF(OR($D127&lt;&gt;"Serviço",AND(AUTOEVENTO="Manual",$M127=$A$15),$M127&gt;(ROW(PLE.lastrow)-ROW(PLE.firstrow))),0,
           IF(OFFSET(PLE!$G$15,$M127-$A$15,BW$13)="",10^12,OFFSET(PLE!$G$15,$M127-$A$15,BW$13)))</f>
        <v>1000000000000</v>
      </c>
      <c r="BX127" s="179">
        <f ca="1">IF(OR($D127&lt;&gt;"Serviço",AND(AUTOEVENTO="Manual",$M127=$A$15),$M127&gt;(ROW(PLE.lastrow)-ROW(PLE.firstrow))),0,
           IF(OFFSET(PLE!$G$15,$M127-$A$15,BX$13)="",10^12,OFFSET(PLE!$G$15,$M127-$A$15,BX$13)))</f>
        <v>1000000000000</v>
      </c>
      <c r="BY127" s="179">
        <f ca="1">IF(OR($D127&lt;&gt;"Serviço",AND(AUTOEVENTO="Manual",$M127=$A$15),$M127&gt;(ROW(PLE.lastrow)-ROW(PLE.firstrow))),0,
           IF(OFFSET(PLE!$G$15,$M127-$A$15,BY$13)="",10^12,OFFSET(PLE!$G$15,$M127-$A$15,BY$13)))</f>
        <v>1000000000000</v>
      </c>
      <c r="BZ127" s="179">
        <f ca="1">IF(OR($D127&lt;&gt;"Serviço",AND(AUTOEVENTO="Manual",$M127=$A$15),$M127&gt;(ROW(PLE.lastrow)-ROW(PLE.firstrow))),0,
           IF(OFFSET(PLE!$G$15,$M127-$A$15,BZ$13)="",10^12,OFFSET(PLE!$G$15,$M127-$A$15,BZ$13)))</f>
        <v>1000000000000</v>
      </c>
      <c r="CA127" s="179">
        <f ca="1">IF(OR($D127&lt;&gt;"Serviço",AND(AUTOEVENTO="Manual",$M127=$A$15),$M127&gt;(ROW(PLE.lastrow)-ROW(PLE.firstrow))),0,
           IF(OFFSET(PLE!$G$15,$M127-$A$15,CA$13)="",10^12,OFFSET(PLE!$G$15,$M127-$A$15,CA$13)))</f>
        <v>1000000000000</v>
      </c>
      <c r="CB127" s="179">
        <f ca="1">IF(OR($D127&lt;&gt;"Serviço",AND(AUTOEVENTO="Manual",$M127=$A$15),$M127&gt;(ROW(PLE.lastrow)-ROW(PLE.firstrow))),0,
           IF(OFFSET(PLE!$G$15,$M127-$A$15,CB$13)="",10^12,OFFSET(PLE!$G$15,$M127-$A$15,CB$13)))</f>
        <v>1000000000000</v>
      </c>
      <c r="CC127" s="179">
        <f ca="1">IF(OR($D127&lt;&gt;"Serviço",AND(AUTOEVENTO="Manual",$M127=$A$15),$M127&gt;(ROW(PLE.lastrow)-ROW(PLE.firstrow))),0,
           IF(OFFSET(PLE!$G$15,$M127-$A$15,CC$13)="",10^12,OFFSET(PLE!$G$15,$M127-$A$15,CC$13)))</f>
        <v>1000000000000</v>
      </c>
      <c r="CD127" s="179">
        <f ca="1">IF(OR($D127&lt;&gt;"Serviço",AND(AUTOEVENTO="Manual",$M127=$A$15),$M127&gt;(ROW(PLE.lastrow)-ROW(PLE.firstrow))),0,
           IF(OFFSET(PLE!$G$15,$M127-$A$15,CD$13)="",10^12,OFFSET(PLE!$G$15,$M127-$A$15,CD$13)))</f>
        <v>1000000000000</v>
      </c>
      <c r="CE127" s="179">
        <f ca="1">IF(OR($D127&lt;&gt;"Serviço",AND(AUTOEVENTO="Manual",$M127=$A$15),$M127&gt;(ROW(PLE.lastrow)-ROW(PLE.firstrow))),0,
           IF(OFFSET(PLE!$G$15,$M127-$A$15,CE$13)="",10^12,OFFSET(PLE!$G$15,$M127-$A$15,CE$13)))</f>
        <v>1000000000000</v>
      </c>
      <c r="CF127" s="179">
        <f ca="1">IF(OR($D127&lt;&gt;"Serviço",AND(AUTOEVENTO="Manual",$M127=$A$15),$M127&gt;(ROW(PLE.lastrow)-ROW(PLE.firstrow))),0,
           IF(OFFSET(PLE!$G$15,$M127-$A$15,CF$13)="",10^12,OFFSET(PLE!$G$15,$M127-$A$15,CF$13)))</f>
        <v>1000000000000</v>
      </c>
      <c r="CG127" s="179">
        <f ca="1">IF(OR($D127&lt;&gt;"Serviço",AND(AUTOEVENTO="Manual",$M127=$A$15),$M127&gt;(ROW(PLE.lastrow)-ROW(PLE.firstrow))),0,
           IF(OFFSET(PLE!$G$15,$M127-$A$15,CG$13)="",10^12,OFFSET(PLE!$G$15,$M127-$A$15,CG$13)))</f>
        <v>1000000000000</v>
      </c>
      <c r="CH127" s="179">
        <f ca="1">IF(OR($D127&lt;&gt;"Serviço",AND(AUTOEVENTO="Manual",$M127=$A$15),$M127&gt;(ROW(PLE.lastrow)-ROW(PLE.firstrow))),0,
           IF(OFFSET(PLE!$G$15,$M127-$A$15,CH$13)="",10^12,OFFSET(PLE!$G$15,$M127-$A$15,CH$13)))</f>
        <v>1000000000000</v>
      </c>
      <c r="CI127" s="179">
        <f ca="1">IF(OR($D127&lt;&gt;"Serviço",AND(AUTOEVENTO="Manual",$M127=$A$15),$M127&gt;(ROW(PLE.lastrow)-ROW(PLE.firstrow))),0,
           IF(OFFSET(PLE!$G$15,$M127-$A$15,CI$13)="",10^12,OFFSET(PLE!$G$15,$M127-$A$15,CI$13)))</f>
        <v>1000000000000</v>
      </c>
      <c r="CJ127" s="179">
        <f ca="1">IF(OR($D127&lt;&gt;"Serviço",AND(AUTOEVENTO="Manual",$M127=$A$15),$M127&gt;(ROW(PLE.lastrow)-ROW(PLE.firstrow))),0,
           IF(OFFSET(PLE!$G$15,$M127-$A$15,CJ$13)="",10^12,OFFSET(PLE!$G$15,$M127-$A$15,CJ$13)))</f>
        <v>1000000000000</v>
      </c>
      <c r="CK127" s="179">
        <f ca="1">IF(OR($D127&lt;&gt;"Serviço",AND(AUTOEVENTO="Manual",$M127=$A$15),$M127&gt;(ROW(PLE.lastrow)-ROW(PLE.firstrow))),0,
           IF(OFFSET(PLE!$G$15,$M127-$A$15,CK$13)="",10^12,OFFSET(PLE!$G$15,$M127-$A$15,CK$13)))</f>
        <v>1000000000000</v>
      </c>
      <c r="CL127" s="179">
        <f ca="1">IF(OR($D127&lt;&gt;"Serviço",AND(AUTOEVENTO="Manual",$M127=$A$15),$M127&gt;(ROW(PLE.lastrow)-ROW(PLE.firstrow))),0,
           IF(OFFSET(PLE!$G$15,$M127-$A$15,CL$13)="",10^12,OFFSET(PLE!$G$15,$M127-$A$15,CL$13)))</f>
        <v>1000000000000</v>
      </c>
      <c r="CM127" s="179">
        <f ca="1">IF(OR($D127&lt;&gt;"Serviço",AND(AUTOEVENTO="Manual",$M127=$A$15),$M127&gt;(ROW(PLE.lastrow)-ROW(PLE.firstrow))),0,
           IF(OFFSET(PLE!$G$15,$M127-$A$15,CM$13)="",10^12,OFFSET(PLE!$G$15,$M127-$A$15,CM$13)))</f>
        <v>1000000000000</v>
      </c>
    </row>
    <row r="128" spans="1:91" ht="25.5" x14ac:dyDescent="0.2">
      <c r="A128" s="7" t="str">
        <f ca="1">IF(AUTOEVENTO="Manual",IF(K128&lt;&gt;"",MIN(VALUE(LEFT(K128,FIND(".",K128)-1)),COUNTA(EVENTOS.Lista)),0),IF(OR($B128&gt;AUTOEVENTO,$B128="S",$B128=0),SUBSTITUTE(OFFSET($A128,-1,0),IF($D128="Serviço",".",""),""),ROW(A128)-ROW($A$15)&amp;"."))</f>
        <v>113.</v>
      </c>
      <c r="B128" s="7">
        <f ca="1">OFFSET(ORÇAMENTO!C$15,ROW(B128)-ROW(B$15),0)</f>
        <v>2</v>
      </c>
      <c r="C128" s="7" t="str">
        <f ca="1">OFFSET(ORÇAMENTO!L$15,ROW(C128)-ROW(C$15),0)</f>
        <v>F</v>
      </c>
      <c r="D128" s="118" t="str">
        <f ca="1">OFFSET(ORÇAMENTO!N$15,ROW(D128)-ROW(D$15),0)</f>
        <v>Nível 2</v>
      </c>
      <c r="E128" s="119" t="str">
        <f ca="1">OFFSET(ORÇAMENTO!O$15,ROW(E128)-ROW(E$15),0)</f>
        <v>1.13.</v>
      </c>
      <c r="F128" s="170" t="str">
        <f ca="1">OFFSET(ORÇAMENTO!R$15,ROW(F128)-ROW(F$15),0)</f>
        <v>SERVIÇOS FINAIS</v>
      </c>
      <c r="G128" s="171" t="str">
        <f ca="1">IF($D128&lt;&gt;"Serviço","",OFFSET(ORÇAMENTO!S$15,ROW(G128)-ROW(G$15),0))</f>
        <v/>
      </c>
      <c r="H128" s="124" cm="1">
        <f t="array" aca="1" ref="H128" ca="1">IF($D128&lt;&gt;"Serviço",0,IF(_xlfn.SINGLE(ACOMPANHAMENTO)="BM",ROUND(OFFSET(ORÇAMENTO!AJ$15,ROW(H128)-ROW(H$15),0),15-13*ORÇAMENTO!$AF$7),SUMPRODUCT(($Q$1:$AI$1)*ROUND($Q128:$AI128,15-13*ORÇAMENTO!$AF$7))))</f>
        <v>0</v>
      </c>
      <c r="I128" s="500" t="s">
        <v>1019</v>
      </c>
      <c r="J128" s="632" t="str" cm="1">
        <f t="array" aca="1" ref="J128" ca="1">IF(B128&lt;&gt;"S","",IF(AND(ACOMPANHAMENTO="PLE",AUTOEVENTO="Manual",OR(H128&gt;0,ORÇAMENTO!AC128="QUANT."),OR(K128="",M128=0,N128="")),"►",IF(AND(ACOMPANHAMENTO="PLE",ORÇAMENTO!AC128="QUANT."),"►►",IF(AND(COUNTIF($P$11:$AI$11,"▼")=0,H128&gt;0,I128=""),"◄",""))))</f>
        <v/>
      </c>
      <c r="K128" s="624"/>
      <c r="L128" s="172" t="s">
        <v>253</v>
      </c>
      <c r="M128" s="173" t="str">
        <f ca="1">IF($D128&lt;&gt;"Serviço","",
          IF(AUTOEVENTO="manual",$A128,
                IF(ISERROR(MATCH($A128,$A$15:OFFSET($A128,-1,0),0)),MAX($M$15:OFFSET(M128,-1,0))+1,
                      INDEX($M$15:OFFSET(M128,-1,0),MATCH($A128,$A$15:OFFSET($A128,-1,0),0)))))</f>
        <v/>
      </c>
      <c r="N128" s="174" t="str">
        <f ca="1">IF($D128&lt;&gt;"Serviço","",
         IF(AUTOEVENTO="Manual",
                IF($A128=0,"&lt;-- defina o número do agrupador",
                       OFFSET(EVENTOS!$D$15,$A128-$A$15,0)),
                OFFSET($F$15,$A128,0)))</f>
        <v/>
      </c>
      <c r="O128" s="175"/>
      <c r="Q128" s="175"/>
      <c r="R128" s="176"/>
      <c r="S128" s="176"/>
      <c r="T128" s="176"/>
      <c r="U128" s="176"/>
      <c r="V128" s="176"/>
      <c r="W128" s="176"/>
      <c r="X128" s="176"/>
      <c r="Y128" s="176"/>
      <c r="Z128" s="177"/>
      <c r="AA128" s="176"/>
      <c r="AB128" s="176"/>
      <c r="AC128" s="176"/>
      <c r="AD128" s="176"/>
      <c r="AE128" s="176"/>
      <c r="AF128" s="176"/>
      <c r="AG128" s="176"/>
      <c r="AH128" s="177"/>
      <c r="AJ128" s="485">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85">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L128" s="485">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0</v>
      </c>
      <c r="AM128" s="485">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0</v>
      </c>
      <c r="AN128" s="485">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85">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0</v>
      </c>
      <c r="AP128" s="485">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85">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85">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85">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85">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85">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85">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85">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85">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85">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85">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85">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8">
        <f ca="1">IF(OR($D128&lt;&gt;"Serviço",AND(AUTOEVENTO="Manual",$M128=$A$15)),0,
         IF(OFFSET(CRONOPLE!$F$15,$M128-$A$15,BC$13)="",10^12,OFFSET(CRONOPLE!$F$15,$M128-$A$15,BC$13)))</f>
        <v>0</v>
      </c>
      <c r="BD128" s="178">
        <f ca="1">IF(OR($D128&lt;&gt;"Serviço",AND(AUTOEVENTO="Manual",$M128=$A$15)),0,
         IF(OFFSET(CRONOPLE!$F$15,$M128-$A$15,BD$13)="",10^12,OFFSET(CRONOPLE!$F$15,$M128-$A$15,BD$13)))</f>
        <v>0</v>
      </c>
      <c r="BE128" s="178">
        <f ca="1">IF(OR($D128&lt;&gt;"Serviço",AND(AUTOEVENTO="Manual",$M128=$A$15)),0,
         IF(OFFSET(CRONOPLE!$F$15,$M128-$A$15,BE$13)="",10^12,OFFSET(CRONOPLE!$F$15,$M128-$A$15,BE$13)))</f>
        <v>0</v>
      </c>
      <c r="BF128" s="178">
        <f ca="1">IF(OR($D128&lt;&gt;"Serviço",AND(AUTOEVENTO="Manual",$M128=$A$15)),0,
         IF(OFFSET(CRONOPLE!$F$15,$M128-$A$15,BF$13)="",10^12,OFFSET(CRONOPLE!$F$15,$M128-$A$15,BF$13)))</f>
        <v>0</v>
      </c>
      <c r="BG128" s="178">
        <f ca="1">IF(OR($D128&lt;&gt;"Serviço",AND(AUTOEVENTO="Manual",$M128=$A$15)),0,
         IF(OFFSET(CRONOPLE!$F$15,$M128-$A$15,BG$13)="",10^12,OFFSET(CRONOPLE!$F$15,$M128-$A$15,BG$13)))</f>
        <v>0</v>
      </c>
      <c r="BH128" s="178">
        <f ca="1">IF(OR($D128&lt;&gt;"Serviço",AND(AUTOEVENTO="Manual",$M128=$A$15)),0,
         IF(OFFSET(CRONOPLE!$F$15,$M128-$A$15,BH$13)="",10^12,OFFSET(CRONOPLE!$F$15,$M128-$A$15,BH$13)))</f>
        <v>0</v>
      </c>
      <c r="BI128" s="178">
        <f ca="1">IF(OR($D128&lt;&gt;"Serviço",AND(AUTOEVENTO="Manual",$M128=$A$15)),0,
         IF(OFFSET(CRONOPLE!$F$15,$M128-$A$15,BI$13)="",10^12,OFFSET(CRONOPLE!$F$15,$M128-$A$15,BI$13)))</f>
        <v>0</v>
      </c>
      <c r="BJ128" s="178">
        <f ca="1">IF(OR($D128&lt;&gt;"Serviço",AND(AUTOEVENTO="Manual",$M128=$A$15)),0,
         IF(OFFSET(CRONOPLE!$F$15,$M128-$A$15,BJ$13)="",10^12,OFFSET(CRONOPLE!$F$15,$M128-$A$15,BJ$13)))</f>
        <v>0</v>
      </c>
      <c r="BK128" s="178">
        <f ca="1">IF(OR($D128&lt;&gt;"Serviço",AND(AUTOEVENTO="Manual",$M128=$A$15)),0,
         IF(OFFSET(CRONOPLE!$F$15,$M128-$A$15,BK$13)="",10^12,OFFSET(CRONOPLE!$F$15,$M128-$A$15,BK$13)))</f>
        <v>0</v>
      </c>
      <c r="BL128" s="178">
        <f ca="1">IF(OR($D128&lt;&gt;"Serviço",AND(AUTOEVENTO="Manual",$M128=$A$15)),0,
         IF(OFFSET(CRONOPLE!$F$15,$M128-$A$15,BL$13)="",10^12,OFFSET(CRONOPLE!$F$15,$M128-$A$15,BL$13)))</f>
        <v>0</v>
      </c>
      <c r="BM128" s="178">
        <f ca="1">IF(OR($D128&lt;&gt;"Serviço",AND(AUTOEVENTO="Manual",$M128=$A$15)),0,
         IF(OFFSET(CRONOPLE!$F$15,$M128-$A$15,BM$13)="",10^12,OFFSET(CRONOPLE!$F$15,$M128-$A$15,BM$13)))</f>
        <v>0</v>
      </c>
      <c r="BN128" s="178">
        <f ca="1">IF(OR($D128&lt;&gt;"Serviço",AND(AUTOEVENTO="Manual",$M128=$A$15)),0,
         IF(OFFSET(CRONOPLE!$F$15,$M128-$A$15,BN$13)="",10^12,OFFSET(CRONOPLE!$F$15,$M128-$A$15,BN$13)))</f>
        <v>0</v>
      </c>
      <c r="BO128" s="178">
        <f ca="1">IF(OR($D128&lt;&gt;"Serviço",AND(AUTOEVENTO="Manual",$M128=$A$15)),0,
         IF(OFFSET(CRONOPLE!$F$15,$M128-$A$15,BO$13)="",10^12,OFFSET(CRONOPLE!$F$15,$M128-$A$15,BO$13)))</f>
        <v>0</v>
      </c>
      <c r="BP128" s="178">
        <f ca="1">IF(OR($D128&lt;&gt;"Serviço",AND(AUTOEVENTO="Manual",$M128=$A$15)),0,
         IF(OFFSET(CRONOPLE!$F$15,$M128-$A$15,BP$13)="",10^12,OFFSET(CRONOPLE!$F$15,$M128-$A$15,BP$13)))</f>
        <v>0</v>
      </c>
      <c r="BQ128" s="178">
        <f ca="1">IF(OR($D128&lt;&gt;"Serviço",AND(AUTOEVENTO="Manual",$M128=$A$15)),0,
         IF(OFFSET(CRONOPLE!$F$15,$M128-$A$15,BQ$13)="",10^12,OFFSET(CRONOPLE!$F$15,$M128-$A$15,BQ$13)))</f>
        <v>0</v>
      </c>
      <c r="BR128" s="178">
        <f ca="1">IF(OR($D128&lt;&gt;"Serviço",AND(AUTOEVENTO="Manual",$M128=$A$15)),0,
         IF(OFFSET(CRONOPLE!$F$15,$M128-$A$15,BR$13)="",10^12,OFFSET(CRONOPLE!$F$15,$M128-$A$15,BR$13)))</f>
        <v>0</v>
      </c>
      <c r="BS128" s="178">
        <f ca="1">IF(OR($D128&lt;&gt;"Serviço",AND(AUTOEVENTO="Manual",$M128=$A$15)),0,
         IF(OFFSET(CRONOPLE!$F$15,$M128-$A$15,BS$13)="",10^12,OFFSET(CRONOPLE!$F$15,$M128-$A$15,BS$13)))</f>
        <v>0</v>
      </c>
      <c r="BT128" s="178">
        <f ca="1">IF(OR($D128&lt;&gt;"Serviço",AND(AUTOEVENTO="Manual",$M128=$A$15)),0,
         IF(OFFSET(CRONOPLE!$F$15,$M128-$A$15,BT$13)="",10^12,OFFSET(CRONOPLE!$F$15,$M128-$A$15,BT$13)))</f>
        <v>0</v>
      </c>
      <c r="BV128" s="179">
        <f ca="1">IF(OR($D128&lt;&gt;"Serviço",AND(AUTOEVENTO="Manual",$M128=$A$15),$M128&gt;(ROW(PLE.lastrow)-ROW(PLE.firstrow))),0,
           IF(OFFSET(PLE!$G$15,$M128-$A$15,BV$13)="",10^12,OFFSET(PLE!$G$15,$M128-$A$15,BV$13)))</f>
        <v>0</v>
      </c>
      <c r="BW128" s="179">
        <f ca="1">IF(OR($D128&lt;&gt;"Serviço",AND(AUTOEVENTO="Manual",$M128=$A$15),$M128&gt;(ROW(PLE.lastrow)-ROW(PLE.firstrow))),0,
           IF(OFFSET(PLE!$G$15,$M128-$A$15,BW$13)="",10^12,OFFSET(PLE!$G$15,$M128-$A$15,BW$13)))</f>
        <v>0</v>
      </c>
      <c r="BX128" s="179">
        <f ca="1">IF(OR($D128&lt;&gt;"Serviço",AND(AUTOEVENTO="Manual",$M128=$A$15),$M128&gt;(ROW(PLE.lastrow)-ROW(PLE.firstrow))),0,
           IF(OFFSET(PLE!$G$15,$M128-$A$15,BX$13)="",10^12,OFFSET(PLE!$G$15,$M128-$A$15,BX$13)))</f>
        <v>0</v>
      </c>
      <c r="BY128" s="179">
        <f ca="1">IF(OR($D128&lt;&gt;"Serviço",AND(AUTOEVENTO="Manual",$M128=$A$15),$M128&gt;(ROW(PLE.lastrow)-ROW(PLE.firstrow))),0,
           IF(OFFSET(PLE!$G$15,$M128-$A$15,BY$13)="",10^12,OFFSET(PLE!$G$15,$M128-$A$15,BY$13)))</f>
        <v>0</v>
      </c>
      <c r="BZ128" s="179">
        <f ca="1">IF(OR($D128&lt;&gt;"Serviço",AND(AUTOEVENTO="Manual",$M128=$A$15),$M128&gt;(ROW(PLE.lastrow)-ROW(PLE.firstrow))),0,
           IF(OFFSET(PLE!$G$15,$M128-$A$15,BZ$13)="",10^12,OFFSET(PLE!$G$15,$M128-$A$15,BZ$13)))</f>
        <v>0</v>
      </c>
      <c r="CA128" s="179">
        <f ca="1">IF(OR($D128&lt;&gt;"Serviço",AND(AUTOEVENTO="Manual",$M128=$A$15),$M128&gt;(ROW(PLE.lastrow)-ROW(PLE.firstrow))),0,
           IF(OFFSET(PLE!$G$15,$M128-$A$15,CA$13)="",10^12,OFFSET(PLE!$G$15,$M128-$A$15,CA$13)))</f>
        <v>0</v>
      </c>
      <c r="CB128" s="179">
        <f ca="1">IF(OR($D128&lt;&gt;"Serviço",AND(AUTOEVENTO="Manual",$M128=$A$15),$M128&gt;(ROW(PLE.lastrow)-ROW(PLE.firstrow))),0,
           IF(OFFSET(PLE!$G$15,$M128-$A$15,CB$13)="",10^12,OFFSET(PLE!$G$15,$M128-$A$15,CB$13)))</f>
        <v>0</v>
      </c>
      <c r="CC128" s="179">
        <f ca="1">IF(OR($D128&lt;&gt;"Serviço",AND(AUTOEVENTO="Manual",$M128=$A$15),$M128&gt;(ROW(PLE.lastrow)-ROW(PLE.firstrow))),0,
           IF(OFFSET(PLE!$G$15,$M128-$A$15,CC$13)="",10^12,OFFSET(PLE!$G$15,$M128-$A$15,CC$13)))</f>
        <v>0</v>
      </c>
      <c r="CD128" s="179">
        <f ca="1">IF(OR($D128&lt;&gt;"Serviço",AND(AUTOEVENTO="Manual",$M128=$A$15),$M128&gt;(ROW(PLE.lastrow)-ROW(PLE.firstrow))),0,
           IF(OFFSET(PLE!$G$15,$M128-$A$15,CD$13)="",10^12,OFFSET(PLE!$G$15,$M128-$A$15,CD$13)))</f>
        <v>0</v>
      </c>
      <c r="CE128" s="179">
        <f ca="1">IF(OR($D128&lt;&gt;"Serviço",AND(AUTOEVENTO="Manual",$M128=$A$15),$M128&gt;(ROW(PLE.lastrow)-ROW(PLE.firstrow))),0,
           IF(OFFSET(PLE!$G$15,$M128-$A$15,CE$13)="",10^12,OFFSET(PLE!$G$15,$M128-$A$15,CE$13)))</f>
        <v>0</v>
      </c>
      <c r="CF128" s="179">
        <f ca="1">IF(OR($D128&lt;&gt;"Serviço",AND(AUTOEVENTO="Manual",$M128=$A$15),$M128&gt;(ROW(PLE.lastrow)-ROW(PLE.firstrow))),0,
           IF(OFFSET(PLE!$G$15,$M128-$A$15,CF$13)="",10^12,OFFSET(PLE!$G$15,$M128-$A$15,CF$13)))</f>
        <v>0</v>
      </c>
      <c r="CG128" s="179">
        <f ca="1">IF(OR($D128&lt;&gt;"Serviço",AND(AUTOEVENTO="Manual",$M128=$A$15),$M128&gt;(ROW(PLE.lastrow)-ROW(PLE.firstrow))),0,
           IF(OFFSET(PLE!$G$15,$M128-$A$15,CG$13)="",10^12,OFFSET(PLE!$G$15,$M128-$A$15,CG$13)))</f>
        <v>0</v>
      </c>
      <c r="CH128" s="179">
        <f ca="1">IF(OR($D128&lt;&gt;"Serviço",AND(AUTOEVENTO="Manual",$M128=$A$15),$M128&gt;(ROW(PLE.lastrow)-ROW(PLE.firstrow))),0,
           IF(OFFSET(PLE!$G$15,$M128-$A$15,CH$13)="",10^12,OFFSET(PLE!$G$15,$M128-$A$15,CH$13)))</f>
        <v>0</v>
      </c>
      <c r="CI128" s="179">
        <f ca="1">IF(OR($D128&lt;&gt;"Serviço",AND(AUTOEVENTO="Manual",$M128=$A$15),$M128&gt;(ROW(PLE.lastrow)-ROW(PLE.firstrow))),0,
           IF(OFFSET(PLE!$G$15,$M128-$A$15,CI$13)="",10^12,OFFSET(PLE!$G$15,$M128-$A$15,CI$13)))</f>
        <v>0</v>
      </c>
      <c r="CJ128" s="179">
        <f ca="1">IF(OR($D128&lt;&gt;"Serviço",AND(AUTOEVENTO="Manual",$M128=$A$15),$M128&gt;(ROW(PLE.lastrow)-ROW(PLE.firstrow))),0,
           IF(OFFSET(PLE!$G$15,$M128-$A$15,CJ$13)="",10^12,OFFSET(PLE!$G$15,$M128-$A$15,CJ$13)))</f>
        <v>0</v>
      </c>
      <c r="CK128" s="179">
        <f ca="1">IF(OR($D128&lt;&gt;"Serviço",AND(AUTOEVENTO="Manual",$M128=$A$15),$M128&gt;(ROW(PLE.lastrow)-ROW(PLE.firstrow))),0,
           IF(OFFSET(PLE!$G$15,$M128-$A$15,CK$13)="",10^12,OFFSET(PLE!$G$15,$M128-$A$15,CK$13)))</f>
        <v>0</v>
      </c>
      <c r="CL128" s="179">
        <f ca="1">IF(OR($D128&lt;&gt;"Serviço",AND(AUTOEVENTO="Manual",$M128=$A$15),$M128&gt;(ROW(PLE.lastrow)-ROW(PLE.firstrow))),0,
           IF(OFFSET(PLE!$G$15,$M128-$A$15,CL$13)="",10^12,OFFSET(PLE!$G$15,$M128-$A$15,CL$13)))</f>
        <v>0</v>
      </c>
      <c r="CM128" s="179">
        <f ca="1">IF(OR($D128&lt;&gt;"Serviço",AND(AUTOEVENTO="Manual",$M128=$A$15),$M128&gt;(ROW(PLE.lastrow)-ROW(PLE.firstrow))),0,
           IF(OFFSET(PLE!$G$15,$M128-$A$15,CM$13)="",10^12,OFFSET(PLE!$G$15,$M128-$A$15,CM$13)))</f>
        <v>0</v>
      </c>
    </row>
    <row r="129" spans="1:91" ht="25.5" x14ac:dyDescent="0.2">
      <c r="A129" s="7" t="str">
        <f ca="1">IF(AUTOEVENTO="Manual",IF(K129&lt;&gt;"",MIN(VALUE(LEFT(K129,FIND(".",K129)-1)),COUNTA(EVENTOS.Lista)),0),IF(OR($B129&gt;AUTOEVENTO,$B129="S",$B129=0),SUBSTITUTE(OFFSET($A129,-1,0),IF($D129="Serviço",".",""),""),ROW(A129)-ROW($A$15)&amp;"."))</f>
        <v>113</v>
      </c>
      <c r="B129" s="7" t="str">
        <f ca="1">OFFSET(ORÇAMENTO!C$15,ROW(B129)-ROW(B$15),0)</f>
        <v>S</v>
      </c>
      <c r="C129" s="7" t="str">
        <f ca="1">OFFSET(ORÇAMENTO!L$15,ROW(C129)-ROW(C$15),0)</f>
        <v>F</v>
      </c>
      <c r="D129" s="118" t="str">
        <f ca="1">OFFSET(ORÇAMENTO!N$15,ROW(D129)-ROW(D$15),0)</f>
        <v>Serviço</v>
      </c>
      <c r="E129" s="119" t="str">
        <f ca="1">OFFSET(ORÇAMENTO!O$15,ROW(E129)-ROW(E$15),0)</f>
        <v>1.13.0.0.1.</v>
      </c>
      <c r="F129" s="170" t="str">
        <f ca="1">OFFSET(ORÇAMENTO!R$15,ROW(F129)-ROW(F$15),0)</f>
        <v>LIMPEZA DE JANELA DE VIDRO COM CAIXILHO EM AÇO/ALUMÍNIO/PVC. AF_10/2025_PS</v>
      </c>
      <c r="G129" s="171" t="str">
        <f ca="1">IF($D129&lt;&gt;"Serviço","",OFFSET(ORÇAMENTO!S$15,ROW(G129)-ROW(G$15),0))</f>
        <v>M2</v>
      </c>
      <c r="H129" s="124" cm="1">
        <f t="array" aca="1" ref="H129" ca="1">IF($D129&lt;&gt;"Serviço",0,IF(_xlfn.SINGLE(ACOMPANHAMENTO)="BM",ROUND(OFFSET(ORÇAMENTO!AJ$15,ROW(H129)-ROW(H$15),0),15-13*ORÇAMENTO!$AF$7),SUMPRODUCT(($Q$1:$AI$1)*ROUND($Q129:$AI129,15-13*ORÇAMENTO!$AF$7))))</f>
        <v>34.56</v>
      </c>
      <c r="I129" s="500" t="s">
        <v>940</v>
      </c>
      <c r="J129" s="632" t="str" cm="1">
        <f t="array" aca="1" ref="J129" ca="1">IF(B129&lt;&gt;"S","",IF(AND(ACOMPANHAMENTO="PLE",AUTOEVENTO="Manual",OR(H129&gt;0,ORÇAMENTO!AC129="QUANT."),OR(K129="",M129=0,N129="")),"►",IF(AND(ACOMPANHAMENTO="PLE",ORÇAMENTO!AC129="QUANT."),"►►",IF(AND(COUNTIF($P$11:$AI$11,"▼")=0,H129&gt;0,I129=""),"◄",""))))</f>
        <v/>
      </c>
      <c r="K129" s="624"/>
      <c r="L129" s="172" t="s">
        <v>253</v>
      </c>
      <c r="M129" s="173">
        <f ca="1">IF($D129&lt;&gt;"Serviço","",
          IF(AUTOEVENTO="manual",$A129,
                IF(ISERROR(MATCH($A129,$A$15:OFFSET($A129,-1,0),0)),MAX($M$15:OFFSET(M129,-1,0))+1,
                      INDEX($M$15:OFFSET(M129,-1,0),MATCH($A129,$A$15:OFFSET($A129,-1,0),0)))))</f>
        <v>13</v>
      </c>
      <c r="N129" s="174" t="str">
        <f ca="1">IF($D129&lt;&gt;"Serviço","",
         IF(AUTOEVENTO="Manual",
                IF($A129=0,"&lt;-- defina o número do agrupador",
                       OFFSET(EVENTOS!$D$15,$A129-$A$15,0)),
                OFFSET($F$15,$A129,0)))</f>
        <v>SERVIÇOS FINAIS</v>
      </c>
      <c r="O129" s="175"/>
      <c r="Q129" s="175"/>
      <c r="R129" s="176"/>
      <c r="S129" s="176"/>
      <c r="T129" s="176"/>
      <c r="U129" s="176">
        <v>34.56</v>
      </c>
      <c r="V129" s="176"/>
      <c r="W129" s="176"/>
      <c r="X129" s="176"/>
      <c r="Y129" s="176"/>
      <c r="Z129" s="177"/>
      <c r="AA129" s="176"/>
      <c r="AB129" s="176"/>
      <c r="AC129" s="176"/>
      <c r="AD129" s="176"/>
      <c r="AE129" s="176"/>
      <c r="AF129" s="176"/>
      <c r="AG129" s="176"/>
      <c r="AH129" s="177"/>
      <c r="AJ129" s="485">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85">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85">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85">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85">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224.99</v>
      </c>
      <c r="AO129" s="485">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0</v>
      </c>
      <c r="AP129" s="485">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85">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85">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85">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85">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85">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85">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85">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85">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85">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85">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85">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8">
        <f ca="1">IF(OR($D129&lt;&gt;"Serviço",AND(AUTOEVENTO="Manual",$M129=$A$15)),0,
         IF(OFFSET(CRONOPLE!$F$15,$M129-$A$15,BC$13)="",10^12,OFFSET(CRONOPLE!$F$15,$M129-$A$15,BC$13)))</f>
        <v>1</v>
      </c>
      <c r="BD129" s="178">
        <f ca="1">IF(OR($D129&lt;&gt;"Serviço",AND(AUTOEVENTO="Manual",$M129=$A$15)),0,
         IF(OFFSET(CRONOPLE!$F$15,$M129-$A$15,BD$13)="",10^12,OFFSET(CRONOPLE!$F$15,$M129-$A$15,BD$13)))</f>
        <v>2</v>
      </c>
      <c r="BE129" s="178">
        <f ca="1">IF(OR($D129&lt;&gt;"Serviço",AND(AUTOEVENTO="Manual",$M129=$A$15)),0,
         IF(OFFSET(CRONOPLE!$F$15,$M129-$A$15,BE$13)="",10^12,OFFSET(CRONOPLE!$F$15,$M129-$A$15,BE$13)))</f>
        <v>1000000000000</v>
      </c>
      <c r="BF129" s="178">
        <f ca="1">IF(OR($D129&lt;&gt;"Serviço",AND(AUTOEVENTO="Manual",$M129=$A$15)),0,
         IF(OFFSET(CRONOPLE!$F$15,$M129-$A$15,BF$13)="",10^12,OFFSET(CRONOPLE!$F$15,$M129-$A$15,BF$13)))</f>
        <v>1000000000000</v>
      </c>
      <c r="BG129" s="178">
        <f ca="1">IF(OR($D129&lt;&gt;"Serviço",AND(AUTOEVENTO="Manual",$M129=$A$15)),0,
         IF(OFFSET(CRONOPLE!$F$15,$M129-$A$15,BG$13)="",10^12,OFFSET(CRONOPLE!$F$15,$M129-$A$15,BG$13)))</f>
        <v>5</v>
      </c>
      <c r="BH129" s="178">
        <f ca="1">IF(OR($D129&lt;&gt;"Serviço",AND(AUTOEVENTO="Manual",$M129=$A$15)),0,
         IF(OFFSET(CRONOPLE!$F$15,$M129-$A$15,BH$13)="",10^12,OFFSET(CRONOPLE!$F$15,$M129-$A$15,BH$13)))</f>
        <v>1000000000000</v>
      </c>
      <c r="BI129" s="178">
        <f ca="1">IF(OR($D129&lt;&gt;"Serviço",AND(AUTOEVENTO="Manual",$M129=$A$15)),0,
         IF(OFFSET(CRONOPLE!$F$15,$M129-$A$15,BI$13)="",10^12,OFFSET(CRONOPLE!$F$15,$M129-$A$15,BI$13)))</f>
        <v>7</v>
      </c>
      <c r="BJ129" s="178">
        <f ca="1">IF(OR($D129&lt;&gt;"Serviço",AND(AUTOEVENTO="Manual",$M129=$A$15)),0,
         IF(OFFSET(CRONOPLE!$F$15,$M129-$A$15,BJ$13)="",10^12,OFFSET(CRONOPLE!$F$15,$M129-$A$15,BJ$13)))</f>
        <v>8</v>
      </c>
      <c r="BK129" s="178">
        <f ca="1">IF(OR($D129&lt;&gt;"Serviço",AND(AUTOEVENTO="Manual",$M129=$A$15)),0,
         IF(OFFSET(CRONOPLE!$F$15,$M129-$A$15,BK$13)="",10^12,OFFSET(CRONOPLE!$F$15,$M129-$A$15,BK$13)))</f>
        <v>1000000000000</v>
      </c>
      <c r="BL129" s="178">
        <f ca="1">IF(OR($D129&lt;&gt;"Serviço",AND(AUTOEVENTO="Manual",$M129=$A$15)),0,
         IF(OFFSET(CRONOPLE!$F$15,$M129-$A$15,BL$13)="",10^12,OFFSET(CRONOPLE!$F$15,$M129-$A$15,BL$13)))</f>
        <v>1000000000000</v>
      </c>
      <c r="BM129" s="178">
        <f ca="1">IF(OR($D129&lt;&gt;"Serviço",AND(AUTOEVENTO="Manual",$M129=$A$15)),0,
         IF(OFFSET(CRONOPLE!$F$15,$M129-$A$15,BM$13)="",10^12,OFFSET(CRONOPLE!$F$15,$M129-$A$15,BM$13)))</f>
        <v>11</v>
      </c>
      <c r="BN129" s="178">
        <f ca="1">IF(OR($D129&lt;&gt;"Serviço",AND(AUTOEVENTO="Manual",$M129=$A$15)),0,
         IF(OFFSET(CRONOPLE!$F$15,$M129-$A$15,BN$13)="",10^12,OFFSET(CRONOPLE!$F$15,$M129-$A$15,BN$13)))</f>
        <v>1000000000000</v>
      </c>
      <c r="BO129" s="178">
        <f ca="1">IF(OR($D129&lt;&gt;"Serviço",AND(AUTOEVENTO="Manual",$M129=$A$15)),0,
         IF(OFFSET(CRONOPLE!$F$15,$M129-$A$15,BO$13)="",10^12,OFFSET(CRONOPLE!$F$15,$M129-$A$15,BO$13)))</f>
        <v>1000000000000</v>
      </c>
      <c r="BP129" s="178">
        <f ca="1">IF(OR($D129&lt;&gt;"Serviço",AND(AUTOEVENTO="Manual",$M129=$A$15)),0,
         IF(OFFSET(CRONOPLE!$F$15,$M129-$A$15,BP$13)="",10^12,OFFSET(CRONOPLE!$F$15,$M129-$A$15,BP$13)))</f>
        <v>1000000000000</v>
      </c>
      <c r="BQ129" s="178">
        <f ca="1">IF(OR($D129&lt;&gt;"Serviço",AND(AUTOEVENTO="Manual",$M129=$A$15)),0,
         IF(OFFSET(CRONOPLE!$F$15,$M129-$A$15,BQ$13)="",10^12,OFFSET(CRONOPLE!$F$15,$M129-$A$15,BQ$13)))</f>
        <v>1000000000000</v>
      </c>
      <c r="BR129" s="178">
        <f ca="1">IF(OR($D129&lt;&gt;"Serviço",AND(AUTOEVENTO="Manual",$M129=$A$15)),0,
         IF(OFFSET(CRONOPLE!$F$15,$M129-$A$15,BR$13)="",10^12,OFFSET(CRONOPLE!$F$15,$M129-$A$15,BR$13)))</f>
        <v>1000000000000</v>
      </c>
      <c r="BS129" s="178">
        <f ca="1">IF(OR($D129&lt;&gt;"Serviço",AND(AUTOEVENTO="Manual",$M129=$A$15)),0,
         IF(OFFSET(CRONOPLE!$F$15,$M129-$A$15,BS$13)="",10^12,OFFSET(CRONOPLE!$F$15,$M129-$A$15,BS$13)))</f>
        <v>1000000000000</v>
      </c>
      <c r="BT129" s="178">
        <f ca="1">IF(OR($D129&lt;&gt;"Serviço",AND(AUTOEVENTO="Manual",$M129=$A$15)),0,
         IF(OFFSET(CRONOPLE!$F$15,$M129-$A$15,BT$13)="",10^12,OFFSET(CRONOPLE!$F$15,$M129-$A$15,BT$13)))</f>
        <v>1000000000000</v>
      </c>
      <c r="BV129" s="179">
        <f ca="1">IF(OR($D129&lt;&gt;"Serviço",AND(AUTOEVENTO="Manual",$M129=$A$15),$M129&gt;(ROW(PLE.lastrow)-ROW(PLE.firstrow))),0,
           IF(OFFSET(PLE!$G$15,$M129-$A$15,BV$13)="",10^12,OFFSET(PLE!$G$15,$M129-$A$15,BV$13)))</f>
        <v>1000000000000</v>
      </c>
      <c r="BW129" s="179">
        <f ca="1">IF(OR($D129&lt;&gt;"Serviço",AND(AUTOEVENTO="Manual",$M129=$A$15),$M129&gt;(ROW(PLE.lastrow)-ROW(PLE.firstrow))),0,
           IF(OFFSET(PLE!$G$15,$M129-$A$15,BW$13)="",10^12,OFFSET(PLE!$G$15,$M129-$A$15,BW$13)))</f>
        <v>1000000000000</v>
      </c>
      <c r="BX129" s="179">
        <f ca="1">IF(OR($D129&lt;&gt;"Serviço",AND(AUTOEVENTO="Manual",$M129=$A$15),$M129&gt;(ROW(PLE.lastrow)-ROW(PLE.firstrow))),0,
           IF(OFFSET(PLE!$G$15,$M129-$A$15,BX$13)="",10^12,OFFSET(PLE!$G$15,$M129-$A$15,BX$13)))</f>
        <v>1000000000000</v>
      </c>
      <c r="BY129" s="179">
        <f ca="1">IF(OR($D129&lt;&gt;"Serviço",AND(AUTOEVENTO="Manual",$M129=$A$15),$M129&gt;(ROW(PLE.lastrow)-ROW(PLE.firstrow))),0,
           IF(OFFSET(PLE!$G$15,$M129-$A$15,BY$13)="",10^12,OFFSET(PLE!$G$15,$M129-$A$15,BY$13)))</f>
        <v>1000000000000</v>
      </c>
      <c r="BZ129" s="179">
        <f ca="1">IF(OR($D129&lt;&gt;"Serviço",AND(AUTOEVENTO="Manual",$M129=$A$15),$M129&gt;(ROW(PLE.lastrow)-ROW(PLE.firstrow))),0,
           IF(OFFSET(PLE!$G$15,$M129-$A$15,BZ$13)="",10^12,OFFSET(PLE!$G$15,$M129-$A$15,BZ$13)))</f>
        <v>1000000000000</v>
      </c>
      <c r="CA129" s="179">
        <f ca="1">IF(OR($D129&lt;&gt;"Serviço",AND(AUTOEVENTO="Manual",$M129=$A$15),$M129&gt;(ROW(PLE.lastrow)-ROW(PLE.firstrow))),0,
           IF(OFFSET(PLE!$G$15,$M129-$A$15,CA$13)="",10^12,OFFSET(PLE!$G$15,$M129-$A$15,CA$13)))</f>
        <v>1000000000000</v>
      </c>
      <c r="CB129" s="179">
        <f ca="1">IF(OR($D129&lt;&gt;"Serviço",AND(AUTOEVENTO="Manual",$M129=$A$15),$M129&gt;(ROW(PLE.lastrow)-ROW(PLE.firstrow))),0,
           IF(OFFSET(PLE!$G$15,$M129-$A$15,CB$13)="",10^12,OFFSET(PLE!$G$15,$M129-$A$15,CB$13)))</f>
        <v>1000000000000</v>
      </c>
      <c r="CC129" s="179">
        <f ca="1">IF(OR($D129&lt;&gt;"Serviço",AND(AUTOEVENTO="Manual",$M129=$A$15),$M129&gt;(ROW(PLE.lastrow)-ROW(PLE.firstrow))),0,
           IF(OFFSET(PLE!$G$15,$M129-$A$15,CC$13)="",10^12,OFFSET(PLE!$G$15,$M129-$A$15,CC$13)))</f>
        <v>1000000000000</v>
      </c>
      <c r="CD129" s="179">
        <f ca="1">IF(OR($D129&lt;&gt;"Serviço",AND(AUTOEVENTO="Manual",$M129=$A$15),$M129&gt;(ROW(PLE.lastrow)-ROW(PLE.firstrow))),0,
           IF(OFFSET(PLE!$G$15,$M129-$A$15,CD$13)="",10^12,OFFSET(PLE!$G$15,$M129-$A$15,CD$13)))</f>
        <v>1000000000000</v>
      </c>
      <c r="CE129" s="179">
        <f ca="1">IF(OR($D129&lt;&gt;"Serviço",AND(AUTOEVENTO="Manual",$M129=$A$15),$M129&gt;(ROW(PLE.lastrow)-ROW(PLE.firstrow))),0,
           IF(OFFSET(PLE!$G$15,$M129-$A$15,CE$13)="",10^12,OFFSET(PLE!$G$15,$M129-$A$15,CE$13)))</f>
        <v>1000000000000</v>
      </c>
      <c r="CF129" s="179">
        <f ca="1">IF(OR($D129&lt;&gt;"Serviço",AND(AUTOEVENTO="Manual",$M129=$A$15),$M129&gt;(ROW(PLE.lastrow)-ROW(PLE.firstrow))),0,
           IF(OFFSET(PLE!$G$15,$M129-$A$15,CF$13)="",10^12,OFFSET(PLE!$G$15,$M129-$A$15,CF$13)))</f>
        <v>1000000000000</v>
      </c>
      <c r="CG129" s="179">
        <f ca="1">IF(OR($D129&lt;&gt;"Serviço",AND(AUTOEVENTO="Manual",$M129=$A$15),$M129&gt;(ROW(PLE.lastrow)-ROW(PLE.firstrow))),0,
           IF(OFFSET(PLE!$G$15,$M129-$A$15,CG$13)="",10^12,OFFSET(PLE!$G$15,$M129-$A$15,CG$13)))</f>
        <v>1000000000000</v>
      </c>
      <c r="CH129" s="179">
        <f ca="1">IF(OR($D129&lt;&gt;"Serviço",AND(AUTOEVENTO="Manual",$M129=$A$15),$M129&gt;(ROW(PLE.lastrow)-ROW(PLE.firstrow))),0,
           IF(OFFSET(PLE!$G$15,$M129-$A$15,CH$13)="",10^12,OFFSET(PLE!$G$15,$M129-$A$15,CH$13)))</f>
        <v>1000000000000</v>
      </c>
      <c r="CI129" s="179">
        <f ca="1">IF(OR($D129&lt;&gt;"Serviço",AND(AUTOEVENTO="Manual",$M129=$A$15),$M129&gt;(ROW(PLE.lastrow)-ROW(PLE.firstrow))),0,
           IF(OFFSET(PLE!$G$15,$M129-$A$15,CI$13)="",10^12,OFFSET(PLE!$G$15,$M129-$A$15,CI$13)))</f>
        <v>1000000000000</v>
      </c>
      <c r="CJ129" s="179">
        <f ca="1">IF(OR($D129&lt;&gt;"Serviço",AND(AUTOEVENTO="Manual",$M129=$A$15),$M129&gt;(ROW(PLE.lastrow)-ROW(PLE.firstrow))),0,
           IF(OFFSET(PLE!$G$15,$M129-$A$15,CJ$13)="",10^12,OFFSET(PLE!$G$15,$M129-$A$15,CJ$13)))</f>
        <v>1000000000000</v>
      </c>
      <c r="CK129" s="179">
        <f ca="1">IF(OR($D129&lt;&gt;"Serviço",AND(AUTOEVENTO="Manual",$M129=$A$15),$M129&gt;(ROW(PLE.lastrow)-ROW(PLE.firstrow))),0,
           IF(OFFSET(PLE!$G$15,$M129-$A$15,CK$13)="",10^12,OFFSET(PLE!$G$15,$M129-$A$15,CK$13)))</f>
        <v>1000000000000</v>
      </c>
      <c r="CL129" s="179">
        <f ca="1">IF(OR($D129&lt;&gt;"Serviço",AND(AUTOEVENTO="Manual",$M129=$A$15),$M129&gt;(ROW(PLE.lastrow)-ROW(PLE.firstrow))),0,
           IF(OFFSET(PLE!$G$15,$M129-$A$15,CL$13)="",10^12,OFFSET(PLE!$G$15,$M129-$A$15,CL$13)))</f>
        <v>1000000000000</v>
      </c>
      <c r="CM129" s="179">
        <f ca="1">IF(OR($D129&lt;&gt;"Serviço",AND(AUTOEVENTO="Manual",$M129=$A$15),$M129&gt;(ROW(PLE.lastrow)-ROW(PLE.firstrow))),0,
           IF(OFFSET(PLE!$G$15,$M129-$A$15,CM$13)="",10^12,OFFSET(PLE!$G$15,$M129-$A$15,CM$13)))</f>
        <v>1000000000000</v>
      </c>
    </row>
    <row r="130" spans="1:91" ht="25.5" x14ac:dyDescent="0.2">
      <c r="A130" s="7" t="str">
        <f ca="1">IF(AUTOEVENTO="Manual",IF(K130&lt;&gt;"",MIN(VALUE(LEFT(K130,FIND(".",K130)-1)),COUNTA(EVENTOS.Lista)),0),IF(OR($B130&gt;AUTOEVENTO,$B130="S",$B130=0),SUBSTITUTE(OFFSET($A130,-1,0),IF($D130="Serviço",".",""),""),ROW(A130)-ROW($A$15)&amp;"."))</f>
        <v>113</v>
      </c>
      <c r="B130" s="7" t="str">
        <f ca="1">OFFSET(ORÇAMENTO!C$15,ROW(B130)-ROW(B$15),0)</f>
        <v>S</v>
      </c>
      <c r="C130" s="7" t="str">
        <f ca="1">OFFSET(ORÇAMENTO!L$15,ROW(C130)-ROW(C$15),0)</f>
        <v>F</v>
      </c>
      <c r="D130" s="118" t="str">
        <f ca="1">OFFSET(ORÇAMENTO!N$15,ROW(D130)-ROW(D$15),0)</f>
        <v>Serviço</v>
      </c>
      <c r="E130" s="119" t="str">
        <f ca="1">OFFSET(ORÇAMENTO!O$15,ROW(E130)-ROW(E$15),0)</f>
        <v>1.13.0.0.2.</v>
      </c>
      <c r="F130" s="170" t="str">
        <f ca="1">OFFSET(ORÇAMENTO!R$15,ROW(F130)-ROW(F$15),0)</f>
        <v>LIMPEZA DE SUPERFÍCIE PISO OU PAREDE COM JATO DE ALTA PRESSÃO. AF_10/2025</v>
      </c>
      <c r="G130" s="171" t="str">
        <f ca="1">IF($D130&lt;&gt;"Serviço","",OFFSET(ORÇAMENTO!S$15,ROW(G130)-ROW(G$15),0))</f>
        <v>M2</v>
      </c>
      <c r="H130" s="124" cm="1">
        <f t="array" aca="1" ref="H130" ca="1">IF($D130&lt;&gt;"Serviço",0,IF(_xlfn.SINGLE(ACOMPANHAMENTO)="BM",ROUND(OFFSET(ORÇAMENTO!AJ$15,ROW(H130)-ROW(H$15),0),15-13*ORÇAMENTO!$AF$7),SUMPRODUCT(($Q$1:$AI$1)*ROUND($Q130:$AI130,15-13*ORÇAMENTO!$AF$7))))</f>
        <v>470</v>
      </c>
      <c r="I130" s="500" t="s">
        <v>1080</v>
      </c>
      <c r="J130" s="632" t="str" cm="1">
        <f t="array" aca="1" ref="J130" ca="1">IF(B130&lt;&gt;"S","",IF(AND(ACOMPANHAMENTO="PLE",AUTOEVENTO="Manual",OR(H130&gt;0,ORÇAMENTO!AC130="QUANT."),OR(K130="",M130=0,N130="")),"►",IF(AND(ACOMPANHAMENTO="PLE",ORÇAMENTO!AC130="QUANT."),"►►",IF(AND(COUNTIF($P$11:$AI$11,"▼")=0,H130&gt;0,I130=""),"◄",""))))</f>
        <v/>
      </c>
      <c r="K130" s="624"/>
      <c r="L130" s="172" t="s">
        <v>253</v>
      </c>
      <c r="M130" s="173">
        <f ca="1">IF($D130&lt;&gt;"Serviço","",
          IF(AUTOEVENTO="manual",$A130,
                IF(ISERROR(MATCH($A130,$A$15:OFFSET($A130,-1,0),0)),MAX($M$15:OFFSET(M130,-1,0))+1,
                      INDEX($M$15:OFFSET(M130,-1,0),MATCH($A130,$A$15:OFFSET($A130,-1,0),0)))))</f>
        <v>13</v>
      </c>
      <c r="N130" s="174" t="str">
        <f ca="1">IF($D130&lt;&gt;"Serviço","",
         IF(AUTOEVENTO="Manual",
                IF($A130=0,"&lt;-- defina o número do agrupador",
                       OFFSET(EVENTOS!$D$15,$A130-$A$15,0)),
                OFFSET($F$15,$A130,0)))</f>
        <v>SERVIÇOS FINAIS</v>
      </c>
      <c r="O130" s="175"/>
      <c r="Q130" s="175"/>
      <c r="R130" s="176"/>
      <c r="S130" s="176"/>
      <c r="T130" s="176"/>
      <c r="U130" s="176">
        <v>470</v>
      </c>
      <c r="V130" s="176"/>
      <c r="W130" s="176"/>
      <c r="X130" s="176"/>
      <c r="Y130" s="176"/>
      <c r="Z130" s="177"/>
      <c r="AA130" s="176"/>
      <c r="AB130" s="176"/>
      <c r="AC130" s="176"/>
      <c r="AD130" s="176"/>
      <c r="AE130" s="176"/>
      <c r="AF130" s="176"/>
      <c r="AG130" s="176"/>
      <c r="AH130" s="177"/>
      <c r="AJ130" s="485">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85">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L130" s="485">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0</v>
      </c>
      <c r="AM130" s="485">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0</v>
      </c>
      <c r="AN130" s="485">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1019.9</v>
      </c>
      <c r="AO130" s="485">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0</v>
      </c>
      <c r="AP130" s="485">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85">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85">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85">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85">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85">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85">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85">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85">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85">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85">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85">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8">
        <f ca="1">IF(OR($D130&lt;&gt;"Serviço",AND(AUTOEVENTO="Manual",$M130=$A$15)),0,
         IF(OFFSET(CRONOPLE!$F$15,$M130-$A$15,BC$13)="",10^12,OFFSET(CRONOPLE!$F$15,$M130-$A$15,BC$13)))</f>
        <v>1</v>
      </c>
      <c r="BD130" s="178">
        <f ca="1">IF(OR($D130&lt;&gt;"Serviço",AND(AUTOEVENTO="Manual",$M130=$A$15)),0,
         IF(OFFSET(CRONOPLE!$F$15,$M130-$A$15,BD$13)="",10^12,OFFSET(CRONOPLE!$F$15,$M130-$A$15,BD$13)))</f>
        <v>2</v>
      </c>
      <c r="BE130" s="178">
        <f ca="1">IF(OR($D130&lt;&gt;"Serviço",AND(AUTOEVENTO="Manual",$M130=$A$15)),0,
         IF(OFFSET(CRONOPLE!$F$15,$M130-$A$15,BE$13)="",10^12,OFFSET(CRONOPLE!$F$15,$M130-$A$15,BE$13)))</f>
        <v>1000000000000</v>
      </c>
      <c r="BF130" s="178">
        <f ca="1">IF(OR($D130&lt;&gt;"Serviço",AND(AUTOEVENTO="Manual",$M130=$A$15)),0,
         IF(OFFSET(CRONOPLE!$F$15,$M130-$A$15,BF$13)="",10^12,OFFSET(CRONOPLE!$F$15,$M130-$A$15,BF$13)))</f>
        <v>1000000000000</v>
      </c>
      <c r="BG130" s="178">
        <f ca="1">IF(OR($D130&lt;&gt;"Serviço",AND(AUTOEVENTO="Manual",$M130=$A$15)),0,
         IF(OFFSET(CRONOPLE!$F$15,$M130-$A$15,BG$13)="",10^12,OFFSET(CRONOPLE!$F$15,$M130-$A$15,BG$13)))</f>
        <v>5</v>
      </c>
      <c r="BH130" s="178">
        <f ca="1">IF(OR($D130&lt;&gt;"Serviço",AND(AUTOEVENTO="Manual",$M130=$A$15)),0,
         IF(OFFSET(CRONOPLE!$F$15,$M130-$A$15,BH$13)="",10^12,OFFSET(CRONOPLE!$F$15,$M130-$A$15,BH$13)))</f>
        <v>1000000000000</v>
      </c>
      <c r="BI130" s="178">
        <f ca="1">IF(OR($D130&lt;&gt;"Serviço",AND(AUTOEVENTO="Manual",$M130=$A$15)),0,
         IF(OFFSET(CRONOPLE!$F$15,$M130-$A$15,BI$13)="",10^12,OFFSET(CRONOPLE!$F$15,$M130-$A$15,BI$13)))</f>
        <v>7</v>
      </c>
      <c r="BJ130" s="178">
        <f ca="1">IF(OR($D130&lt;&gt;"Serviço",AND(AUTOEVENTO="Manual",$M130=$A$15)),0,
         IF(OFFSET(CRONOPLE!$F$15,$M130-$A$15,BJ$13)="",10^12,OFFSET(CRONOPLE!$F$15,$M130-$A$15,BJ$13)))</f>
        <v>8</v>
      </c>
      <c r="BK130" s="178">
        <f ca="1">IF(OR($D130&lt;&gt;"Serviço",AND(AUTOEVENTO="Manual",$M130=$A$15)),0,
         IF(OFFSET(CRONOPLE!$F$15,$M130-$A$15,BK$13)="",10^12,OFFSET(CRONOPLE!$F$15,$M130-$A$15,BK$13)))</f>
        <v>1000000000000</v>
      </c>
      <c r="BL130" s="178">
        <f ca="1">IF(OR($D130&lt;&gt;"Serviço",AND(AUTOEVENTO="Manual",$M130=$A$15)),0,
         IF(OFFSET(CRONOPLE!$F$15,$M130-$A$15,BL$13)="",10^12,OFFSET(CRONOPLE!$F$15,$M130-$A$15,BL$13)))</f>
        <v>1000000000000</v>
      </c>
      <c r="BM130" s="178">
        <f ca="1">IF(OR($D130&lt;&gt;"Serviço",AND(AUTOEVENTO="Manual",$M130=$A$15)),0,
         IF(OFFSET(CRONOPLE!$F$15,$M130-$A$15,BM$13)="",10^12,OFFSET(CRONOPLE!$F$15,$M130-$A$15,BM$13)))</f>
        <v>11</v>
      </c>
      <c r="BN130" s="178">
        <f ca="1">IF(OR($D130&lt;&gt;"Serviço",AND(AUTOEVENTO="Manual",$M130=$A$15)),0,
         IF(OFFSET(CRONOPLE!$F$15,$M130-$A$15,BN$13)="",10^12,OFFSET(CRONOPLE!$F$15,$M130-$A$15,BN$13)))</f>
        <v>1000000000000</v>
      </c>
      <c r="BO130" s="178">
        <f ca="1">IF(OR($D130&lt;&gt;"Serviço",AND(AUTOEVENTO="Manual",$M130=$A$15)),0,
         IF(OFFSET(CRONOPLE!$F$15,$M130-$A$15,BO$13)="",10^12,OFFSET(CRONOPLE!$F$15,$M130-$A$15,BO$13)))</f>
        <v>1000000000000</v>
      </c>
      <c r="BP130" s="178">
        <f ca="1">IF(OR($D130&lt;&gt;"Serviço",AND(AUTOEVENTO="Manual",$M130=$A$15)),0,
         IF(OFFSET(CRONOPLE!$F$15,$M130-$A$15,BP$13)="",10^12,OFFSET(CRONOPLE!$F$15,$M130-$A$15,BP$13)))</f>
        <v>1000000000000</v>
      </c>
      <c r="BQ130" s="178">
        <f ca="1">IF(OR($D130&lt;&gt;"Serviço",AND(AUTOEVENTO="Manual",$M130=$A$15)),0,
         IF(OFFSET(CRONOPLE!$F$15,$M130-$A$15,BQ$13)="",10^12,OFFSET(CRONOPLE!$F$15,$M130-$A$15,BQ$13)))</f>
        <v>1000000000000</v>
      </c>
      <c r="BR130" s="178">
        <f ca="1">IF(OR($D130&lt;&gt;"Serviço",AND(AUTOEVENTO="Manual",$M130=$A$15)),0,
         IF(OFFSET(CRONOPLE!$F$15,$M130-$A$15,BR$13)="",10^12,OFFSET(CRONOPLE!$F$15,$M130-$A$15,BR$13)))</f>
        <v>1000000000000</v>
      </c>
      <c r="BS130" s="178">
        <f ca="1">IF(OR($D130&lt;&gt;"Serviço",AND(AUTOEVENTO="Manual",$M130=$A$15)),0,
         IF(OFFSET(CRONOPLE!$F$15,$M130-$A$15,BS$13)="",10^12,OFFSET(CRONOPLE!$F$15,$M130-$A$15,BS$13)))</f>
        <v>1000000000000</v>
      </c>
      <c r="BT130" s="178">
        <f ca="1">IF(OR($D130&lt;&gt;"Serviço",AND(AUTOEVENTO="Manual",$M130=$A$15)),0,
         IF(OFFSET(CRONOPLE!$F$15,$M130-$A$15,BT$13)="",10^12,OFFSET(CRONOPLE!$F$15,$M130-$A$15,BT$13)))</f>
        <v>1000000000000</v>
      </c>
      <c r="BV130" s="179">
        <f ca="1">IF(OR($D130&lt;&gt;"Serviço",AND(AUTOEVENTO="Manual",$M130=$A$15),$M130&gt;(ROW(PLE.lastrow)-ROW(PLE.firstrow))),0,
           IF(OFFSET(PLE!$G$15,$M130-$A$15,BV$13)="",10^12,OFFSET(PLE!$G$15,$M130-$A$15,BV$13)))</f>
        <v>1000000000000</v>
      </c>
      <c r="BW130" s="179">
        <f ca="1">IF(OR($D130&lt;&gt;"Serviço",AND(AUTOEVENTO="Manual",$M130=$A$15),$M130&gt;(ROW(PLE.lastrow)-ROW(PLE.firstrow))),0,
           IF(OFFSET(PLE!$G$15,$M130-$A$15,BW$13)="",10^12,OFFSET(PLE!$G$15,$M130-$A$15,BW$13)))</f>
        <v>1000000000000</v>
      </c>
      <c r="BX130" s="179">
        <f ca="1">IF(OR($D130&lt;&gt;"Serviço",AND(AUTOEVENTO="Manual",$M130=$A$15),$M130&gt;(ROW(PLE.lastrow)-ROW(PLE.firstrow))),0,
           IF(OFFSET(PLE!$G$15,$M130-$A$15,BX$13)="",10^12,OFFSET(PLE!$G$15,$M130-$A$15,BX$13)))</f>
        <v>1000000000000</v>
      </c>
      <c r="BY130" s="179">
        <f ca="1">IF(OR($D130&lt;&gt;"Serviço",AND(AUTOEVENTO="Manual",$M130=$A$15),$M130&gt;(ROW(PLE.lastrow)-ROW(PLE.firstrow))),0,
           IF(OFFSET(PLE!$G$15,$M130-$A$15,BY$13)="",10^12,OFFSET(PLE!$G$15,$M130-$A$15,BY$13)))</f>
        <v>1000000000000</v>
      </c>
      <c r="BZ130" s="179">
        <f ca="1">IF(OR($D130&lt;&gt;"Serviço",AND(AUTOEVENTO="Manual",$M130=$A$15),$M130&gt;(ROW(PLE.lastrow)-ROW(PLE.firstrow))),0,
           IF(OFFSET(PLE!$G$15,$M130-$A$15,BZ$13)="",10^12,OFFSET(PLE!$G$15,$M130-$A$15,BZ$13)))</f>
        <v>1000000000000</v>
      </c>
      <c r="CA130" s="179">
        <f ca="1">IF(OR($D130&lt;&gt;"Serviço",AND(AUTOEVENTO="Manual",$M130=$A$15),$M130&gt;(ROW(PLE.lastrow)-ROW(PLE.firstrow))),0,
           IF(OFFSET(PLE!$G$15,$M130-$A$15,CA$13)="",10^12,OFFSET(PLE!$G$15,$M130-$A$15,CA$13)))</f>
        <v>1000000000000</v>
      </c>
      <c r="CB130" s="179">
        <f ca="1">IF(OR($D130&lt;&gt;"Serviço",AND(AUTOEVENTO="Manual",$M130=$A$15),$M130&gt;(ROW(PLE.lastrow)-ROW(PLE.firstrow))),0,
           IF(OFFSET(PLE!$G$15,$M130-$A$15,CB$13)="",10^12,OFFSET(PLE!$G$15,$M130-$A$15,CB$13)))</f>
        <v>1000000000000</v>
      </c>
      <c r="CC130" s="179">
        <f ca="1">IF(OR($D130&lt;&gt;"Serviço",AND(AUTOEVENTO="Manual",$M130=$A$15),$M130&gt;(ROW(PLE.lastrow)-ROW(PLE.firstrow))),0,
           IF(OFFSET(PLE!$G$15,$M130-$A$15,CC$13)="",10^12,OFFSET(PLE!$G$15,$M130-$A$15,CC$13)))</f>
        <v>1000000000000</v>
      </c>
      <c r="CD130" s="179">
        <f ca="1">IF(OR($D130&lt;&gt;"Serviço",AND(AUTOEVENTO="Manual",$M130=$A$15),$M130&gt;(ROW(PLE.lastrow)-ROW(PLE.firstrow))),0,
           IF(OFFSET(PLE!$G$15,$M130-$A$15,CD$13)="",10^12,OFFSET(PLE!$G$15,$M130-$A$15,CD$13)))</f>
        <v>1000000000000</v>
      </c>
      <c r="CE130" s="179">
        <f ca="1">IF(OR($D130&lt;&gt;"Serviço",AND(AUTOEVENTO="Manual",$M130=$A$15),$M130&gt;(ROW(PLE.lastrow)-ROW(PLE.firstrow))),0,
           IF(OFFSET(PLE!$G$15,$M130-$A$15,CE$13)="",10^12,OFFSET(PLE!$G$15,$M130-$A$15,CE$13)))</f>
        <v>1000000000000</v>
      </c>
      <c r="CF130" s="179">
        <f ca="1">IF(OR($D130&lt;&gt;"Serviço",AND(AUTOEVENTO="Manual",$M130=$A$15),$M130&gt;(ROW(PLE.lastrow)-ROW(PLE.firstrow))),0,
           IF(OFFSET(PLE!$G$15,$M130-$A$15,CF$13)="",10^12,OFFSET(PLE!$G$15,$M130-$A$15,CF$13)))</f>
        <v>1000000000000</v>
      </c>
      <c r="CG130" s="179">
        <f ca="1">IF(OR($D130&lt;&gt;"Serviço",AND(AUTOEVENTO="Manual",$M130=$A$15),$M130&gt;(ROW(PLE.lastrow)-ROW(PLE.firstrow))),0,
           IF(OFFSET(PLE!$G$15,$M130-$A$15,CG$13)="",10^12,OFFSET(PLE!$G$15,$M130-$A$15,CG$13)))</f>
        <v>1000000000000</v>
      </c>
      <c r="CH130" s="179">
        <f ca="1">IF(OR($D130&lt;&gt;"Serviço",AND(AUTOEVENTO="Manual",$M130=$A$15),$M130&gt;(ROW(PLE.lastrow)-ROW(PLE.firstrow))),0,
           IF(OFFSET(PLE!$G$15,$M130-$A$15,CH$13)="",10^12,OFFSET(PLE!$G$15,$M130-$A$15,CH$13)))</f>
        <v>1000000000000</v>
      </c>
      <c r="CI130" s="179">
        <f ca="1">IF(OR($D130&lt;&gt;"Serviço",AND(AUTOEVENTO="Manual",$M130=$A$15),$M130&gt;(ROW(PLE.lastrow)-ROW(PLE.firstrow))),0,
           IF(OFFSET(PLE!$G$15,$M130-$A$15,CI$13)="",10^12,OFFSET(PLE!$G$15,$M130-$A$15,CI$13)))</f>
        <v>1000000000000</v>
      </c>
      <c r="CJ130" s="179">
        <f ca="1">IF(OR($D130&lt;&gt;"Serviço",AND(AUTOEVENTO="Manual",$M130=$A$15),$M130&gt;(ROW(PLE.lastrow)-ROW(PLE.firstrow))),0,
           IF(OFFSET(PLE!$G$15,$M130-$A$15,CJ$13)="",10^12,OFFSET(PLE!$G$15,$M130-$A$15,CJ$13)))</f>
        <v>1000000000000</v>
      </c>
      <c r="CK130" s="179">
        <f ca="1">IF(OR($D130&lt;&gt;"Serviço",AND(AUTOEVENTO="Manual",$M130=$A$15),$M130&gt;(ROW(PLE.lastrow)-ROW(PLE.firstrow))),0,
           IF(OFFSET(PLE!$G$15,$M130-$A$15,CK$13)="",10^12,OFFSET(PLE!$G$15,$M130-$A$15,CK$13)))</f>
        <v>1000000000000</v>
      </c>
      <c r="CL130" s="179">
        <f ca="1">IF(OR($D130&lt;&gt;"Serviço",AND(AUTOEVENTO="Manual",$M130=$A$15),$M130&gt;(ROW(PLE.lastrow)-ROW(PLE.firstrow))),0,
           IF(OFFSET(PLE!$G$15,$M130-$A$15,CL$13)="",10^12,OFFSET(PLE!$G$15,$M130-$A$15,CL$13)))</f>
        <v>1000000000000</v>
      </c>
      <c r="CM130" s="179">
        <f ca="1">IF(OR($D130&lt;&gt;"Serviço",AND(AUTOEVENTO="Manual",$M130=$A$15),$M130&gt;(ROW(PLE.lastrow)-ROW(PLE.firstrow))),0,
           IF(OFFSET(PLE!$G$15,$M130-$A$15,CM$13)="",10^12,OFFSET(PLE!$G$15,$M130-$A$15,CM$13)))</f>
        <v>1000000000000</v>
      </c>
    </row>
    <row r="131" spans="1:91" ht="5.45" customHeight="1" x14ac:dyDescent="0.2">
      <c r="B131" s="7">
        <f ca="1">OFFSET(ORÇAMENTO!C$15,ROW(B131)-ROW(B$15),0)</f>
        <v>-1</v>
      </c>
      <c r="C131" s="7" t="str">
        <f ca="1">OFFSET(ORÇAMENTO!L$15,ROW(C131)-ROW(C$15),0)</f>
        <v>F</v>
      </c>
      <c r="D131" s="439" t="s">
        <v>192</v>
      </c>
      <c r="E131" s="440"/>
      <c r="F131" s="441"/>
      <c r="G131" s="441"/>
      <c r="H131" s="441"/>
      <c r="I131" s="442"/>
      <c r="K131" s="623"/>
      <c r="L131" s="172" t="s">
        <v>253</v>
      </c>
      <c r="M131" s="444"/>
      <c r="N131" s="443"/>
      <c r="O131" s="438"/>
      <c r="Q131" s="440"/>
      <c r="R131" s="441"/>
      <c r="S131" s="441"/>
      <c r="T131" s="441"/>
      <c r="U131" s="441"/>
      <c r="V131" s="441"/>
      <c r="W131" s="441"/>
      <c r="X131" s="441"/>
      <c r="Y131" s="441"/>
      <c r="Z131" s="442"/>
      <c r="AA131" s="441"/>
      <c r="AB131" s="441"/>
      <c r="AC131" s="441"/>
      <c r="AD131" s="441"/>
      <c r="AE131" s="441"/>
      <c r="AF131" s="441"/>
      <c r="AG131" s="441"/>
      <c r="AH131" s="442"/>
      <c r="AJ131" s="138"/>
      <c r="AK131" s="187"/>
      <c r="AL131" s="187"/>
      <c r="AM131" s="187"/>
      <c r="AN131" s="187"/>
      <c r="AO131" s="187"/>
      <c r="AP131" s="187"/>
      <c r="AQ131" s="187"/>
      <c r="AR131" s="187"/>
      <c r="AS131" s="139"/>
      <c r="AT131" s="187"/>
      <c r="AU131" s="187"/>
      <c r="AV131" s="187"/>
      <c r="AW131" s="187"/>
      <c r="AX131" s="187"/>
      <c r="AY131" s="187"/>
      <c r="AZ131" s="187"/>
      <c r="BA131" s="139"/>
      <c r="BC131" s="138"/>
      <c r="BD131" s="187"/>
      <c r="BE131" s="187"/>
      <c r="BF131" s="187"/>
      <c r="BG131" s="187"/>
      <c r="BH131" s="187"/>
      <c r="BI131" s="187"/>
      <c r="BJ131" s="187"/>
      <c r="BK131" s="187"/>
      <c r="BL131" s="139"/>
      <c r="BM131" s="187"/>
      <c r="BN131" s="187"/>
      <c r="BO131" s="187"/>
      <c r="BP131" s="187"/>
      <c r="BQ131" s="187"/>
      <c r="BR131" s="187"/>
      <c r="BS131" s="187"/>
      <c r="BT131" s="139"/>
      <c r="BV131" s="138"/>
      <c r="BW131" s="187"/>
      <c r="BX131" s="187"/>
      <c r="BY131" s="187"/>
      <c r="BZ131" s="187"/>
      <c r="CA131" s="187"/>
      <c r="CB131" s="187"/>
      <c r="CC131" s="187"/>
      <c r="CD131" s="187"/>
      <c r="CE131" s="139"/>
      <c r="CF131" s="187"/>
      <c r="CG131" s="187"/>
      <c r="CH131" s="187"/>
      <c r="CI131" s="187"/>
      <c r="CJ131" s="187"/>
      <c r="CK131" s="187"/>
      <c r="CL131" s="187"/>
      <c r="CM131" s="139"/>
    </row>
    <row r="132" spans="1:91" ht="12.75" customHeight="1" x14ac:dyDescent="0.2"/>
    <row r="133" spans="1:91" ht="12.75" customHeight="1" x14ac:dyDescent="0.2"/>
    <row r="134" spans="1:91" ht="12.75" customHeight="1" x14ac:dyDescent="0.2"/>
    <row r="135" spans="1:91" ht="15" customHeight="1" x14ac:dyDescent="0.2">
      <c r="F135" s="188" t="str">
        <f>Import.Município</f>
        <v>LINDÓIA DO SUL - SC</v>
      </c>
      <c r="I135" s="492"/>
      <c r="J135" s="492"/>
      <c r="K135" s="492"/>
      <c r="L135" s="492"/>
      <c r="M135" s="493"/>
      <c r="N135" s="435"/>
      <c r="T135" s="145"/>
      <c r="U135" s="145"/>
      <c r="V135" s="189"/>
      <c r="W135" s="189"/>
      <c r="X135" s="189"/>
      <c r="Y135" s="189"/>
      <c r="AB135" s="145"/>
      <c r="AC135" s="145"/>
      <c r="AD135" s="189"/>
      <c r="AE135" s="189"/>
      <c r="AF135" s="189"/>
      <c r="AG135" s="189"/>
    </row>
    <row r="136" spans="1:91" ht="12.75" customHeight="1" x14ac:dyDescent="0.2">
      <c r="F136" s="10" t="s">
        <v>186</v>
      </c>
      <c r="I136" s="190" t="s">
        <v>188</v>
      </c>
      <c r="J136" s="190"/>
      <c r="K136" s="190"/>
      <c r="L136" s="190"/>
      <c r="T136" s="190" t="s">
        <v>188</v>
      </c>
      <c r="U136" s="190"/>
      <c r="AB136" s="190" t="s">
        <v>188</v>
      </c>
      <c r="AC136" s="190"/>
    </row>
    <row r="137" spans="1:91" ht="12.75" customHeight="1" x14ac:dyDescent="0.2">
      <c r="I137" s="413" t="str">
        <f t="array" aca="1" ref="I137:I139" ca="1">OFFSET(Import.RespOrçamento,0,-1) &amp; " " &amp; Import.RespOrçamento</f>
        <v>Nome: RAFAELA B. BOSCHETTI</v>
      </c>
      <c r="K137" s="80"/>
      <c r="L137" s="80"/>
      <c r="T137" s="413" t="str">
        <f t="array" aca="1" ref="T137:T139" ca="1">OFFSET(Import.RespOrçamento,0,-1) &amp; " " &amp; Import.RespOrçamento</f>
        <v>Nome: RAFAELA B. BOSCHETTI</v>
      </c>
      <c r="U137" s="79"/>
      <c r="AB137" s="413" t="str">
        <f t="array" aca="1" ref="AB137:AB139" ca="1">OFFSET(Import.RespOrçamento,0,-1) &amp; " " &amp; Import.RespOrçamento</f>
        <v>Nome: RAFAELA B. BOSCHETTI</v>
      </c>
      <c r="AC137" s="79"/>
    </row>
    <row r="138" spans="1:91" ht="12.75" customHeight="1" x14ac:dyDescent="0.2">
      <c r="F138" s="491">
        <f ca="1">DADOS!$C$25</f>
        <v>46189</v>
      </c>
      <c r="I138" s="413" t="str">
        <f ca="1"/>
        <v>CREA/CAU: A295176-2</v>
      </c>
      <c r="K138" s="80"/>
      <c r="L138" s="80"/>
      <c r="T138" s="413" t="str">
        <f ca="1"/>
        <v>CREA/CAU: A295176-2</v>
      </c>
      <c r="U138" s="79"/>
      <c r="AB138" s="413" t="str">
        <f ca="1"/>
        <v>CREA/CAU: A295176-2</v>
      </c>
      <c r="AC138" s="79"/>
    </row>
    <row r="139" spans="1:91" ht="12.75" customHeight="1" x14ac:dyDescent="0.2">
      <c r="F139" s="146" t="s">
        <v>187</v>
      </c>
      <c r="I139" s="413" t="str">
        <f ca="1"/>
        <v>ART/RRT: 16357172</v>
      </c>
      <c r="K139" s="80"/>
      <c r="L139" s="80"/>
      <c r="T139" s="413" t="str">
        <f ca="1"/>
        <v>ART/RRT: 16357172</v>
      </c>
      <c r="U139" s="79"/>
      <c r="AB139" s="413" t="str">
        <f ca="1"/>
        <v>ART/RRT: 16357172</v>
      </c>
      <c r="AC139" s="79"/>
    </row>
    <row r="140" spans="1:91" ht="12.75" customHeight="1" x14ac:dyDescent="0.2">
      <c r="C140"/>
      <c r="M140"/>
    </row>
    <row r="141" spans="1:91" ht="12.75" customHeight="1" x14ac:dyDescent="0.2">
      <c r="C141"/>
      <c r="M141"/>
    </row>
    <row r="142" spans="1:91" ht="12.75" customHeight="1" x14ac:dyDescent="0.2">
      <c r="C142"/>
      <c r="M142"/>
    </row>
    <row r="143" spans="1:91" ht="12.75" customHeight="1" x14ac:dyDescent="0.2">
      <c r="C143"/>
      <c r="M143"/>
    </row>
    <row r="144" spans="1:91"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61043" spans="3:13" ht="12.75" customHeight="1" x14ac:dyDescent="0.2">
      <c r="C61043"/>
      <c r="M61043"/>
    </row>
    <row r="61059" spans="3:13" ht="12.75" customHeight="1" x14ac:dyDescent="0.2">
      <c r="C61059"/>
      <c r="M61059"/>
    </row>
    <row r="61075" spans="3:13" ht="12.75" customHeight="1" x14ac:dyDescent="0.2">
      <c r="C61075"/>
      <c r="M61075"/>
    </row>
    <row r="61089" spans="3:13" ht="0" hidden="1" customHeight="1" x14ac:dyDescent="0.2"/>
    <row r="61091" spans="3:13" ht="12.75" customHeight="1" x14ac:dyDescent="0.2">
      <c r="C61091"/>
      <c r="M61091"/>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5" spans="3:13" ht="12.75" customHeight="1" x14ac:dyDescent="0.2">
      <c r="C61235"/>
      <c r="M61235"/>
    </row>
    <row r="61243" spans="3:13" ht="12.75" customHeight="1" x14ac:dyDescent="0.2">
      <c r="C61243"/>
      <c r="M61243"/>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1" spans="3:13" ht="12.75" customHeight="1" x14ac:dyDescent="0.2">
      <c r="C61251"/>
      <c r="M61251"/>
    </row>
    <row r="61259" spans="3:13" ht="12.75" customHeight="1" x14ac:dyDescent="0.2">
      <c r="C61259"/>
      <c r="M61259"/>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7" spans="3:13" ht="12.75" customHeight="1" x14ac:dyDescent="0.2">
      <c r="C61267"/>
      <c r="M61267"/>
    </row>
    <row r="61275" spans="3:13" ht="12.75" customHeight="1" x14ac:dyDescent="0.2">
      <c r="C61275"/>
      <c r="M61275"/>
    </row>
    <row r="61276" spans="3:13" ht="12.75" customHeight="1" x14ac:dyDescent="0.2">
      <c r="C61276"/>
      <c r="M61276"/>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3" spans="3:13" ht="12.75" customHeight="1" x14ac:dyDescent="0.2">
      <c r="C61283"/>
      <c r="M61283"/>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9" spans="3:13" ht="12.75" customHeight="1" x14ac:dyDescent="0.2">
      <c r="C61299"/>
      <c r="M61299"/>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0" hidden="1" customHeight="1" x14ac:dyDescent="0.2"/>
    <row r="61315" spans="3:13" ht="12.75" customHeight="1" x14ac:dyDescent="0.2">
      <c r="C61315"/>
      <c r="M61315"/>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sheetData>
  <sheetProtection algorithmName="SHA-512" hashValue="A6yoYZMeaQjFZj5v7XanHXY2SIgKWyJf39d8ZHcsY5KkIo7SjXbxx59Xnb7E1hU3wOu4ToEjBgbzYUb7C16T/w==" saltValue="nOnXVAztnBMKV2sqYV6eKQ==" spinCount="100000" sheet="1" objects="1" scenarios="1" autoFilter="0"/>
  <autoFilter ref="C15:C131" xr:uid="{00000000-0009-0000-0000-000005000000}"/>
  <mergeCells count="21">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 ref="AG6:AH6"/>
    <mergeCell ref="AG7:AH7"/>
    <mergeCell ref="AA9:AB9"/>
    <mergeCell ref="AC9:AH9"/>
    <mergeCell ref="AA10:AB10"/>
    <mergeCell ref="AC10:AH10"/>
  </mergeCells>
  <phoneticPr fontId="38" type="noConversion"/>
  <conditionalFormatting sqref="D14:I14 D21:I130">
    <cfRule type="expression" dxfId="308" priority="8857" stopIfTrue="1">
      <formula>$B14=1</formula>
    </cfRule>
    <cfRule type="expression" dxfId="307" priority="8858" stopIfTrue="1">
      <formula>OR($B14=0,$B14=2,$B14=3,$B14=4)</formula>
    </cfRule>
  </conditionalFormatting>
  <conditionalFormatting sqref="M12:N131">
    <cfRule type="expression" dxfId="306" priority="8859" stopIfTrue="1">
      <formula>ACOMPANHAMENTO="BM"</formula>
    </cfRule>
    <cfRule type="expression" dxfId="305" priority="8860" stopIfTrue="1">
      <formula>OR($B12=0,$B12=2,$B12=3,$B12=4)</formula>
    </cfRule>
    <cfRule type="expression" dxfId="304" priority="8861" stopIfTrue="1">
      <formula>$B12=1</formula>
    </cfRule>
  </conditionalFormatting>
  <conditionalFormatting sqref="K12:K131">
    <cfRule type="expression" dxfId="303" priority="8862" stopIfTrue="1">
      <formula>OR(ACOMPANHAMENTO="BM",$A$12&lt;&gt;"Manual")</formula>
    </cfRule>
    <cfRule type="expression" dxfId="302" priority="8863" stopIfTrue="1">
      <formula>$B12=1</formula>
    </cfRule>
    <cfRule type="expression" dxfId="301" priority="8864" stopIfTrue="1">
      <formula>OR($B12=2,$B12=3,$B12=4,$B12=0)</formula>
    </cfRule>
  </conditionalFormatting>
  <conditionalFormatting sqref="O12:AI131">
    <cfRule type="expression" dxfId="300" priority="2448" stopIfTrue="1">
      <formula>ACOMPANHAMENTO="BM"</formula>
    </cfRule>
    <cfRule type="expression" dxfId="299" priority="8866" stopIfTrue="1">
      <formula>AND(O$12&lt;&gt;".",OR($B12=0,$B12=2,$B12=3,$B12=4,AND(O$12="",$B12&lt;&gt;"Empty"),OFFSET(O$1,0,-1)=0))</formula>
    </cfRule>
    <cfRule type="expression" dxfId="298" priority="8867" stopIfTrue="1">
      <formula>AND($B12=1,O$1=1)</formula>
    </cfRule>
  </conditionalFormatting>
  <conditionalFormatting sqref="Q15:AH15">
    <cfRule type="expression" dxfId="297" priority="8865">
      <formula>Q$11="▼"</formula>
    </cfRule>
  </conditionalFormatting>
  <conditionalFormatting sqref="O15">
    <cfRule type="expression" dxfId="296" priority="2447">
      <formula>O$11="▼"</formula>
    </cfRule>
  </conditionalFormatting>
  <conditionalFormatting sqref="D16:I18">
    <cfRule type="expression" dxfId="295" priority="355" stopIfTrue="1">
      <formula>$B16=1</formula>
    </cfRule>
    <cfRule type="expression" dxfId="294" priority="356" stopIfTrue="1">
      <formula>OR($B16=0,$B16=2,$B16=3,$B16=4)</formula>
    </cfRule>
  </conditionalFormatting>
  <conditionalFormatting sqref="D19:I20">
    <cfRule type="expression" dxfId="293" priority="1" stopIfTrue="1">
      <formula>$B19=1</formula>
    </cfRule>
    <cfRule type="expression" dxfId="292" priority="2" stopIfTrue="1">
      <formula>OR($B19=0,$B19=2,$B19=3,$B19=4)</formula>
    </cfRule>
  </conditionalFormatting>
  <dataValidations count="4">
    <dataValidation type="decimal" operator="greaterThan" allowBlank="1" showErrorMessage="1" error="Apenas números decimais maiores que zero." sqref="O14 Q14:AH14 O16:O130 Q16:AH130" xr:uid="{00000000-0002-0000-0500-000000000000}">
      <formula1>0</formula1>
      <formula2>0</formula2>
    </dataValidation>
    <dataValidation type="list" allowBlank="1" showErrorMessage="1" sqref="K14 K16:K130"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13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&amp;LPMv3.09&amp;R&amp;P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87"/>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IF(AUTOEVENTO="Manual",IF(EVENTOS!$F1&gt;0,"F",""),IF(CRONOPLE!B1&lt;=MAX(CÁLCULO!$M$15:$M$131),"F",""))</f>
        <v>#REF!</v>
      </c>
      <c r="B1" s="257" t="e">
        <f ca="1">OFFSET(B1,-1,0)+1</f>
        <v>#REF!</v>
      </c>
      <c r="C1" s="554" t="e">
        <f ca="1">IF(AUTOEVENTO="Manual",IF($B1&gt;0,OFFSET(EVENTOS!$D$15,$B1-$B$15,0),0),IF(B1&lt;=MAX(CÁLCULO!$M$15:$M$131),VLOOKUP($B1,CÁLCULO!$M$15:$N$131,2,FALSE),0))</f>
        <v>#REF!</v>
      </c>
      <c r="D1" s="608"/>
      <c r="E1" s="258"/>
      <c r="F1" t="e">
        <f ca="1">IF($C1=0,"",CONCATENATE($B1,". ",$C1))</f>
        <v>#REF!</v>
      </c>
      <c r="G1" s="607"/>
      <c r="H1" s="607"/>
      <c r="I1" s="607"/>
      <c r="J1" s="607"/>
      <c r="K1" s="607"/>
      <c r="L1" s="607"/>
      <c r="M1" s="607"/>
      <c r="N1" s="607"/>
      <c r="O1" s="607"/>
      <c r="P1" s="607"/>
      <c r="Q1" s="607"/>
      <c r="R1" s="607"/>
      <c r="S1" s="607"/>
      <c r="T1" s="607"/>
      <c r="U1" s="607"/>
      <c r="V1" s="607"/>
      <c r="W1" s="607"/>
      <c r="X1" s="607"/>
      <c r="Y1" s="607"/>
      <c r="Z1" s="607"/>
      <c r="AA1" s="607"/>
      <c r="AB1" s="607"/>
      <c r="AC1" s="607"/>
      <c r="AD1" s="607"/>
      <c r="AE1" s="607"/>
    </row>
    <row r="2" spans="1:31" ht="30" customHeight="1" x14ac:dyDescent="0.2">
      <c r="G2" s="83" t="s">
        <v>284</v>
      </c>
      <c r="AC2" s="757" t="s">
        <v>441</v>
      </c>
      <c r="AD2" s="758"/>
      <c r="AE2" s="759"/>
    </row>
    <row r="3" spans="1:31" ht="12.75" customHeight="1" x14ac:dyDescent="0.2">
      <c r="G3" s="83"/>
      <c r="AD3" s="518"/>
      <c r="AE3" s="518"/>
    </row>
    <row r="4" spans="1:31" ht="12.75" customHeight="1" x14ac:dyDescent="0.2">
      <c r="B4" s="707" t="s">
        <v>146</v>
      </c>
      <c r="C4" s="707"/>
      <c r="D4" s="707"/>
      <c r="G4" s="717" t="s">
        <v>145</v>
      </c>
      <c r="H4" s="717"/>
      <c r="I4" s="717"/>
      <c r="J4" s="717" t="s">
        <v>422</v>
      </c>
      <c r="K4" s="717"/>
      <c r="L4" s="717"/>
      <c r="M4" s="218" t="s">
        <v>269</v>
      </c>
      <c r="N4" s="222"/>
      <c r="P4" s="196"/>
      <c r="Q4" s="196"/>
      <c r="R4" s="196"/>
      <c r="U4" s="519"/>
      <c r="V4" s="196"/>
      <c r="W4" s="196"/>
      <c r="X4" s="196"/>
      <c r="Y4" s="196"/>
      <c r="AD4" s="518"/>
      <c r="AE4" s="520"/>
    </row>
    <row r="5" spans="1:31" ht="12.75" customHeight="1" x14ac:dyDescent="0.2">
      <c r="B5" s="711" t="str">
        <f>Import.Proponente</f>
        <v>0</v>
      </c>
      <c r="C5" s="711"/>
      <c r="D5" s="711"/>
      <c r="G5" s="722" t="str">
        <f>Import.CR</f>
        <v>0</v>
      </c>
      <c r="H5" s="722"/>
      <c r="I5" s="722"/>
      <c r="J5" s="722" t="str">
        <f>Import.SICONV</f>
        <v>0</v>
      </c>
      <c r="K5" s="722"/>
      <c r="L5" s="722"/>
      <c r="M5" s="730" t="str">
        <f>Import.Apelido</f>
        <v>RUA COBERTA MUNICIPAL</v>
      </c>
      <c r="N5" s="731"/>
      <c r="O5" s="731"/>
      <c r="P5" s="731"/>
      <c r="Q5" s="731"/>
      <c r="R5" s="731"/>
      <c r="S5" s="731"/>
      <c r="T5" s="731"/>
      <c r="U5" s="731"/>
      <c r="V5" s="731"/>
      <c r="W5" s="731"/>
      <c r="X5" s="731"/>
      <c r="Y5" s="731"/>
      <c r="Z5" s="731"/>
      <c r="AA5" s="731"/>
      <c r="AB5" s="731"/>
      <c r="AC5" s="731"/>
      <c r="AD5" s="731"/>
      <c r="AE5" s="760"/>
    </row>
    <row r="6" spans="1:31" ht="14.25" customHeight="1" x14ac:dyDescent="0.25">
      <c r="B6" s="259" t="str">
        <f ca="1">IF(ACOMPANHAMENTO="BM","NO ACOMPANHAMENTO POR BM, UTILIZE A ABA CRONO",
  IF(MAX($B$14:$B$65)&lt;MAX(CÁLCULO!$M$15:$M$131),"ERRO: NÚMERO DE EVENTOS INSUFICIENTE, CLIQUE EM ATUALIZAR LINHAS",
  IF(ROUND(OFFSET(CRONO!$AS$117,0,-1),2)&lt;&gt;CRONO!$R$108,"ERRO: CRONOGRAMA NÃO FECHA 100%","")))</f>
        <v/>
      </c>
    </row>
    <row r="7" spans="1:31" ht="15" customHeight="1" thickBot="1" x14ac:dyDescent="0.25">
      <c r="B7" s="565" t="str" cm="1">
        <f t="array" aca="1" ref="B7" ca="1">IF(AdmLocal="Automática","","1. Selecione o Título do Evento da Administração Local:")</f>
        <v>1. Selecione o Título do Evento da Administração Local:</v>
      </c>
    </row>
    <row r="8" spans="1:31" ht="13.5" thickBot="1" x14ac:dyDescent="0.25">
      <c r="A8" s="602" t="e">
        <f>MID(Import.EventoAdmLocal,1,SEARCH(".",Import.EventoAdmLocal)-1)</f>
        <v>#VALUE!</v>
      </c>
      <c r="B8" s="676" t="s">
        <v>908</v>
      </c>
      <c r="C8" s="678"/>
      <c r="D8" s="628" t="str">
        <f ca="1">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602"/>
    </row>
    <row r="10" spans="1:31" ht="15" customHeight="1" x14ac:dyDescent="0.2">
      <c r="A10" s="602" t="e">
        <f>MATCH(VALUE(A8),CÁLCULO!$M$15:$M$131,0)-2</f>
        <v>#VALUE!</v>
      </c>
      <c r="B10" s="565" t="str" cm="1">
        <f t="array" aca="1" ref="B10" ca="1">_xlfn.CONCAT(IF(AdmLocal="Automática",1,2),". Digite nas células em amarelo o número do período em que os eventos serão concluídos:")</f>
        <v>2. Digite nas células em amarelo o número do período em que os eventos serão concluídos:</v>
      </c>
    </row>
    <row r="11" spans="1:31" ht="65.25" customHeight="1" x14ac:dyDescent="0.2">
      <c r="A11" s="524" t="s">
        <v>207</v>
      </c>
      <c r="C11" s="261"/>
      <c r="E11" s="262" t="str">
        <f ca="1">IF(E$12&gt;CÁLCULO.FrentesPreenchidas,"",OFFSET(CÁLCULO!$P$12,0,E$12))</f>
        <v>SERVIÇOS INICIAIS E ESCAVAÇÕES</v>
      </c>
      <c r="G11" s="262" t="str">
        <f ca="1">IF(G$12&gt;CÁLCULO.FrentesPreenchidas,"",OFFSET(CÁLCULO!$P$12,0,G$12))</f>
        <v>SERVIÇOS INICIAIS E ESCAVAÇÕES</v>
      </c>
      <c r="H11" s="262" t="str">
        <f ca="1">IF(H$12&gt;CÁLCULO.FrentesPreenchidas,"",OFFSET(CÁLCULO!$P$12,0,H$12))</f>
        <v xml:space="preserve">FUNDAÇÕES E ESTRUTURA </v>
      </c>
      <c r="I11" s="262" t="str">
        <f ca="1">IF(I$12&gt;CÁLCULO.FrentesPreenchidas,"",OFFSET(CÁLCULO!$P$12,0,I$12))</f>
        <v>PAVIMENTAÇÃO E FECHAMENTO METÁLICO</v>
      </c>
      <c r="J11" s="262" t="str">
        <f ca="1">IF(J$12&gt;CÁLCULO.FrentesPreenchidas,"",OFFSET(CÁLCULO!$P$12,0,J$12))</f>
        <v>ALVENARIA, ESQUADRIAS E INSTALAÇÕES ELÉTRICAS</v>
      </c>
      <c r="K11" s="262" t="str">
        <f ca="1">IF(K$12&gt;CÁLCULO.FrentesPreenchidas,"",OFFSET(CÁLCULO!$P$12,0,K$12))</f>
        <v>SERVIÇOS FINAIS</v>
      </c>
      <c r="L11" s="262" t="str">
        <f ca="1">IF(L$12&gt;CÁLCULO.FrentesPreenchidas,"",OFFSET(CÁLCULO!$P$12,0,L$12))</f>
        <v/>
      </c>
      <c r="M11" s="262" t="str">
        <f ca="1">IF(M$12&gt;CÁLCULO.FrentesPreenchidas,"",OFFSET(CÁLCULO!$P$12,0,M$12))</f>
        <v/>
      </c>
      <c r="N11" s="262" t="str">
        <f ca="1">IF(N$12&gt;CÁLCULO.FrentesPreenchidas,"",OFFSET(CÁLCULO!$P$12,0,N$12))</f>
        <v/>
      </c>
      <c r="O11" s="262" t="str">
        <f ca="1">IF(O$12&gt;CÁLCULO.FrentesPreenchidas,"",OFFSET(CÁLCULO!$P$12,0,O$12))</f>
        <v/>
      </c>
      <c r="P11" s="262" t="str">
        <f ca="1">IF(P$12&gt;CÁLCULO.FrentesPreenchidas,"",OFFSET(CÁLCULO!$P$12,0,P$12))</f>
        <v/>
      </c>
      <c r="Q11" s="262" t="str">
        <f ca="1">IF(Q$12&gt;CÁLCULO.FrentesPreenchidas,"",OFFSET(CÁLCULO!$P$12,0,Q$12))</f>
        <v/>
      </c>
      <c r="R11" s="262" t="str">
        <f ca="1">IF(R$12&gt;CÁLCULO.FrentesPreenchidas,"",OFFSET(CÁLCULO!$P$12,0,R$12))</f>
        <v/>
      </c>
      <c r="S11" s="262" t="str">
        <f ca="1">IF(S$12&gt;CÁLCULO.FrentesPreenchidas,"",OFFSET(CÁLCULO!$P$12,0,S$12))</f>
        <v/>
      </c>
      <c r="T11" s="262" t="str">
        <f ca="1">IF(T$12&gt;CÁLCULO.FrentesPreenchidas,"",OFFSET(CÁLCULO!$P$12,0,T$12))</f>
        <v/>
      </c>
      <c r="U11" s="262" t="str">
        <f ca="1">IF(U$12&gt;CÁLCULO.FrentesPreenchidas,"",OFFSET(CÁLCULO!$P$12,0,U$12))</f>
        <v/>
      </c>
      <c r="V11" s="262" t="str">
        <f ca="1">IF(V$12&gt;CÁLCULO.FrentesPreenchidas,"",OFFSET(CÁLCULO!$P$12,0,V$12))</f>
        <v/>
      </c>
      <c r="W11" s="262" t="str">
        <f ca="1">IF(W$12&gt;CÁLCULO.FrentesPreenchidas,"",OFFSET(CÁLCULO!$P$12,0,W$12))</f>
        <v/>
      </c>
      <c r="X11" s="262" t="str">
        <f ca="1">IF(X$12&gt;CÁLCULO.FrentesPreenchidas,"",OFFSET(CÁLCULO!$P$12,0,X$12))</f>
        <v/>
      </c>
      <c r="Y11" s="262" t="str">
        <f ca="1">IF(Y$12&gt;CÁLCULO.FrentesPreenchidas,"",OFFSET(CÁLCULO!$P$12,0,Y$12))</f>
        <v/>
      </c>
      <c r="Z11" s="262" t="str">
        <f ca="1">IF(Z$12&gt;CÁLCULO.FrentesPreenchidas,"",OFFSET(CÁLCULO!$P$12,0,Z$12))</f>
        <v/>
      </c>
      <c r="AA11" s="262" t="str">
        <f ca="1">IF(AA$12&gt;CÁLCULO.FrentesPreenchidas,"",OFFSET(CÁLCULO!$P$12,0,AA$12))</f>
        <v/>
      </c>
      <c r="AB11" s="262" t="str">
        <f ca="1">IF(AB$12&gt;CÁLCULO.FrentesPreenchidas,"",OFFSET(CÁLCULO!$P$12,0,AB$12))</f>
        <v/>
      </c>
      <c r="AC11" s="262" t="str">
        <f ca="1">IF(AC$12&gt;CÁLCULO.FrentesPreenchidas,"",OFFSET(CÁLCULO!$P$12,0,AC$12))</f>
        <v/>
      </c>
      <c r="AD11" s="262" t="str">
        <f ca="1">IF(AD$12&gt;CÁLCULO.FrentesPreenchidas,"",OFFSET(CÁLCULO!$P$12,0,AD$12))</f>
        <v/>
      </c>
      <c r="AE11" s="262" t="str">
        <f ca="1">IF(AE$12&gt;CÁLCULO.FrentesPreenchidas,"",OFFSET(CÁLCULO!$P$12,0,AE$12))</f>
        <v/>
      </c>
    </row>
    <row r="12" spans="1:31" ht="12.75" customHeight="1" x14ac:dyDescent="0.2">
      <c r="A12" s="525" t="s">
        <v>215</v>
      </c>
      <c r="B12" s="761" t="s">
        <v>263</v>
      </c>
      <c r="C12" s="761" t="s">
        <v>286</v>
      </c>
      <c r="E12" s="263">
        <f ca="1">OFFSET(E12,0,-1)+1</f>
        <v>1</v>
      </c>
      <c r="G12" s="263">
        <f ca="1">OFFSET(G12,0,-1)+1</f>
        <v>1</v>
      </c>
      <c r="H12" s="263">
        <f ca="1">OFFSET(H12,0,-1)+1</f>
        <v>2</v>
      </c>
      <c r="I12" s="263">
        <f t="shared" ref="I12:AE12" ca="1" si="0">OFFSET(I12,0,-1)+1</f>
        <v>3</v>
      </c>
      <c r="J12" s="263">
        <f t="shared" ca="1" si="0"/>
        <v>4</v>
      </c>
      <c r="K12" s="263">
        <f t="shared" ca="1" si="0"/>
        <v>5</v>
      </c>
      <c r="L12" s="263">
        <f t="shared" ca="1" si="0"/>
        <v>6</v>
      </c>
      <c r="M12" s="263">
        <f t="shared" ca="1" si="0"/>
        <v>7</v>
      </c>
      <c r="N12" s="263">
        <f t="shared" ca="1" si="0"/>
        <v>8</v>
      </c>
      <c r="O12" s="263">
        <f t="shared" ca="1" si="0"/>
        <v>9</v>
      </c>
      <c r="P12" s="263">
        <f t="shared" ca="1" si="0"/>
        <v>10</v>
      </c>
      <c r="Q12" s="263">
        <f t="shared" ca="1" si="0"/>
        <v>11</v>
      </c>
      <c r="R12" s="263">
        <f t="shared" ca="1" si="0"/>
        <v>12</v>
      </c>
      <c r="S12" s="263">
        <f t="shared" ca="1" si="0"/>
        <v>13</v>
      </c>
      <c r="T12" s="263">
        <f t="shared" ca="1" si="0"/>
        <v>14</v>
      </c>
      <c r="U12" s="263">
        <f t="shared" ca="1" si="0"/>
        <v>15</v>
      </c>
      <c r="V12" s="263">
        <f t="shared" ca="1" si="0"/>
        <v>16</v>
      </c>
      <c r="W12" s="263">
        <f t="shared" ca="1" si="0"/>
        <v>17</v>
      </c>
      <c r="X12" s="263">
        <f t="shared" ca="1" si="0"/>
        <v>18</v>
      </c>
      <c r="Y12" s="263">
        <f t="shared" ca="1" si="0"/>
        <v>19</v>
      </c>
      <c r="Z12" s="263">
        <f t="shared" ca="1" si="0"/>
        <v>20</v>
      </c>
      <c r="AA12" s="263">
        <f t="shared" ca="1" si="0"/>
        <v>21</v>
      </c>
      <c r="AB12" s="263">
        <f t="shared" ca="1" si="0"/>
        <v>22</v>
      </c>
      <c r="AC12" s="263">
        <f t="shared" ca="1" si="0"/>
        <v>23</v>
      </c>
      <c r="AD12" s="263">
        <f t="shared" ca="1" si="0"/>
        <v>24</v>
      </c>
      <c r="AE12" s="263">
        <f t="shared" ca="1" si="0"/>
        <v>25</v>
      </c>
    </row>
    <row r="13" spans="1:31" x14ac:dyDescent="0.2">
      <c r="A13" t="s">
        <v>207</v>
      </c>
      <c r="B13" s="761"/>
      <c r="C13" s="761"/>
      <c r="E13" s="264"/>
      <c r="G13" s="265"/>
      <c r="H13" s="264"/>
      <c r="I13" s="264"/>
      <c r="J13" s="264"/>
      <c r="K13" s="264"/>
      <c r="L13" s="264"/>
      <c r="M13" s="634" t="str">
        <f ca="1">IF(CRONOPLE.Erro="ERRO: CRONOGRAMA NÃO FECHA 100%","Informe abaixo o NÚMERO DO PERÍODO em que os eventos serão concluídos","")</f>
        <v/>
      </c>
      <c r="N13" s="264"/>
      <c r="O13" s="264"/>
      <c r="P13" s="264"/>
      <c r="Q13" s="264"/>
      <c r="R13" s="264"/>
      <c r="S13" s="264"/>
      <c r="T13" s="264"/>
      <c r="U13" s="264"/>
      <c r="V13" s="264"/>
      <c r="W13" s="264"/>
      <c r="X13" s="264"/>
      <c r="Y13" s="264"/>
      <c r="Z13" s="264"/>
      <c r="AA13" s="264"/>
      <c r="AB13" s="264"/>
      <c r="AC13" s="264"/>
      <c r="AD13" s="264"/>
      <c r="AE13" s="266"/>
    </row>
    <row r="14" spans="1:31" ht="5.45" customHeight="1" x14ac:dyDescent="0.2">
      <c r="A14" s="7" t="s">
        <v>244</v>
      </c>
    </row>
    <row r="15" spans="1:31" x14ac:dyDescent="0.2">
      <c r="A15" s="7" t="str">
        <f ca="1">IF(AUTOEVENTO="Manual",IF(EVENTOS!$F15&gt;0,"F",""),IF(CRONOPLE!B15&lt;=MAX(CÁLCULO!$M$15:$M$131),"F",""))</f>
        <v>F</v>
      </c>
      <c r="B15" s="267">
        <f ca="1">EVENTOS!$C$15</f>
        <v>0</v>
      </c>
      <c r="C15" s="268" t="str">
        <f ca="1">EVENTOS!$D$15</f>
        <v/>
      </c>
      <c r="D15" s="608"/>
      <c r="E15" s="269"/>
      <c r="F15" t="str">
        <f ca="1">IF($C15="","",CONCATENATE($B15,". ",$C15))</f>
        <v/>
      </c>
      <c r="G15" s="27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9"/>
      <c r="I15" s="269"/>
      <c r="J15" s="269"/>
      <c r="K15" s="269"/>
      <c r="L15" s="269"/>
      <c r="M15" s="269"/>
      <c r="N15" s="269"/>
      <c r="O15" s="269"/>
      <c r="P15" s="269"/>
      <c r="Q15" s="269"/>
      <c r="R15" s="269"/>
      <c r="S15" s="269"/>
      <c r="T15" s="269"/>
      <c r="U15" s="269"/>
      <c r="V15" s="269"/>
      <c r="W15" s="269"/>
      <c r="X15" s="269"/>
      <c r="Y15" s="269"/>
      <c r="Z15" s="269"/>
      <c r="AA15" s="269"/>
      <c r="AB15" s="269"/>
      <c r="AC15" s="269"/>
      <c r="AD15" s="269"/>
      <c r="AE15" s="271"/>
    </row>
    <row r="16" spans="1:31" x14ac:dyDescent="0.2">
      <c r="A16" s="7" t="str">
        <f ca="1">IF(AUTOEVENTO="Manual",IF(EVENTOS!$F16&gt;0,"F",""),IF(CRONOPLE!B16&lt;=MAX(CÁLCULO!$M$15:$M$131),"F",""))</f>
        <v>F</v>
      </c>
      <c r="B16" s="257">
        <f t="shared" ref="B16:B64" ca="1" si="1">OFFSET(B16,-1,0)+1</f>
        <v>1</v>
      </c>
      <c r="C16" s="554" t="str">
        <f ca="1">IF(AUTOEVENTO="Manual",IF($B16&gt;0,OFFSET(EVENTOS!$D$15,$B16-$B$15,0),0),IF(B16&lt;=MAX(CÁLCULO!$M$15:$M$131),VLOOKUP($B16,CÁLCULO!$M$15:$N$131,2,FALSE),0))</f>
        <v>SERVIÇOS INICIAIS</v>
      </c>
      <c r="D16" s="608"/>
      <c r="E16" s="258"/>
      <c r="F16" t="str">
        <f t="shared" ref="F16:F64" ca="1" si="2">IF($C16=0,"",CONCATENATE($B16,". ",$C16))</f>
        <v>1. SERVIÇOS INICIAIS</v>
      </c>
      <c r="G16" s="607">
        <v>1</v>
      </c>
      <c r="H16" s="607"/>
      <c r="I16" s="607"/>
      <c r="J16" s="607"/>
      <c r="K16" s="607"/>
      <c r="L16" s="607"/>
      <c r="M16" s="607"/>
      <c r="N16" s="607"/>
      <c r="O16" s="607"/>
      <c r="P16" s="607"/>
      <c r="Q16" s="607"/>
      <c r="R16" s="607"/>
      <c r="S16" s="607"/>
      <c r="T16" s="607"/>
      <c r="U16" s="607"/>
      <c r="V16" s="607"/>
      <c r="W16" s="607"/>
      <c r="X16" s="607"/>
      <c r="Y16" s="607"/>
      <c r="Z16" s="607"/>
      <c r="AA16" s="607"/>
      <c r="AB16" s="607"/>
      <c r="AC16" s="607"/>
      <c r="AD16" s="607"/>
      <c r="AE16" s="607"/>
    </row>
    <row r="17" spans="1:31" x14ac:dyDescent="0.2">
      <c r="A17" s="7" t="str">
        <f ca="1">IF(AUTOEVENTO="Manual",IF(EVENTOS!$F17&gt;0,"F",""),IF(CRONOPLE!B17&lt;=MAX(CÁLCULO!$M$15:$M$131),"F",""))</f>
        <v>F</v>
      </c>
      <c r="B17" s="257">
        <f t="shared" ca="1" si="1"/>
        <v>2</v>
      </c>
      <c r="C17" s="554" t="str">
        <f ca="1">IF(AUTOEVENTO="Manual",IF($B17&gt;0,OFFSET(EVENTOS!$D$15,$B17-$B$15,0),0),IF(B17&lt;=MAX(CÁLCULO!$M$15:$M$131),VLOOKUP($B17,CÁLCULO!$M$15:$N$131,2,FALSE),0))</f>
        <v>LOCAÇÃO DE OBRA</v>
      </c>
      <c r="D17" s="608"/>
      <c r="E17" s="258"/>
      <c r="F17" t="str">
        <f t="shared" ca="1" si="2"/>
        <v>2. LOCAÇÃO DE OBRA</v>
      </c>
      <c r="G17" s="607">
        <v>1</v>
      </c>
      <c r="H17" s="607"/>
      <c r="I17" s="607"/>
      <c r="J17" s="607"/>
      <c r="K17" s="607"/>
      <c r="L17" s="607"/>
      <c r="M17" s="607"/>
      <c r="N17" s="607"/>
      <c r="O17" s="607"/>
      <c r="P17" s="607"/>
      <c r="Q17" s="607"/>
      <c r="R17" s="607"/>
      <c r="S17" s="607"/>
      <c r="T17" s="607"/>
      <c r="U17" s="607"/>
      <c r="V17" s="607"/>
      <c r="W17" s="607"/>
      <c r="X17" s="607"/>
      <c r="Y17" s="607"/>
      <c r="Z17" s="607"/>
      <c r="AA17" s="607"/>
      <c r="AB17" s="607"/>
      <c r="AC17" s="607"/>
      <c r="AD17" s="607"/>
      <c r="AE17" s="607"/>
    </row>
    <row r="18" spans="1:31" x14ac:dyDescent="0.2">
      <c r="A18" s="7" t="str">
        <f ca="1">IF(AUTOEVENTO="Manual",IF(EVENTOS!$F18&gt;0,"F",""),IF(CRONOPLE!B18&lt;=MAX(CÁLCULO!$M$15:$M$131),"F",""))</f>
        <v>F</v>
      </c>
      <c r="B18" s="257">
        <f t="shared" ca="1" si="1"/>
        <v>3</v>
      </c>
      <c r="C18" s="554" t="str">
        <f ca="1">IF(AUTOEVENTO="Manual",IF($B18&gt;0,OFFSET(EVENTOS!$D$15,$B18-$B$15,0),0),IF(B18&lt;=MAX(CÁLCULO!$M$15:$M$131),VLOOKUP($B18,CÁLCULO!$M$15:$N$131,2,FALSE),0))</f>
        <v>DEMOLIÇÕES E REMOÇÕES</v>
      </c>
      <c r="D18" s="608"/>
      <c r="E18" s="258"/>
      <c r="F18" t="str">
        <f t="shared" ca="1" si="2"/>
        <v>3. DEMOLIÇÕES E REMOÇÕES</v>
      </c>
      <c r="G18" s="607">
        <v>1</v>
      </c>
      <c r="H18" s="607">
        <v>2</v>
      </c>
      <c r="I18" s="607">
        <v>3</v>
      </c>
      <c r="J18" s="607">
        <v>4</v>
      </c>
      <c r="K18" s="607">
        <v>5</v>
      </c>
      <c r="L18" s="607">
        <v>6</v>
      </c>
      <c r="M18" s="607">
        <v>7</v>
      </c>
      <c r="N18" s="607"/>
      <c r="O18" s="607"/>
      <c r="P18" s="607"/>
      <c r="Q18" s="607"/>
      <c r="R18" s="607"/>
      <c r="S18" s="607"/>
      <c r="T18" s="607"/>
      <c r="U18" s="607"/>
      <c r="V18" s="607"/>
      <c r="W18" s="607"/>
      <c r="X18" s="607"/>
      <c r="Y18" s="607"/>
      <c r="Z18" s="607"/>
      <c r="AA18" s="607"/>
      <c r="AB18" s="607"/>
      <c r="AC18" s="607"/>
      <c r="AD18" s="607"/>
      <c r="AE18" s="607"/>
    </row>
    <row r="19" spans="1:31" x14ac:dyDescent="0.2">
      <c r="A19" s="7" t="str">
        <f ca="1">IF(AUTOEVENTO="Manual",IF(EVENTOS!$F19&gt;0,"F",""),IF(CRONOPLE!B19&lt;=MAX(CÁLCULO!$M$15:$M$131),"F",""))</f>
        <v>F</v>
      </c>
      <c r="B19" s="257">
        <f t="shared" ca="1" si="1"/>
        <v>4</v>
      </c>
      <c r="C19" s="554" t="str">
        <f ca="1">IF(AUTOEVENTO="Manual",IF($B19&gt;0,OFFSET(EVENTOS!$D$15,$B19-$B$15,0),0),IF(B19&lt;=MAX(CÁLCULO!$M$15:$M$131),VLOOKUP($B19,CÁLCULO!$M$15:$N$131,2,FALSE),0))</f>
        <v>PAVIMENTAÇÃO</v>
      </c>
      <c r="D19" s="608"/>
      <c r="E19" s="258"/>
      <c r="F19" t="str">
        <f t="shared" ca="1" si="2"/>
        <v>4. PAVIMENTAÇÃO</v>
      </c>
      <c r="G19" s="607">
        <v>1</v>
      </c>
      <c r="H19" s="607">
        <v>2</v>
      </c>
      <c r="I19" s="607">
        <v>3</v>
      </c>
      <c r="J19" s="607"/>
      <c r="K19" s="607"/>
      <c r="L19" s="607"/>
      <c r="M19" s="607">
        <v>7</v>
      </c>
      <c r="N19" s="607"/>
      <c r="O19" s="607"/>
      <c r="P19" s="607"/>
      <c r="Q19" s="607"/>
      <c r="R19" s="607"/>
      <c r="S19" s="607"/>
      <c r="T19" s="607"/>
      <c r="U19" s="607"/>
      <c r="V19" s="607"/>
      <c r="W19" s="607"/>
      <c r="X19" s="607"/>
      <c r="Y19" s="607"/>
      <c r="Z19" s="607"/>
      <c r="AA19" s="607"/>
      <c r="AB19" s="607"/>
      <c r="AC19" s="607"/>
      <c r="AD19" s="607"/>
      <c r="AE19" s="607"/>
    </row>
    <row r="20" spans="1:31" x14ac:dyDescent="0.2">
      <c r="A20" s="7" t="str">
        <f ca="1">IF(AUTOEVENTO="Manual",IF(EVENTOS!$F20&gt;0,"F",""),IF(CRONOPLE!B20&lt;=MAX(CÁLCULO!$M$15:$M$131),"F",""))</f>
        <v>F</v>
      </c>
      <c r="B20" s="257">
        <f t="shared" ca="1" si="1"/>
        <v>5</v>
      </c>
      <c r="C20" s="554" t="str">
        <f ca="1">IF(AUTOEVENTO="Manual",IF($B20&gt;0,OFFSET(EVENTOS!$D$15,$B20-$B$15,0),0),IF(B20&lt;=MAX(CÁLCULO!$M$15:$M$131),VLOOKUP($B20,CÁLCULO!$M$15:$N$131,2,FALSE),0))</f>
        <v>ESTRUTURA E FUNDAÇÕES - PROJETO E ORÇAMENTO TERCERIZADO - AZEVEDO ENGENHARIA (AZ ENG)</v>
      </c>
      <c r="D20" s="608"/>
      <c r="E20" s="258"/>
      <c r="F20" t="str">
        <f t="shared" ca="1" si="2"/>
        <v>5. ESTRUTURA E FUNDAÇÕES - PROJETO E ORÇAMENTO TERCERIZADO - AZEVEDO ENGENHARIA (AZ ENG)</v>
      </c>
      <c r="G20" s="607">
        <v>1</v>
      </c>
      <c r="H20" s="607">
        <v>2</v>
      </c>
      <c r="I20" s="607">
        <v>3</v>
      </c>
      <c r="J20" s="607">
        <v>4</v>
      </c>
      <c r="K20" s="607">
        <v>5</v>
      </c>
      <c r="L20" s="607">
        <v>6</v>
      </c>
      <c r="M20" s="607">
        <v>7</v>
      </c>
      <c r="N20" s="607"/>
      <c r="O20" s="607"/>
      <c r="P20" s="607"/>
      <c r="Q20" s="607"/>
      <c r="R20" s="607"/>
      <c r="S20" s="607"/>
      <c r="T20" s="607"/>
      <c r="U20" s="607"/>
      <c r="V20" s="607"/>
      <c r="W20" s="607"/>
      <c r="X20" s="607"/>
      <c r="Y20" s="607"/>
      <c r="Z20" s="607"/>
      <c r="AA20" s="607"/>
      <c r="AB20" s="607"/>
      <c r="AC20" s="607"/>
      <c r="AD20" s="607"/>
      <c r="AE20" s="607"/>
    </row>
    <row r="21" spans="1:31" x14ac:dyDescent="0.2">
      <c r="A21" s="7" t="str">
        <f ca="1">IF(AUTOEVENTO="Manual",IF(EVENTOS!$F21&gt;0,"F",""),IF(CRONOPLE!B21&lt;=MAX(CÁLCULO!$M$15:$M$131),"F",""))</f>
        <v>F</v>
      </c>
      <c r="B21" s="257">
        <f t="shared" ca="1" si="1"/>
        <v>6</v>
      </c>
      <c r="C21" s="554" t="str">
        <f ca="1">IF(AUTOEVENTO="Manual",IF($B21&gt;0,OFFSET(EVENTOS!$D$15,$B21-$B$15,0),0),IF(B21&lt;=MAX(CÁLCULO!$M$15:$M$131),VLOOKUP($B21,CÁLCULO!$M$15:$N$131,2,FALSE),0))</f>
        <v>PAREDES DE FECHAMENTO</v>
      </c>
      <c r="D21" s="608"/>
      <c r="E21" s="258"/>
      <c r="F21" t="str">
        <f t="shared" ca="1" si="2"/>
        <v>6. PAREDES DE FECHAMENTO</v>
      </c>
      <c r="G21" s="607">
        <v>1</v>
      </c>
      <c r="H21" s="607">
        <v>2</v>
      </c>
      <c r="I21" s="607">
        <v>3</v>
      </c>
      <c r="J21" s="607">
        <v>4</v>
      </c>
      <c r="K21" s="607"/>
      <c r="L21" s="607"/>
      <c r="M21" s="607">
        <v>7</v>
      </c>
      <c r="N21" s="607"/>
      <c r="O21" s="607"/>
      <c r="P21" s="607"/>
      <c r="Q21" s="607"/>
      <c r="R21" s="607"/>
      <c r="S21" s="607"/>
      <c r="T21" s="607"/>
      <c r="U21" s="607"/>
      <c r="V21" s="607"/>
      <c r="W21" s="607"/>
      <c r="X21" s="607"/>
      <c r="Y21" s="607"/>
      <c r="Z21" s="607"/>
      <c r="AA21" s="607"/>
      <c r="AB21" s="607"/>
      <c r="AC21" s="607"/>
      <c r="AD21" s="607"/>
      <c r="AE21" s="607"/>
    </row>
    <row r="22" spans="1:31" x14ac:dyDescent="0.2">
      <c r="A22" s="7" t="str">
        <f ca="1">IF(AUTOEVENTO="Manual",IF(EVENTOS!$F22&gt;0,"F",""),IF(CRONOPLE!B22&lt;=MAX(CÁLCULO!$M$15:$M$131),"F",""))</f>
        <v>F</v>
      </c>
      <c r="B22" s="257">
        <f t="shared" ca="1" si="1"/>
        <v>7</v>
      </c>
      <c r="C22" s="554" t="str">
        <f ca="1">IF(AUTOEVENTO="Manual",IF($B22&gt;0,OFFSET(EVENTOS!$D$15,$B22-$B$15,0),0),IF(B22&lt;=MAX(CÁLCULO!$M$15:$M$131),VLOOKUP($B22,CÁLCULO!$M$15:$N$131,2,FALSE),0))</f>
        <v>ESQUADRIAS</v>
      </c>
      <c r="D22" s="608"/>
      <c r="E22" s="258"/>
      <c r="F22" t="str">
        <f t="shared" ca="1" si="2"/>
        <v>7. ESQUADRIAS</v>
      </c>
      <c r="G22" s="607">
        <v>1</v>
      </c>
      <c r="H22" s="607">
        <v>2</v>
      </c>
      <c r="I22" s="607"/>
      <c r="J22" s="607">
        <v>4</v>
      </c>
      <c r="K22" s="607">
        <v>5</v>
      </c>
      <c r="L22" s="607"/>
      <c r="M22" s="607"/>
      <c r="N22" s="607"/>
      <c r="O22" s="607"/>
      <c r="P22" s="607"/>
      <c r="Q22" s="607"/>
      <c r="R22" s="607"/>
      <c r="S22" s="607"/>
      <c r="T22" s="607"/>
      <c r="U22" s="607"/>
      <c r="V22" s="607"/>
      <c r="W22" s="607"/>
      <c r="X22" s="607"/>
      <c r="Y22" s="607"/>
      <c r="Z22" s="607"/>
      <c r="AA22" s="607"/>
      <c r="AB22" s="607"/>
      <c r="AC22" s="607"/>
      <c r="AD22" s="607"/>
      <c r="AE22" s="607"/>
    </row>
    <row r="23" spans="1:31" x14ac:dyDescent="0.2">
      <c r="A23" s="7" t="str">
        <f ca="1">IF(AUTOEVENTO="Manual",IF(EVENTOS!$F23&gt;0,"F",""),IF(CRONOPLE!B23&lt;=MAX(CÁLCULO!$M$15:$M$131),"F",""))</f>
        <v>F</v>
      </c>
      <c r="B23" s="257">
        <f t="shared" ca="1" si="1"/>
        <v>8</v>
      </c>
      <c r="C23" s="554" t="str">
        <f ca="1">IF(AUTOEVENTO="Manual",IF($B23&gt;0,OFFSET(EVENTOS!$D$15,$B23-$B$15,0),0),IF(B23&lt;=MAX(CÁLCULO!$M$15:$M$131),VLOOKUP($B23,CÁLCULO!$M$15:$N$131,2,FALSE),0))</f>
        <v>PINTURA</v>
      </c>
      <c r="D23" s="608"/>
      <c r="E23" s="258"/>
      <c r="F23" t="str">
        <f t="shared" ca="1" si="2"/>
        <v>8. PINTURA</v>
      </c>
      <c r="G23" s="607">
        <v>1</v>
      </c>
      <c r="H23" s="607">
        <v>2</v>
      </c>
      <c r="I23" s="607">
        <v>3</v>
      </c>
      <c r="J23" s="607">
        <v>4</v>
      </c>
      <c r="K23" s="607">
        <v>5</v>
      </c>
      <c r="L23" s="607">
        <v>6</v>
      </c>
      <c r="M23" s="607"/>
      <c r="N23" s="607"/>
      <c r="O23" s="607"/>
      <c r="P23" s="607"/>
      <c r="Q23" s="607"/>
      <c r="R23" s="607"/>
      <c r="S23" s="607"/>
      <c r="T23" s="607"/>
      <c r="U23" s="607"/>
      <c r="V23" s="607"/>
      <c r="W23" s="607"/>
      <c r="X23" s="607"/>
      <c r="Y23" s="607"/>
      <c r="Z23" s="607"/>
      <c r="AA23" s="607"/>
      <c r="AB23" s="607"/>
      <c r="AC23" s="607"/>
      <c r="AD23" s="607"/>
      <c r="AE23" s="607"/>
    </row>
    <row r="24" spans="1:31" x14ac:dyDescent="0.2">
      <c r="A24" s="7" t="str">
        <f ca="1">IF(AUTOEVENTO="Manual",IF(EVENTOS!$F24&gt;0,"F",""),IF(CRONOPLE!B24&lt;=MAX(CÁLCULO!$M$15:$M$131),"F",""))</f>
        <v>F</v>
      </c>
      <c r="B24" s="257">
        <f t="shared" ca="1" si="1"/>
        <v>9</v>
      </c>
      <c r="C24" s="554" t="str">
        <f ca="1">IF(AUTOEVENTO="Manual",IF($B24&gt;0,OFFSET(EVENTOS!$D$15,$B24-$B$15,0),0),IF(B24&lt;=MAX(CÁLCULO!$M$15:$M$131),VLOOKUP($B24,CÁLCULO!$M$15:$N$131,2,FALSE),0))</f>
        <v>EQUIPAMENTOS E MOBILIÁRIOS URBANOS</v>
      </c>
      <c r="D24" s="608"/>
      <c r="E24" s="258"/>
      <c r="F24" t="str">
        <f t="shared" ca="1" si="2"/>
        <v>9. EQUIPAMENTOS E MOBILIÁRIOS URBANOS</v>
      </c>
      <c r="G24" s="607">
        <v>1</v>
      </c>
      <c r="H24" s="607">
        <v>2</v>
      </c>
      <c r="I24" s="607">
        <v>3</v>
      </c>
      <c r="J24" s="607">
        <v>4</v>
      </c>
      <c r="K24" s="607">
        <v>5</v>
      </c>
      <c r="L24" s="607">
        <v>6</v>
      </c>
      <c r="M24" s="607">
        <v>7</v>
      </c>
      <c r="N24" s="607"/>
      <c r="O24" s="607"/>
      <c r="P24" s="607"/>
      <c r="Q24" s="607"/>
      <c r="R24" s="607"/>
      <c r="S24" s="607"/>
      <c r="T24" s="607"/>
      <c r="U24" s="607"/>
      <c r="V24" s="607"/>
      <c r="W24" s="607"/>
      <c r="X24" s="607"/>
      <c r="Y24" s="607"/>
      <c r="Z24" s="607"/>
      <c r="AA24" s="607"/>
      <c r="AB24" s="607"/>
      <c r="AC24" s="607"/>
      <c r="AD24" s="607"/>
      <c r="AE24" s="607"/>
    </row>
    <row r="25" spans="1:31" x14ac:dyDescent="0.2">
      <c r="A25" s="7" t="str">
        <f ca="1">IF(AUTOEVENTO="Manual",IF(EVENTOS!$F25&gt;0,"F",""),IF(CRONOPLE!B25&lt;=MAX(CÁLCULO!$M$15:$M$131),"F",""))</f>
        <v>F</v>
      </c>
      <c r="B25" s="257">
        <f t="shared" ca="1" si="1"/>
        <v>10</v>
      </c>
      <c r="C25" s="554" t="str">
        <f ca="1">IF(AUTOEVENTO="Manual",IF($B25&gt;0,OFFSET(EVENTOS!$D$15,$B25-$B$15,0),0),IF(B25&lt;=MAX(CÁLCULO!$M$15:$M$131),VLOOKUP($B25,CÁLCULO!$M$15:$N$131,2,FALSE),0))</f>
        <v>PAISAGISMO</v>
      </c>
      <c r="D25" s="608"/>
      <c r="E25" s="258"/>
      <c r="F25" t="str">
        <f t="shared" ca="1" si="2"/>
        <v>10. PAISAGISMO</v>
      </c>
      <c r="G25" s="607">
        <v>1</v>
      </c>
      <c r="H25" s="607">
        <v>2</v>
      </c>
      <c r="I25" s="607"/>
      <c r="J25" s="607">
        <v>4</v>
      </c>
      <c r="K25" s="607">
        <v>5</v>
      </c>
      <c r="L25" s="607">
        <v>6</v>
      </c>
      <c r="M25" s="607">
        <v>7</v>
      </c>
      <c r="N25" s="607"/>
      <c r="O25" s="607"/>
      <c r="P25" s="607"/>
      <c r="Q25" s="607"/>
      <c r="R25" s="607"/>
      <c r="S25" s="607"/>
      <c r="T25" s="607"/>
      <c r="U25" s="607">
        <v>15</v>
      </c>
      <c r="V25" s="607"/>
      <c r="W25" s="607"/>
      <c r="X25" s="607"/>
      <c r="Y25" s="607"/>
      <c r="Z25" s="607"/>
      <c r="AA25" s="607"/>
      <c r="AB25" s="607"/>
      <c r="AC25" s="607"/>
      <c r="AD25" s="607"/>
      <c r="AE25" s="607"/>
    </row>
    <row r="26" spans="1:31" x14ac:dyDescent="0.2">
      <c r="A26" s="7" t="str">
        <f ca="1">IF(AUTOEVENTO="Manual",IF(EVENTOS!$F26&gt;0,"F",""),IF(CRONOPLE!B26&lt;=MAX(CÁLCULO!$M$15:$M$131),"F",""))</f>
        <v>F</v>
      </c>
      <c r="B26" s="257">
        <f t="shared" ca="1" si="1"/>
        <v>11</v>
      </c>
      <c r="C26" s="554" t="str">
        <f ca="1">IF(AUTOEVENTO="Manual",IF($B26&gt;0,OFFSET(EVENTOS!$D$15,$B26-$B$15,0),0),IF(B26&lt;=MAX(CÁLCULO!$M$15:$M$131),VLOOKUP($B26,CÁLCULO!$M$15:$N$131,2,FALSE),0))</f>
        <v>ACESSIBILIDADE</v>
      </c>
      <c r="D26" s="608"/>
      <c r="E26" s="258"/>
      <c r="F26" t="str">
        <f t="shared" ca="1" si="2"/>
        <v>11. ACESSIBILIDADE</v>
      </c>
      <c r="G26" s="607">
        <v>1</v>
      </c>
      <c r="H26" s="607">
        <v>2</v>
      </c>
      <c r="I26" s="607"/>
      <c r="J26" s="607"/>
      <c r="K26" s="607">
        <v>5</v>
      </c>
      <c r="L26" s="607">
        <v>6</v>
      </c>
      <c r="M26" s="607">
        <v>7</v>
      </c>
      <c r="N26" s="607"/>
      <c r="O26" s="607"/>
      <c r="P26" s="607"/>
      <c r="Q26" s="607"/>
      <c r="R26" s="607"/>
      <c r="S26" s="607"/>
      <c r="T26" s="607"/>
      <c r="U26" s="607"/>
      <c r="V26" s="607"/>
      <c r="W26" s="607"/>
      <c r="X26" s="607"/>
      <c r="Y26" s="607"/>
      <c r="Z26" s="607"/>
      <c r="AA26" s="607"/>
      <c r="AB26" s="607"/>
      <c r="AC26" s="607"/>
      <c r="AD26" s="607"/>
      <c r="AE26" s="607"/>
    </row>
    <row r="27" spans="1:31" x14ac:dyDescent="0.2">
      <c r="A27" s="7" t="str">
        <f ca="1">IF(AUTOEVENTO="Manual",IF(EVENTOS!$F27&gt;0,"F",""),IF(CRONOPLE!B27&lt;=MAX(CÁLCULO!$M$15:$M$131),"F",""))</f>
        <v>F</v>
      </c>
      <c r="B27" s="257">
        <f t="shared" ca="1" si="1"/>
        <v>12</v>
      </c>
      <c r="C27" s="554" t="str">
        <f ca="1">IF(AUTOEVENTO="Manual",IF($B27&gt;0,OFFSET(EVENTOS!$D$15,$B27-$B$15,0),0),IF(B27&lt;=MAX(CÁLCULO!$M$15:$M$131),VLOOKUP($B27,CÁLCULO!$M$15:$N$131,2,FALSE),0))</f>
        <v>INSTALAÇÕES ELÉTRICAS</v>
      </c>
      <c r="D27" s="608"/>
      <c r="E27" s="258"/>
      <c r="F27" t="str">
        <f t="shared" ca="1" si="2"/>
        <v>12. INSTALAÇÕES ELÉTRICAS</v>
      </c>
      <c r="G27" s="607">
        <v>1</v>
      </c>
      <c r="H27" s="607">
        <v>2</v>
      </c>
      <c r="I27" s="607"/>
      <c r="J27" s="607">
        <v>4</v>
      </c>
      <c r="K27" s="607">
        <v>5</v>
      </c>
      <c r="L27" s="607">
        <v>6</v>
      </c>
      <c r="M27" s="607">
        <v>7</v>
      </c>
      <c r="N27" s="607">
        <v>8</v>
      </c>
      <c r="O27" s="607">
        <v>9</v>
      </c>
      <c r="P27" s="607">
        <v>10</v>
      </c>
      <c r="Q27" s="607"/>
      <c r="R27" s="607"/>
      <c r="S27" s="607"/>
      <c r="T27" s="607"/>
      <c r="U27" s="607">
        <v>15</v>
      </c>
      <c r="V27" s="607"/>
      <c r="W27" s="607"/>
      <c r="X27" s="607"/>
      <c r="Y27" s="607"/>
      <c r="Z27" s="607"/>
      <c r="AA27" s="607"/>
      <c r="AB27" s="607"/>
      <c r="AC27" s="607"/>
      <c r="AD27" s="607"/>
      <c r="AE27" s="607"/>
    </row>
    <row r="28" spans="1:31" x14ac:dyDescent="0.2">
      <c r="A28" s="7" t="str">
        <f ca="1">IF(AUTOEVENTO="Manual",IF(EVENTOS!$F28&gt;0,"F",""),IF(CRONOPLE!B28&lt;=MAX(CÁLCULO!$M$15:$M$131),"F",""))</f>
        <v>F</v>
      </c>
      <c r="B28" s="257">
        <f t="shared" ca="1" si="1"/>
        <v>13</v>
      </c>
      <c r="C28" s="554" t="str">
        <f ca="1">IF(AUTOEVENTO="Manual",IF($B28&gt;0,OFFSET(EVENTOS!$D$15,$B28-$B$15,0),0),IF(B28&lt;=MAX(CÁLCULO!$M$15:$M$131),VLOOKUP($B28,CÁLCULO!$M$15:$N$131,2,FALSE),0))</f>
        <v>SERVIÇOS FINAIS</v>
      </c>
      <c r="D28" s="608"/>
      <c r="E28" s="258"/>
      <c r="F28" t="str">
        <f t="shared" ca="1" si="2"/>
        <v>13. SERVIÇOS FINAIS</v>
      </c>
      <c r="G28" s="607">
        <v>1</v>
      </c>
      <c r="H28" s="607">
        <v>2</v>
      </c>
      <c r="I28" s="607"/>
      <c r="J28" s="607"/>
      <c r="K28" s="607">
        <v>5</v>
      </c>
      <c r="L28" s="607"/>
      <c r="M28" s="607">
        <v>7</v>
      </c>
      <c r="N28" s="607">
        <v>8</v>
      </c>
      <c r="O28" s="607"/>
      <c r="P28" s="607"/>
      <c r="Q28" s="607">
        <v>11</v>
      </c>
      <c r="R28" s="607"/>
      <c r="S28" s="607"/>
      <c r="T28" s="607"/>
      <c r="U28" s="607"/>
      <c r="V28" s="607"/>
      <c r="W28" s="607"/>
      <c r="X28" s="607"/>
      <c r="Y28" s="607"/>
      <c r="Z28" s="607"/>
      <c r="AA28" s="607"/>
      <c r="AB28" s="607"/>
      <c r="AC28" s="607"/>
      <c r="AD28" s="607"/>
      <c r="AE28" s="607"/>
    </row>
    <row r="29" spans="1:31" x14ac:dyDescent="0.2">
      <c r="A29" s="7" t="str">
        <f ca="1">IF(AUTOEVENTO="Manual",IF(EVENTOS!$F29&gt;0,"F",""),IF(CRONOPLE!B29&lt;=MAX(CÁLCULO!$M$15:$M$131),"F",""))</f>
        <v/>
      </c>
      <c r="B29" s="257">
        <f t="shared" ca="1" si="1"/>
        <v>14</v>
      </c>
      <c r="C29" s="554">
        <f ca="1">IF(AUTOEVENTO="Manual",IF($B29&gt;0,OFFSET(EVENTOS!$D$15,$B29-$B$15,0),0),IF(B29&lt;=MAX(CÁLCULO!$M$15:$M$131),VLOOKUP($B29,CÁLCULO!$M$15:$N$131,2,FALSE),0))</f>
        <v>0</v>
      </c>
      <c r="D29" s="608"/>
      <c r="E29" s="258"/>
      <c r="F29" t="str">
        <f t="shared" ca="1" si="2"/>
        <v/>
      </c>
      <c r="G29" s="607">
        <v>1</v>
      </c>
      <c r="H29" s="607"/>
      <c r="I29" s="607">
        <v>3</v>
      </c>
      <c r="J29" s="607"/>
      <c r="K29" s="607">
        <v>5</v>
      </c>
      <c r="L29" s="607">
        <v>6</v>
      </c>
      <c r="M29" s="607">
        <v>7</v>
      </c>
      <c r="N29" s="607">
        <v>8</v>
      </c>
      <c r="O29" s="607">
        <v>9</v>
      </c>
      <c r="P29" s="607">
        <v>10</v>
      </c>
      <c r="Q29" s="607"/>
      <c r="R29" s="607">
        <v>12</v>
      </c>
      <c r="S29" s="607"/>
      <c r="T29" s="607"/>
      <c r="U29" s="607"/>
      <c r="V29" s="607"/>
      <c r="W29" s="607"/>
      <c r="X29" s="607"/>
      <c r="Y29" s="607"/>
      <c r="Z29" s="607"/>
      <c r="AA29" s="607"/>
      <c r="AB29" s="607"/>
      <c r="AC29" s="607"/>
      <c r="AD29" s="607"/>
      <c r="AE29" s="607"/>
    </row>
    <row r="30" spans="1:31" x14ac:dyDescent="0.2">
      <c r="A30" s="7" t="str">
        <f ca="1">IF(AUTOEVENTO="Manual",IF(EVENTOS!$F30&gt;0,"F",""),IF(CRONOPLE!B30&lt;=MAX(CÁLCULO!$M$15:$M$131),"F",""))</f>
        <v/>
      </c>
      <c r="B30" s="257">
        <f t="shared" ca="1" si="1"/>
        <v>15</v>
      </c>
      <c r="C30" s="554">
        <f ca="1">IF(AUTOEVENTO="Manual",IF($B30&gt;0,OFFSET(EVENTOS!$D$15,$B30-$B$15,0),0),IF(B30&lt;=MAX(CÁLCULO!$M$15:$M$131),VLOOKUP($B30,CÁLCULO!$M$15:$N$131,2,FALSE),0))</f>
        <v>0</v>
      </c>
      <c r="D30" s="608"/>
      <c r="E30" s="258"/>
      <c r="F30" t="str">
        <f t="shared" ca="1" si="2"/>
        <v/>
      </c>
      <c r="G30" s="607">
        <v>1</v>
      </c>
      <c r="H30" s="607"/>
      <c r="I30" s="607"/>
      <c r="J30" s="607"/>
      <c r="K30" s="607">
        <v>5</v>
      </c>
      <c r="L30" s="607">
        <v>6</v>
      </c>
      <c r="M30" s="607"/>
      <c r="N30" s="607"/>
      <c r="O30" s="607"/>
      <c r="P30" s="607"/>
      <c r="Q30" s="607">
        <v>11</v>
      </c>
      <c r="R30" s="607"/>
      <c r="S30" s="607">
        <v>13</v>
      </c>
      <c r="T30" s="607"/>
      <c r="U30" s="607"/>
      <c r="V30" s="607"/>
      <c r="W30" s="607"/>
      <c r="X30" s="607"/>
      <c r="Y30" s="607"/>
      <c r="Z30" s="607"/>
      <c r="AA30" s="607"/>
      <c r="AB30" s="607"/>
      <c r="AC30" s="607"/>
      <c r="AD30" s="607"/>
      <c r="AE30" s="607"/>
    </row>
    <row r="31" spans="1:31" x14ac:dyDescent="0.2">
      <c r="A31" s="7" t="str">
        <f ca="1">IF(AUTOEVENTO="Manual",IF(EVENTOS!$F31&gt;0,"F",""),IF(CRONOPLE!B31&lt;=MAX(CÁLCULO!$M$15:$M$131),"F",""))</f>
        <v/>
      </c>
      <c r="B31" s="257">
        <f t="shared" ca="1" si="1"/>
        <v>16</v>
      </c>
      <c r="C31" s="554">
        <f ca="1">IF(AUTOEVENTO="Manual",IF($B31&gt;0,OFFSET(EVENTOS!$D$15,$B31-$B$15,0),0),IF(B31&lt;=MAX(CÁLCULO!$M$15:$M$131),VLOOKUP($B31,CÁLCULO!$M$15:$N$131,2,FALSE),0))</f>
        <v>0</v>
      </c>
      <c r="D31" s="608"/>
      <c r="E31" s="258"/>
      <c r="F31" t="str">
        <f t="shared" ca="1" si="2"/>
        <v/>
      </c>
      <c r="G31" s="607">
        <v>1</v>
      </c>
      <c r="H31" s="607">
        <v>2</v>
      </c>
      <c r="I31" s="607">
        <v>3</v>
      </c>
      <c r="J31" s="607"/>
      <c r="K31" s="607"/>
      <c r="L31" s="607">
        <v>6</v>
      </c>
      <c r="M31" s="607"/>
      <c r="N31" s="607">
        <v>8</v>
      </c>
      <c r="O31" s="607"/>
      <c r="P31" s="607"/>
      <c r="Q31" s="607">
        <v>11</v>
      </c>
      <c r="R31" s="607">
        <v>12</v>
      </c>
      <c r="S31" s="607"/>
      <c r="T31" s="607"/>
      <c r="U31" s="607"/>
      <c r="V31" s="607"/>
      <c r="W31" s="607"/>
      <c r="X31" s="607"/>
      <c r="Y31" s="607"/>
      <c r="Z31" s="607"/>
      <c r="AA31" s="607"/>
      <c r="AB31" s="607"/>
      <c r="AC31" s="607"/>
      <c r="AD31" s="607"/>
      <c r="AE31" s="607"/>
    </row>
    <row r="32" spans="1:31" x14ac:dyDescent="0.2">
      <c r="A32" s="7" t="str">
        <f ca="1">IF(AUTOEVENTO="Manual",IF(EVENTOS!$F32&gt;0,"F",""),IF(CRONOPLE!B32&lt;=MAX(CÁLCULO!$M$15:$M$131),"F",""))</f>
        <v/>
      </c>
      <c r="B32" s="257">
        <f t="shared" ca="1" si="1"/>
        <v>17</v>
      </c>
      <c r="C32" s="554">
        <f ca="1">IF(AUTOEVENTO="Manual",IF($B32&gt;0,OFFSET(EVENTOS!$D$15,$B32-$B$15,0),0),IF(B32&lt;=MAX(CÁLCULO!$M$15:$M$131),VLOOKUP($B32,CÁLCULO!$M$15:$N$131,2,FALSE),0))</f>
        <v>0</v>
      </c>
      <c r="D32" s="608"/>
      <c r="E32" s="258"/>
      <c r="F32" t="str">
        <f t="shared" ca="1" si="2"/>
        <v/>
      </c>
      <c r="G32" s="607"/>
      <c r="H32" s="607">
        <v>2</v>
      </c>
      <c r="I32" s="607">
        <v>3</v>
      </c>
      <c r="J32" s="607">
        <v>4</v>
      </c>
      <c r="K32" s="607">
        <v>5</v>
      </c>
      <c r="L32" s="607">
        <v>6</v>
      </c>
      <c r="M32" s="607">
        <v>7</v>
      </c>
      <c r="N32" s="607">
        <v>8</v>
      </c>
      <c r="O32" s="607"/>
      <c r="P32" s="607"/>
      <c r="Q32" s="607"/>
      <c r="R32" s="607">
        <v>12</v>
      </c>
      <c r="S32" s="607">
        <v>13</v>
      </c>
      <c r="T32" s="607"/>
      <c r="U32" s="607">
        <v>15</v>
      </c>
      <c r="V32" s="607"/>
      <c r="W32" s="607"/>
      <c r="X32" s="607"/>
      <c r="Y32" s="607"/>
      <c r="Z32" s="607"/>
      <c r="AA32" s="607"/>
      <c r="AB32" s="607"/>
      <c r="AC32" s="607"/>
      <c r="AD32" s="607"/>
      <c r="AE32" s="607"/>
    </row>
    <row r="33" spans="1:31" x14ac:dyDescent="0.2">
      <c r="A33" s="7" t="str">
        <f ca="1">IF(AUTOEVENTO="Manual",IF(EVENTOS!$F33&gt;0,"F",""),IF(CRONOPLE!B33&lt;=MAX(CÁLCULO!$M$15:$M$131),"F",""))</f>
        <v/>
      </c>
      <c r="B33" s="257">
        <f t="shared" ca="1" si="1"/>
        <v>18</v>
      </c>
      <c r="C33" s="554">
        <f ca="1">IF(AUTOEVENTO="Manual",IF($B33&gt;0,OFFSET(EVENTOS!$D$15,$B33-$B$15,0),0),IF(B33&lt;=MAX(CÁLCULO!$M$15:$M$131),VLOOKUP($B33,CÁLCULO!$M$15:$N$131,2,FALSE),0))</f>
        <v>0</v>
      </c>
      <c r="D33" s="608"/>
      <c r="E33" s="258"/>
      <c r="F33" t="str">
        <f t="shared" ca="1" si="2"/>
        <v/>
      </c>
      <c r="G33" s="607"/>
      <c r="H33" s="607"/>
      <c r="I33" s="607">
        <v>3</v>
      </c>
      <c r="J33" s="607">
        <v>4</v>
      </c>
      <c r="K33" s="607">
        <v>5</v>
      </c>
      <c r="L33" s="607"/>
      <c r="M33" s="607"/>
      <c r="N33" s="607">
        <v>8</v>
      </c>
      <c r="O33" s="607"/>
      <c r="P33" s="607"/>
      <c r="Q33" s="607">
        <v>11</v>
      </c>
      <c r="R33" s="607">
        <v>12</v>
      </c>
      <c r="S33" s="607"/>
      <c r="T33" s="607"/>
      <c r="U33" s="607"/>
      <c r="V33" s="607"/>
      <c r="W33" s="607"/>
      <c r="X33" s="607"/>
      <c r="Y33" s="607"/>
      <c r="Z33" s="607"/>
      <c r="AA33" s="607"/>
      <c r="AB33" s="607"/>
      <c r="AC33" s="607"/>
      <c r="AD33" s="607"/>
      <c r="AE33" s="607"/>
    </row>
    <row r="34" spans="1:31" x14ac:dyDescent="0.2">
      <c r="A34" s="7" t="str">
        <f ca="1">IF(AUTOEVENTO="Manual",IF(EVENTOS!$F34&gt;0,"F",""),IF(CRONOPLE!B34&lt;=MAX(CÁLCULO!$M$15:$M$131),"F",""))</f>
        <v/>
      </c>
      <c r="B34" s="257">
        <f t="shared" ca="1" si="1"/>
        <v>19</v>
      </c>
      <c r="C34" s="554">
        <f ca="1">IF(AUTOEVENTO="Manual",IF($B34&gt;0,OFFSET(EVENTOS!$D$15,$B34-$B$15,0),0),IF(B34&lt;=MAX(CÁLCULO!$M$15:$M$131),VLOOKUP($B34,CÁLCULO!$M$15:$N$131,2,FALSE),0))</f>
        <v>0</v>
      </c>
      <c r="D34" s="608"/>
      <c r="E34" s="258"/>
      <c r="F34" t="str">
        <f t="shared" ca="1" si="2"/>
        <v/>
      </c>
      <c r="G34" s="607"/>
      <c r="H34" s="607"/>
      <c r="I34" s="607">
        <v>3</v>
      </c>
      <c r="J34" s="607">
        <v>4</v>
      </c>
      <c r="K34" s="607"/>
      <c r="L34" s="607"/>
      <c r="M34" s="607">
        <v>7</v>
      </c>
      <c r="N34" s="607">
        <v>8</v>
      </c>
      <c r="O34" s="607"/>
      <c r="P34" s="607"/>
      <c r="Q34" s="607"/>
      <c r="R34" s="607">
        <v>12</v>
      </c>
      <c r="S34" s="607">
        <v>13</v>
      </c>
      <c r="T34" s="607">
        <v>14</v>
      </c>
      <c r="U34" s="607">
        <v>15</v>
      </c>
      <c r="V34" s="607"/>
      <c r="W34" s="607"/>
      <c r="X34" s="607"/>
      <c r="Y34" s="607"/>
      <c r="Z34" s="607"/>
      <c r="AA34" s="607"/>
      <c r="AB34" s="607"/>
      <c r="AC34" s="607"/>
      <c r="AD34" s="607"/>
      <c r="AE34" s="607"/>
    </row>
    <row r="35" spans="1:31" x14ac:dyDescent="0.2">
      <c r="A35" s="7" t="str">
        <f ca="1">IF(AUTOEVENTO="Manual",IF(EVENTOS!$F35&gt;0,"F",""),IF(CRONOPLE!B35&lt;=MAX(CÁLCULO!$M$15:$M$131),"F",""))</f>
        <v/>
      </c>
      <c r="B35" s="257">
        <f t="shared" ca="1" si="1"/>
        <v>20</v>
      </c>
      <c r="C35" s="554">
        <f ca="1">IF(AUTOEVENTO="Manual",IF($B35&gt;0,OFFSET(EVENTOS!$D$15,$B35-$B$15,0),0),IF(B35&lt;=MAX(CÁLCULO!$M$15:$M$131),VLOOKUP($B35,CÁLCULO!$M$15:$N$131,2,FALSE),0))</f>
        <v>0</v>
      </c>
      <c r="D35" s="608"/>
      <c r="E35" s="258"/>
      <c r="F35" t="str">
        <f t="shared" ca="1" si="2"/>
        <v/>
      </c>
      <c r="G35" s="607"/>
      <c r="H35" s="607"/>
      <c r="I35" s="607"/>
      <c r="J35" s="607">
        <v>4</v>
      </c>
      <c r="K35" s="607">
        <v>5</v>
      </c>
      <c r="L35" s="607">
        <v>6</v>
      </c>
      <c r="M35" s="607"/>
      <c r="N35" s="607">
        <v>8</v>
      </c>
      <c r="O35" s="607"/>
      <c r="P35" s="607"/>
      <c r="Q35" s="607"/>
      <c r="R35" s="607">
        <v>12</v>
      </c>
      <c r="S35" s="607">
        <v>13</v>
      </c>
      <c r="T35" s="607"/>
      <c r="U35" s="607"/>
      <c r="V35" s="607"/>
      <c r="W35" s="607"/>
      <c r="X35" s="607"/>
      <c r="Y35" s="607"/>
      <c r="Z35" s="607"/>
      <c r="AA35" s="607"/>
      <c r="AB35" s="607"/>
      <c r="AC35" s="607"/>
      <c r="AD35" s="607"/>
      <c r="AE35" s="607"/>
    </row>
    <row r="36" spans="1:31" x14ac:dyDescent="0.2">
      <c r="A36" s="7" t="str">
        <f ca="1">IF(AUTOEVENTO="Manual",IF(EVENTOS!$F36&gt;0,"F",""),IF(CRONOPLE!B36&lt;=MAX(CÁLCULO!$M$15:$M$131),"F",""))</f>
        <v/>
      </c>
      <c r="B36" s="257">
        <f t="shared" ca="1" si="1"/>
        <v>21</v>
      </c>
      <c r="C36" s="554">
        <f ca="1">IF(AUTOEVENTO="Manual",IF($B36&gt;0,OFFSET(EVENTOS!$D$15,$B36-$B$15,0),0),IF(B36&lt;=MAX(CÁLCULO!$M$15:$M$131),VLOOKUP($B36,CÁLCULO!$M$15:$N$131,2,FALSE),0))</f>
        <v>0</v>
      </c>
      <c r="D36" s="608"/>
      <c r="E36" s="258"/>
      <c r="F36" t="str">
        <f t="shared" ca="1" si="2"/>
        <v/>
      </c>
      <c r="G36" s="607">
        <v>1</v>
      </c>
      <c r="H36" s="607"/>
      <c r="I36" s="607"/>
      <c r="J36" s="607"/>
      <c r="K36" s="607">
        <v>5</v>
      </c>
      <c r="L36" s="607">
        <v>6</v>
      </c>
      <c r="M36" s="607">
        <v>7</v>
      </c>
      <c r="N36" s="607">
        <v>8</v>
      </c>
      <c r="O36" s="607">
        <v>9</v>
      </c>
      <c r="P36" s="607"/>
      <c r="Q36" s="607"/>
      <c r="R36" s="607">
        <v>12</v>
      </c>
      <c r="S36" s="607">
        <v>13</v>
      </c>
      <c r="T36" s="607">
        <v>14</v>
      </c>
      <c r="U36" s="607">
        <v>15</v>
      </c>
      <c r="V36" s="607"/>
      <c r="W36" s="607"/>
      <c r="X36" s="607"/>
      <c r="Y36" s="607"/>
      <c r="Z36" s="607"/>
      <c r="AA36" s="607"/>
      <c r="AB36" s="607"/>
      <c r="AC36" s="607"/>
      <c r="AD36" s="607"/>
      <c r="AE36" s="607"/>
    </row>
    <row r="37" spans="1:31" x14ac:dyDescent="0.2">
      <c r="A37" s="7" t="str">
        <f ca="1">IF(AUTOEVENTO="Manual",IF(EVENTOS!$F37&gt;0,"F",""),IF(CRONOPLE!B37&lt;=MAX(CÁLCULO!$M$15:$M$131),"F",""))</f>
        <v/>
      </c>
      <c r="B37" s="257">
        <f t="shared" ca="1" si="1"/>
        <v>22</v>
      </c>
      <c r="C37" s="554">
        <f ca="1">IF(AUTOEVENTO="Manual",IF($B37&gt;0,OFFSET(EVENTOS!$D$15,$B37-$B$15,0),0),IF(B37&lt;=MAX(CÁLCULO!$M$15:$M$131),VLOOKUP($B37,CÁLCULO!$M$15:$N$131,2,FALSE),0))</f>
        <v>0</v>
      </c>
      <c r="D37" s="608"/>
      <c r="E37" s="258"/>
      <c r="F37" t="str">
        <f t="shared" ca="1" si="2"/>
        <v/>
      </c>
      <c r="G37" s="607"/>
      <c r="H37" s="607"/>
      <c r="I37" s="607"/>
      <c r="J37" s="607"/>
      <c r="K37" s="607">
        <v>5</v>
      </c>
      <c r="L37" s="607">
        <v>6</v>
      </c>
      <c r="M37" s="607">
        <v>7</v>
      </c>
      <c r="N37" s="607">
        <v>8</v>
      </c>
      <c r="O37" s="607">
        <v>9</v>
      </c>
      <c r="P37" s="607"/>
      <c r="Q37" s="607"/>
      <c r="R37" s="607"/>
      <c r="S37" s="607">
        <v>13</v>
      </c>
      <c r="T37" s="607"/>
      <c r="U37" s="607"/>
      <c r="V37" s="607"/>
      <c r="W37" s="607"/>
      <c r="X37" s="607"/>
      <c r="Y37" s="607"/>
      <c r="Z37" s="607"/>
      <c r="AA37" s="607"/>
      <c r="AB37" s="607"/>
      <c r="AC37" s="607"/>
      <c r="AD37" s="607"/>
      <c r="AE37" s="607"/>
    </row>
    <row r="38" spans="1:31" x14ac:dyDescent="0.2">
      <c r="A38" s="7" t="str">
        <f ca="1">IF(AUTOEVENTO="Manual",IF(EVENTOS!$F38&gt;0,"F",""),IF(CRONOPLE!B38&lt;=MAX(CÁLCULO!$M$15:$M$131),"F",""))</f>
        <v/>
      </c>
      <c r="B38" s="257">
        <f t="shared" ca="1" si="1"/>
        <v>23</v>
      </c>
      <c r="C38" s="554">
        <f ca="1">IF(AUTOEVENTO="Manual",IF($B38&gt;0,OFFSET(EVENTOS!$D$15,$B38-$B$15,0),0),IF(B38&lt;=MAX(CÁLCULO!$M$15:$M$131),VLOOKUP($B38,CÁLCULO!$M$15:$N$131,2,FALSE),0))</f>
        <v>0</v>
      </c>
      <c r="D38" s="608"/>
      <c r="E38" s="258"/>
      <c r="F38" t="str">
        <f t="shared" ca="1" si="2"/>
        <v/>
      </c>
      <c r="G38" s="607">
        <v>1</v>
      </c>
      <c r="H38" s="607"/>
      <c r="I38" s="607"/>
      <c r="J38" s="607">
        <v>4</v>
      </c>
      <c r="K38" s="607"/>
      <c r="L38" s="607">
        <v>6</v>
      </c>
      <c r="M38" s="607"/>
      <c r="N38" s="607">
        <v>8</v>
      </c>
      <c r="O38" s="607">
        <v>9</v>
      </c>
      <c r="P38" s="607"/>
      <c r="Q38" s="607"/>
      <c r="R38" s="607"/>
      <c r="S38" s="607">
        <v>13</v>
      </c>
      <c r="T38" s="607"/>
      <c r="U38" s="607">
        <v>15</v>
      </c>
      <c r="V38" s="607"/>
      <c r="W38" s="607"/>
      <c r="X38" s="607"/>
      <c r="Y38" s="607"/>
      <c r="Z38" s="607"/>
      <c r="AA38" s="607"/>
      <c r="AB38" s="607"/>
      <c r="AC38" s="607"/>
      <c r="AD38" s="607"/>
      <c r="AE38" s="607"/>
    </row>
    <row r="39" spans="1:31" x14ac:dyDescent="0.2">
      <c r="A39" s="7" t="str">
        <f ca="1">IF(AUTOEVENTO="Manual",IF(EVENTOS!$F39&gt;0,"F",""),IF(CRONOPLE!B39&lt;=MAX(CÁLCULO!$M$15:$M$131),"F",""))</f>
        <v/>
      </c>
      <c r="B39" s="257">
        <f t="shared" ca="1" si="1"/>
        <v>24</v>
      </c>
      <c r="C39" s="554">
        <f ca="1">IF(AUTOEVENTO="Manual",IF($B39&gt;0,OFFSET(EVENTOS!$D$15,$B39-$B$15,0),0),IF(B39&lt;=MAX(CÁLCULO!$M$15:$M$131),VLOOKUP($B39,CÁLCULO!$M$15:$N$131,2,FALSE),0))</f>
        <v>0</v>
      </c>
      <c r="D39" s="608"/>
      <c r="E39" s="258"/>
      <c r="F39" t="str">
        <f t="shared" ca="1" si="2"/>
        <v/>
      </c>
      <c r="G39" s="607"/>
      <c r="H39" s="607"/>
      <c r="I39" s="607"/>
      <c r="J39" s="607"/>
      <c r="K39" s="607"/>
      <c r="L39" s="607">
        <v>6</v>
      </c>
      <c r="M39" s="607"/>
      <c r="N39" s="607"/>
      <c r="O39" s="607">
        <v>9</v>
      </c>
      <c r="P39" s="607"/>
      <c r="Q39" s="607"/>
      <c r="R39" s="607"/>
      <c r="S39" s="607"/>
      <c r="T39" s="607">
        <v>14</v>
      </c>
      <c r="U39" s="607"/>
      <c r="V39" s="607"/>
      <c r="W39" s="607"/>
      <c r="X39" s="607"/>
      <c r="Y39" s="607"/>
      <c r="Z39" s="607"/>
      <c r="AA39" s="607"/>
      <c r="AB39" s="607"/>
      <c r="AC39" s="607"/>
      <c r="AD39" s="607"/>
      <c r="AE39" s="607"/>
    </row>
    <row r="40" spans="1:31" x14ac:dyDescent="0.2">
      <c r="A40" s="7" t="str">
        <f ca="1">IF(AUTOEVENTO="Manual",IF(EVENTOS!$F40&gt;0,"F",""),IF(CRONOPLE!B40&lt;=MAX(CÁLCULO!$M$15:$M$131),"F",""))</f>
        <v/>
      </c>
      <c r="B40" s="257">
        <f t="shared" ca="1" si="1"/>
        <v>25</v>
      </c>
      <c r="C40" s="554">
        <f ca="1">IF(AUTOEVENTO="Manual",IF($B40&gt;0,OFFSET(EVENTOS!$D$15,$B40-$B$15,0),0),IF(B40&lt;=MAX(CÁLCULO!$M$15:$M$131),VLOOKUP($B40,CÁLCULO!$M$15:$N$131,2,FALSE),0))</f>
        <v>0</v>
      </c>
      <c r="D40" s="608"/>
      <c r="E40" s="258"/>
      <c r="F40" t="str">
        <f t="shared" ca="1" si="2"/>
        <v/>
      </c>
      <c r="G40" s="607"/>
      <c r="H40" s="607"/>
      <c r="I40" s="607"/>
      <c r="J40" s="607">
        <v>4</v>
      </c>
      <c r="K40" s="607">
        <v>5</v>
      </c>
      <c r="L40" s="607">
        <v>6</v>
      </c>
      <c r="M40" s="607">
        <v>7</v>
      </c>
      <c r="N40" s="607">
        <v>8</v>
      </c>
      <c r="O40" s="607">
        <v>9</v>
      </c>
      <c r="P40" s="607"/>
      <c r="Q40" s="607"/>
      <c r="R40" s="607"/>
      <c r="S40" s="607"/>
      <c r="T40" s="607"/>
      <c r="U40" s="607">
        <v>15</v>
      </c>
      <c r="V40" s="607"/>
      <c r="W40" s="607"/>
      <c r="X40" s="607"/>
      <c r="Y40" s="607"/>
      <c r="Z40" s="607"/>
      <c r="AA40" s="607"/>
      <c r="AB40" s="607"/>
      <c r="AC40" s="607"/>
      <c r="AD40" s="607"/>
      <c r="AE40" s="607"/>
    </row>
    <row r="41" spans="1:31" x14ac:dyDescent="0.2">
      <c r="A41" s="7" t="str">
        <f ca="1">IF(AUTOEVENTO="Manual",IF(EVENTOS!$F41&gt;0,"F",""),IF(CRONOPLE!B41&lt;=MAX(CÁLCULO!$M$15:$M$131),"F",""))</f>
        <v/>
      </c>
      <c r="B41" s="257">
        <f t="shared" ca="1" si="1"/>
        <v>26</v>
      </c>
      <c r="C41" s="554">
        <f ca="1">IF(AUTOEVENTO="Manual",IF($B41&gt;0,OFFSET(EVENTOS!$D$15,$B41-$B$15,0),0),IF(B41&lt;=MAX(CÁLCULO!$M$15:$M$131),VLOOKUP($B41,CÁLCULO!$M$15:$N$131,2,FALSE),0))</f>
        <v>0</v>
      </c>
      <c r="D41" s="608"/>
      <c r="E41" s="258"/>
      <c r="F41" t="str">
        <f t="shared" ca="1" si="2"/>
        <v/>
      </c>
      <c r="G41" s="607">
        <v>1</v>
      </c>
      <c r="H41" s="607"/>
      <c r="I41" s="607">
        <v>3</v>
      </c>
      <c r="J41" s="607">
        <v>4</v>
      </c>
      <c r="K41" s="607">
        <v>5</v>
      </c>
      <c r="L41" s="607">
        <v>6</v>
      </c>
      <c r="M41" s="607"/>
      <c r="N41" s="607">
        <v>8</v>
      </c>
      <c r="O41" s="607"/>
      <c r="P41" s="607"/>
      <c r="Q41" s="607"/>
      <c r="R41" s="607"/>
      <c r="S41" s="607"/>
      <c r="T41" s="607"/>
      <c r="U41" s="607">
        <v>15</v>
      </c>
      <c r="V41" s="607"/>
      <c r="W41" s="607"/>
      <c r="X41" s="607"/>
      <c r="Y41" s="607"/>
      <c r="Z41" s="607"/>
      <c r="AA41" s="607"/>
      <c r="AB41" s="607"/>
      <c r="AC41" s="607"/>
      <c r="AD41" s="607"/>
      <c r="AE41" s="607"/>
    </row>
    <row r="42" spans="1:31" x14ac:dyDescent="0.2">
      <c r="A42" s="7" t="str">
        <f ca="1">IF(AUTOEVENTO="Manual",IF(EVENTOS!$F42&gt;0,"F",""),IF(CRONOPLE!B42&lt;=MAX(CÁLCULO!$M$15:$M$131),"F",""))</f>
        <v/>
      </c>
      <c r="B42" s="257">
        <f t="shared" ca="1" si="1"/>
        <v>27</v>
      </c>
      <c r="C42" s="554">
        <f ca="1">IF(AUTOEVENTO="Manual",IF($B42&gt;0,OFFSET(EVENTOS!$D$15,$B42-$B$15,0),0),IF(B42&lt;=MAX(CÁLCULO!$M$15:$M$131),VLOOKUP($B42,CÁLCULO!$M$15:$N$131,2,FALSE),0))</f>
        <v>0</v>
      </c>
      <c r="D42" s="608"/>
      <c r="E42" s="258"/>
      <c r="F42" t="str">
        <f t="shared" ca="1" si="2"/>
        <v/>
      </c>
      <c r="G42" s="607">
        <v>1</v>
      </c>
      <c r="H42" s="607"/>
      <c r="I42" s="607"/>
      <c r="J42" s="607">
        <v>4</v>
      </c>
      <c r="K42" s="607"/>
      <c r="L42" s="607">
        <v>6</v>
      </c>
      <c r="M42" s="607"/>
      <c r="N42" s="607"/>
      <c r="O42" s="607"/>
      <c r="P42" s="607"/>
      <c r="Q42" s="607"/>
      <c r="R42" s="607"/>
      <c r="S42" s="607"/>
      <c r="T42" s="607">
        <v>14</v>
      </c>
      <c r="U42" s="607">
        <v>15</v>
      </c>
      <c r="V42" s="607"/>
      <c r="W42" s="607"/>
      <c r="X42" s="607"/>
      <c r="Y42" s="607"/>
      <c r="Z42" s="607"/>
      <c r="AA42" s="607"/>
      <c r="AB42" s="607"/>
      <c r="AC42" s="607"/>
      <c r="AD42" s="607"/>
      <c r="AE42" s="607"/>
    </row>
    <row r="43" spans="1:31" x14ac:dyDescent="0.2">
      <c r="A43" s="7" t="str">
        <f ca="1">IF(AUTOEVENTO="Manual",IF(EVENTOS!$F43&gt;0,"F",""),IF(CRONOPLE!B43&lt;=MAX(CÁLCULO!$M$15:$M$131),"F",""))</f>
        <v/>
      </c>
      <c r="B43" s="257">
        <f t="shared" ca="1" si="1"/>
        <v>28</v>
      </c>
      <c r="C43" s="554">
        <f ca="1">IF(AUTOEVENTO="Manual",IF($B43&gt;0,OFFSET(EVENTOS!$D$15,$B43-$B$15,0),0),IF(B43&lt;=MAX(CÁLCULO!$M$15:$M$131),VLOOKUP($B43,CÁLCULO!$M$15:$N$131,2,FALSE),0))</f>
        <v>0</v>
      </c>
      <c r="D43" s="608"/>
      <c r="E43" s="258"/>
      <c r="F43" t="str">
        <f t="shared" ca="1" si="2"/>
        <v/>
      </c>
      <c r="G43" s="607"/>
      <c r="H43" s="607"/>
      <c r="I43" s="607"/>
      <c r="J43" s="607"/>
      <c r="K43" s="607"/>
      <c r="L43" s="607">
        <v>6</v>
      </c>
      <c r="M43" s="607"/>
      <c r="N43" s="607"/>
      <c r="O43" s="607"/>
      <c r="P43" s="607"/>
      <c r="Q43" s="607"/>
      <c r="R43" s="607"/>
      <c r="S43" s="607"/>
      <c r="T43" s="607"/>
      <c r="U43" s="607">
        <v>15</v>
      </c>
      <c r="V43" s="607"/>
      <c r="W43" s="607"/>
      <c r="X43" s="607"/>
      <c r="Y43" s="607"/>
      <c r="Z43" s="607"/>
      <c r="AA43" s="607"/>
      <c r="AB43" s="607"/>
      <c r="AC43" s="607"/>
      <c r="AD43" s="607"/>
      <c r="AE43" s="607"/>
    </row>
    <row r="44" spans="1:31" x14ac:dyDescent="0.2">
      <c r="A44" s="7" t="str">
        <f ca="1">IF(AUTOEVENTO="Manual",IF(EVENTOS!$F44&gt;0,"F",""),IF(CRONOPLE!B44&lt;=MAX(CÁLCULO!$M$15:$M$131),"F",""))</f>
        <v/>
      </c>
      <c r="B44" s="257">
        <f t="shared" ca="1" si="1"/>
        <v>29</v>
      </c>
      <c r="C44" s="554">
        <f ca="1">IF(AUTOEVENTO="Manual",IF($B44&gt;0,OFFSET(EVENTOS!$D$15,$B44-$B$15,0),0),IF(B44&lt;=MAX(CÁLCULO!$M$15:$M$131),VLOOKUP($B44,CÁLCULO!$M$15:$N$131,2,FALSE),0))</f>
        <v>0</v>
      </c>
      <c r="D44" s="608"/>
      <c r="E44" s="258"/>
      <c r="F44" t="str">
        <f t="shared" ca="1" si="2"/>
        <v/>
      </c>
      <c r="G44" s="607"/>
      <c r="H44" s="607"/>
      <c r="I44" s="607"/>
      <c r="J44" s="607"/>
      <c r="K44" s="607"/>
      <c r="L44" s="607">
        <v>6</v>
      </c>
      <c r="M44" s="607"/>
      <c r="N44" s="607"/>
      <c r="O44" s="607"/>
      <c r="P44" s="607"/>
      <c r="Q44" s="607"/>
      <c r="R44" s="607"/>
      <c r="S44" s="607"/>
      <c r="T44" s="607"/>
      <c r="U44" s="607">
        <v>15</v>
      </c>
      <c r="V44" s="607"/>
      <c r="W44" s="607"/>
      <c r="X44" s="607"/>
      <c r="Y44" s="607"/>
      <c r="Z44" s="607"/>
      <c r="AA44" s="607"/>
      <c r="AB44" s="607"/>
      <c r="AC44" s="607"/>
      <c r="AD44" s="607"/>
      <c r="AE44" s="607"/>
    </row>
    <row r="45" spans="1:31" x14ac:dyDescent="0.2">
      <c r="A45" s="7" t="str">
        <f ca="1">IF(AUTOEVENTO="Manual",IF(EVENTOS!$F45&gt;0,"F",""),IF(CRONOPLE!B45&lt;=MAX(CÁLCULO!$M$15:$M$131),"F",""))</f>
        <v/>
      </c>
      <c r="B45" s="257">
        <f t="shared" ca="1" si="1"/>
        <v>30</v>
      </c>
      <c r="C45" s="554">
        <f ca="1">IF(AUTOEVENTO="Manual",IF($B45&gt;0,OFFSET(EVENTOS!$D$15,$B45-$B$15,0),0),IF(B45&lt;=MAX(CÁLCULO!$M$15:$M$131),VLOOKUP($B45,CÁLCULO!$M$15:$N$131,2,FALSE),0))</f>
        <v>0</v>
      </c>
      <c r="D45" s="608"/>
      <c r="E45" s="258"/>
      <c r="F45" t="str">
        <f t="shared" ca="1" si="2"/>
        <v/>
      </c>
      <c r="G45" s="607"/>
      <c r="H45" s="607"/>
      <c r="I45" s="607"/>
      <c r="J45" s="607"/>
      <c r="K45" s="607"/>
      <c r="L45" s="607">
        <v>6</v>
      </c>
      <c r="M45" s="607"/>
      <c r="N45" s="607"/>
      <c r="O45" s="607"/>
      <c r="P45" s="607"/>
      <c r="Q45" s="607"/>
      <c r="R45" s="607"/>
      <c r="S45" s="607"/>
      <c r="T45" s="607"/>
      <c r="U45" s="607">
        <v>15</v>
      </c>
      <c r="V45" s="607"/>
      <c r="W45" s="607"/>
      <c r="X45" s="607"/>
      <c r="Y45" s="607"/>
      <c r="Z45" s="607"/>
      <c r="AA45" s="607"/>
      <c r="AB45" s="607"/>
      <c r="AC45" s="607"/>
      <c r="AD45" s="607"/>
      <c r="AE45" s="607"/>
    </row>
    <row r="46" spans="1:31" x14ac:dyDescent="0.2">
      <c r="A46" s="7" t="str">
        <f ca="1">IF(AUTOEVENTO="Manual",IF(EVENTOS!$F46&gt;0,"F",""),IF(CRONOPLE!B46&lt;=MAX(CÁLCULO!$M$15:$M$131),"F",""))</f>
        <v/>
      </c>
      <c r="B46" s="257">
        <f t="shared" ca="1" si="1"/>
        <v>31</v>
      </c>
      <c r="C46" s="554">
        <f ca="1">IF(AUTOEVENTO="Manual",IF($B46&gt;0,OFFSET(EVENTOS!$D$15,$B46-$B$15,0),0),IF(B46&lt;=MAX(CÁLCULO!$M$15:$M$131),VLOOKUP($B46,CÁLCULO!$M$15:$N$131,2,FALSE),0))</f>
        <v>0</v>
      </c>
      <c r="D46" s="608"/>
      <c r="E46" s="258"/>
      <c r="F46" t="str">
        <f t="shared" ca="1" si="2"/>
        <v/>
      </c>
      <c r="G46" s="607"/>
      <c r="H46" s="607"/>
      <c r="I46" s="607"/>
      <c r="J46" s="607"/>
      <c r="K46" s="607"/>
      <c r="L46" s="607">
        <v>6</v>
      </c>
      <c r="M46" s="607"/>
      <c r="N46" s="607"/>
      <c r="O46" s="607"/>
      <c r="P46" s="607"/>
      <c r="Q46" s="607"/>
      <c r="R46" s="607"/>
      <c r="S46" s="607"/>
      <c r="T46" s="607"/>
      <c r="U46" s="607">
        <v>15</v>
      </c>
      <c r="V46" s="607"/>
      <c r="W46" s="607"/>
      <c r="X46" s="607"/>
      <c r="Y46" s="607"/>
      <c r="Z46" s="607"/>
      <c r="AA46" s="607"/>
      <c r="AB46" s="607"/>
      <c r="AC46" s="607"/>
      <c r="AD46" s="607"/>
      <c r="AE46" s="607"/>
    </row>
    <row r="47" spans="1:31" x14ac:dyDescent="0.2">
      <c r="A47" s="7" t="str">
        <f ca="1">IF(AUTOEVENTO="Manual",IF(EVENTOS!$F47&gt;0,"F",""),IF(CRONOPLE!B47&lt;=MAX(CÁLCULO!$M$15:$M$131),"F",""))</f>
        <v/>
      </c>
      <c r="B47" s="257">
        <f t="shared" ca="1" si="1"/>
        <v>32</v>
      </c>
      <c r="C47" s="554">
        <f ca="1">IF(AUTOEVENTO="Manual",IF($B47&gt;0,OFFSET(EVENTOS!$D$15,$B47-$B$15,0),0),IF(B47&lt;=MAX(CÁLCULO!$M$15:$M$131),VLOOKUP($B47,CÁLCULO!$M$15:$N$131,2,FALSE),0))</f>
        <v>0</v>
      </c>
      <c r="D47" s="608"/>
      <c r="E47" s="258"/>
      <c r="F47" t="str">
        <f t="shared" ca="1" si="2"/>
        <v/>
      </c>
      <c r="G47" s="607"/>
      <c r="H47" s="607"/>
      <c r="I47" s="607"/>
      <c r="J47" s="607"/>
      <c r="K47" s="607"/>
      <c r="L47" s="607">
        <v>6</v>
      </c>
      <c r="M47" s="607"/>
      <c r="N47" s="607"/>
      <c r="O47" s="607"/>
      <c r="P47" s="607"/>
      <c r="Q47" s="607"/>
      <c r="R47" s="607"/>
      <c r="S47" s="607"/>
      <c r="T47" s="607"/>
      <c r="U47" s="607">
        <v>15</v>
      </c>
      <c r="V47" s="607"/>
      <c r="W47" s="607"/>
      <c r="X47" s="607"/>
      <c r="Y47" s="607"/>
      <c r="Z47" s="607"/>
      <c r="AA47" s="607"/>
      <c r="AB47" s="607"/>
      <c r="AC47" s="607"/>
      <c r="AD47" s="607"/>
      <c r="AE47" s="607"/>
    </row>
    <row r="48" spans="1:31" x14ac:dyDescent="0.2">
      <c r="A48" s="7" t="str">
        <f ca="1">IF(AUTOEVENTO="Manual",IF(EVENTOS!$F48&gt;0,"F",""),IF(CRONOPLE!B48&lt;=MAX(CÁLCULO!$M$15:$M$131),"F",""))</f>
        <v/>
      </c>
      <c r="B48" s="257">
        <f t="shared" ca="1" si="1"/>
        <v>33</v>
      </c>
      <c r="C48" s="554">
        <f ca="1">IF(AUTOEVENTO="Manual",IF($B48&gt;0,OFFSET(EVENTOS!$D$15,$B48-$B$15,0),0),IF(B48&lt;=MAX(CÁLCULO!$M$15:$M$131),VLOOKUP($B48,CÁLCULO!$M$15:$N$131,2,FALSE),0))</f>
        <v>0</v>
      </c>
      <c r="D48" s="608"/>
      <c r="E48" s="258"/>
      <c r="F48" t="str">
        <f t="shared" ca="1" si="2"/>
        <v/>
      </c>
      <c r="G48" s="607"/>
      <c r="H48" s="607"/>
      <c r="I48" s="607"/>
      <c r="J48" s="607"/>
      <c r="K48" s="607"/>
      <c r="L48" s="607"/>
      <c r="M48" s="607"/>
      <c r="N48" s="607"/>
      <c r="O48" s="607"/>
      <c r="P48" s="607"/>
      <c r="Q48" s="607"/>
      <c r="R48" s="607"/>
      <c r="S48" s="607"/>
      <c r="T48" s="607"/>
      <c r="U48" s="607">
        <v>15</v>
      </c>
      <c r="V48" s="607"/>
      <c r="W48" s="607"/>
      <c r="X48" s="607"/>
      <c r="Y48" s="607"/>
      <c r="Z48" s="607"/>
      <c r="AA48" s="607"/>
      <c r="AB48" s="607"/>
      <c r="AC48" s="607"/>
      <c r="AD48" s="607"/>
      <c r="AE48" s="607"/>
    </row>
    <row r="49" spans="1:31" x14ac:dyDescent="0.2">
      <c r="A49" s="7" t="str">
        <f ca="1">IF(AUTOEVENTO="Manual",IF(EVENTOS!$F49&gt;0,"F",""),IF(CRONOPLE!B49&lt;=MAX(CÁLCULO!$M$15:$M$131),"F",""))</f>
        <v/>
      </c>
      <c r="B49" s="257">
        <f t="shared" ca="1" si="1"/>
        <v>34</v>
      </c>
      <c r="C49" s="554">
        <f ca="1">IF(AUTOEVENTO="Manual",IF($B49&gt;0,OFFSET(EVENTOS!$D$15,$B49-$B$15,0),0),IF(B49&lt;=MAX(CÁLCULO!$M$15:$M$131),VLOOKUP($B49,CÁLCULO!$M$15:$N$131,2,FALSE),0))</f>
        <v>0</v>
      </c>
      <c r="D49" s="608"/>
      <c r="E49" s="258"/>
      <c r="F49" t="str">
        <f t="shared" ca="1" si="2"/>
        <v/>
      </c>
      <c r="G49" s="607"/>
      <c r="H49" s="607"/>
      <c r="I49" s="607"/>
      <c r="J49" s="607"/>
      <c r="K49" s="607"/>
      <c r="L49" s="607"/>
      <c r="M49" s="607"/>
      <c r="N49" s="607"/>
      <c r="O49" s="607"/>
      <c r="P49" s="607"/>
      <c r="Q49" s="607"/>
      <c r="R49" s="607"/>
      <c r="S49" s="607"/>
      <c r="T49" s="607"/>
      <c r="U49" s="607"/>
      <c r="V49" s="607"/>
      <c r="W49" s="607"/>
      <c r="X49" s="607"/>
      <c r="Y49" s="607"/>
      <c r="Z49" s="607"/>
      <c r="AA49" s="607"/>
      <c r="AB49" s="607"/>
      <c r="AC49" s="607"/>
      <c r="AD49" s="607"/>
      <c r="AE49" s="607"/>
    </row>
    <row r="50" spans="1:31" x14ac:dyDescent="0.2">
      <c r="A50" s="7" t="str">
        <f ca="1">IF(AUTOEVENTO="Manual",IF(EVENTOS!$F50&gt;0,"F",""),IF(CRONOPLE!B50&lt;=MAX(CÁLCULO!$M$15:$M$131),"F",""))</f>
        <v/>
      </c>
      <c r="B50" s="257">
        <f t="shared" ca="1" si="1"/>
        <v>35</v>
      </c>
      <c r="C50" s="554">
        <f ca="1">IF(AUTOEVENTO="Manual",IF($B50&gt;0,OFFSET(EVENTOS!$D$15,$B50-$B$15,0),0),IF(B50&lt;=MAX(CÁLCULO!$M$15:$M$131),VLOOKUP($B50,CÁLCULO!$M$15:$N$131,2,FALSE),0))</f>
        <v>0</v>
      </c>
      <c r="D50" s="608"/>
      <c r="E50" s="258"/>
      <c r="F50" t="str">
        <f t="shared" ca="1" si="2"/>
        <v/>
      </c>
      <c r="G50" s="607"/>
      <c r="H50" s="607"/>
      <c r="I50" s="607"/>
      <c r="J50" s="607"/>
      <c r="K50" s="607"/>
      <c r="L50" s="607"/>
      <c r="M50" s="607"/>
      <c r="N50" s="607"/>
      <c r="O50" s="607"/>
      <c r="P50" s="607"/>
      <c r="Q50" s="607"/>
      <c r="R50" s="607"/>
      <c r="S50" s="607"/>
      <c r="T50" s="607"/>
      <c r="U50" s="607"/>
      <c r="V50" s="607"/>
      <c r="W50" s="607"/>
      <c r="X50" s="607"/>
      <c r="Y50" s="607"/>
      <c r="Z50" s="607"/>
      <c r="AA50" s="607"/>
      <c r="AB50" s="607"/>
      <c r="AC50" s="607"/>
      <c r="AD50" s="607"/>
      <c r="AE50" s="607"/>
    </row>
    <row r="51" spans="1:31" x14ac:dyDescent="0.2">
      <c r="A51" s="7" t="str">
        <f ca="1">IF(AUTOEVENTO="Manual",IF(EVENTOS!$F51&gt;0,"F",""),IF(CRONOPLE!B51&lt;=MAX(CÁLCULO!$M$15:$M$131),"F",""))</f>
        <v/>
      </c>
      <c r="B51" s="257">
        <f t="shared" ca="1" si="1"/>
        <v>36</v>
      </c>
      <c r="C51" s="554">
        <f ca="1">IF(AUTOEVENTO="Manual",IF($B51&gt;0,OFFSET(EVENTOS!$D$15,$B51-$B$15,0),0),IF(B51&lt;=MAX(CÁLCULO!$M$15:$M$131),VLOOKUP($B51,CÁLCULO!$M$15:$N$131,2,FALSE),0))</f>
        <v>0</v>
      </c>
      <c r="D51" s="608"/>
      <c r="E51" s="258"/>
      <c r="F51" t="str">
        <f t="shared" ca="1" si="2"/>
        <v/>
      </c>
      <c r="G51" s="607"/>
      <c r="H51" s="607"/>
      <c r="I51" s="607"/>
      <c r="J51" s="607"/>
      <c r="K51" s="607"/>
      <c r="L51" s="607"/>
      <c r="M51" s="607"/>
      <c r="N51" s="607"/>
      <c r="O51" s="607"/>
      <c r="P51" s="607"/>
      <c r="Q51" s="607"/>
      <c r="R51" s="607"/>
      <c r="S51" s="607"/>
      <c r="T51" s="607"/>
      <c r="U51" s="607"/>
      <c r="V51" s="607"/>
      <c r="W51" s="607"/>
      <c r="X51" s="607"/>
      <c r="Y51" s="607"/>
      <c r="Z51" s="607"/>
      <c r="AA51" s="607"/>
      <c r="AB51" s="607"/>
      <c r="AC51" s="607"/>
      <c r="AD51" s="607"/>
      <c r="AE51" s="607"/>
    </row>
    <row r="52" spans="1:31" x14ac:dyDescent="0.2">
      <c r="A52" s="7" t="str">
        <f ca="1">IF(AUTOEVENTO="Manual",IF(EVENTOS!$F52&gt;0,"F",""),IF(CRONOPLE!B52&lt;=MAX(CÁLCULO!$M$15:$M$131),"F",""))</f>
        <v/>
      </c>
      <c r="B52" s="257">
        <f t="shared" ca="1" si="1"/>
        <v>37</v>
      </c>
      <c r="C52" s="554">
        <f ca="1">IF(AUTOEVENTO="Manual",IF($B52&gt;0,OFFSET(EVENTOS!$D$15,$B52-$B$15,0),0),IF(B52&lt;=MAX(CÁLCULO!$M$15:$M$131),VLOOKUP($B52,CÁLCULO!$M$15:$N$131,2,FALSE),0))</f>
        <v>0</v>
      </c>
      <c r="D52" s="608"/>
      <c r="E52" s="258"/>
      <c r="F52" t="str">
        <f t="shared" ca="1" si="2"/>
        <v/>
      </c>
      <c r="G52" s="607"/>
      <c r="H52" s="607"/>
      <c r="I52" s="607"/>
      <c r="J52" s="607"/>
      <c r="K52" s="607"/>
      <c r="L52" s="607"/>
      <c r="M52" s="607"/>
      <c r="N52" s="607"/>
      <c r="O52" s="607"/>
      <c r="P52" s="607"/>
      <c r="Q52" s="607"/>
      <c r="R52" s="607"/>
      <c r="S52" s="607"/>
      <c r="T52" s="607"/>
      <c r="U52" s="607"/>
      <c r="V52" s="607"/>
      <c r="W52" s="607"/>
      <c r="X52" s="607"/>
      <c r="Y52" s="607"/>
      <c r="Z52" s="607"/>
      <c r="AA52" s="607"/>
      <c r="AB52" s="607"/>
      <c r="AC52" s="607"/>
      <c r="AD52" s="607"/>
      <c r="AE52" s="607"/>
    </row>
    <row r="53" spans="1:31" x14ac:dyDescent="0.2">
      <c r="A53" s="7" t="str">
        <f ca="1">IF(AUTOEVENTO="Manual",IF(EVENTOS!$F53&gt;0,"F",""),IF(CRONOPLE!B53&lt;=MAX(CÁLCULO!$M$15:$M$131),"F",""))</f>
        <v/>
      </c>
      <c r="B53" s="257">
        <f t="shared" ca="1" si="1"/>
        <v>38</v>
      </c>
      <c r="C53" s="554">
        <f ca="1">IF(AUTOEVENTO="Manual",IF($B53&gt;0,OFFSET(EVENTOS!$D$15,$B53-$B$15,0),0),IF(B53&lt;=MAX(CÁLCULO!$M$15:$M$131),VLOOKUP($B53,CÁLCULO!$M$15:$N$131,2,FALSE),0))</f>
        <v>0</v>
      </c>
      <c r="D53" s="608"/>
      <c r="E53" s="258"/>
      <c r="F53" t="str">
        <f t="shared" ca="1" si="2"/>
        <v/>
      </c>
      <c r="G53" s="607"/>
      <c r="H53" s="607"/>
      <c r="I53" s="607"/>
      <c r="J53" s="607"/>
      <c r="K53" s="607"/>
      <c r="L53" s="607"/>
      <c r="M53" s="607"/>
      <c r="N53" s="607"/>
      <c r="O53" s="607"/>
      <c r="P53" s="607"/>
      <c r="Q53" s="607"/>
      <c r="R53" s="607"/>
      <c r="S53" s="607"/>
      <c r="T53" s="607"/>
      <c r="U53" s="607"/>
      <c r="V53" s="607"/>
      <c r="W53" s="607"/>
      <c r="X53" s="607"/>
      <c r="Y53" s="607"/>
      <c r="Z53" s="607"/>
      <c r="AA53" s="607"/>
      <c r="AB53" s="607"/>
      <c r="AC53" s="607"/>
      <c r="AD53" s="607"/>
      <c r="AE53" s="607"/>
    </row>
    <row r="54" spans="1:31" x14ac:dyDescent="0.2">
      <c r="A54" s="7" t="str">
        <f ca="1">IF(AUTOEVENTO="Manual",IF(EVENTOS!$F54&gt;0,"F",""),IF(CRONOPLE!B54&lt;=MAX(CÁLCULO!$M$15:$M$131),"F",""))</f>
        <v/>
      </c>
      <c r="B54" s="257">
        <f t="shared" ca="1" si="1"/>
        <v>39</v>
      </c>
      <c r="C54" s="554">
        <f ca="1">IF(AUTOEVENTO="Manual",IF($B54&gt;0,OFFSET(EVENTOS!$D$15,$B54-$B$15,0),0),IF(B54&lt;=MAX(CÁLCULO!$M$15:$M$131),VLOOKUP($B54,CÁLCULO!$M$15:$N$131,2,FALSE),0))</f>
        <v>0</v>
      </c>
      <c r="D54" s="608"/>
      <c r="E54" s="258"/>
      <c r="F54" t="str">
        <f t="shared" ca="1" si="2"/>
        <v/>
      </c>
      <c r="G54" s="607"/>
      <c r="H54" s="607"/>
      <c r="I54" s="607"/>
      <c r="J54" s="607"/>
      <c r="K54" s="607"/>
      <c r="L54" s="607"/>
      <c r="M54" s="607"/>
      <c r="N54" s="607"/>
      <c r="O54" s="607"/>
      <c r="P54" s="607"/>
      <c r="Q54" s="607"/>
      <c r="R54" s="607"/>
      <c r="S54" s="607"/>
      <c r="T54" s="607"/>
      <c r="U54" s="607"/>
      <c r="V54" s="607"/>
      <c r="W54" s="607"/>
      <c r="X54" s="607"/>
      <c r="Y54" s="607"/>
      <c r="Z54" s="607"/>
      <c r="AA54" s="607"/>
      <c r="AB54" s="607"/>
      <c r="AC54" s="607"/>
      <c r="AD54" s="607"/>
      <c r="AE54" s="607"/>
    </row>
    <row r="55" spans="1:31" x14ac:dyDescent="0.2">
      <c r="A55" s="7" t="str">
        <f ca="1">IF(AUTOEVENTO="Manual",IF(EVENTOS!$F55&gt;0,"F",""),IF(CRONOPLE!B55&lt;=MAX(CÁLCULO!$M$15:$M$131),"F",""))</f>
        <v/>
      </c>
      <c r="B55" s="257">
        <f t="shared" ca="1" si="1"/>
        <v>40</v>
      </c>
      <c r="C55" s="554">
        <f ca="1">IF(AUTOEVENTO="Manual",IF($B55&gt;0,OFFSET(EVENTOS!$D$15,$B55-$B$15,0),0),IF(B55&lt;=MAX(CÁLCULO!$M$15:$M$131),VLOOKUP($B55,CÁLCULO!$M$15:$N$131,2,FALSE),0))</f>
        <v>0</v>
      </c>
      <c r="D55" s="608"/>
      <c r="E55" s="258"/>
      <c r="F55" t="str">
        <f t="shared" ca="1" si="2"/>
        <v/>
      </c>
      <c r="G55" s="607"/>
      <c r="H55" s="607"/>
      <c r="I55" s="607"/>
      <c r="J55" s="607"/>
      <c r="K55" s="607"/>
      <c r="L55" s="607"/>
      <c r="M55" s="607"/>
      <c r="N55" s="607"/>
      <c r="O55" s="607"/>
      <c r="P55" s="607"/>
      <c r="Q55" s="607"/>
      <c r="R55" s="607"/>
      <c r="S55" s="607"/>
      <c r="T55" s="607"/>
      <c r="U55" s="607"/>
      <c r="V55" s="607"/>
      <c r="W55" s="607"/>
      <c r="X55" s="607"/>
      <c r="Y55" s="607"/>
      <c r="Z55" s="607"/>
      <c r="AA55" s="607"/>
      <c r="AB55" s="607"/>
      <c r="AC55" s="607"/>
      <c r="AD55" s="607"/>
      <c r="AE55" s="607"/>
    </row>
    <row r="56" spans="1:31" x14ac:dyDescent="0.2">
      <c r="A56" s="7" t="str">
        <f ca="1">IF(AUTOEVENTO="Manual",IF(EVENTOS!$F56&gt;0,"F",""),IF(CRONOPLE!B56&lt;=MAX(CÁLCULO!$M$15:$M$131),"F",""))</f>
        <v/>
      </c>
      <c r="B56" s="257">
        <f t="shared" ca="1" si="1"/>
        <v>41</v>
      </c>
      <c r="C56" s="554">
        <f ca="1">IF(AUTOEVENTO="Manual",IF($B56&gt;0,OFFSET(EVENTOS!$D$15,$B56-$B$15,0),0),IF(B56&lt;=MAX(CÁLCULO!$M$15:$M$131),VLOOKUP($B56,CÁLCULO!$M$15:$N$131,2,FALSE),0))</f>
        <v>0</v>
      </c>
      <c r="D56" s="608"/>
      <c r="E56" s="258"/>
      <c r="F56" t="str">
        <f t="shared" ca="1" si="2"/>
        <v/>
      </c>
      <c r="G56" s="607"/>
      <c r="H56" s="607"/>
      <c r="I56" s="607"/>
      <c r="J56" s="607"/>
      <c r="K56" s="607"/>
      <c r="L56" s="607"/>
      <c r="M56" s="607"/>
      <c r="N56" s="607"/>
      <c r="O56" s="607"/>
      <c r="P56" s="607"/>
      <c r="Q56" s="607"/>
      <c r="R56" s="607"/>
      <c r="S56" s="607"/>
      <c r="T56" s="607"/>
      <c r="U56" s="607"/>
      <c r="V56" s="607"/>
      <c r="W56" s="607"/>
      <c r="X56" s="607"/>
      <c r="Y56" s="607"/>
      <c r="Z56" s="607"/>
      <c r="AA56" s="607"/>
      <c r="AB56" s="607"/>
      <c r="AC56" s="607"/>
      <c r="AD56" s="607"/>
      <c r="AE56" s="607"/>
    </row>
    <row r="57" spans="1:31" x14ac:dyDescent="0.2">
      <c r="A57" s="7" t="str">
        <f ca="1">IF(AUTOEVENTO="Manual",IF(EVENTOS!$F57&gt;0,"F",""),IF(CRONOPLE!B57&lt;=MAX(CÁLCULO!$M$15:$M$131),"F",""))</f>
        <v/>
      </c>
      <c r="B57" s="257">
        <f t="shared" ca="1" si="1"/>
        <v>42</v>
      </c>
      <c r="C57" s="554">
        <f ca="1">IF(AUTOEVENTO="Manual",IF($B57&gt;0,OFFSET(EVENTOS!$D$15,$B57-$B$15,0),0),IF(B57&lt;=MAX(CÁLCULO!$M$15:$M$131),VLOOKUP($B57,CÁLCULO!$M$15:$N$131,2,FALSE),0))</f>
        <v>0</v>
      </c>
      <c r="D57" s="608"/>
      <c r="E57" s="258"/>
      <c r="F57" t="str">
        <f t="shared" ca="1" si="2"/>
        <v/>
      </c>
      <c r="G57" s="607"/>
      <c r="H57" s="607"/>
      <c r="I57" s="607"/>
      <c r="J57" s="607"/>
      <c r="K57" s="607"/>
      <c r="L57" s="607"/>
      <c r="M57" s="607"/>
      <c r="N57" s="607"/>
      <c r="O57" s="607"/>
      <c r="P57" s="607"/>
      <c r="Q57" s="607"/>
      <c r="R57" s="607"/>
      <c r="S57" s="607"/>
      <c r="T57" s="607"/>
      <c r="U57" s="607"/>
      <c r="V57" s="607"/>
      <c r="W57" s="607"/>
      <c r="X57" s="607"/>
      <c r="Y57" s="607"/>
      <c r="Z57" s="607"/>
      <c r="AA57" s="607"/>
      <c r="AB57" s="607"/>
      <c r="AC57" s="607"/>
      <c r="AD57" s="607"/>
      <c r="AE57" s="607"/>
    </row>
    <row r="58" spans="1:31" x14ac:dyDescent="0.2">
      <c r="A58" s="7" t="str">
        <f ca="1">IF(AUTOEVENTO="Manual",IF(EVENTOS!$F58&gt;0,"F",""),IF(CRONOPLE!B58&lt;=MAX(CÁLCULO!$M$15:$M$131),"F",""))</f>
        <v/>
      </c>
      <c r="B58" s="257">
        <f t="shared" ca="1" si="1"/>
        <v>43</v>
      </c>
      <c r="C58" s="554">
        <f ca="1">IF(AUTOEVENTO="Manual",IF($B58&gt;0,OFFSET(EVENTOS!$D$15,$B58-$B$15,0),0),IF(B58&lt;=MAX(CÁLCULO!$M$15:$M$131),VLOOKUP($B58,CÁLCULO!$M$15:$N$131,2,FALSE),0))</f>
        <v>0</v>
      </c>
      <c r="D58" s="608"/>
      <c r="E58" s="258"/>
      <c r="F58" t="str">
        <f t="shared" ca="1" si="2"/>
        <v/>
      </c>
      <c r="G58" s="607"/>
      <c r="H58" s="607"/>
      <c r="I58" s="607"/>
      <c r="J58" s="607"/>
      <c r="K58" s="607"/>
      <c r="L58" s="607"/>
      <c r="M58" s="607"/>
      <c r="N58" s="607"/>
      <c r="O58" s="607"/>
      <c r="P58" s="607"/>
      <c r="Q58" s="607"/>
      <c r="R58" s="607"/>
      <c r="S58" s="607"/>
      <c r="T58" s="607"/>
      <c r="U58" s="607"/>
      <c r="V58" s="607"/>
      <c r="W58" s="607"/>
      <c r="X58" s="607"/>
      <c r="Y58" s="607"/>
      <c r="Z58" s="607"/>
      <c r="AA58" s="607"/>
      <c r="AB58" s="607"/>
      <c r="AC58" s="607"/>
      <c r="AD58" s="607"/>
      <c r="AE58" s="607"/>
    </row>
    <row r="59" spans="1:31" x14ac:dyDescent="0.2">
      <c r="A59" s="7" t="str">
        <f ca="1">IF(AUTOEVENTO="Manual",IF(EVENTOS!$F59&gt;0,"F",""),IF(CRONOPLE!B59&lt;=MAX(CÁLCULO!$M$15:$M$131),"F",""))</f>
        <v/>
      </c>
      <c r="B59" s="257">
        <f t="shared" ca="1" si="1"/>
        <v>44</v>
      </c>
      <c r="C59" s="554">
        <f ca="1">IF(AUTOEVENTO="Manual",IF($B59&gt;0,OFFSET(EVENTOS!$D$15,$B59-$B$15,0),0),IF(B59&lt;=MAX(CÁLCULO!$M$15:$M$131),VLOOKUP($B59,CÁLCULO!$M$15:$N$131,2,FALSE),0))</f>
        <v>0</v>
      </c>
      <c r="D59" s="608"/>
      <c r="E59" s="258"/>
      <c r="F59" t="str">
        <f t="shared" ca="1" si="2"/>
        <v/>
      </c>
      <c r="G59" s="607"/>
      <c r="H59" s="607"/>
      <c r="I59" s="607"/>
      <c r="J59" s="607"/>
      <c r="K59" s="607"/>
      <c r="L59" s="607"/>
      <c r="M59" s="607"/>
      <c r="N59" s="607"/>
      <c r="O59" s="607"/>
      <c r="P59" s="607"/>
      <c r="Q59" s="607"/>
      <c r="R59" s="607"/>
      <c r="S59" s="607"/>
      <c r="T59" s="607"/>
      <c r="U59" s="607"/>
      <c r="V59" s="607"/>
      <c r="W59" s="607"/>
      <c r="X59" s="607"/>
      <c r="Y59" s="607"/>
      <c r="Z59" s="607"/>
      <c r="AA59" s="607"/>
      <c r="AB59" s="607"/>
      <c r="AC59" s="607"/>
      <c r="AD59" s="607"/>
      <c r="AE59" s="607"/>
    </row>
    <row r="60" spans="1:31" x14ac:dyDescent="0.2">
      <c r="A60" s="7" t="str">
        <f ca="1">IF(AUTOEVENTO="Manual",IF(EVENTOS!$F60&gt;0,"F",""),IF(CRONOPLE!B60&lt;=MAX(CÁLCULO!$M$15:$M$131),"F",""))</f>
        <v/>
      </c>
      <c r="B60" s="257">
        <f t="shared" ca="1" si="1"/>
        <v>45</v>
      </c>
      <c r="C60" s="554">
        <f ca="1">IF(AUTOEVENTO="Manual",IF($B60&gt;0,OFFSET(EVENTOS!$D$15,$B60-$B$15,0),0),IF(B60&lt;=MAX(CÁLCULO!$M$15:$M$131),VLOOKUP($B60,CÁLCULO!$M$15:$N$131,2,FALSE),0))</f>
        <v>0</v>
      </c>
      <c r="D60" s="608"/>
      <c r="E60" s="258"/>
      <c r="F60" t="str">
        <f t="shared" ca="1" si="2"/>
        <v/>
      </c>
      <c r="G60" s="607"/>
      <c r="H60" s="607"/>
      <c r="I60" s="607"/>
      <c r="J60" s="607"/>
      <c r="K60" s="607"/>
      <c r="L60" s="607"/>
      <c r="M60" s="607"/>
      <c r="N60" s="607"/>
      <c r="O60" s="607"/>
      <c r="P60" s="607"/>
      <c r="Q60" s="607"/>
      <c r="R60" s="607"/>
      <c r="S60" s="607"/>
      <c r="T60" s="607"/>
      <c r="U60" s="607"/>
      <c r="V60" s="607"/>
      <c r="W60" s="607"/>
      <c r="X60" s="607"/>
      <c r="Y60" s="607"/>
      <c r="Z60" s="607"/>
      <c r="AA60" s="607"/>
      <c r="AB60" s="607"/>
      <c r="AC60" s="607"/>
      <c r="AD60" s="607"/>
      <c r="AE60" s="607"/>
    </row>
    <row r="61" spans="1:31" x14ac:dyDescent="0.2">
      <c r="A61" s="7" t="str">
        <f ca="1">IF(AUTOEVENTO="Manual",IF(EVENTOS!$F61&gt;0,"F",""),IF(CRONOPLE!B61&lt;=MAX(CÁLCULO!$M$15:$M$131),"F",""))</f>
        <v/>
      </c>
      <c r="B61" s="257">
        <f t="shared" ca="1" si="1"/>
        <v>46</v>
      </c>
      <c r="C61" s="554">
        <f ca="1">IF(AUTOEVENTO="Manual",IF($B61&gt;0,OFFSET(EVENTOS!$D$15,$B61-$B$15,0),0),IF(B61&lt;=MAX(CÁLCULO!$M$15:$M$131),VLOOKUP($B61,CÁLCULO!$M$15:$N$131,2,FALSE),0))</f>
        <v>0</v>
      </c>
      <c r="D61" s="608"/>
      <c r="E61" s="258"/>
      <c r="F61" t="str">
        <f t="shared" ca="1" si="2"/>
        <v/>
      </c>
      <c r="G61" s="607"/>
      <c r="H61" s="607"/>
      <c r="I61" s="607"/>
      <c r="J61" s="607"/>
      <c r="K61" s="607"/>
      <c r="L61" s="607"/>
      <c r="M61" s="607"/>
      <c r="N61" s="607"/>
      <c r="O61" s="607"/>
      <c r="P61" s="607"/>
      <c r="Q61" s="607"/>
      <c r="R61" s="607"/>
      <c r="S61" s="607"/>
      <c r="T61" s="607"/>
      <c r="U61" s="607"/>
      <c r="V61" s="607"/>
      <c r="W61" s="607"/>
      <c r="X61" s="607"/>
      <c r="Y61" s="607"/>
      <c r="Z61" s="607"/>
      <c r="AA61" s="607"/>
      <c r="AB61" s="607"/>
      <c r="AC61" s="607"/>
      <c r="AD61" s="607"/>
      <c r="AE61" s="607"/>
    </row>
    <row r="62" spans="1:31" x14ac:dyDescent="0.2">
      <c r="A62" s="7" t="str">
        <f ca="1">IF(AUTOEVENTO="Manual",IF(EVENTOS!$F62&gt;0,"F",""),IF(CRONOPLE!B62&lt;=MAX(CÁLCULO!$M$15:$M$131),"F",""))</f>
        <v/>
      </c>
      <c r="B62" s="257">
        <f t="shared" ca="1" si="1"/>
        <v>47</v>
      </c>
      <c r="C62" s="554">
        <f ca="1">IF(AUTOEVENTO="Manual",IF($B62&gt;0,OFFSET(EVENTOS!$D$15,$B62-$B$15,0),0),IF(B62&lt;=MAX(CÁLCULO!$M$15:$M$131),VLOOKUP($B62,CÁLCULO!$M$15:$N$131,2,FALSE),0))</f>
        <v>0</v>
      </c>
      <c r="D62" s="608"/>
      <c r="E62" s="258"/>
      <c r="F62" t="str">
        <f t="shared" ca="1" si="2"/>
        <v/>
      </c>
      <c r="G62" s="607"/>
      <c r="H62" s="607"/>
      <c r="I62" s="607"/>
      <c r="J62" s="607"/>
      <c r="K62" s="607"/>
      <c r="L62" s="607"/>
      <c r="M62" s="607"/>
      <c r="N62" s="607"/>
      <c r="O62" s="607"/>
      <c r="P62" s="607"/>
      <c r="Q62" s="607"/>
      <c r="R62" s="607"/>
      <c r="S62" s="607"/>
      <c r="T62" s="607"/>
      <c r="U62" s="607"/>
      <c r="V62" s="607"/>
      <c r="W62" s="607"/>
      <c r="X62" s="607"/>
      <c r="Y62" s="607"/>
      <c r="Z62" s="607"/>
      <c r="AA62" s="607"/>
      <c r="AB62" s="607"/>
      <c r="AC62" s="607"/>
      <c r="AD62" s="607"/>
      <c r="AE62" s="607"/>
    </row>
    <row r="63" spans="1:31" x14ac:dyDescent="0.2">
      <c r="A63" s="7" t="str">
        <f ca="1">IF(AUTOEVENTO="Manual",IF(EVENTOS!$F63&gt;0,"F",""),IF(CRONOPLE!B63&lt;=MAX(CÁLCULO!$M$15:$M$131),"F",""))</f>
        <v/>
      </c>
      <c r="B63" s="257">
        <f t="shared" ca="1" si="1"/>
        <v>48</v>
      </c>
      <c r="C63" s="554">
        <f ca="1">IF(AUTOEVENTO="Manual",IF($B63&gt;0,OFFSET(EVENTOS!$D$15,$B63-$B$15,0),0),IF(B63&lt;=MAX(CÁLCULO!$M$15:$M$131),VLOOKUP($B63,CÁLCULO!$M$15:$N$131,2,FALSE),0))</f>
        <v>0</v>
      </c>
      <c r="D63" s="608"/>
      <c r="E63" s="258"/>
      <c r="F63" t="str">
        <f t="shared" ca="1" si="2"/>
        <v/>
      </c>
      <c r="G63" s="607"/>
      <c r="H63" s="607"/>
      <c r="I63" s="607"/>
      <c r="J63" s="607"/>
      <c r="K63" s="607"/>
      <c r="L63" s="607"/>
      <c r="M63" s="607"/>
      <c r="N63" s="607"/>
      <c r="O63" s="607"/>
      <c r="P63" s="607"/>
      <c r="Q63" s="607"/>
      <c r="R63" s="607"/>
      <c r="S63" s="607"/>
      <c r="T63" s="607"/>
      <c r="U63" s="607"/>
      <c r="V63" s="607"/>
      <c r="W63" s="607"/>
      <c r="X63" s="607"/>
      <c r="Y63" s="607"/>
      <c r="Z63" s="607"/>
      <c r="AA63" s="607"/>
      <c r="AB63" s="607"/>
      <c r="AC63" s="607"/>
      <c r="AD63" s="607"/>
      <c r="AE63" s="607"/>
    </row>
    <row r="64" spans="1:31" x14ac:dyDescent="0.2">
      <c r="A64" s="7" t="str">
        <f ca="1">IF(AUTOEVENTO="Manual",IF(EVENTOS!$F64&gt;0,"F",""),IF(CRONOPLE!B64&lt;=MAX(CÁLCULO!$M$15:$M$131),"F",""))</f>
        <v/>
      </c>
      <c r="B64" s="257">
        <f t="shared" ca="1" si="1"/>
        <v>49</v>
      </c>
      <c r="C64" s="554">
        <f ca="1">IF(AUTOEVENTO="Manual",IF($B64&gt;0,OFFSET(EVENTOS!$D$15,$B64-$B$15,0),0),IF(B64&lt;=MAX(CÁLCULO!$M$15:$M$131),VLOOKUP($B64,CÁLCULO!$M$15:$N$131,2,FALSE),0))</f>
        <v>0</v>
      </c>
      <c r="D64" s="608"/>
      <c r="E64" s="258"/>
      <c r="F64" t="str">
        <f t="shared" ca="1" si="2"/>
        <v/>
      </c>
      <c r="G64" s="607"/>
      <c r="H64" s="607"/>
      <c r="I64" s="607"/>
      <c r="J64" s="607"/>
      <c r="K64" s="607"/>
      <c r="L64" s="607"/>
      <c r="M64" s="607"/>
      <c r="N64" s="607"/>
      <c r="O64" s="607"/>
      <c r="P64" s="607"/>
      <c r="Q64" s="607"/>
      <c r="R64" s="607"/>
      <c r="S64" s="607"/>
      <c r="T64" s="607"/>
      <c r="U64" s="607"/>
      <c r="V64" s="607"/>
      <c r="W64" s="607"/>
      <c r="X64" s="607"/>
      <c r="Y64" s="607"/>
      <c r="Z64" s="607"/>
      <c r="AA64" s="607"/>
      <c r="AB64" s="607"/>
      <c r="AC64" s="607"/>
      <c r="AD64" s="607"/>
      <c r="AE64" s="607"/>
    </row>
    <row r="65" spans="1:31" ht="5.45" customHeight="1" x14ac:dyDescent="0.2">
      <c r="B65" s="463"/>
      <c r="C65" s="464"/>
      <c r="D65" s="609"/>
      <c r="E65" s="272"/>
      <c r="F65" s="272"/>
      <c r="G65" s="463"/>
      <c r="H65" s="465"/>
      <c r="I65" s="465"/>
      <c r="J65" s="465"/>
      <c r="K65" s="465"/>
      <c r="L65" s="465"/>
      <c r="M65" s="465"/>
      <c r="N65" s="465"/>
      <c r="O65" s="465"/>
      <c r="P65" s="465"/>
      <c r="Q65" s="465"/>
      <c r="R65" s="465"/>
      <c r="S65" s="465"/>
      <c r="T65" s="465"/>
      <c r="U65" s="465"/>
      <c r="V65" s="465"/>
      <c r="W65" s="465"/>
      <c r="X65" s="465"/>
      <c r="Y65" s="465"/>
      <c r="Z65" s="465"/>
      <c r="AA65" s="465"/>
      <c r="AB65" s="465"/>
      <c r="AC65" s="465"/>
      <c r="AD65" s="465"/>
      <c r="AE65" s="464"/>
    </row>
    <row r="66" spans="1:31" ht="6" customHeight="1" x14ac:dyDescent="0.2">
      <c r="A66" s="7" t="s">
        <v>244</v>
      </c>
    </row>
    <row r="67" spans="1:31" ht="15" x14ac:dyDescent="0.2">
      <c r="A67" s="7" t="s">
        <v>244</v>
      </c>
      <c r="C67" s="521" t="s">
        <v>442</v>
      </c>
      <c r="H67" s="753">
        <f>(ROW($G67)-ROW($G$67))/8*12+1</f>
        <v>1</v>
      </c>
      <c r="I67" s="753"/>
      <c r="J67" s="753">
        <f>H67+1</f>
        <v>2</v>
      </c>
      <c r="K67" s="753"/>
      <c r="L67" s="753">
        <f>J67+1</f>
        <v>3</v>
      </c>
      <c r="M67" s="753"/>
      <c r="N67" s="753">
        <f>L67+1</f>
        <v>4</v>
      </c>
      <c r="O67" s="753"/>
      <c r="P67" s="753">
        <f>N67+1</f>
        <v>5</v>
      </c>
      <c r="Q67" s="753"/>
      <c r="R67" s="753">
        <f>P67+1</f>
        <v>6</v>
      </c>
      <c r="S67" s="753"/>
      <c r="T67" s="753">
        <f>R67+1</f>
        <v>7</v>
      </c>
      <c r="U67" s="753"/>
      <c r="V67" s="753">
        <f>T67+1</f>
        <v>8</v>
      </c>
      <c r="W67" s="753"/>
      <c r="X67" s="753">
        <f>V67+1</f>
        <v>9</v>
      </c>
      <c r="Y67" s="753"/>
      <c r="Z67" s="753">
        <f>X67+1</f>
        <v>10</v>
      </c>
      <c r="AA67" s="753"/>
      <c r="AB67" s="753">
        <f>Z67+1</f>
        <v>11</v>
      </c>
      <c r="AC67" s="753"/>
      <c r="AD67" s="753">
        <f>AB67+1</f>
        <v>12</v>
      </c>
      <c r="AE67" s="753"/>
    </row>
    <row r="68" spans="1:31" ht="12.75" customHeight="1" x14ac:dyDescent="0.2">
      <c r="A68" s="7" t="s">
        <v>244</v>
      </c>
      <c r="C68" s="748" t="s">
        <v>443</v>
      </c>
      <c r="G68" s="605" t="s">
        <v>294</v>
      </c>
      <c r="H68" s="743">
        <f ca="1">OFFSET(CRONO!$T$108,0,CRONOPLE!H67)</f>
        <v>8.1464021754990373E-2</v>
      </c>
      <c r="I68" s="743"/>
      <c r="J68" s="743">
        <f ca="1">OFFSET(CRONO!$T$108,0,CRONOPLE!J67)</f>
        <v>0.524111603076164</v>
      </c>
      <c r="K68" s="743"/>
      <c r="L68" s="743">
        <f ca="1">OFFSET(CRONO!$T$108,0,CRONOPLE!L67)</f>
        <v>0.21630413721531974</v>
      </c>
      <c r="M68" s="743"/>
      <c r="N68" s="743">
        <f ca="1">OFFSET(CRONO!$T$108,0,CRONOPLE!N67)</f>
        <v>9.3543869525977721E-2</v>
      </c>
      <c r="O68" s="743"/>
      <c r="P68" s="743">
        <f ca="1">OFFSET(CRONO!$T$108,0,CRONOPLE!P67)</f>
        <v>8.4576368427548176E-2</v>
      </c>
      <c r="Q68" s="743"/>
      <c r="R68" s="743">
        <f ca="1">OFFSET(CRONO!$T$108,0,CRONOPLE!R67)</f>
        <v>0</v>
      </c>
      <c r="S68" s="743"/>
      <c r="T68" s="743">
        <f ca="1">OFFSET(CRONO!$T$108,0,CRONOPLE!T67)</f>
        <v>0</v>
      </c>
      <c r="U68" s="743"/>
      <c r="V68" s="743">
        <f ca="1">OFFSET(CRONO!$T$108,0,CRONOPLE!V67)</f>
        <v>0</v>
      </c>
      <c r="W68" s="743"/>
      <c r="X68" s="743">
        <f ca="1">OFFSET(CRONO!$T$108,0,CRONOPLE!X67)</f>
        <v>0</v>
      </c>
      <c r="Y68" s="743"/>
      <c r="Z68" s="743">
        <f ca="1">OFFSET(CRONO!$T$108,0,CRONOPLE!Z67)</f>
        <v>0</v>
      </c>
      <c r="AA68" s="743"/>
      <c r="AB68" s="743">
        <f ca="1">OFFSET(CRONO!$T$108,0,CRONOPLE!AB67)</f>
        <v>0</v>
      </c>
      <c r="AC68" s="743"/>
      <c r="AD68" s="743">
        <f ca="1">OFFSET(CRONO!$T$108,0,CRONOPLE!AD67)</f>
        <v>0</v>
      </c>
      <c r="AE68" s="743"/>
    </row>
    <row r="69" spans="1:31" ht="12.75" customHeight="1" x14ac:dyDescent="0.2">
      <c r="A69" s="7" t="s">
        <v>244</v>
      </c>
      <c r="C69" s="754"/>
      <c r="G69" s="522" t="s">
        <v>295</v>
      </c>
      <c r="H69" s="755">
        <f ca="1">OFFSET(CRONO!$T$112,0,CRONOPLE!H67)</f>
        <v>109434.67</v>
      </c>
      <c r="I69" s="755"/>
      <c r="J69" s="746">
        <f ca="1">OFFSET(CRONO!$T$112,0,CRONOPLE!J67)</f>
        <v>704065.16999999993</v>
      </c>
      <c r="K69" s="747"/>
      <c r="L69" s="746">
        <f ca="1">OFFSET(CRONO!$T$112,0,CRONOPLE!L67)</f>
        <v>290572.09999999998</v>
      </c>
      <c r="M69" s="747"/>
      <c r="N69" s="746">
        <f ca="1">OFFSET(CRONO!$T$112,0,CRONOPLE!N67)</f>
        <v>125662.13000000012</v>
      </c>
      <c r="O69" s="747"/>
      <c r="P69" s="746">
        <f ca="1">OFFSET(CRONO!$T$112,0,CRONOPLE!P67)</f>
        <v>113615.6399999999</v>
      </c>
      <c r="Q69" s="747"/>
      <c r="R69" s="746">
        <f ca="1">OFFSET(CRONO!$T$112,0,CRONOPLE!R67)</f>
        <v>0</v>
      </c>
      <c r="S69" s="747"/>
      <c r="T69" s="746">
        <f ca="1">OFFSET(CRONO!$T$112,0,CRONOPLE!T67)</f>
        <v>0</v>
      </c>
      <c r="U69" s="747"/>
      <c r="V69" s="746">
        <f ca="1">OFFSET(CRONO!$T$112,0,CRONOPLE!V67)</f>
        <v>0</v>
      </c>
      <c r="W69" s="747"/>
      <c r="X69" s="746">
        <f ca="1">OFFSET(CRONO!$T$112,0,CRONOPLE!X67)</f>
        <v>0</v>
      </c>
      <c r="Y69" s="747"/>
      <c r="Z69" s="746">
        <f ca="1">OFFSET(CRONO!$T$112,0,CRONOPLE!Z67)</f>
        <v>0</v>
      </c>
      <c r="AA69" s="747"/>
      <c r="AB69" s="746">
        <f ca="1">OFFSET(CRONO!$T$112,0,CRONOPLE!AB67)</f>
        <v>0</v>
      </c>
      <c r="AC69" s="747"/>
      <c r="AD69" s="746">
        <f ca="1">OFFSET(CRONO!$T$112,0,CRONOPLE!AD67)</f>
        <v>0</v>
      </c>
      <c r="AE69" s="747"/>
    </row>
    <row r="70" spans="1:31" ht="12.75" customHeight="1" x14ac:dyDescent="0.2">
      <c r="A70" s="7" t="s">
        <v>244</v>
      </c>
      <c r="C70" s="748" t="s">
        <v>444</v>
      </c>
      <c r="G70" s="605" t="s">
        <v>294</v>
      </c>
      <c r="H70" s="743">
        <f ca="1">OFFSET(CRONO!$T$113,0,CRONOPLE!H67)</f>
        <v>8.1464021754990373E-2</v>
      </c>
      <c r="I70" s="743"/>
      <c r="J70" s="750">
        <f ca="1">OFFSET(CRONO!$T$113,0,CRONOPLE!J67)</f>
        <v>0.60557562483115435</v>
      </c>
      <c r="K70" s="751"/>
      <c r="L70" s="750">
        <f ca="1">OFFSET(CRONO!$T$113,0,CRONOPLE!L67)</f>
        <v>0.82187976204647406</v>
      </c>
      <c r="M70" s="751"/>
      <c r="N70" s="750">
        <f ca="1">OFFSET(CRONO!$T$113,0,CRONOPLE!N67)</f>
        <v>0.91542363157245188</v>
      </c>
      <c r="O70" s="751"/>
      <c r="P70" s="750">
        <f ca="1">OFFSET(CRONO!$T$113,0,CRONOPLE!P67)</f>
        <v>1</v>
      </c>
      <c r="Q70" s="751"/>
      <c r="R70" s="750">
        <f ca="1">OFFSET(CRONO!$T$113,0,CRONOPLE!R67)</f>
        <v>1</v>
      </c>
      <c r="S70" s="751"/>
      <c r="T70" s="750">
        <f ca="1">OFFSET(CRONO!$T$113,0,CRONOPLE!T67)</f>
        <v>1</v>
      </c>
      <c r="U70" s="751"/>
      <c r="V70" s="750">
        <f ca="1">OFFSET(CRONO!$T$113,0,CRONOPLE!V67)</f>
        <v>1</v>
      </c>
      <c r="W70" s="751"/>
      <c r="X70" s="750">
        <f ca="1">OFFSET(CRONO!$T$113,0,CRONOPLE!X67)</f>
        <v>1</v>
      </c>
      <c r="Y70" s="751"/>
      <c r="Z70" s="750">
        <f ca="1">OFFSET(CRONO!$T$113,0,CRONOPLE!Z67)</f>
        <v>1</v>
      </c>
      <c r="AA70" s="751"/>
      <c r="AB70" s="750">
        <f ca="1">OFFSET(CRONO!$T$113,0,CRONOPLE!AB67)</f>
        <v>1</v>
      </c>
      <c r="AC70" s="751"/>
      <c r="AD70" s="750">
        <f ca="1">OFFSET(CRONO!$T$113,0,CRONOPLE!AD67)</f>
        <v>1</v>
      </c>
      <c r="AE70" s="751"/>
    </row>
    <row r="71" spans="1:31" ht="12.75" customHeight="1" x14ac:dyDescent="0.2">
      <c r="A71" s="7" t="s">
        <v>244</v>
      </c>
      <c r="C71" s="749"/>
      <c r="G71" s="522" t="s">
        <v>295</v>
      </c>
      <c r="H71" s="752">
        <f ca="1">OFFSET(CRONO!$T$117,0,CRONOPLE!H67)</f>
        <v>109434.67</v>
      </c>
      <c r="I71" s="752"/>
      <c r="J71" s="744">
        <f ca="1">OFFSET(CRONO!$T$117,0,CRONOPLE!J67)</f>
        <v>813499.84000000008</v>
      </c>
      <c r="K71" s="745"/>
      <c r="L71" s="744">
        <f ca="1">OFFSET(CRONO!$T$117,0,CRONOPLE!L67)</f>
        <v>1104071.94</v>
      </c>
      <c r="M71" s="745"/>
      <c r="N71" s="744">
        <f ca="1">OFFSET(CRONO!$T$117,0,CRONOPLE!N67)</f>
        <v>1229734.0699999998</v>
      </c>
      <c r="O71" s="745"/>
      <c r="P71" s="744">
        <f ca="1">OFFSET(CRONO!$T$117,0,CRONOPLE!P67)</f>
        <v>1343349.7099999997</v>
      </c>
      <c r="Q71" s="745"/>
      <c r="R71" s="744">
        <f ca="1">OFFSET(CRONO!$T$117,0,CRONOPLE!R67)</f>
        <v>1343349.7099999997</v>
      </c>
      <c r="S71" s="745"/>
      <c r="T71" s="744">
        <f ca="1">OFFSET(CRONO!$T$117,0,CRONOPLE!T67)</f>
        <v>1343349.7099999997</v>
      </c>
      <c r="U71" s="745"/>
      <c r="V71" s="744">
        <f ca="1">OFFSET(CRONO!$T$117,0,CRONOPLE!V67)</f>
        <v>1343349.7099999997</v>
      </c>
      <c r="W71" s="745"/>
      <c r="X71" s="744">
        <f ca="1">OFFSET(CRONO!$T$117,0,CRONOPLE!X67)</f>
        <v>1343349.7099999997</v>
      </c>
      <c r="Y71" s="745"/>
      <c r="Z71" s="744">
        <f ca="1">OFFSET(CRONO!$T$117,0,CRONOPLE!Z67)</f>
        <v>1343349.7099999997</v>
      </c>
      <c r="AA71" s="745"/>
      <c r="AB71" s="744">
        <f ca="1">OFFSET(CRONO!$T$117,0,CRONOPLE!AB67)</f>
        <v>1343349.7099999997</v>
      </c>
      <c r="AC71" s="745"/>
      <c r="AD71" s="744">
        <f ca="1">OFFSET(CRONO!$T$117,0,CRONOPLE!AD67)</f>
        <v>1343349.7099999997</v>
      </c>
      <c r="AE71" s="745"/>
    </row>
    <row r="72" spans="1:31" ht="12.75" customHeight="1" x14ac:dyDescent="0.2">
      <c r="A72" s="7" t="s">
        <v>244</v>
      </c>
      <c r="C72" s="606" t="s">
        <v>910</v>
      </c>
      <c r="D72" s="604"/>
      <c r="G72" s="605" t="s">
        <v>294</v>
      </c>
      <c r="H72" s="743" t="str">
        <f ca="1">OFFSET(CRONO!$T$118,0,CRONOPLE!H67)</f>
        <v/>
      </c>
      <c r="I72" s="743"/>
      <c r="J72" s="741" t="str">
        <f ca="1">OFFSET(CRONO!$T$118,0,CRONOPLE!J67)</f>
        <v/>
      </c>
      <c r="K72" s="742"/>
      <c r="L72" s="741" t="str">
        <f ca="1">OFFSET(CRONO!$T$118,0,CRONOPLE!L67)</f>
        <v/>
      </c>
      <c r="M72" s="742"/>
      <c r="N72" s="741" t="str">
        <f ca="1">OFFSET(CRONO!$T$118,0,CRONOPLE!N67)</f>
        <v/>
      </c>
      <c r="O72" s="742"/>
      <c r="P72" s="741" t="str">
        <f ca="1">OFFSET(CRONO!$T$118,0,CRONOPLE!P67)</f>
        <v/>
      </c>
      <c r="Q72" s="742"/>
      <c r="R72" s="741" t="str">
        <f ca="1">OFFSET(CRONO!$T$118,0,CRONOPLE!R67)</f>
        <v/>
      </c>
      <c r="S72" s="742"/>
      <c r="T72" s="741" t="str">
        <f ca="1">OFFSET(CRONO!$T$118,0,CRONOPLE!T67)</f>
        <v/>
      </c>
      <c r="U72" s="742"/>
      <c r="V72" s="741" t="str">
        <f ca="1">OFFSET(CRONO!$T$118,0,CRONOPLE!V67)</f>
        <v/>
      </c>
      <c r="W72" s="742"/>
      <c r="X72" s="741" t="str">
        <f ca="1">OFFSET(CRONO!$T$118,0,CRONOPLE!X67)</f>
        <v/>
      </c>
      <c r="Y72" s="742"/>
      <c r="Z72" s="741" t="str">
        <f ca="1">OFFSET(CRONO!$T$118,0,CRONOPLE!Z67)</f>
        <v/>
      </c>
      <c r="AA72" s="742"/>
      <c r="AB72" s="741" t="str">
        <f ca="1">OFFSET(CRONO!$T$118,0,CRONOPLE!AB67)</f>
        <v/>
      </c>
      <c r="AC72" s="742"/>
      <c r="AD72" s="741" t="str">
        <f ca="1">OFFSET(CRONO!$T$118,0,CRONOPLE!AD67)</f>
        <v/>
      </c>
      <c r="AE72" s="742"/>
    </row>
    <row r="73" spans="1:31" ht="15" customHeight="1" x14ac:dyDescent="0.25">
      <c r="A73" s="7" t="s">
        <v>244</v>
      </c>
      <c r="C73" s="603"/>
      <c r="G73" s="641" t="str">
        <f ca="1">IF(COUNTIF(H73:AF73,"%Adm&gt;%Global")&gt;0,"Verificar proporcionalidade da Administração Local","")</f>
        <v/>
      </c>
      <c r="H73" s="578" t="str">
        <f ca="1">IF(H72="","",IF(ROUND(H72,4)&gt;ROUND(H70,4),"%Adm&gt;%Global",""))</f>
        <v/>
      </c>
      <c r="J73" s="578" t="str">
        <f t="shared" ref="J73" ca="1" si="3">IF(J72="","",IF(ROUND(J72,4)&gt;ROUND(J70,4),"%Adm&gt;%Global",""))</f>
        <v/>
      </c>
      <c r="L73" s="578" t="str">
        <f t="shared" ref="L73" ca="1" si="4">IF(L72="","",IF(ROUND(L72,4)&gt;ROUND(L70,4),"%Adm&gt;%Global",""))</f>
        <v/>
      </c>
      <c r="N73" s="578" t="str">
        <f t="shared" ref="N73" ca="1" si="5">IF(N72="","",IF(ROUND(N72,4)&gt;ROUND(N70,4),"%Adm&gt;%Global",""))</f>
        <v/>
      </c>
      <c r="P73" s="578" t="str">
        <f t="shared" ref="P73" ca="1" si="6">IF(P72="","",IF(ROUND(P72,4)&gt;ROUND(P70,4),"%Adm&gt;%Global",""))</f>
        <v/>
      </c>
      <c r="R73" s="578" t="str">
        <f t="shared" ref="R73" ca="1" si="7">IF(R72="","",IF(ROUND(R72,4)&gt;ROUND(R70,4),"%Adm&gt;%Global",""))</f>
        <v/>
      </c>
      <c r="T73" s="578" t="str">
        <f t="shared" ref="T73" ca="1" si="8">IF(T72="","",IF(ROUND(T72,4)&gt;ROUND(T70,4),"%Adm&gt;%Global",""))</f>
        <v/>
      </c>
      <c r="V73" s="578" t="str">
        <f t="shared" ref="V73" ca="1" si="9">IF(V72="","",IF(ROUND(V72,4)&gt;ROUND(V70,4),"%Adm&gt;%Global",""))</f>
        <v/>
      </c>
      <c r="X73" s="578" t="str">
        <f t="shared" ref="X73" ca="1" si="10">IF(X72="","",IF(ROUND(X72,4)&gt;ROUND(X70,4),"%Adm&gt;%Global",""))</f>
        <v/>
      </c>
      <c r="Z73" s="578" t="str">
        <f t="shared" ref="Z73" ca="1" si="11">IF(Z72="","",IF(ROUND(Z72,4)&gt;ROUND(Z70,4),"%Adm&gt;%Global",""))</f>
        <v/>
      </c>
      <c r="AB73" s="578" t="str">
        <f t="shared" ref="AB73" ca="1" si="12">IF(AB72="","",IF(ROUND(AB72,4)&gt;ROUND(AB70,4),"%Adm&gt;%Global",""))</f>
        <v/>
      </c>
      <c r="AD73" s="578" t="str">
        <f t="shared" ref="AD73" ca="1" si="13">IF(AD72="","",IF(ROUND(AD72,4)&gt;ROUND(AD70,4),"%Adm&gt;%Global",""))</f>
        <v/>
      </c>
    </row>
    <row r="74" spans="1:31" ht="6" customHeight="1" x14ac:dyDescent="0.2">
      <c r="A74" s="7" t="s">
        <v>244</v>
      </c>
    </row>
    <row r="75" spans="1:31" ht="15" x14ac:dyDescent="0.2">
      <c r="A75" s="7" t="s">
        <v>244</v>
      </c>
      <c r="C75" s="521" t="s">
        <v>442</v>
      </c>
      <c r="H75" s="753">
        <f>(ROW($G75)-ROW($G$67))/8*12+1</f>
        <v>13</v>
      </c>
      <c r="I75" s="753"/>
      <c r="J75" s="753">
        <f>H75+1</f>
        <v>14</v>
      </c>
      <c r="K75" s="753"/>
      <c r="L75" s="753">
        <f>J75+1</f>
        <v>15</v>
      </c>
      <c r="M75" s="753"/>
      <c r="N75" s="753">
        <f>L75+1</f>
        <v>16</v>
      </c>
      <c r="O75" s="753"/>
      <c r="P75" s="753">
        <f>N75+1</f>
        <v>17</v>
      </c>
      <c r="Q75" s="753"/>
      <c r="R75" s="753">
        <f>P75+1</f>
        <v>18</v>
      </c>
      <c r="S75" s="753"/>
      <c r="T75" s="753">
        <f>R75+1</f>
        <v>19</v>
      </c>
      <c r="U75" s="753"/>
      <c r="V75" s="753">
        <f>T75+1</f>
        <v>20</v>
      </c>
      <c r="W75" s="753"/>
      <c r="X75" s="753">
        <f>V75+1</f>
        <v>21</v>
      </c>
      <c r="Y75" s="753"/>
      <c r="Z75" s="753">
        <f>X75+1</f>
        <v>22</v>
      </c>
      <c r="AA75" s="753"/>
      <c r="AB75" s="753">
        <f>Z75+1</f>
        <v>23</v>
      </c>
      <c r="AC75" s="753"/>
      <c r="AD75" s="753">
        <f>AB75+1</f>
        <v>24</v>
      </c>
      <c r="AE75" s="753"/>
    </row>
    <row r="76" spans="1:31" ht="12.75" customHeight="1" x14ac:dyDescent="0.2">
      <c r="A76" s="7" t="s">
        <v>244</v>
      </c>
      <c r="C76" s="748" t="s">
        <v>443</v>
      </c>
      <c r="G76" s="605" t="s">
        <v>294</v>
      </c>
      <c r="H76" s="743">
        <f ca="1">OFFSET(CRONO!$T$108,0,CRONOPLE!H75)</f>
        <v>1</v>
      </c>
      <c r="I76" s="743"/>
      <c r="J76" s="743">
        <f ca="1">OFFSET(CRONO!$T$108,0,CRONOPLE!J75)</f>
        <v>0</v>
      </c>
      <c r="K76" s="743"/>
      <c r="L76" s="743">
        <f ca="1">OFFSET(CRONO!$T$108,0,CRONOPLE!L75)</f>
        <v>0</v>
      </c>
      <c r="M76" s="743"/>
      <c r="N76" s="743">
        <f ca="1">OFFSET(CRONO!$T$108,0,CRONOPLE!N75)</f>
        <v>0</v>
      </c>
      <c r="O76" s="743"/>
      <c r="P76" s="743">
        <f ca="1">OFFSET(CRONO!$T$108,0,CRONOPLE!P75)</f>
        <v>0</v>
      </c>
      <c r="Q76" s="743"/>
      <c r="R76" s="743">
        <f ca="1">OFFSET(CRONO!$T$108,0,CRONOPLE!R75)</f>
        <v>0</v>
      </c>
      <c r="S76" s="743"/>
      <c r="T76" s="743">
        <f ca="1">OFFSET(CRONO!$T$108,0,CRONOPLE!T75)</f>
        <v>0</v>
      </c>
      <c r="U76" s="743"/>
      <c r="V76" s="743">
        <f ca="1">OFFSET(CRONO!$T$108,0,CRONOPLE!V75)</f>
        <v>0</v>
      </c>
      <c r="W76" s="743"/>
      <c r="X76" s="743">
        <f ca="1">OFFSET(CRONO!$T$108,0,CRONOPLE!X75)</f>
        <v>0</v>
      </c>
      <c r="Y76" s="743"/>
      <c r="Z76" s="743">
        <f ca="1">OFFSET(CRONO!$T$108,0,CRONOPLE!Z75)</f>
        <v>0</v>
      </c>
      <c r="AA76" s="743"/>
      <c r="AB76" s="743">
        <f ca="1">OFFSET(CRONO!$T$108,0,CRONOPLE!AB75)</f>
        <v>0</v>
      </c>
      <c r="AC76" s="743"/>
      <c r="AD76" s="743">
        <f ca="1">OFFSET(CRONO!$T$108,0,CRONOPLE!AD75)</f>
        <v>0</v>
      </c>
      <c r="AE76" s="743"/>
    </row>
    <row r="77" spans="1:31" ht="12.75" customHeight="1" x14ac:dyDescent="0.2">
      <c r="A77" s="7" t="s">
        <v>244</v>
      </c>
      <c r="C77" s="754"/>
      <c r="G77" s="522" t="s">
        <v>295</v>
      </c>
      <c r="H77" s="755">
        <f ca="1">OFFSET(CRONO!$T$112,0,CRONOPLE!H75)</f>
        <v>1343349.71</v>
      </c>
      <c r="I77" s="755"/>
      <c r="J77" s="746">
        <f ca="1">OFFSET(CRONO!$T$112,0,CRONOPLE!J75)</f>
        <v>0</v>
      </c>
      <c r="K77" s="747"/>
      <c r="L77" s="746">
        <f ca="1">OFFSET(CRONO!$T$112,0,CRONOPLE!L75)</f>
        <v>0</v>
      </c>
      <c r="M77" s="747"/>
      <c r="N77" s="746">
        <f ca="1">OFFSET(CRONO!$T$112,0,CRONOPLE!N75)</f>
        <v>0</v>
      </c>
      <c r="O77" s="747"/>
      <c r="P77" s="746">
        <f ca="1">OFFSET(CRONO!$T$112,0,CRONOPLE!P75)</f>
        <v>0</v>
      </c>
      <c r="Q77" s="747"/>
      <c r="R77" s="746">
        <f ca="1">OFFSET(CRONO!$T$112,0,CRONOPLE!R75)</f>
        <v>0</v>
      </c>
      <c r="S77" s="747"/>
      <c r="T77" s="746">
        <f ca="1">OFFSET(CRONO!$T$112,0,CRONOPLE!T75)</f>
        <v>0</v>
      </c>
      <c r="U77" s="747"/>
      <c r="V77" s="746">
        <f ca="1">OFFSET(CRONO!$T$112,0,CRONOPLE!V75)</f>
        <v>0</v>
      </c>
      <c r="W77" s="747"/>
      <c r="X77" s="746">
        <f ca="1">OFFSET(CRONO!$T$112,0,CRONOPLE!X75)</f>
        <v>0</v>
      </c>
      <c r="Y77" s="747"/>
      <c r="Z77" s="746">
        <f ca="1">OFFSET(CRONO!$T$112,0,CRONOPLE!Z75)</f>
        <v>0</v>
      </c>
      <c r="AA77" s="747"/>
      <c r="AB77" s="746">
        <f ca="1">OFFSET(CRONO!$T$112,0,CRONOPLE!AB75)</f>
        <v>0</v>
      </c>
      <c r="AC77" s="747"/>
      <c r="AD77" s="746">
        <f ca="1">OFFSET(CRONO!$T$112,0,CRONOPLE!AD75)</f>
        <v>0</v>
      </c>
      <c r="AE77" s="747"/>
    </row>
    <row r="78" spans="1:31" ht="12.75" customHeight="1" x14ac:dyDescent="0.2">
      <c r="A78" s="7" t="s">
        <v>244</v>
      </c>
      <c r="C78" s="748" t="s">
        <v>444</v>
      </c>
      <c r="G78" s="605" t="s">
        <v>294</v>
      </c>
      <c r="H78" s="743">
        <f ca="1">OFFSET(CRONO!$T$113,0,CRONOPLE!H75)</f>
        <v>1</v>
      </c>
      <c r="I78" s="743"/>
      <c r="J78" s="750">
        <f ca="1">OFFSET(CRONO!$T$113,0,CRONOPLE!J75)</f>
        <v>1</v>
      </c>
      <c r="K78" s="751"/>
      <c r="L78" s="750">
        <f ca="1">OFFSET(CRONO!$T$113,0,CRONOPLE!L75)</f>
        <v>1</v>
      </c>
      <c r="M78" s="751"/>
      <c r="N78" s="750">
        <f ca="1">OFFSET(CRONO!$T$113,0,CRONOPLE!N75)</f>
        <v>1</v>
      </c>
      <c r="O78" s="751"/>
      <c r="P78" s="750">
        <f ca="1">OFFSET(CRONO!$T$113,0,CRONOPLE!P75)</f>
        <v>1</v>
      </c>
      <c r="Q78" s="751"/>
      <c r="R78" s="750">
        <f ca="1">OFFSET(CRONO!$T$113,0,CRONOPLE!R75)</f>
        <v>1</v>
      </c>
      <c r="S78" s="751"/>
      <c r="T78" s="750">
        <f ca="1">OFFSET(CRONO!$T$113,0,CRONOPLE!T75)</f>
        <v>1</v>
      </c>
      <c r="U78" s="751"/>
      <c r="V78" s="750">
        <f ca="1">OFFSET(CRONO!$T$113,0,CRONOPLE!V75)</f>
        <v>1</v>
      </c>
      <c r="W78" s="751"/>
      <c r="X78" s="750">
        <f ca="1">OFFSET(CRONO!$T$113,0,CRONOPLE!X75)</f>
        <v>1</v>
      </c>
      <c r="Y78" s="751"/>
      <c r="Z78" s="750">
        <f ca="1">OFFSET(CRONO!$T$113,0,CRONOPLE!Z75)</f>
        <v>1</v>
      </c>
      <c r="AA78" s="751"/>
      <c r="AB78" s="750">
        <f ca="1">OFFSET(CRONO!$T$113,0,CRONOPLE!AB75)</f>
        <v>1</v>
      </c>
      <c r="AC78" s="751"/>
      <c r="AD78" s="750">
        <f ca="1">OFFSET(CRONO!$T$113,0,CRONOPLE!AD75)</f>
        <v>1</v>
      </c>
      <c r="AE78" s="751"/>
    </row>
    <row r="79" spans="1:31" ht="12.75" customHeight="1" x14ac:dyDescent="0.2">
      <c r="A79" s="7" t="s">
        <v>244</v>
      </c>
      <c r="C79" s="749"/>
      <c r="G79" s="522" t="s">
        <v>295</v>
      </c>
      <c r="H79" s="752">
        <f ca="1">OFFSET(CRONO!$T$117,0,CRONOPLE!H75)</f>
        <v>1343349.7099999997</v>
      </c>
      <c r="I79" s="752"/>
      <c r="J79" s="744">
        <f ca="1">OFFSET(CRONO!$T$117,0,CRONOPLE!J75)</f>
        <v>1343349.7099999997</v>
      </c>
      <c r="K79" s="745"/>
      <c r="L79" s="744">
        <f ca="1">OFFSET(CRONO!$T$117,0,CRONOPLE!L75)</f>
        <v>1343349.7099999997</v>
      </c>
      <c r="M79" s="745"/>
      <c r="N79" s="744">
        <f ca="1">OFFSET(CRONO!$T$117,0,CRONOPLE!N75)</f>
        <v>1343349.7099999997</v>
      </c>
      <c r="O79" s="745"/>
      <c r="P79" s="744">
        <f ca="1">OFFSET(CRONO!$T$117,0,CRONOPLE!P75)</f>
        <v>1343349.7099999997</v>
      </c>
      <c r="Q79" s="745"/>
      <c r="R79" s="744">
        <f ca="1">OFFSET(CRONO!$T$117,0,CRONOPLE!R75)</f>
        <v>1343349.7099999997</v>
      </c>
      <c r="S79" s="745"/>
      <c r="T79" s="744">
        <f ca="1">OFFSET(CRONO!$T$117,0,CRONOPLE!T75)</f>
        <v>1343349.7099999997</v>
      </c>
      <c r="U79" s="745"/>
      <c r="V79" s="744">
        <f ca="1">OFFSET(CRONO!$T$117,0,CRONOPLE!V75)</f>
        <v>1343349.7099999997</v>
      </c>
      <c r="W79" s="745"/>
      <c r="X79" s="744">
        <f ca="1">OFFSET(CRONO!$T$117,0,CRONOPLE!X75)</f>
        <v>1343349.7099999997</v>
      </c>
      <c r="Y79" s="745"/>
      <c r="Z79" s="744">
        <f ca="1">OFFSET(CRONO!$T$117,0,CRONOPLE!Z75)</f>
        <v>1343349.7099999997</v>
      </c>
      <c r="AA79" s="745"/>
      <c r="AB79" s="744">
        <f ca="1">OFFSET(CRONO!$T$117,0,CRONOPLE!AB75)</f>
        <v>1343349.7099999997</v>
      </c>
      <c r="AC79" s="745"/>
      <c r="AD79" s="744">
        <f ca="1">OFFSET(CRONO!$T$117,0,CRONOPLE!AD75)</f>
        <v>1343349.7099999997</v>
      </c>
      <c r="AE79" s="745"/>
    </row>
    <row r="80" spans="1:31" ht="12.75" customHeight="1" x14ac:dyDescent="0.2">
      <c r="A80" s="7" t="s">
        <v>244</v>
      </c>
      <c r="C80" s="606" t="s">
        <v>910</v>
      </c>
      <c r="D80" s="604"/>
      <c r="G80" s="605" t="s">
        <v>294</v>
      </c>
      <c r="H80" s="743" t="str">
        <f ca="1">OFFSET(CRONO!$T$118,0,CRONOPLE!H75)</f>
        <v/>
      </c>
      <c r="I80" s="743"/>
      <c r="J80" s="741" t="str">
        <f ca="1">OFFSET(CRONO!$T$118,0,CRONOPLE!J75)</f>
        <v/>
      </c>
      <c r="K80" s="742"/>
      <c r="L80" s="741" t="str">
        <f ca="1">OFFSET(CRONO!$T$118,0,CRONOPLE!L75)</f>
        <v/>
      </c>
      <c r="M80" s="742"/>
      <c r="N80" s="741" t="str">
        <f ca="1">OFFSET(CRONO!$T$118,0,CRONOPLE!N75)</f>
        <v/>
      </c>
      <c r="O80" s="742"/>
      <c r="P80" s="741" t="str">
        <f ca="1">OFFSET(CRONO!$T$118,0,CRONOPLE!P75)</f>
        <v/>
      </c>
      <c r="Q80" s="742"/>
      <c r="R80" s="741" t="str">
        <f ca="1">OFFSET(CRONO!$T$118,0,CRONOPLE!R75)</f>
        <v/>
      </c>
      <c r="S80" s="742"/>
      <c r="T80" s="741" t="str">
        <f ca="1">OFFSET(CRONO!$T$118,0,CRONOPLE!T75)</f>
        <v/>
      </c>
      <c r="U80" s="742"/>
      <c r="V80" s="741" t="str">
        <f ca="1">OFFSET(CRONO!$T$118,0,CRONOPLE!V75)</f>
        <v/>
      </c>
      <c r="W80" s="742"/>
      <c r="X80" s="741" t="str">
        <f ca="1">OFFSET(CRONO!$T$118,0,CRONOPLE!X75)</f>
        <v/>
      </c>
      <c r="Y80" s="742"/>
      <c r="Z80" s="741" t="str">
        <f ca="1">OFFSET(CRONO!$T$118,0,CRONOPLE!Z75)</f>
        <v/>
      </c>
      <c r="AA80" s="742"/>
      <c r="AB80" s="741" t="str">
        <f ca="1">OFFSET(CRONO!$T$118,0,CRONOPLE!AB75)</f>
        <v/>
      </c>
      <c r="AC80" s="742"/>
      <c r="AD80" s="741" t="str">
        <f ca="1">OFFSET(CRONO!$T$118,0,CRONOPLE!AD75)</f>
        <v/>
      </c>
      <c r="AE80" s="742"/>
    </row>
    <row r="81" spans="1:31" ht="15" customHeight="1" x14ac:dyDescent="0.25">
      <c r="A81" s="7" t="s">
        <v>244</v>
      </c>
      <c r="C81" s="603"/>
      <c r="G81" s="641" t="str">
        <f ca="1">IF(COUNTIF(H81:AF81,"%Adm&gt;%Global")&gt;0,"Verificar proporcionalidade da Administração Local","")</f>
        <v/>
      </c>
      <c r="H81" s="578" t="str">
        <f ca="1">IF(H80="","",IF(ROUND(H80,4)&gt;ROUND(H78,4),"%Adm&gt;%Global",""))</f>
        <v/>
      </c>
      <c r="J81" s="578" t="str">
        <f t="shared" ref="J81" ca="1" si="14">IF(J80="","",IF(ROUND(J80,4)&gt;ROUND(J78,4),"%Adm&gt;%Global",""))</f>
        <v/>
      </c>
      <c r="L81" s="578" t="str">
        <f t="shared" ref="L81" ca="1" si="15">IF(L80="","",IF(ROUND(L80,4)&gt;ROUND(L78,4),"%Adm&gt;%Global",""))</f>
        <v/>
      </c>
      <c r="N81" s="578" t="str">
        <f t="shared" ref="N81" ca="1" si="16">IF(N80="","",IF(ROUND(N80,4)&gt;ROUND(N78,4),"%Adm&gt;%Global",""))</f>
        <v/>
      </c>
      <c r="P81" s="578" t="str">
        <f t="shared" ref="P81" ca="1" si="17">IF(P80="","",IF(ROUND(P80,4)&gt;ROUND(P78,4),"%Adm&gt;%Global",""))</f>
        <v/>
      </c>
      <c r="R81" s="578" t="str">
        <f t="shared" ref="R81" ca="1" si="18">IF(R80="","",IF(ROUND(R80,4)&gt;ROUND(R78,4),"%Adm&gt;%Global",""))</f>
        <v/>
      </c>
      <c r="T81" s="578" t="str">
        <f t="shared" ref="T81" ca="1" si="19">IF(T80="","",IF(ROUND(T80,4)&gt;ROUND(T78,4),"%Adm&gt;%Global",""))</f>
        <v/>
      </c>
      <c r="V81" s="578" t="str">
        <f t="shared" ref="V81" ca="1" si="20">IF(V80="","",IF(ROUND(V80,4)&gt;ROUND(V78,4),"%Adm&gt;%Global",""))</f>
        <v/>
      </c>
      <c r="X81" s="578" t="str">
        <f t="shared" ref="X81" ca="1" si="21">IF(X80="","",IF(ROUND(X80,4)&gt;ROUND(X78,4),"%Adm&gt;%Global",""))</f>
        <v/>
      </c>
      <c r="Z81" s="578" t="str">
        <f t="shared" ref="Z81" ca="1" si="22">IF(Z80="","",IF(ROUND(Z80,4)&gt;ROUND(Z78,4),"%Adm&gt;%Global",""))</f>
        <v/>
      </c>
      <c r="AB81" s="578" t="str">
        <f t="shared" ref="AB81" ca="1" si="23">IF(AB80="","",IF(ROUND(AB80,4)&gt;ROUND(AB78,4),"%Adm&gt;%Global",""))</f>
        <v/>
      </c>
      <c r="AD81" s="578" t="str">
        <f t="shared" ref="AD81" ca="1" si="24">IF(AD80="","",IF(ROUND(AD80,4)&gt;ROUND(AD78,4),"%Adm&gt;%Global",""))</f>
        <v/>
      </c>
    </row>
    <row r="82" spans="1:31" x14ac:dyDescent="0.2">
      <c r="A82" s="7" t="s">
        <v>244</v>
      </c>
    </row>
    <row r="83" spans="1:31" ht="15" x14ac:dyDescent="0.2">
      <c r="A83" s="7" t="s">
        <v>244</v>
      </c>
      <c r="B83" s="144" t="str">
        <f>Import.Município</f>
        <v>LINDÓIA DO SUL - SC</v>
      </c>
      <c r="C83" s="144"/>
      <c r="E83" s="523"/>
      <c r="F83" s="523"/>
      <c r="G83" s="523"/>
      <c r="H83" s="523"/>
      <c r="I83" s="523"/>
      <c r="J83" s="523"/>
      <c r="K83" s="523"/>
      <c r="L83" s="523"/>
      <c r="V83" s="492"/>
      <c r="W83" s="435"/>
      <c r="X83" s="435"/>
      <c r="Y83" s="435"/>
      <c r="Z83" s="435"/>
      <c r="AA83" s="435"/>
      <c r="AB83" s="435"/>
      <c r="AC83" s="435"/>
      <c r="AD83" s="435"/>
      <c r="AE83" s="435"/>
    </row>
    <row r="84" spans="1:31" x14ac:dyDescent="0.2">
      <c r="A84" s="7" t="s">
        <v>244</v>
      </c>
      <c r="B84" s="10" t="s">
        <v>186</v>
      </c>
      <c r="F84" s="195"/>
      <c r="G84" s="195"/>
      <c r="H84" s="195"/>
      <c r="I84" s="195"/>
      <c r="J84" s="195"/>
      <c r="K84" s="195"/>
      <c r="L84" s="197"/>
      <c r="V84" s="190" t="s">
        <v>188</v>
      </c>
    </row>
    <row r="85" spans="1:31" x14ac:dyDescent="0.2">
      <c r="A85" s="7" t="s">
        <v>244</v>
      </c>
      <c r="F85" s="195"/>
      <c r="G85" s="195"/>
      <c r="H85" s="195"/>
      <c r="I85" s="195"/>
      <c r="J85" s="195"/>
      <c r="K85" s="195"/>
      <c r="L85" s="197"/>
      <c r="V85" s="413" t="str">
        <f t="array" aca="1" ref="V85:V87" ca="1">OFFSET(Import.RespOrçamento,0,-1) &amp; " " &amp; Import.RespOrçamento</f>
        <v>Nome: RAFAELA B. BOSCHETTI</v>
      </c>
    </row>
    <row r="86" spans="1:31" ht="16.5" x14ac:dyDescent="0.3">
      <c r="A86" s="7" t="s">
        <v>244</v>
      </c>
      <c r="B86" s="756">
        <f ca="1">DADOS!$C$25</f>
        <v>46189</v>
      </c>
      <c r="C86" s="756"/>
      <c r="F86" s="195"/>
      <c r="G86" s="195"/>
      <c r="H86" s="195"/>
      <c r="I86" s="195"/>
      <c r="J86" s="195"/>
      <c r="K86" s="195"/>
      <c r="L86" s="197"/>
      <c r="V86" s="413" t="str">
        <f ca="1"/>
        <v>CREA/CAU: A295176-2</v>
      </c>
    </row>
    <row r="87" spans="1:31" x14ac:dyDescent="0.2">
      <c r="A87" s="7" t="s">
        <v>244</v>
      </c>
      <c r="B87" s="10" t="s">
        <v>187</v>
      </c>
      <c r="F87" s="195"/>
      <c r="G87" s="195"/>
      <c r="H87" s="195"/>
      <c r="I87" s="195"/>
      <c r="J87" s="195"/>
      <c r="K87" s="195"/>
      <c r="L87" s="197"/>
      <c r="V87" s="413" t="str">
        <f ca="1"/>
        <v>ART/RRT: 16357172</v>
      </c>
    </row>
  </sheetData>
  <sheetProtection algorithmName="SHA-512" hashValue="rqbL7tqOp3slfXIEjo7gEZgQHlpW4AVYsrnT+8nqVIs+Qk2hLoPtjeuFpMreAVcxBIPNEZnzJuhtKtO2lP5q2g==" saltValue="MxdGQCaoEgeU1t022e/qRQ==" spinCount="100000" sheet="1" objects="1" scenarios="1" autoFilter="0"/>
  <autoFilter ref="A13:A87" xr:uid="{00000000-0001-0000-0800-000000000000}"/>
  <mergeCells count="160">
    <mergeCell ref="AD69:AE69"/>
    <mergeCell ref="L69:M69"/>
    <mergeCell ref="N69:O69"/>
    <mergeCell ref="AB72:AC72"/>
    <mergeCell ref="AD72:AE72"/>
    <mergeCell ref="R72:S72"/>
    <mergeCell ref="T72:U72"/>
    <mergeCell ref="V72:W72"/>
    <mergeCell ref="X72:Y72"/>
    <mergeCell ref="Z72:AA72"/>
    <mergeCell ref="AD70:AE70"/>
    <mergeCell ref="L72:M72"/>
    <mergeCell ref="N72:O72"/>
    <mergeCell ref="P72:Q72"/>
    <mergeCell ref="AD71:AE71"/>
    <mergeCell ref="L71:M71"/>
    <mergeCell ref="AB71:AC71"/>
    <mergeCell ref="Z70:AA70"/>
    <mergeCell ref="AB70:AC70"/>
    <mergeCell ref="T70:U70"/>
    <mergeCell ref="V70:W70"/>
    <mergeCell ref="C68:C69"/>
    <mergeCell ref="H68:I68"/>
    <mergeCell ref="J68:K68"/>
    <mergeCell ref="H69:I69"/>
    <mergeCell ref="J69:K69"/>
    <mergeCell ref="AB69:AC69"/>
    <mergeCell ref="X68:Y68"/>
    <mergeCell ref="Z68:AA68"/>
    <mergeCell ref="AB68:AC68"/>
    <mergeCell ref="L68:M68"/>
    <mergeCell ref="N68:O68"/>
    <mergeCell ref="P68:Q68"/>
    <mergeCell ref="R68:S68"/>
    <mergeCell ref="T68:U68"/>
    <mergeCell ref="V68:W68"/>
    <mergeCell ref="T69:U69"/>
    <mergeCell ref="V69:W69"/>
    <mergeCell ref="X69:Y69"/>
    <mergeCell ref="Z69:AA69"/>
    <mergeCell ref="P69:Q69"/>
    <mergeCell ref="R69:S69"/>
    <mergeCell ref="AC2:AE2"/>
    <mergeCell ref="B4:D4"/>
    <mergeCell ref="G4:I4"/>
    <mergeCell ref="J4:L4"/>
    <mergeCell ref="B5:D5"/>
    <mergeCell ref="G5:I5"/>
    <mergeCell ref="J5:L5"/>
    <mergeCell ref="M5:AE5"/>
    <mergeCell ref="AD68:AE68"/>
    <mergeCell ref="T67:U67"/>
    <mergeCell ref="V67:W67"/>
    <mergeCell ref="X67:Y67"/>
    <mergeCell ref="Z67:AA67"/>
    <mergeCell ref="H67:I67"/>
    <mergeCell ref="J67:K67"/>
    <mergeCell ref="L67:M67"/>
    <mergeCell ref="AD67:AE67"/>
    <mergeCell ref="B8:C8"/>
    <mergeCell ref="AB67:AC67"/>
    <mergeCell ref="N67:O67"/>
    <mergeCell ref="P67:Q67"/>
    <mergeCell ref="B12:B13"/>
    <mergeCell ref="C12:C13"/>
    <mergeCell ref="R67:S67"/>
    <mergeCell ref="B86:C86"/>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J75:K75"/>
    <mergeCell ref="L75:M75"/>
    <mergeCell ref="N75:O75"/>
    <mergeCell ref="P75:Q75"/>
    <mergeCell ref="C70:C71"/>
    <mergeCell ref="H72:I72"/>
    <mergeCell ref="J72:K72"/>
    <mergeCell ref="X70:Y70"/>
    <mergeCell ref="P77:Q77"/>
    <mergeCell ref="R77:S77"/>
    <mergeCell ref="AB75:AC75"/>
    <mergeCell ref="AD75:AE75"/>
    <mergeCell ref="C76:C77"/>
    <mergeCell ref="H76:I76"/>
    <mergeCell ref="J76:K76"/>
    <mergeCell ref="L76:M76"/>
    <mergeCell ref="N76:O76"/>
    <mergeCell ref="P76:Q76"/>
    <mergeCell ref="R76:S76"/>
    <mergeCell ref="T76:U76"/>
    <mergeCell ref="V76:W76"/>
    <mergeCell ref="X76:Y76"/>
    <mergeCell ref="Z76:AA76"/>
    <mergeCell ref="AB76:AC76"/>
    <mergeCell ref="AD76:AE76"/>
    <mergeCell ref="H77:I77"/>
    <mergeCell ref="R75:S75"/>
    <mergeCell ref="T75:U75"/>
    <mergeCell ref="V75:W75"/>
    <mergeCell ref="X75:Y75"/>
    <mergeCell ref="Z75:AA75"/>
    <mergeCell ref="H75:I75"/>
    <mergeCell ref="AD77:AE77"/>
    <mergeCell ref="C78:C79"/>
    <mergeCell ref="H78:I78"/>
    <mergeCell ref="J78:K78"/>
    <mergeCell ref="L78:M78"/>
    <mergeCell ref="N78:O78"/>
    <mergeCell ref="P78:Q78"/>
    <mergeCell ref="R78:S78"/>
    <mergeCell ref="T78:U78"/>
    <mergeCell ref="V78:W78"/>
    <mergeCell ref="X78:Y78"/>
    <mergeCell ref="Z78:AA78"/>
    <mergeCell ref="AB78:AC78"/>
    <mergeCell ref="AD78:AE78"/>
    <mergeCell ref="H79:I79"/>
    <mergeCell ref="J79:K79"/>
    <mergeCell ref="T77:U77"/>
    <mergeCell ref="V77:W77"/>
    <mergeCell ref="X77:Y77"/>
    <mergeCell ref="Z77:AA77"/>
    <mergeCell ref="AB77:AC77"/>
    <mergeCell ref="J77:K77"/>
    <mergeCell ref="L77:M77"/>
    <mergeCell ref="N77:O77"/>
    <mergeCell ref="V79:W79"/>
    <mergeCell ref="X79:Y79"/>
    <mergeCell ref="Z79:AA79"/>
    <mergeCell ref="AB79:AC79"/>
    <mergeCell ref="AD79:AE79"/>
    <mergeCell ref="L79:M79"/>
    <mergeCell ref="N79:O79"/>
    <mergeCell ref="P79:Q79"/>
    <mergeCell ref="R79:S79"/>
    <mergeCell ref="T79:U79"/>
    <mergeCell ref="AB80:AC80"/>
    <mergeCell ref="AD80:AE80"/>
    <mergeCell ref="R80:S80"/>
    <mergeCell ref="T80:U80"/>
    <mergeCell ref="V80:W80"/>
    <mergeCell ref="X80:Y80"/>
    <mergeCell ref="Z80:AA80"/>
    <mergeCell ref="H80:I80"/>
    <mergeCell ref="J80:K80"/>
    <mergeCell ref="L80:M80"/>
    <mergeCell ref="N80:O80"/>
    <mergeCell ref="P80:Q80"/>
  </mergeCells>
  <phoneticPr fontId="38" type="noConversion"/>
  <conditionalFormatting sqref="E1 G1:AE1">
    <cfRule type="expression" dxfId="291" priority="519" stopIfTrue="1">
      <formula>IF(OR(E$12&gt;CÁLCULO.NúmeroDeFrentes,ACOMPANHAMENTO="BM"),TRUE,CRONOPLE.ValorDoEvento=0)</formula>
    </cfRule>
  </conditionalFormatting>
  <conditionalFormatting sqref="U4:Y4">
    <cfRule type="expression" dxfId="290" priority="409" stopIfTrue="1">
      <formula>QCI.ExisteManual</formula>
    </cfRule>
  </conditionalFormatting>
  <conditionalFormatting sqref="J67:AE67">
    <cfRule type="expression" dxfId="289" priority="408" stopIfTrue="1">
      <formula>OFFSET(J67,3,-2)=1</formula>
    </cfRule>
  </conditionalFormatting>
  <conditionalFormatting sqref="J68:AE68">
    <cfRule type="expression" dxfId="288" priority="403" stopIfTrue="1">
      <formula>OFFSET(J68,2,-2)=1</formula>
    </cfRule>
  </conditionalFormatting>
  <conditionalFormatting sqref="J69:AE69">
    <cfRule type="expression" dxfId="287" priority="402" stopIfTrue="1">
      <formula>OFFSET(J69,1,-2)=1</formula>
    </cfRule>
  </conditionalFormatting>
  <conditionalFormatting sqref="J70:AE70">
    <cfRule type="expression" dxfId="286" priority="401" stopIfTrue="1">
      <formula>OFFSET(J70,0,-2)=1</formula>
    </cfRule>
  </conditionalFormatting>
  <conditionalFormatting sqref="J71:AE71">
    <cfRule type="expression" dxfId="285" priority="400" stopIfTrue="1">
      <formula>OFFSET(J71,-1,-2)=1</formula>
    </cfRule>
  </conditionalFormatting>
  <conditionalFormatting sqref="B15:C15 E15 G15:AF15">
    <cfRule type="expression" dxfId="284" priority="224">
      <formula>$B$15=0</formula>
    </cfRule>
  </conditionalFormatting>
  <conditionalFormatting sqref="B8:C8">
    <cfRule type="expression" dxfId="283" priority="223">
      <formula>$B$7=""</formula>
    </cfRule>
  </conditionalFormatting>
  <conditionalFormatting sqref="J72:AE72">
    <cfRule type="expression" dxfId="282" priority="222">
      <formula>OFFSET(J72,-2,-2)=1</formula>
    </cfRule>
  </conditionalFormatting>
  <conditionalFormatting sqref="H72:AE72">
    <cfRule type="expression" dxfId="281" priority="221">
      <formula>ROUND(H72,4)&gt;ROUND(H70,4)</formula>
    </cfRule>
  </conditionalFormatting>
  <conditionalFormatting sqref="E16:E24 G16:AE24">
    <cfRule type="expression" dxfId="280" priority="13" stopIfTrue="1">
      <formula>IF(OR(E$12&gt;CÁLCULO.NúmeroDeFrentes,ACOMPANHAMENTO="BM"),TRUE,CRONOPLE.ValorDoEvento=0)</formula>
    </cfRule>
  </conditionalFormatting>
  <conditionalFormatting sqref="E25:E33 G25:AE33">
    <cfRule type="expression" dxfId="279" priority="12" stopIfTrue="1">
      <formula>IF(OR(E$12&gt;CÁLCULO.NúmeroDeFrentes,ACOMPANHAMENTO="BM"),TRUE,CRONOPLE.ValorDoEvento=0)</formula>
    </cfRule>
  </conditionalFormatting>
  <conditionalFormatting sqref="E34:E42 G34:AE42">
    <cfRule type="expression" dxfId="278" priority="11" stopIfTrue="1">
      <formula>IF(OR(E$12&gt;CÁLCULO.NúmeroDeFrentes,ACOMPANHAMENTO="BM"),TRUE,CRONOPLE.ValorDoEvento=0)</formula>
    </cfRule>
  </conditionalFormatting>
  <conditionalFormatting sqref="E43:E51 G43:AE51">
    <cfRule type="expression" dxfId="277" priority="10" stopIfTrue="1">
      <formula>IF(OR(E$12&gt;CÁLCULO.NúmeroDeFrentes,ACOMPANHAMENTO="BM"),TRUE,CRONOPLE.ValorDoEvento=0)</formula>
    </cfRule>
  </conditionalFormatting>
  <conditionalFormatting sqref="E52:E60 G52:AE60">
    <cfRule type="expression" dxfId="276" priority="9" stopIfTrue="1">
      <formula>IF(OR(E$12&gt;CÁLCULO.NúmeroDeFrentes,ACOMPANHAMENTO="BM"),TRUE,CRONOPLE.ValorDoEvento=0)</formula>
    </cfRule>
  </conditionalFormatting>
  <conditionalFormatting sqref="E61:E64 G61:AE64">
    <cfRule type="expression" dxfId="275" priority="8" stopIfTrue="1">
      <formula>IF(OR(E$12&gt;CÁLCULO.NúmeroDeFrentes,ACOMPANHAMENTO="BM"),TRUE,CRONOPLE.ValorDoEvento=0)</formula>
    </cfRule>
  </conditionalFormatting>
  <conditionalFormatting sqref="J75:AE75">
    <cfRule type="expression" dxfId="274" priority="7" stopIfTrue="1">
      <formula>OFFSET(J75,3,-2)=1</formula>
    </cfRule>
  </conditionalFormatting>
  <conditionalFormatting sqref="J76:AE76">
    <cfRule type="expression" dxfId="273" priority="6" stopIfTrue="1">
      <formula>OFFSET(J76,2,-2)=1</formula>
    </cfRule>
  </conditionalFormatting>
  <conditionalFormatting sqref="J77:AE77">
    <cfRule type="expression" dxfId="272" priority="5" stopIfTrue="1">
      <formula>OFFSET(J77,1,-2)=1</formula>
    </cfRule>
  </conditionalFormatting>
  <conditionalFormatting sqref="J78:AE78">
    <cfRule type="expression" dxfId="271" priority="4" stopIfTrue="1">
      <formula>OFFSET(J78,0,-2)=1</formula>
    </cfRule>
  </conditionalFormatting>
  <conditionalFormatting sqref="J79:AE79">
    <cfRule type="expression" dxfId="270" priority="3" stopIfTrue="1">
      <formula>OFFSET(J79,-1,-2)=1</formula>
    </cfRule>
  </conditionalFormatting>
  <conditionalFormatting sqref="J80:AE80">
    <cfRule type="expression" dxfId="269" priority="2">
      <formula>OFFSET(J80,-2,-2)=1</formula>
    </cfRule>
  </conditionalFormatting>
  <conditionalFormatting sqref="H80:AE80">
    <cfRule type="expression" dxfId="268" priority="1">
      <formula>ROUND(H80,4)&gt;ROUND(H78,4)</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41" firstPageNumber="0" orientation="landscape" horizontalDpi="300" verticalDpi="300" r:id="rId1"/>
  <headerFooter alignWithMargins="0">
    <oddHeader>&amp;L_&amp;C&amp;14I</oddHeader>
    <oddFooter>&amp;LPMv3.09&amp;R&amp;P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S124"/>
  <sheetViews>
    <sheetView showGridLines="0" tabSelected="1" zoomScale="85" zoomScaleNormal="85" zoomScaleSheetLayoutView="90" workbookViewId="0">
      <pane xSplit="20" ySplit="13" topLeftCell="U50" activePane="bottomRight" state="frozen"/>
      <selection activeCell="F4" sqref="F4"/>
      <selection pane="topRight" activeCell="T4" sqref="T4"/>
      <selection pane="bottomLeft" activeCell="F14" sqref="F14"/>
      <selection pane="bottomRight" activeCell="AC65" sqref="AC65"/>
    </sheetView>
  </sheetViews>
  <sheetFormatPr defaultColWidth="9.140625" defaultRowHeight="12.75" x14ac:dyDescent="0.2"/>
  <cols>
    <col min="1" max="1" width="9.140625" style="196" hidden="1" customWidth="1"/>
    <col min="2" max="4" width="9.140625" style="195" hidden="1" customWidth="1"/>
    <col min="5" max="5" width="11" style="196" hidden="1" customWidth="1"/>
    <col min="6" max="6" width="19" style="195" hidden="1" customWidth="1"/>
    <col min="7" max="7" width="3.7109375" style="196" customWidth="1"/>
    <col min="8" max="8" width="12.7109375" style="195" customWidth="1"/>
    <col min="9" max="9" width="7.140625" style="196" customWidth="1"/>
    <col min="10" max="10" width="11.7109375" style="196" customWidth="1"/>
    <col min="11" max="11" width="12" style="196" customWidth="1"/>
    <col min="12" max="12" width="11" style="196" customWidth="1"/>
    <col min="13" max="18" width="9.140625" style="195" hidden="1" customWidth="1"/>
    <col min="19" max="19" width="11.42578125" style="197" customWidth="1"/>
    <col min="20" max="20" width="9.7109375" style="197" customWidth="1"/>
    <col min="21" max="44" width="11" style="196" customWidth="1"/>
    <col min="45" max="45" width="5.7109375" style="196" hidden="1" customWidth="1"/>
    <col min="46" max="16384" width="9.140625" style="196"/>
  </cols>
  <sheetData>
    <row r="1" spans="1:45" hidden="1" x14ac:dyDescent="0.2">
      <c r="A1" s="196" t="e">
        <f ca="1">IF($M1&gt;1,CONCATENATE($I1," ",$J1),"")</f>
        <v>#REF!</v>
      </c>
      <c r="B1" s="195" t="e">
        <f ca="1">OFFSET(B1,-3,0)+1</f>
        <v>#REF!</v>
      </c>
      <c r="C1" s="195" t="e">
        <f ca="1">IF($R1&lt;&gt;2,0,IF($S1=0,1,IF(F2&gt;0,OFFSET(QCI!$M$13,SUBSTITUTE(F2,".",""),0),OFFSET(ORÇAMENTO!$AA$15,CRONO!$F1,0))/$S1))</f>
        <v>#REF!</v>
      </c>
      <c r="D1" s="195" t="e">
        <f ca="1">IF($R1&lt;&gt;2,0,IF($S1=0,1,IF(F2&gt;0,OFFSET(QCI!$N$13,SUBSTITUTE(F2,".",""),0),OFFSET(ORÇAMENTO!$AB$15,CRONO!$F1,0))/$S1))</f>
        <v>#REF!</v>
      </c>
      <c r="E1" s="198" t="e">
        <f ca="1">IF(AND($R1=2,ACOMPANHAMENTO="BM"),ROUND(E2,4),E3/$S1)</f>
        <v>#REF!</v>
      </c>
      <c r="F1" s="195" t="e">
        <f ca="1">IF(B1&lt;=ORÇAMENTO.MáximoListaCrono,MATCH(B1,ORÇAMENTO.ListaCrono,0),NA())</f>
        <v>#REF!</v>
      </c>
      <c r="G1" s="195" t="e">
        <f ca="1">IF(AND($F2&lt;&gt;-1,$S1&gt;0),"F","")</f>
        <v>#REF!</v>
      </c>
      <c r="H1" s="199" t="e">
        <f ca="1">IF(OR(S1=0,S1=""),"Linha",IF(AND(OR(ACOMPANHAMENTO="PLE",$R1&lt;&gt;2),$F2=0),"Linha",ROUND(1-SUM(U1:AS1),4)))</f>
        <v>#REF!</v>
      </c>
      <c r="I1" s="200" t="e">
        <f ca="1">IF($F2=0,OFFSET(ORÇAMENTO!O$15,$F1,0),IF($F2&lt;&gt;-1,OFFSET(QCI!$D$13,$F2,0),""))</f>
        <v>#REF!</v>
      </c>
      <c r="J1" s="201" t="e">
        <f ca="1">IF($F2=0,OFFSET(ORÇAMENTO!R$15,$F1,0),IF($F2&lt;&gt;-1,OFFSET(QCI!$G$13,$F2,0),""))</f>
        <v>#REF!</v>
      </c>
      <c r="K1" s="201"/>
      <c r="L1" s="201"/>
      <c r="M1" s="202" t="e">
        <f ca="1">IF($F2=0,OFFSET(ORÇAMENTO!C$15,$F1,0),1)</f>
        <v>#REF!</v>
      </c>
      <c r="N1" s="203" t="e">
        <f ca="1">IF($F2=-1,0,IF(N$13&lt;=$M1,IF(ISERROR(MATCH(N$13,OFFSET($M1,1,0,ROW($M$107)-ROW($M1)-1),0)),ROW($M$107)-ROW($M1)-1,MATCH(N$13,OFFSET($M1,1,0,ROW($M$107)-ROW($M1)-1),0)-1),0))</f>
        <v>#REF!</v>
      </c>
      <c r="O1" s="203" t="e">
        <f ca="1">IF($F2=-1,0,IF(O$13&lt;=$M1,IF(ISERROR(MATCH(O$13,OFFSET($M1,1,0,ROW($M$107)-ROW($M1)-1),0)),ROW($M$107)-ROW($M1)-1,MATCH(O$13,OFFSET($M1,1,0,ROW($M$107)-ROW($M1)-1),0)-1),0))</f>
        <v>#REF!</v>
      </c>
      <c r="P1" s="203" t="e">
        <f ca="1">IF($F2=-1,0,IF(P$13&lt;=$M1,IF(ISERROR(MATCH(P$13,OFFSET($M1,1,0,ROW($M$107)-ROW($M1)-1),0)),ROW($M$107)-ROW($M1)-1,MATCH(P$13,OFFSET($M1,1,0,ROW($M$107)-ROW($M1)-1),0)-1),0))</f>
        <v>#REF!</v>
      </c>
      <c r="Q1" s="203" t="e">
        <f ca="1">IF($F2=-1,0,IF(Q$13&lt;=$M1,IF(ISERROR(MATCH(Q$13,OFFSET($M1,1,0,ROW($M$107)-ROW($M1)-1),0)),ROW($M$107)-ROW($M1)-1,MATCH(Q$13,OFFSET($M1,1,0,ROW($M$107)-ROW($M1)-1),0)-1),0))</f>
        <v>#REF!</v>
      </c>
      <c r="R1" s="203" t="e">
        <f ca="1">MIN(OFFSET(M1,0,1,,M1))</f>
        <v>#REF!</v>
      </c>
      <c r="S1" s="204" t="e">
        <f ca="1">IF($F2=0,OFFSET(ORÇAMENTO!X$15,$F1,0),IF($F2&lt;&gt;-1,OFFSET(QCI!$O$13,$F2,0),""))</f>
        <v>#REF!</v>
      </c>
      <c r="T1" s="205" t="s">
        <v>266</v>
      </c>
      <c r="U1" s="198" t="e">
        <f ca="1">IF(AND($R1=2,ACOMPANHAMENTO="BM"),ROUND(U2,4),U3/$S1)</f>
        <v>#REF!</v>
      </c>
      <c r="V1" s="198" t="e">
        <f ca="1">IF(AND($R1=2,ACOMPANHAMENTO="BM"),ROUND(V2,4),V3/$S1)</f>
        <v>#REF!</v>
      </c>
      <c r="W1" s="198" t="e">
        <f ca="1">IF(AND($R1=2,ACOMPANHAMENTO="BM"),ROUND(W2,4),W3/$S1)</f>
        <v>#REF!</v>
      </c>
      <c r="X1" s="198" t="e">
        <f ca="1">IF(AND($R1=2,ACOMPANHAMENTO="BM"),ROUND(X2,4),X3/$S1)</f>
        <v>#REF!</v>
      </c>
      <c r="Y1" s="198" t="e">
        <f ca="1">IF(AND($R1=2,ACOMPANHAMENTO="BM"),ROUND(Y2,4),Y3/$S1)</f>
        <v>#REF!</v>
      </c>
      <c r="Z1" s="198" t="e">
        <f ca="1">IF(AND($R1=2,ACOMPANHAMENTO="BM"),ROUND(Z2,4),Z3/$S1)</f>
        <v>#REF!</v>
      </c>
      <c r="AA1" s="198" t="e">
        <f ca="1">IF(AND($R1=2,ACOMPANHAMENTO="BM"),ROUND(AA2,4),AA3/$S1)</f>
        <v>#REF!</v>
      </c>
      <c r="AB1" s="198" t="e">
        <f ca="1">IF(AND($R1=2,ACOMPANHAMENTO="BM"),ROUND(AB2,4),AB3/$S1)</f>
        <v>#REF!</v>
      </c>
      <c r="AC1" s="198" t="e">
        <f ca="1">IF(AND($R1=2,ACOMPANHAMENTO="BM"),ROUND(AC2,4),AC3/$S1)</f>
        <v>#REF!</v>
      </c>
      <c r="AD1" s="198" t="e">
        <f ca="1">IF(AND($R1=2,ACOMPANHAMENTO="BM"),ROUND(AD2,4),AD3/$S1)</f>
        <v>#REF!</v>
      </c>
      <c r="AE1" s="198" t="e">
        <f ca="1">IF(AND($R1=2,ACOMPANHAMENTO="BM"),ROUND(AE2,4),AE3/$S1)</f>
        <v>#REF!</v>
      </c>
      <c r="AF1" s="198" t="e">
        <f ca="1">IF(AND($R1=2,ACOMPANHAMENTO="BM"),ROUND(AF2,4),AF3/$S1)</f>
        <v>#REF!</v>
      </c>
      <c r="AG1" s="198" t="e">
        <f ca="1">IF(AND($R1=2,ACOMPANHAMENTO="BM"),ROUND(AG2,4),AG3/$S1)</f>
        <v>#REF!</v>
      </c>
      <c r="AH1" s="198" t="e">
        <f ca="1">IF(AND($R1=2,ACOMPANHAMENTO="BM"),ROUND(AH2,4),AH3/$S1)</f>
        <v>#REF!</v>
      </c>
      <c r="AI1" s="198" t="e">
        <f ca="1">IF(AND($R1=2,ACOMPANHAMENTO="BM"),ROUND(AI2,4),AI3/$S1)</f>
        <v>#REF!</v>
      </c>
      <c r="AJ1" s="198" t="e">
        <f ca="1">IF(AND($R1=2,ACOMPANHAMENTO="BM"),ROUND(AJ2,4),AJ3/$S1)</f>
        <v>#REF!</v>
      </c>
      <c r="AK1" s="198" t="e">
        <f ca="1">IF(AND($R1=2,ACOMPANHAMENTO="BM"),ROUND(AK2,4),AK3/$S1)</f>
        <v>#REF!</v>
      </c>
      <c r="AL1" s="198" t="e">
        <f ca="1">IF(AND($R1=2,ACOMPANHAMENTO="BM"),ROUND(AL2,4),AL3/$S1)</f>
        <v>#REF!</v>
      </c>
      <c r="AM1" s="198" t="e">
        <f ca="1">IF(AND($R1=2,ACOMPANHAMENTO="BM"),ROUND(AM2,4),AM3/$S1)</f>
        <v>#REF!</v>
      </c>
      <c r="AN1" s="198" t="e">
        <f ca="1">IF(AND($R1=2,ACOMPANHAMENTO="BM"),ROUND(AN2,4),AN3/$S1)</f>
        <v>#REF!</v>
      </c>
      <c r="AO1" s="198" t="e">
        <f ca="1">IF(AND($R1=2,ACOMPANHAMENTO="BM"),ROUND(AO2,4),AO3/$S1)</f>
        <v>#REF!</v>
      </c>
      <c r="AP1" s="198" t="e">
        <f ca="1">IF(AND($R1=2,ACOMPANHAMENTO="BM"),ROUND(AP2,4),AP3/$S1)</f>
        <v>#REF!</v>
      </c>
      <c r="AQ1" s="198" t="e">
        <f ca="1">IF(AND($R1=2,ACOMPANHAMENTO="BM"),ROUND(AQ2,4),AQ3/$S1)</f>
        <v>#REF!</v>
      </c>
      <c r="AR1" s="198" t="e">
        <f ca="1">IF(AND($R1=2,ACOMPANHAMENTO="BM"),ROUND(AR2,4),AR3/$S1)</f>
        <v>#REF!</v>
      </c>
      <c r="AS1" s="577"/>
    </row>
    <row r="2" spans="1:45" ht="12.75" hidden="1" customHeight="1" x14ac:dyDescent="0.2">
      <c r="E2" s="645"/>
      <c r="F2" s="195" t="e">
        <f ca="1">IF(ISERROR(F1),IF(1+COUNTIF($M$13:OFFSET(M1,-1,0),1)&lt;=MAX(QCI!$D$13:$D$24),1+COUNTIF($M$13:OFFSET(M1,-1,0),1),-1),0)</f>
        <v>#REF!</v>
      </c>
      <c r="G2" s="195" t="str">
        <f ca="1">IF(ACOMPANHAMENTO="BM",OFFSET(G2,-1,0),"")</f>
        <v/>
      </c>
      <c r="H2" s="206" t="e">
        <f ca="1">IF(OR(S1=0,S1=""),"vazia",IF(AND(OR(ACOMPANHAMENTO="PLE",$R1&lt;&gt;2),$F2=0),"calculada","--&gt;"))</f>
        <v>#REF!</v>
      </c>
      <c r="I2" s="207"/>
      <c r="J2" s="208" t="e">
        <f ca="1">IF(AND(H1&lt;&gt;0,ISNUMBER(H1)),"PREENCHA ESTA LINHA --&gt;","")</f>
        <v>#REF!</v>
      </c>
      <c r="K2" s="208"/>
      <c r="L2" s="208"/>
      <c r="M2" s="209"/>
      <c r="N2" s="209"/>
      <c r="O2" s="209"/>
      <c r="P2" s="209"/>
      <c r="Q2" s="209"/>
      <c r="R2" s="209"/>
      <c r="S2" s="210"/>
      <c r="T2" s="211"/>
      <c r="U2" s="645"/>
      <c r="V2" s="645"/>
      <c r="W2" s="645"/>
      <c r="X2" s="645"/>
      <c r="Y2" s="645"/>
      <c r="Z2" s="645"/>
      <c r="AA2" s="645"/>
      <c r="AB2" s="645"/>
      <c r="AC2" s="645"/>
      <c r="AD2" s="645"/>
      <c r="AE2" s="645"/>
      <c r="AF2" s="645"/>
      <c r="AG2" s="645"/>
      <c r="AH2" s="645"/>
      <c r="AI2" s="645"/>
      <c r="AJ2" s="645"/>
      <c r="AK2" s="645"/>
      <c r="AL2" s="645"/>
      <c r="AM2" s="645"/>
      <c r="AN2" s="645"/>
      <c r="AO2" s="645"/>
      <c r="AP2" s="645"/>
      <c r="AQ2" s="645"/>
      <c r="AR2" s="645"/>
      <c r="AS2" s="577"/>
    </row>
    <row r="3" spans="1:45" ht="12.75" hidden="1" customHeight="1" x14ac:dyDescent="0.2">
      <c r="D3" s="576"/>
      <c r="E3" s="212" t="e">
        <f ca="1">IF($R1=2,
         IF(AND(ACOMPANHAMENTO="PLE",ISNUMBER($F1)),
                SUMIF((OFFSET(CÁLCULO!$BC$15:$BU$15,$F1,0,OFFSET(ORÇAMENTO!$D$15,CRONO!$F1,0))),CRONO!E$12,OFFSET(CÁLCULO!$AJ$15:$BB$15,$F1,0,OFFSET(ORÇAMENTO!$D$15,CRONO!$F1,0)))
                +IF(AND($F3&lt;&gt;"",$F3&lt;&gt;0),
                        SUMIF(CÁLCULO!$BC$15:$BU$131,CRONO!E$12,CÁLCULO!$AJ$15:$BB$131)/(ORÇAMENTO!$X$15-CÁLCULO.TotalAdmLocal)*CRONO!$F3,
                        0),
                 E2*$S1),
          SUMIF(OFFSET($S3,1,0,$R1-2),($M1+1)&amp;"$",OFFSET(E3,1,0,$R1-2)))</f>
        <v>#REF!</v>
      </c>
      <c r="F3" s="195" t="e">
        <f ca="1">IF(OR($R1&lt;&gt;2,AUTOEVENTO&lt;&gt;"manual",$F2&gt;0),"",
        IF(Import.TipoArredondamento="Tradicional",
              SUMIF(OFFSET(CÁLCULO!$M$15,CRONO!$F1,0,OFFSET(ORÇAMENTO!$D$15,CRONO!$F1,0)),1,OFFSET(ORÇAMENTO!$X$15,CRONO!$F1,0,OFFSET(ORÇAMENTO!$D$15,CRONO!$F1,0))),
              0))</f>
        <v>#REF!</v>
      </c>
      <c r="H3" s="213"/>
      <c r="S3" s="214" t="e">
        <f ca="1">M1&amp;"$"</f>
        <v>#REF!</v>
      </c>
      <c r="T3" s="215"/>
      <c r="U3" s="212" t="e">
        <f ca="1">IF($R1=2,
         IF(AND(ACOMPANHAMENTO="PLE",ISNUMBER($F1)),
                SUMIF((OFFSET(CÁLCULO!$BC$15:$BU$15,$F1,0,OFFSET(ORÇAMENTO!$D$15,CRONO!$F1,0))),CRONO!U$12,OFFSET(CÁLCULO!$AJ$15:$BB$15,$F1,0,OFFSET(ORÇAMENTO!$D$15,CRONO!$F1,0)))
                +IF(AND($F3&lt;&gt;"",$F3&lt;&gt;0),
                        SUMIF(CÁLCULO!$BC$15:$BU$131,CRONO!U$12,CÁLCULO!$AJ$15:$BB$131)/(ORÇAMENTO!$X$15-CÁLCULO.TotalAdmLocal)*CRONO!$F3,
                        0),
                 U2*$S1),
          SUMIF(OFFSET($S3,1,0,$R1-2),($M1+1)&amp;"$",OFFSET(U3,1,0,$R1-2)))</f>
        <v>#REF!</v>
      </c>
      <c r="V3" s="212" t="e">
        <f ca="1">IF($R1=2,
         IF(AND(ACOMPANHAMENTO="PLE",ISNUMBER($F1)),
                SUMIF((OFFSET(CÁLCULO!$BC$15:$BU$15,$F1,0,OFFSET(ORÇAMENTO!$D$15,CRONO!$F1,0))),CRONO!V$12,OFFSET(CÁLCULO!$AJ$15:$BB$15,$F1,0,OFFSET(ORÇAMENTO!$D$15,CRONO!$F1,0)))
                +IF(AND($F3&lt;&gt;"",$F3&lt;&gt;0),
                        SUMIF(CÁLCULO!$BC$15:$BU$131,CRONO!V$12,CÁLCULO!$AJ$15:$BB$131)/(ORÇAMENTO!$X$15-CÁLCULO.TotalAdmLocal)*CRONO!$F3,
                        0),
                 V2*$S1),
          SUMIF(OFFSET($S3,1,0,$R1-2),($M1+1)&amp;"$",OFFSET(V3,1,0,$R1-2)))</f>
        <v>#REF!</v>
      </c>
      <c r="W3" s="212" t="e">
        <f ca="1">IF($R1=2,
         IF(AND(ACOMPANHAMENTO="PLE",ISNUMBER($F1)),
                SUMIF((OFFSET(CÁLCULO!$BC$15:$BU$15,$F1,0,OFFSET(ORÇAMENTO!$D$15,CRONO!$F1,0))),CRONO!W$12,OFFSET(CÁLCULO!$AJ$15:$BB$15,$F1,0,OFFSET(ORÇAMENTO!$D$15,CRONO!$F1,0)))
                +IF(AND($F3&lt;&gt;"",$F3&lt;&gt;0),
                        SUMIF(CÁLCULO!$BC$15:$BU$131,CRONO!W$12,CÁLCULO!$AJ$15:$BB$131)/(ORÇAMENTO!$X$15-CÁLCULO.TotalAdmLocal)*CRONO!$F3,
                        0),
                 W2*$S1),
          SUMIF(OFFSET($S3,1,0,$R1-2),($M1+1)&amp;"$",OFFSET(W3,1,0,$R1-2)))</f>
        <v>#REF!</v>
      </c>
      <c r="X3" s="212" t="e">
        <f ca="1">IF($R1=2,
         IF(AND(ACOMPANHAMENTO="PLE",ISNUMBER($F1)),
                SUMIF((OFFSET(CÁLCULO!$BC$15:$BU$15,$F1,0,OFFSET(ORÇAMENTO!$D$15,CRONO!$F1,0))),CRONO!X$12,OFFSET(CÁLCULO!$AJ$15:$BB$15,$F1,0,OFFSET(ORÇAMENTO!$D$15,CRONO!$F1,0)))
                +IF(AND($F3&lt;&gt;"",$F3&lt;&gt;0),
                        SUMIF(CÁLCULO!$BC$15:$BU$131,CRONO!X$12,CÁLCULO!$AJ$15:$BB$131)/(ORÇAMENTO!$X$15-CÁLCULO.TotalAdmLocal)*CRONO!$F3,
                        0),
                 X2*$S1),
          SUMIF(OFFSET($S3,1,0,$R1-2),($M1+1)&amp;"$",OFFSET(X3,1,0,$R1-2)))</f>
        <v>#REF!</v>
      </c>
      <c r="Y3" s="212" t="e">
        <f ca="1">IF($R1=2,
         IF(AND(ACOMPANHAMENTO="PLE",ISNUMBER($F1)),
                SUMIF((OFFSET(CÁLCULO!$BC$15:$BU$15,$F1,0,OFFSET(ORÇAMENTO!$D$15,CRONO!$F1,0))),CRONO!Y$12,OFFSET(CÁLCULO!$AJ$15:$BB$15,$F1,0,OFFSET(ORÇAMENTO!$D$15,CRONO!$F1,0)))
                +IF(AND($F3&lt;&gt;"",$F3&lt;&gt;0),
                        SUMIF(CÁLCULO!$BC$15:$BU$131,CRONO!Y$12,CÁLCULO!$AJ$15:$BB$131)/(ORÇAMENTO!$X$15-CÁLCULO.TotalAdmLocal)*CRONO!$F3,
                        0),
                 Y2*$S1),
          SUMIF(OFFSET($S3,1,0,$R1-2),($M1+1)&amp;"$",OFFSET(Y3,1,0,$R1-2)))</f>
        <v>#REF!</v>
      </c>
      <c r="Z3" s="212" t="e">
        <f ca="1">IF($R1=2,
         IF(AND(ACOMPANHAMENTO="PLE",ISNUMBER($F1)),
                SUMIF((OFFSET(CÁLCULO!$BC$15:$BU$15,$F1,0,OFFSET(ORÇAMENTO!$D$15,CRONO!$F1,0))),CRONO!Z$12,OFFSET(CÁLCULO!$AJ$15:$BB$15,$F1,0,OFFSET(ORÇAMENTO!$D$15,CRONO!$F1,0)))
                +IF(AND($F3&lt;&gt;"",$F3&lt;&gt;0),
                        SUMIF(CÁLCULO!$BC$15:$BU$131,CRONO!Z$12,CÁLCULO!$AJ$15:$BB$131)/(ORÇAMENTO!$X$15-CÁLCULO.TotalAdmLocal)*CRONO!$F3,
                        0),
                 Z2*$S1),
          SUMIF(OFFSET($S3,1,0,$R1-2),($M1+1)&amp;"$",OFFSET(Z3,1,0,$R1-2)))</f>
        <v>#REF!</v>
      </c>
      <c r="AA3" s="212" t="e">
        <f ca="1">IF($R1=2,
         IF(AND(ACOMPANHAMENTO="PLE",ISNUMBER($F1)),
                SUMIF((OFFSET(CÁLCULO!$BC$15:$BU$15,$F1,0,OFFSET(ORÇAMENTO!$D$15,CRONO!$F1,0))),CRONO!AA$12,OFFSET(CÁLCULO!$AJ$15:$BB$15,$F1,0,OFFSET(ORÇAMENTO!$D$15,CRONO!$F1,0)))
                +IF(AND($F3&lt;&gt;"",$F3&lt;&gt;0),
                        SUMIF(CÁLCULO!$BC$15:$BU$131,CRONO!AA$12,CÁLCULO!$AJ$15:$BB$131)/(ORÇAMENTO!$X$15-CÁLCULO.TotalAdmLocal)*CRONO!$F3,
                        0),
                 AA2*$S1),
          SUMIF(OFFSET($S3,1,0,$R1-2),($M1+1)&amp;"$",OFFSET(AA3,1,0,$R1-2)))</f>
        <v>#REF!</v>
      </c>
      <c r="AB3" s="212" t="e">
        <f ca="1">IF($R1=2,
         IF(AND(ACOMPANHAMENTO="PLE",ISNUMBER($F1)),
                SUMIF((OFFSET(CÁLCULO!$BC$15:$BU$15,$F1,0,OFFSET(ORÇAMENTO!$D$15,CRONO!$F1,0))),CRONO!AB$12,OFFSET(CÁLCULO!$AJ$15:$BB$15,$F1,0,OFFSET(ORÇAMENTO!$D$15,CRONO!$F1,0)))
                +IF(AND($F3&lt;&gt;"",$F3&lt;&gt;0),
                        SUMIF(CÁLCULO!$BC$15:$BU$131,CRONO!AB$12,CÁLCULO!$AJ$15:$BB$131)/(ORÇAMENTO!$X$15-CÁLCULO.TotalAdmLocal)*CRONO!$F3,
                        0),
                 AB2*$S1),
          SUMIF(OFFSET($S3,1,0,$R1-2),($M1+1)&amp;"$",OFFSET(AB3,1,0,$R1-2)))</f>
        <v>#REF!</v>
      </c>
      <c r="AC3" s="212" t="e">
        <f ca="1">IF($R1=2,
         IF(AND(ACOMPANHAMENTO="PLE",ISNUMBER($F1)),
                SUMIF((OFFSET(CÁLCULO!$BC$15:$BU$15,$F1,0,OFFSET(ORÇAMENTO!$D$15,CRONO!$F1,0))),CRONO!AC$12,OFFSET(CÁLCULO!$AJ$15:$BB$15,$F1,0,OFFSET(ORÇAMENTO!$D$15,CRONO!$F1,0)))
                +IF(AND($F3&lt;&gt;"",$F3&lt;&gt;0),
                        SUMIF(CÁLCULO!$BC$15:$BU$131,CRONO!AC$12,CÁLCULO!$AJ$15:$BB$131)/(ORÇAMENTO!$X$15-CÁLCULO.TotalAdmLocal)*CRONO!$F3,
                        0),
                 AC2*$S1),
          SUMIF(OFFSET($S3,1,0,$R1-2),($M1+1)&amp;"$",OFFSET(AC3,1,0,$R1-2)))</f>
        <v>#REF!</v>
      </c>
      <c r="AD3" s="212" t="e">
        <f ca="1">IF($R1=2,
         IF(AND(ACOMPANHAMENTO="PLE",ISNUMBER($F1)),
                SUMIF((OFFSET(CÁLCULO!$BC$15:$BU$15,$F1,0,OFFSET(ORÇAMENTO!$D$15,CRONO!$F1,0))),CRONO!AD$12,OFFSET(CÁLCULO!$AJ$15:$BB$15,$F1,0,OFFSET(ORÇAMENTO!$D$15,CRONO!$F1,0)))
                +IF(AND($F3&lt;&gt;"",$F3&lt;&gt;0),
                        SUMIF(CÁLCULO!$BC$15:$BU$131,CRONO!AD$12,CÁLCULO!$AJ$15:$BB$131)/(ORÇAMENTO!$X$15-CÁLCULO.TotalAdmLocal)*CRONO!$F3,
                        0),
                 AD2*$S1),
          SUMIF(OFFSET($S3,1,0,$R1-2),($M1+1)&amp;"$",OFFSET(AD3,1,0,$R1-2)))</f>
        <v>#REF!</v>
      </c>
      <c r="AE3" s="212" t="e">
        <f ca="1">IF($R1=2,
         IF(AND(ACOMPANHAMENTO="PLE",ISNUMBER($F1)),
                SUMIF((OFFSET(CÁLCULO!$BC$15:$BU$15,$F1,0,OFFSET(ORÇAMENTO!$D$15,CRONO!$F1,0))),CRONO!AE$12,OFFSET(CÁLCULO!$AJ$15:$BB$15,$F1,0,OFFSET(ORÇAMENTO!$D$15,CRONO!$F1,0)))
                +IF(AND($F3&lt;&gt;"",$F3&lt;&gt;0),
                        SUMIF(CÁLCULO!$BC$15:$BU$131,CRONO!AE$12,CÁLCULO!$AJ$15:$BB$131)/(ORÇAMENTO!$X$15-CÁLCULO.TotalAdmLocal)*CRONO!$F3,
                        0),
                 AE2*$S1),
          SUMIF(OFFSET($S3,1,0,$R1-2),($M1+1)&amp;"$",OFFSET(AE3,1,0,$R1-2)))</f>
        <v>#REF!</v>
      </c>
      <c r="AF3" s="212" t="e">
        <f ca="1">IF($R1=2,
         IF(AND(ACOMPANHAMENTO="PLE",ISNUMBER($F1)),
                SUMIF((OFFSET(CÁLCULO!$BC$15:$BU$15,$F1,0,OFFSET(ORÇAMENTO!$D$15,CRONO!$F1,0))),CRONO!AF$12,OFFSET(CÁLCULO!$AJ$15:$BB$15,$F1,0,OFFSET(ORÇAMENTO!$D$15,CRONO!$F1,0)))
                +IF(AND($F3&lt;&gt;"",$F3&lt;&gt;0),
                        SUMIF(CÁLCULO!$BC$15:$BU$131,CRONO!AF$12,CÁLCULO!$AJ$15:$BB$131)/(ORÇAMENTO!$X$15-CÁLCULO.TotalAdmLocal)*CRONO!$F3,
                        0),
                 AF2*$S1),
          SUMIF(OFFSET($S3,1,0,$R1-2),($M1+1)&amp;"$",OFFSET(AF3,1,0,$R1-2)))</f>
        <v>#REF!</v>
      </c>
      <c r="AG3" s="212" t="e">
        <f ca="1">IF($R1=2,
         IF(AND(ACOMPANHAMENTO="PLE",ISNUMBER($F1)),
                SUMIF((OFFSET(CÁLCULO!$BC$15:$BU$15,$F1,0,OFFSET(ORÇAMENTO!$D$15,CRONO!$F1,0))),CRONO!AG$12,OFFSET(CÁLCULO!$AJ$15:$BB$15,$F1,0,OFFSET(ORÇAMENTO!$D$15,CRONO!$F1,0)))
                +IF(AND($F3&lt;&gt;"",$F3&lt;&gt;0),
                        SUMIF(CÁLCULO!$BC$15:$BU$131,CRONO!AG$12,CÁLCULO!$AJ$15:$BB$131)/(ORÇAMENTO!$X$15-CÁLCULO.TotalAdmLocal)*CRONO!$F3,
                        0),
                 AG2*$S1),
          SUMIF(OFFSET($S3,1,0,$R1-2),($M1+1)&amp;"$",OFFSET(AG3,1,0,$R1-2)))</f>
        <v>#REF!</v>
      </c>
      <c r="AH3" s="212" t="e">
        <f ca="1">IF($R1=2,
         IF(AND(ACOMPANHAMENTO="PLE",ISNUMBER($F1)),
                SUMIF((OFFSET(CÁLCULO!$BC$15:$BU$15,$F1,0,OFFSET(ORÇAMENTO!$D$15,CRONO!$F1,0))),CRONO!AH$12,OFFSET(CÁLCULO!$AJ$15:$BB$15,$F1,0,OFFSET(ORÇAMENTO!$D$15,CRONO!$F1,0)))
                +IF(AND($F3&lt;&gt;"",$F3&lt;&gt;0),
                        SUMIF(CÁLCULO!$BC$15:$BU$131,CRONO!AH$12,CÁLCULO!$AJ$15:$BB$131)/(ORÇAMENTO!$X$15-CÁLCULO.TotalAdmLocal)*CRONO!$F3,
                        0),
                 AH2*$S1),
          SUMIF(OFFSET($S3,1,0,$R1-2),($M1+1)&amp;"$",OFFSET(AH3,1,0,$R1-2)))</f>
        <v>#REF!</v>
      </c>
      <c r="AI3" s="212" t="e">
        <f ca="1">IF($R1=2,
         IF(AND(ACOMPANHAMENTO="PLE",ISNUMBER($F1)),
                SUMIF((OFFSET(CÁLCULO!$BC$15:$BU$15,$F1,0,OFFSET(ORÇAMENTO!$D$15,CRONO!$F1,0))),CRONO!AI$12,OFFSET(CÁLCULO!$AJ$15:$BB$15,$F1,0,OFFSET(ORÇAMENTO!$D$15,CRONO!$F1,0)))
                +IF(AND($F3&lt;&gt;"",$F3&lt;&gt;0),
                        SUMIF(CÁLCULO!$BC$15:$BU$131,CRONO!AI$12,CÁLCULO!$AJ$15:$BB$131)/(ORÇAMENTO!$X$15-CÁLCULO.TotalAdmLocal)*CRONO!$F3,
                        0),
                 AI2*$S1),
          SUMIF(OFFSET($S3,1,0,$R1-2),($M1+1)&amp;"$",OFFSET(AI3,1,0,$R1-2)))</f>
        <v>#REF!</v>
      </c>
      <c r="AJ3" s="212" t="e">
        <f ca="1">IF($R1=2,
         IF(AND(ACOMPANHAMENTO="PLE",ISNUMBER($F1)),
                SUMIF((OFFSET(CÁLCULO!$BC$15:$BU$15,$F1,0,OFFSET(ORÇAMENTO!$D$15,CRONO!$F1,0))),CRONO!AJ$12,OFFSET(CÁLCULO!$AJ$15:$BB$15,$F1,0,OFFSET(ORÇAMENTO!$D$15,CRONO!$F1,0)))
                +IF(AND($F3&lt;&gt;"",$F3&lt;&gt;0),
                        SUMIF(CÁLCULO!$BC$15:$BU$131,CRONO!AJ$12,CÁLCULO!$AJ$15:$BB$131)/(ORÇAMENTO!$X$15-CÁLCULO.TotalAdmLocal)*CRONO!$F3,
                        0),
                 AJ2*$S1),
          SUMIF(OFFSET($S3,1,0,$R1-2),($M1+1)&amp;"$",OFFSET(AJ3,1,0,$R1-2)))</f>
        <v>#REF!</v>
      </c>
      <c r="AK3" s="212" t="e">
        <f ca="1">IF($R1=2,
         IF(AND(ACOMPANHAMENTO="PLE",ISNUMBER($F1)),
                SUMIF((OFFSET(CÁLCULO!$BC$15:$BU$15,$F1,0,OFFSET(ORÇAMENTO!$D$15,CRONO!$F1,0))),CRONO!AK$12,OFFSET(CÁLCULO!$AJ$15:$BB$15,$F1,0,OFFSET(ORÇAMENTO!$D$15,CRONO!$F1,0)))
                +IF(AND($F3&lt;&gt;"",$F3&lt;&gt;0),
                        SUMIF(CÁLCULO!$BC$15:$BU$131,CRONO!AK$12,CÁLCULO!$AJ$15:$BB$131)/(ORÇAMENTO!$X$15-CÁLCULO.TotalAdmLocal)*CRONO!$F3,
                        0),
                 AK2*$S1),
          SUMIF(OFFSET($S3,1,0,$R1-2),($M1+1)&amp;"$",OFFSET(AK3,1,0,$R1-2)))</f>
        <v>#REF!</v>
      </c>
      <c r="AL3" s="212" t="e">
        <f ca="1">IF($R1=2,
         IF(AND(ACOMPANHAMENTO="PLE",ISNUMBER($F1)),
                SUMIF((OFFSET(CÁLCULO!$BC$15:$BU$15,$F1,0,OFFSET(ORÇAMENTO!$D$15,CRONO!$F1,0))),CRONO!AL$12,OFFSET(CÁLCULO!$AJ$15:$BB$15,$F1,0,OFFSET(ORÇAMENTO!$D$15,CRONO!$F1,0)))
                +IF(AND($F3&lt;&gt;"",$F3&lt;&gt;0),
                        SUMIF(CÁLCULO!$BC$15:$BU$131,CRONO!AL$12,CÁLCULO!$AJ$15:$BB$131)/(ORÇAMENTO!$X$15-CÁLCULO.TotalAdmLocal)*CRONO!$F3,
                        0),
                 AL2*$S1),
          SUMIF(OFFSET($S3,1,0,$R1-2),($M1+1)&amp;"$",OFFSET(AL3,1,0,$R1-2)))</f>
        <v>#REF!</v>
      </c>
      <c r="AM3" s="212" t="e">
        <f ca="1">IF($R1=2,
         IF(AND(ACOMPANHAMENTO="PLE",ISNUMBER($F1)),
                SUMIF((OFFSET(CÁLCULO!$BC$15:$BU$15,$F1,0,OFFSET(ORÇAMENTO!$D$15,CRONO!$F1,0))),CRONO!AM$12,OFFSET(CÁLCULO!$AJ$15:$BB$15,$F1,0,OFFSET(ORÇAMENTO!$D$15,CRONO!$F1,0)))
                +IF(AND($F3&lt;&gt;"",$F3&lt;&gt;0),
                        SUMIF(CÁLCULO!$BC$15:$BU$131,CRONO!AM$12,CÁLCULO!$AJ$15:$BB$131)/(ORÇAMENTO!$X$15-CÁLCULO.TotalAdmLocal)*CRONO!$F3,
                        0),
                 AM2*$S1),
          SUMIF(OFFSET($S3,1,0,$R1-2),($M1+1)&amp;"$",OFFSET(AM3,1,0,$R1-2)))</f>
        <v>#REF!</v>
      </c>
      <c r="AN3" s="212" t="e">
        <f ca="1">IF($R1=2,
         IF(AND(ACOMPANHAMENTO="PLE",ISNUMBER($F1)),
                SUMIF((OFFSET(CÁLCULO!$BC$15:$BU$15,$F1,0,OFFSET(ORÇAMENTO!$D$15,CRONO!$F1,0))),CRONO!AN$12,OFFSET(CÁLCULO!$AJ$15:$BB$15,$F1,0,OFFSET(ORÇAMENTO!$D$15,CRONO!$F1,0)))
                +IF(AND($F3&lt;&gt;"",$F3&lt;&gt;0),
                        SUMIF(CÁLCULO!$BC$15:$BU$131,CRONO!AN$12,CÁLCULO!$AJ$15:$BB$131)/(ORÇAMENTO!$X$15-CÁLCULO.TotalAdmLocal)*CRONO!$F3,
                        0),
                 AN2*$S1),
          SUMIF(OFFSET($S3,1,0,$R1-2),($M1+1)&amp;"$",OFFSET(AN3,1,0,$R1-2)))</f>
        <v>#REF!</v>
      </c>
      <c r="AO3" s="212" t="e">
        <f ca="1">IF($R1=2,
         IF(AND(ACOMPANHAMENTO="PLE",ISNUMBER($F1)),
                SUMIF((OFFSET(CÁLCULO!$BC$15:$BU$15,$F1,0,OFFSET(ORÇAMENTO!$D$15,CRONO!$F1,0))),CRONO!AO$12,OFFSET(CÁLCULO!$AJ$15:$BB$15,$F1,0,OFFSET(ORÇAMENTO!$D$15,CRONO!$F1,0)))
                +IF(AND($F3&lt;&gt;"",$F3&lt;&gt;0),
                        SUMIF(CÁLCULO!$BC$15:$BU$131,CRONO!AO$12,CÁLCULO!$AJ$15:$BB$131)/(ORÇAMENTO!$X$15-CÁLCULO.TotalAdmLocal)*CRONO!$F3,
                        0),
                 AO2*$S1),
          SUMIF(OFFSET($S3,1,0,$R1-2),($M1+1)&amp;"$",OFFSET(AO3,1,0,$R1-2)))</f>
        <v>#REF!</v>
      </c>
      <c r="AP3" s="212" t="e">
        <f ca="1">IF($R1=2,
         IF(AND(ACOMPANHAMENTO="PLE",ISNUMBER($F1)),
                SUMIF((OFFSET(CÁLCULO!$BC$15:$BU$15,$F1,0,OFFSET(ORÇAMENTO!$D$15,CRONO!$F1,0))),CRONO!AP$12,OFFSET(CÁLCULO!$AJ$15:$BB$15,$F1,0,OFFSET(ORÇAMENTO!$D$15,CRONO!$F1,0)))
                +IF(AND($F3&lt;&gt;"",$F3&lt;&gt;0),
                        SUMIF(CÁLCULO!$BC$15:$BU$131,CRONO!AP$12,CÁLCULO!$AJ$15:$BB$131)/(ORÇAMENTO!$X$15-CÁLCULO.TotalAdmLocal)*CRONO!$F3,
                        0),
                 AP2*$S1),
          SUMIF(OFFSET($S3,1,0,$R1-2),($M1+1)&amp;"$",OFFSET(AP3,1,0,$R1-2)))</f>
        <v>#REF!</v>
      </c>
      <c r="AQ3" s="212" t="e">
        <f ca="1">IF($R1=2,
         IF(AND(ACOMPANHAMENTO="PLE",ISNUMBER($F1)),
                SUMIF((OFFSET(CÁLCULO!$BC$15:$BU$15,$F1,0,OFFSET(ORÇAMENTO!$D$15,CRONO!$F1,0))),CRONO!AQ$12,OFFSET(CÁLCULO!$AJ$15:$BB$15,$F1,0,OFFSET(ORÇAMENTO!$D$15,CRONO!$F1,0)))
                +IF(AND($F3&lt;&gt;"",$F3&lt;&gt;0),
                        SUMIF(CÁLCULO!$BC$15:$BU$131,CRONO!AQ$12,CÁLCULO!$AJ$15:$BB$131)/(ORÇAMENTO!$X$15-CÁLCULO.TotalAdmLocal)*CRONO!$F3,
                        0),
                 AQ2*$S1),
          SUMIF(OFFSET($S3,1,0,$R1-2),($M1+1)&amp;"$",OFFSET(AQ3,1,0,$R1-2)))</f>
        <v>#REF!</v>
      </c>
      <c r="AR3" s="212" t="e">
        <f ca="1">IF($R1=2,
         IF(AND(ACOMPANHAMENTO="PLE",ISNUMBER($F1)),
                SUMIF((OFFSET(CÁLCULO!$BC$15:$BU$15,$F1,0,OFFSET(ORÇAMENTO!$D$15,CRONO!$F1,0))),CRONO!AR$12,OFFSET(CÁLCULO!$AJ$15:$BB$15,$F1,0,OFFSET(ORÇAMENTO!$D$15,CRONO!$F1,0)))
                +IF(AND($F3&lt;&gt;"",$F3&lt;&gt;0),
                        SUMIF(CÁLCULO!$BC$15:$BU$131,CRONO!AR$12,CÁLCULO!$AJ$15:$BB$131)/(ORÇAMENTO!$X$15-CÁLCULO.TotalAdmLocal)*CRONO!$F3,
                        0),
                 AR2*$S1),
          SUMIF(OFFSET($S3,1,0,$R1-2),($M1+1)&amp;"$",OFFSET(AR3,1,0,$R1-2)))</f>
        <v>#REF!</v>
      </c>
      <c r="AS3" s="577"/>
    </row>
    <row r="4" spans="1:45" ht="15" customHeight="1" x14ac:dyDescent="0.25">
      <c r="S4" s="216" t="str">
        <f>IF(TIPOORCAMENTO="licitado","CFF - CRONOGRAMA FÍSICO-FINANCEIRO LICITADO","CFF - CRONOGRAMA FÍSICO-FINANCEIRO")</f>
        <v>CFF - CRONOGRAMA FÍSICO-FINANCEIRO</v>
      </c>
      <c r="AE4" s="663" t="s">
        <v>139</v>
      </c>
      <c r="AF4" s="663"/>
      <c r="AQ4" s="663" t="s">
        <v>139</v>
      </c>
      <c r="AR4" s="663"/>
    </row>
    <row r="5" spans="1:45" ht="15" x14ac:dyDescent="0.2">
      <c r="S5" s="84" t="str">
        <f>import.recurso</f>
        <v>OGU</v>
      </c>
      <c r="AE5" s="664" t="s">
        <v>142</v>
      </c>
      <c r="AF5" s="664"/>
      <c r="AQ5" s="664" t="s">
        <v>142</v>
      </c>
      <c r="AR5" s="664"/>
    </row>
    <row r="6" spans="1:45" ht="12.75" customHeight="1" x14ac:dyDescent="0.2"/>
    <row r="7" spans="1:45" ht="12.75" customHeight="1" x14ac:dyDescent="0.2">
      <c r="F7" s="217"/>
      <c r="H7" s="681" t="s">
        <v>267</v>
      </c>
      <c r="I7" s="218" t="s">
        <v>145</v>
      </c>
      <c r="J7" s="219"/>
      <c r="K7" s="220" t="s">
        <v>426</v>
      </c>
      <c r="L7" s="221" t="s">
        <v>268</v>
      </c>
      <c r="M7" s="196"/>
      <c r="N7" s="196"/>
      <c r="O7" s="196"/>
      <c r="T7" s="222"/>
      <c r="U7" s="218" t="s">
        <v>269</v>
      </c>
      <c r="Y7" s="219"/>
      <c r="Z7" s="218" t="str">
        <f>IF(TIPOORCAMENTO="Licitado","NOME DA EMPRESA","DESCRIÇÃO DO LOTE")</f>
        <v>DESCRIÇÃO DO LOTE</v>
      </c>
      <c r="AF7" s="223" t="str">
        <f>IF(TIPOORCAMENTO="Licitado","Nº CTEF","")</f>
        <v/>
      </c>
      <c r="AG7" s="218" t="s">
        <v>269</v>
      </c>
      <c r="AK7" s="219"/>
      <c r="AL7" s="218" t="str">
        <f>IF(TIPOORCAMENTO="Licitado","NOME DA EMPRESA","DESCRIÇÃO DO LOTE")</f>
        <v>DESCRIÇÃO DO LOTE</v>
      </c>
      <c r="AR7" s="223" t="str">
        <f>IF(TIPOORCAMENTO="Licitado","Nº CTEF","")</f>
        <v/>
      </c>
    </row>
    <row r="8" spans="1:45" x14ac:dyDescent="0.2">
      <c r="E8" s="195"/>
      <c r="F8" s="116"/>
      <c r="G8" s="680" t="s">
        <v>207</v>
      </c>
      <c r="H8" s="681"/>
      <c r="I8" s="665" t="str">
        <f>Import.CR</f>
        <v>0</v>
      </c>
      <c r="J8" s="665"/>
      <c r="K8" s="224" t="str">
        <f>Import.TransfereGOV</f>
        <v>0</v>
      </c>
      <c r="L8" s="668" t="str">
        <f>Import.Proponente</f>
        <v>0</v>
      </c>
      <c r="M8" s="668"/>
      <c r="N8" s="668"/>
      <c r="O8" s="668"/>
      <c r="P8" s="668"/>
      <c r="Q8" s="668"/>
      <c r="R8" s="668"/>
      <c r="S8" s="668"/>
      <c r="T8" s="668"/>
      <c r="U8" s="665" t="str">
        <f>Import.Apelido</f>
        <v>RUA COBERTA MUNICIPAL</v>
      </c>
      <c r="V8" s="665"/>
      <c r="W8" s="665"/>
      <c r="X8" s="665"/>
      <c r="Y8" s="665"/>
      <c r="Z8" s="666" t="str">
        <f>IF(TIPOORCAMENTO="Licitado",Import.empresa,Import.DescLote)</f>
        <v>RUA COBERTA MUNICIPAL</v>
      </c>
      <c r="AA8" s="666"/>
      <c r="AB8" s="666"/>
      <c r="AC8" s="666"/>
      <c r="AD8" s="666"/>
      <c r="AE8" s="666"/>
      <c r="AF8" s="213" t="str">
        <f>IF(TIPOORCAMENTO="Licitado",Import.CTEF,"")</f>
        <v/>
      </c>
      <c r="AG8" s="665" t="str">
        <f>Import.Apelido</f>
        <v>RUA COBERTA MUNICIPAL</v>
      </c>
      <c r="AH8" s="665"/>
      <c r="AI8" s="665"/>
      <c r="AJ8" s="665"/>
      <c r="AK8" s="665"/>
      <c r="AL8" s="666" t="str">
        <f>IF(TIPOORCAMENTO="Licitado",Import.empresa,Import.DescLote)</f>
        <v>RUA COBERTA MUNICIPAL</v>
      </c>
      <c r="AM8" s="666"/>
      <c r="AN8" s="666"/>
      <c r="AO8" s="666"/>
      <c r="AP8" s="666"/>
      <c r="AQ8" s="666"/>
      <c r="AR8" s="213" t="str">
        <f>IF(TIPOORCAMENTO="Licitado",Import.CTEF,"")</f>
        <v/>
      </c>
    </row>
    <row r="9" spans="1:45" x14ac:dyDescent="0.2">
      <c r="F9" s="116"/>
      <c r="G9" s="680"/>
      <c r="H9" s="681"/>
    </row>
    <row r="10" spans="1:45" x14ac:dyDescent="0.2">
      <c r="F10" s="195" cm="1">
        <f t="array" aca="1" ref="F10" ca="1">CRONO.LinhasNecessarias</f>
        <v>14</v>
      </c>
      <c r="G10" s="680"/>
      <c r="H10" s="225">
        <v>2</v>
      </c>
      <c r="K10" s="669" t="str">
        <f ca="1">IF(MAX($B$13:$B$107)&lt;CRONO.LinhasNecessarias,"ERRO: NÚMERO DE LINHAS DO CRONOGRAMA INSUFICIENTE. CLIQUE EM ATUALIZAR LINHAS.",IF(AND(ACOMPANHAMENTO="PLE",ROUND(OFFSET($AS$117,0,-1),2)=0),"CRONOGRAMA DEVE SER PREENCHIDO POR EVENTOS",IF(ROUND(OFFSET($AS$117,0,-1),2)&lt;&gt;$R$108,"ERRO: CRONOGRAMA NÃO FECHA 100%","")))</f>
        <v/>
      </c>
      <c r="L10" s="669"/>
      <c r="M10" s="669"/>
      <c r="N10" s="669"/>
      <c r="O10" s="669"/>
      <c r="P10" s="669"/>
      <c r="Q10" s="669"/>
      <c r="R10" s="669"/>
      <c r="S10" s="669"/>
      <c r="T10" s="669"/>
    </row>
    <row r="11" spans="1:45" ht="12.75" customHeight="1" x14ac:dyDescent="0.2">
      <c r="F11" s="195" cm="1">
        <f t="array" aca="1" ref="F11" ca="1">CRONO.ParcelaFinal</f>
        <v>5</v>
      </c>
      <c r="G11" s="680"/>
      <c r="I11" s="226"/>
      <c r="J11" s="226"/>
      <c r="K11" s="669"/>
      <c r="L11" s="669"/>
      <c r="M11" s="669"/>
      <c r="N11" s="669"/>
      <c r="O11" s="669"/>
      <c r="P11" s="669"/>
      <c r="Q11" s="669"/>
      <c r="R11" s="669"/>
      <c r="S11" s="669"/>
      <c r="T11" s="669"/>
    </row>
    <row r="12" spans="1:45" ht="12.75" customHeight="1" x14ac:dyDescent="0.2">
      <c r="A12" s="196" t="s">
        <v>925</v>
      </c>
      <c r="E12" s="227">
        <f ca="1">OFFSET(E12,0,-1)+1</f>
        <v>1</v>
      </c>
      <c r="G12" s="108" t="s">
        <v>215</v>
      </c>
      <c r="H12" s="671" t="s">
        <v>270</v>
      </c>
      <c r="I12" s="672" t="s">
        <v>229</v>
      </c>
      <c r="J12" s="673" t="s">
        <v>232</v>
      </c>
      <c r="K12" s="228"/>
      <c r="L12" s="228"/>
      <c r="M12" s="229"/>
      <c r="N12" s="229"/>
      <c r="O12" s="229"/>
      <c r="P12" s="229"/>
      <c r="Q12" s="229"/>
      <c r="R12" s="229"/>
      <c r="S12" s="679" t="s">
        <v>271</v>
      </c>
      <c r="T12" s="667" t="s">
        <v>272</v>
      </c>
      <c r="U12" s="230">
        <v>1</v>
      </c>
      <c r="V12" s="227">
        <f ca="1">OFFSET(V12,0,-1)+1</f>
        <v>2</v>
      </c>
      <c r="W12" s="227">
        <f t="shared" ref="W12:AR12" ca="1" si="0">OFFSET(W12,0,-1)+1</f>
        <v>3</v>
      </c>
      <c r="X12" s="227">
        <f t="shared" ca="1" si="0"/>
        <v>4</v>
      </c>
      <c r="Y12" s="227">
        <f t="shared" ca="1" si="0"/>
        <v>5</v>
      </c>
      <c r="Z12" s="227">
        <f t="shared" ca="1" si="0"/>
        <v>6</v>
      </c>
      <c r="AA12" s="227">
        <f t="shared" ca="1" si="0"/>
        <v>7</v>
      </c>
      <c r="AB12" s="227">
        <f t="shared" ca="1" si="0"/>
        <v>8</v>
      </c>
      <c r="AC12" s="227">
        <f t="shared" ca="1" si="0"/>
        <v>9</v>
      </c>
      <c r="AD12" s="227">
        <f t="shared" ca="1" si="0"/>
        <v>10</v>
      </c>
      <c r="AE12" s="227">
        <f t="shared" ca="1" si="0"/>
        <v>11</v>
      </c>
      <c r="AF12" s="580">
        <f t="shared" ca="1" si="0"/>
        <v>12</v>
      </c>
      <c r="AG12" s="230">
        <f t="shared" ca="1" si="0"/>
        <v>13</v>
      </c>
      <c r="AH12" s="227">
        <f t="shared" ca="1" si="0"/>
        <v>14</v>
      </c>
      <c r="AI12" s="227">
        <f t="shared" ca="1" si="0"/>
        <v>15</v>
      </c>
      <c r="AJ12" s="227">
        <f t="shared" ca="1" si="0"/>
        <v>16</v>
      </c>
      <c r="AK12" s="227">
        <f t="shared" ca="1" si="0"/>
        <v>17</v>
      </c>
      <c r="AL12" s="227">
        <f t="shared" ca="1" si="0"/>
        <v>18</v>
      </c>
      <c r="AM12" s="227">
        <f t="shared" ca="1" si="0"/>
        <v>19</v>
      </c>
      <c r="AN12" s="227">
        <f t="shared" ca="1" si="0"/>
        <v>20</v>
      </c>
      <c r="AO12" s="227">
        <f t="shared" ca="1" si="0"/>
        <v>21</v>
      </c>
      <c r="AP12" s="227">
        <f t="shared" ca="1" si="0"/>
        <v>22</v>
      </c>
      <c r="AQ12" s="227">
        <f t="shared" ca="1" si="0"/>
        <v>23</v>
      </c>
      <c r="AR12" s="580">
        <f t="shared" ca="1" si="0"/>
        <v>24</v>
      </c>
      <c r="AS12" s="577"/>
    </row>
    <row r="13" spans="1:45" ht="24.95" customHeight="1" x14ac:dyDescent="0.2">
      <c r="B13" s="231" t="s">
        <v>273</v>
      </c>
      <c r="C13" s="231" t="s">
        <v>168</v>
      </c>
      <c r="D13" s="231" t="s">
        <v>274</v>
      </c>
      <c r="E13" s="232" t="e">
        <f ca="1">OFFSET(E13,0,-1)+41-DAY(OFFSET(E13,0,-1)+40)</f>
        <v>#VALUE!</v>
      </c>
      <c r="F13" s="231" t="s">
        <v>275</v>
      </c>
      <c r="H13" s="671"/>
      <c r="I13" s="672"/>
      <c r="J13" s="673"/>
      <c r="K13" s="233"/>
      <c r="L13" s="233"/>
      <c r="M13" s="234" t="s">
        <v>227</v>
      </c>
      <c r="N13" s="234">
        <v>1</v>
      </c>
      <c r="O13" s="234">
        <v>2</v>
      </c>
      <c r="P13" s="234">
        <v>3</v>
      </c>
      <c r="Q13" s="234">
        <v>4</v>
      </c>
      <c r="R13" s="235" t="s">
        <v>276</v>
      </c>
      <c r="S13" s="679"/>
      <c r="T13" s="667"/>
      <c r="U13" s="236">
        <v>46235</v>
      </c>
      <c r="V13" s="232">
        <f ca="1">OFFSET(V13,0,-1)+41-DAY(OFFSET(V13,0,-1)+40)</f>
        <v>46266</v>
      </c>
      <c r="W13" s="232">
        <f ca="1">OFFSET(W13,0,-1)+41-DAY(OFFSET(W13,0,-1)+40)</f>
        <v>46296</v>
      </c>
      <c r="X13" s="232">
        <f t="shared" ref="X13:AR13" ca="1" si="1">OFFSET(X13,0,-1)+41-DAY(OFFSET(X13,0,-1)+40)</f>
        <v>46327</v>
      </c>
      <c r="Y13" s="232">
        <f t="shared" ca="1" si="1"/>
        <v>46357</v>
      </c>
      <c r="Z13" s="232">
        <f t="shared" ca="1" si="1"/>
        <v>46388</v>
      </c>
      <c r="AA13" s="232">
        <f t="shared" ca="1" si="1"/>
        <v>46419</v>
      </c>
      <c r="AB13" s="232">
        <f t="shared" ca="1" si="1"/>
        <v>46447</v>
      </c>
      <c r="AC13" s="232">
        <f t="shared" ca="1" si="1"/>
        <v>46478</v>
      </c>
      <c r="AD13" s="232">
        <f t="shared" ca="1" si="1"/>
        <v>46508</v>
      </c>
      <c r="AE13" s="232">
        <f t="shared" ca="1" si="1"/>
        <v>46539</v>
      </c>
      <c r="AF13" s="581">
        <f t="shared" ca="1" si="1"/>
        <v>46569</v>
      </c>
      <c r="AG13" s="236">
        <f t="shared" ca="1" si="1"/>
        <v>46600</v>
      </c>
      <c r="AH13" s="232">
        <f t="shared" ca="1" si="1"/>
        <v>46631</v>
      </c>
      <c r="AI13" s="232">
        <f t="shared" ca="1" si="1"/>
        <v>46661</v>
      </c>
      <c r="AJ13" s="232">
        <f t="shared" ca="1" si="1"/>
        <v>46692</v>
      </c>
      <c r="AK13" s="232">
        <f t="shared" ca="1" si="1"/>
        <v>46722</v>
      </c>
      <c r="AL13" s="232">
        <f t="shared" ca="1" si="1"/>
        <v>46753</v>
      </c>
      <c r="AM13" s="232">
        <f t="shared" ca="1" si="1"/>
        <v>46784</v>
      </c>
      <c r="AN13" s="232">
        <f t="shared" ca="1" si="1"/>
        <v>46813</v>
      </c>
      <c r="AO13" s="232">
        <f t="shared" ca="1" si="1"/>
        <v>46844</v>
      </c>
      <c r="AP13" s="232">
        <f t="shared" ca="1" si="1"/>
        <v>46874</v>
      </c>
      <c r="AQ13" s="232">
        <f t="shared" ca="1" si="1"/>
        <v>46905</v>
      </c>
      <c r="AR13" s="581">
        <f t="shared" ca="1" si="1"/>
        <v>46935</v>
      </c>
      <c r="AS13" s="577"/>
    </row>
    <row r="14" spans="1:45" x14ac:dyDescent="0.2">
      <c r="A14" s="196" t="str">
        <f t="shared" ref="A14" ca="1" si="2">IF($M14&gt;1,CONCATENATE($I14," ",$J14),"")</f>
        <v/>
      </c>
      <c r="B14" s="195">
        <f t="shared" ref="B14" ca="1" si="3">OFFSET(B14,-3,0)+1</f>
        <v>1</v>
      </c>
      <c r="C14" s="195">
        <f ca="1">IF($R14&lt;&gt;2,0,IF($S14=0,1,IF(F15&gt;0,OFFSET(QCI!$M$13,SUBSTITUTE(F15,".",""),0),OFFSET(ORÇAMENTO!$AA$15,CRONO!$F14,0))/$S14))</f>
        <v>0</v>
      </c>
      <c r="D14" s="195">
        <f ca="1">IF($R14&lt;&gt;2,0,IF($S14=0,1,IF(F15&gt;0,OFFSET(QCI!$N$13,SUBSTITUTE(F15,".",""),0),OFFSET(ORÇAMENTO!$AB$15,CRONO!$F14,0))/$S14))</f>
        <v>0</v>
      </c>
      <c r="E14" s="198">
        <f ca="1">IF(AND($R14=2,ACOMPANHAMENTO="BM"),ROUND(E15,4),E16/$S14)</f>
        <v>8.1464021754990373E-2</v>
      </c>
      <c r="F14" s="195">
        <f ca="1">IF(B14&lt;=ORÇAMENTO.MáximoListaCrono,MATCH(B14,ORÇAMENTO.ListaCrono,0),NA())</f>
        <v>1</v>
      </c>
      <c r="G14" s="195" t="str">
        <f t="shared" ref="G14" ca="1" si="4">IF(AND($F15&lt;&gt;-1,$S14&gt;0),"F","")</f>
        <v>F</v>
      </c>
      <c r="H14" s="199" t="str">
        <f ca="1">IF(OR(S14=0,S14=""),"Linha",IF(AND(OR(ACOMPANHAMENTO="PLE",$R14&lt;&gt;2),$F15=0),"Linha",ROUND(1-SUM(U14:AS14),4)))</f>
        <v>Linha</v>
      </c>
      <c r="I14" s="200" t="str">
        <f ca="1">IF($F15=0,OFFSET(ORÇAMENTO!O$15,$F14,0),IF($F15&lt;&gt;-1,OFFSET(QCI!$D$13,$F15,0),""))</f>
        <v>1.</v>
      </c>
      <c r="J14" s="201" t="str">
        <f ca="1">IF($F15=0,OFFSET(ORÇAMENTO!R$15,$F14,0),IF($F15&lt;&gt;-1,OFFSET(QCI!$G$13,$F15,0),""))</f>
        <v xml:space="preserve">CONSTRUÇÃO DA RUA COBERTA MUNICIPAL </v>
      </c>
      <c r="K14" s="201"/>
      <c r="L14" s="201"/>
      <c r="M14" s="202">
        <f ca="1">IF($F15=0,OFFSET(ORÇAMENTO!C$15,$F14,0),1)</f>
        <v>1</v>
      </c>
      <c r="N14" s="203">
        <f ca="1">IF($F15=-1,0,IF(N$13&lt;=$M14,IF(ISERROR(MATCH(N$13,OFFSET($M14,1,0,ROW($M$107)-ROW($M14)-1),0)),ROW($M$107)-ROW($M14)-1,MATCH(N$13,OFFSET($M14,1,0,ROW($M$107)-ROW($M14)-1),0)-1),0))</f>
        <v>41</v>
      </c>
      <c r="O14" s="203">
        <f ca="1">IF($F15=-1,0,IF(O$13&lt;=$M14,IF(ISERROR(MATCH(O$13,OFFSET($M14,1,0,ROW($M$107)-ROW($M14)-1),0)),ROW($M$107)-ROW($M14)-1,MATCH(O$13,OFFSET($M14,1,0,ROW($M$107)-ROW($M14)-1),0)-1),0))</f>
        <v>0</v>
      </c>
      <c r="P14" s="203">
        <f ca="1">IF($F15=-1,0,IF(P$13&lt;=$M14,IF(ISERROR(MATCH(P$13,OFFSET($M14,1,0,ROW($M$107)-ROW($M14)-1),0)),ROW($M$107)-ROW($M14)-1,MATCH(P$13,OFFSET($M14,1,0,ROW($M$107)-ROW($M14)-1),0)-1),0))</f>
        <v>0</v>
      </c>
      <c r="Q14" s="203">
        <f ca="1">IF($F15=-1,0,IF(Q$13&lt;=$M14,IF(ISERROR(MATCH(Q$13,OFFSET($M14,1,0,ROW($M$107)-ROW($M14)-1),0)),ROW($M$107)-ROW($M14)-1,MATCH(Q$13,OFFSET($M14,1,0,ROW($M$107)-ROW($M14)-1),0)-1),0))</f>
        <v>0</v>
      </c>
      <c r="R14" s="203">
        <f t="shared" ref="R14" ca="1" si="5">MIN(OFFSET(M14,0,1,,M14))</f>
        <v>41</v>
      </c>
      <c r="S14" s="204">
        <f ca="1">IF($F15=0,OFFSET(ORÇAMENTO!X$15,$F14,0),IF($F15&lt;&gt;-1,OFFSET(QCI!$O$13,$F15,0),""))</f>
        <v>1343349.71</v>
      </c>
      <c r="T14" s="205" t="s">
        <v>266</v>
      </c>
      <c r="U14" s="198">
        <f ca="1">IF(AND($R14=2,ACOMPANHAMENTO="BM"),ROUND(U15,4),U16/$S14)</f>
        <v>8.1464021754990373E-2</v>
      </c>
      <c r="V14" s="198">
        <f ca="1">IF(AND($R14=2,ACOMPANHAMENTO="BM"),ROUND(V15,4),V16/$S14)</f>
        <v>0.524111603076164</v>
      </c>
      <c r="W14" s="198">
        <f ca="1">IF(AND($R14=2,ACOMPANHAMENTO="BM"),ROUND(W15,4),W16/$S14)</f>
        <v>0.21630413721531974</v>
      </c>
      <c r="X14" s="198">
        <f ca="1">IF(AND($R14=2,ACOMPANHAMENTO="BM"),ROUND(X15,4),X16/$S14)</f>
        <v>9.3543869525977721E-2</v>
      </c>
      <c r="Y14" s="198">
        <f ca="1">IF(AND($R14=2,ACOMPANHAMENTO="BM"),ROUND(Y15,4),Y16/$S14)</f>
        <v>8.4576368427548163E-2</v>
      </c>
      <c r="Z14" s="198">
        <f ca="1">IF(AND($R14=2,ACOMPANHAMENTO="BM"),ROUND(Z15,4),Z16/$S14)</f>
        <v>0</v>
      </c>
      <c r="AA14" s="198">
        <f ca="1">IF(AND($R14=2,ACOMPANHAMENTO="BM"),ROUND(AA15,4),AA16/$S14)</f>
        <v>0</v>
      </c>
      <c r="AB14" s="198">
        <f ca="1">IF(AND($R14=2,ACOMPANHAMENTO="BM"),ROUND(AB15,4),AB16/$S14)</f>
        <v>0</v>
      </c>
      <c r="AC14" s="198">
        <f ca="1">IF(AND($R14=2,ACOMPANHAMENTO="BM"),ROUND(AC15,4),AC16/$S14)</f>
        <v>0</v>
      </c>
      <c r="AD14" s="198">
        <f ca="1">IF(AND($R14=2,ACOMPANHAMENTO="BM"),ROUND(AD15,4),AD16/$S14)</f>
        <v>0</v>
      </c>
      <c r="AE14" s="198">
        <f ca="1">IF(AND($R14=2,ACOMPANHAMENTO="BM"),ROUND(AE15,4),AE16/$S14)</f>
        <v>0</v>
      </c>
      <c r="AF14" s="198">
        <f ca="1">IF(AND($R14=2,ACOMPANHAMENTO="BM"),ROUND(AF15,4),AF16/$S14)</f>
        <v>0</v>
      </c>
      <c r="AG14" s="198">
        <f ca="1">IF(AND($R14=2,ACOMPANHAMENTO="BM"),ROUND(AG15,4),AG16/$S14)</f>
        <v>0</v>
      </c>
      <c r="AH14" s="198">
        <f ca="1">IF(AND($R14=2,ACOMPANHAMENTO="BM"),ROUND(AH15,4),AH16/$S14)</f>
        <v>0</v>
      </c>
      <c r="AI14" s="198">
        <f ca="1">IF(AND($R14=2,ACOMPANHAMENTO="BM"),ROUND(AI15,4),AI16/$S14)</f>
        <v>0</v>
      </c>
      <c r="AJ14" s="198">
        <f ca="1">IF(AND($R14=2,ACOMPANHAMENTO="BM"),ROUND(AJ15,4),AJ16/$S14)</f>
        <v>0</v>
      </c>
      <c r="AK14" s="198">
        <f ca="1">IF(AND($R14=2,ACOMPANHAMENTO="BM"),ROUND(AK15,4),AK16/$S14)</f>
        <v>0</v>
      </c>
      <c r="AL14" s="198">
        <f ca="1">IF(AND($R14=2,ACOMPANHAMENTO="BM"),ROUND(AL15,4),AL16/$S14)</f>
        <v>0</v>
      </c>
      <c r="AM14" s="198">
        <f ca="1">IF(AND($R14=2,ACOMPANHAMENTO="BM"),ROUND(AM15,4),AM16/$S14)</f>
        <v>0</v>
      </c>
      <c r="AN14" s="198">
        <f ca="1">IF(AND($R14=2,ACOMPANHAMENTO="BM"),ROUND(AN15,4),AN16/$S14)</f>
        <v>0</v>
      </c>
      <c r="AO14" s="198">
        <f ca="1">IF(AND($R14=2,ACOMPANHAMENTO="BM"),ROUND(AO15,4),AO16/$S14)</f>
        <v>0</v>
      </c>
      <c r="AP14" s="198">
        <f ca="1">IF(AND($R14=2,ACOMPANHAMENTO="BM"),ROUND(AP15,4),AP16/$S14)</f>
        <v>0</v>
      </c>
      <c r="AQ14" s="198">
        <f ca="1">IF(AND($R14=2,ACOMPANHAMENTO="BM"),ROUND(AQ15,4),AQ16/$S14)</f>
        <v>0</v>
      </c>
      <c r="AR14" s="198">
        <f ca="1">IF(AND($R14=2,ACOMPANHAMENTO="BM"),ROUND(AR15,4),AR16/$S14)</f>
        <v>0</v>
      </c>
      <c r="AS14" s="577"/>
    </row>
    <row r="15" spans="1:45" ht="12.75" hidden="1" customHeight="1" x14ac:dyDescent="0.2">
      <c r="E15" s="645"/>
      <c r="F15" s="195">
        <f ca="1">IF(ISERROR(F14),IF(1+COUNTIF($M$13:OFFSET(M14,-1,0),1)&lt;=MAX(QCI!$D$13:$D$24),1+COUNTIF($M$13:OFFSET(M14,-1,0),1),-1),0)</f>
        <v>0</v>
      </c>
      <c r="G15" s="195" t="str">
        <f ca="1">IF(ACOMPANHAMENTO="BM",OFFSET(G15,-1,0),"")</f>
        <v/>
      </c>
      <c r="H15" s="206" t="str">
        <f ca="1">IF(OR(S14=0,S14=""),"vazia",IF(AND(OR(ACOMPANHAMENTO="PLE",$R14&lt;&gt;2),$F15=0),"calculada","--&gt;"))</f>
        <v>calculada</v>
      </c>
      <c r="I15" s="207"/>
      <c r="J15" s="208" t="str">
        <f t="shared" ref="J15" ca="1" si="6">IF(AND(H14&lt;&gt;0,ISNUMBER(H14)),"PREENCHA ESTA LINHA --&gt;","")</f>
        <v/>
      </c>
      <c r="K15" s="208"/>
      <c r="L15" s="208"/>
      <c r="M15" s="209"/>
      <c r="N15" s="209"/>
      <c r="O15" s="209"/>
      <c r="P15" s="209"/>
      <c r="Q15" s="209"/>
      <c r="R15" s="209"/>
      <c r="S15" s="210"/>
      <c r="T15" s="211"/>
      <c r="U15" s="645"/>
      <c r="V15" s="645"/>
      <c r="W15" s="645"/>
      <c r="X15" s="645"/>
      <c r="Y15" s="645"/>
      <c r="Z15" s="645"/>
      <c r="AA15" s="645"/>
      <c r="AB15" s="645"/>
      <c r="AC15" s="645"/>
      <c r="AD15" s="645"/>
      <c r="AE15" s="645"/>
      <c r="AF15" s="645"/>
      <c r="AG15" s="645"/>
      <c r="AH15" s="645"/>
      <c r="AI15" s="645"/>
      <c r="AJ15" s="645"/>
      <c r="AK15" s="645"/>
      <c r="AL15" s="645"/>
      <c r="AM15" s="645"/>
      <c r="AN15" s="645"/>
      <c r="AO15" s="645"/>
      <c r="AP15" s="645"/>
      <c r="AQ15" s="645"/>
      <c r="AR15" s="645"/>
      <c r="AS15" s="577"/>
    </row>
    <row r="16" spans="1:45" ht="12.75" hidden="1" customHeight="1" x14ac:dyDescent="0.2">
      <c r="D16" s="576"/>
      <c r="E16" s="212">
        <f ca="1">IF($R14=2,
         IF(AND(ACOMPANHAMENTO="PLE",ISNUMBER($F14)),
                SUMIF((OFFSET(CÁLCULO!$BC$15:$BU$15,$F14,0,OFFSET(ORÇAMENTO!$D$15,CRONO!$F14,0))),CRONO!E$12,OFFSET(CÁLCULO!$AJ$15:$BB$15,$F14,0,OFFSET(ORÇAMENTO!$D$15,CRONO!$F14,0)))
                +IF(AND($F16&lt;&gt;"",$F16&lt;&gt;0),
                        SUMIF(CÁLCULO!$BC$15:$BU$131,CRONO!E$12,CÁLCULO!$AJ$15:$BB$131)/(ORÇAMENTO!$X$15-CÁLCULO.TotalAdmLocal)*CRONO!$F16,
                        0),
                 E15*$S14),
          SUMIF(OFFSET($S16,1,0,$R14-2),($M14+1)&amp;"$",OFFSET(E16,1,0,$R14-2)))</f>
        <v>109434.67</v>
      </c>
      <c r="F16" s="195" t="str">
        <f ca="1">IF(OR($R14&lt;&gt;2,AUTOEVENTO&lt;&gt;"manual",$F15&gt;0),"",
        IF(Import.TipoArredondamento="Tradicional",
              SUMIF(OFFSET(CÁLCULO!$M$15,CRONO!$F14,0,OFFSET(ORÇAMENTO!$D$15,CRONO!$F14,0)),1,OFFSET(ORÇAMENTO!$X$15,CRONO!$F14,0,OFFSET(ORÇAMENTO!$D$15,CRONO!$F14,0))),
              0))</f>
        <v/>
      </c>
      <c r="H16" s="213"/>
      <c r="S16" s="214" t="str">
        <f t="shared" ref="S16" ca="1" si="7">M14&amp;"$"</f>
        <v>1$</v>
      </c>
      <c r="T16" s="215"/>
      <c r="U16" s="212">
        <f ca="1">IF($R14=2,
         IF(AND(ACOMPANHAMENTO="PLE",ISNUMBER($F14)),
                SUMIF((OFFSET(CÁLCULO!$BC$15:$BU$15,$F14,0,OFFSET(ORÇAMENTO!$D$15,CRONO!$F14,0))),CRONO!U$12,OFFSET(CÁLCULO!$AJ$15:$BB$15,$F14,0,OFFSET(ORÇAMENTO!$D$15,CRONO!$F14,0)))
                +IF(AND($F16&lt;&gt;"",$F16&lt;&gt;0),
                        SUMIF(CÁLCULO!$BC$15:$BU$131,CRONO!U$12,CÁLCULO!$AJ$15:$BB$131)/(ORÇAMENTO!$X$15-CÁLCULO.TotalAdmLocal)*CRONO!$F16,
                        0),
                 U15*$S14),
          SUMIF(OFFSET($S16,1,0,$R14-2),($M14+1)&amp;"$",OFFSET(U16,1,0,$R14-2)))</f>
        <v>109434.67</v>
      </c>
      <c r="V16" s="212">
        <f ca="1">IF($R14=2,
         IF(AND(ACOMPANHAMENTO="PLE",ISNUMBER($F14)),
                SUMIF((OFFSET(CÁLCULO!$BC$15:$BU$15,$F14,0,OFFSET(ORÇAMENTO!$D$15,CRONO!$F14,0))),CRONO!V$12,OFFSET(CÁLCULO!$AJ$15:$BB$15,$F14,0,OFFSET(ORÇAMENTO!$D$15,CRONO!$F14,0)))
                +IF(AND($F16&lt;&gt;"",$F16&lt;&gt;0),
                        SUMIF(CÁLCULO!$BC$15:$BU$131,CRONO!V$12,CÁLCULO!$AJ$15:$BB$131)/(ORÇAMENTO!$X$15-CÁLCULO.TotalAdmLocal)*CRONO!$F16,
                        0),
                 V15*$S14),
          SUMIF(OFFSET($S16,1,0,$R14-2),($M14+1)&amp;"$",OFFSET(V16,1,0,$R14-2)))</f>
        <v>704065.17</v>
      </c>
      <c r="W16" s="212">
        <f ca="1">IF($R14=2,
         IF(AND(ACOMPANHAMENTO="PLE",ISNUMBER($F14)),
                SUMIF((OFFSET(CÁLCULO!$BC$15:$BU$15,$F14,0,OFFSET(ORÇAMENTO!$D$15,CRONO!$F14,0))),CRONO!W$12,OFFSET(CÁLCULO!$AJ$15:$BB$15,$F14,0,OFFSET(ORÇAMENTO!$D$15,CRONO!$F14,0)))
                +IF(AND($F16&lt;&gt;"",$F16&lt;&gt;0),
                        SUMIF(CÁLCULO!$BC$15:$BU$131,CRONO!W$12,CÁLCULO!$AJ$15:$BB$131)/(ORÇAMENTO!$X$15-CÁLCULO.TotalAdmLocal)*CRONO!$F16,
                        0),
                 W15*$S14),
          SUMIF(OFFSET($S16,1,0,$R14-2),($M14+1)&amp;"$",OFFSET(W16,1,0,$R14-2)))</f>
        <v>290572.09999999998</v>
      </c>
      <c r="X16" s="212">
        <f ca="1">IF($R14=2,
         IF(AND(ACOMPANHAMENTO="PLE",ISNUMBER($F14)),
                SUMIF((OFFSET(CÁLCULO!$BC$15:$BU$15,$F14,0,OFFSET(ORÇAMENTO!$D$15,CRONO!$F14,0))),CRONO!X$12,OFFSET(CÁLCULO!$AJ$15:$BB$15,$F14,0,OFFSET(ORÇAMENTO!$D$15,CRONO!$F14,0)))
                +IF(AND($F16&lt;&gt;"",$F16&lt;&gt;0),
                        SUMIF(CÁLCULO!$BC$15:$BU$131,CRONO!X$12,CÁLCULO!$AJ$15:$BB$131)/(ORÇAMENTO!$X$15-CÁLCULO.TotalAdmLocal)*CRONO!$F16,
                        0),
                 X15*$S14),
          SUMIF(OFFSET($S16,1,0,$R14-2),($M14+1)&amp;"$",OFFSET(X16,1,0,$R14-2)))</f>
        <v>125662.13</v>
      </c>
      <c r="Y16" s="212">
        <f ca="1">IF($R14=2,
         IF(AND(ACOMPANHAMENTO="PLE",ISNUMBER($F14)),
                SUMIF((OFFSET(CÁLCULO!$BC$15:$BU$15,$F14,0,OFFSET(ORÇAMENTO!$D$15,CRONO!$F14,0))),CRONO!Y$12,OFFSET(CÁLCULO!$AJ$15:$BB$15,$F14,0,OFFSET(ORÇAMENTO!$D$15,CRONO!$F14,0)))
                +IF(AND($F16&lt;&gt;"",$F16&lt;&gt;0),
                        SUMIF(CÁLCULO!$BC$15:$BU$131,CRONO!Y$12,CÁLCULO!$AJ$15:$BB$131)/(ORÇAMENTO!$X$15-CÁLCULO.TotalAdmLocal)*CRONO!$F16,
                        0),
                 Y15*$S14),
          SUMIF(OFFSET($S16,1,0,$R14-2),($M14+1)&amp;"$",OFFSET(Y16,1,0,$R14-2)))</f>
        <v>113615.63999999997</v>
      </c>
      <c r="Z16" s="212">
        <f ca="1">IF($R14=2,
         IF(AND(ACOMPANHAMENTO="PLE",ISNUMBER($F14)),
                SUMIF((OFFSET(CÁLCULO!$BC$15:$BU$15,$F14,0,OFFSET(ORÇAMENTO!$D$15,CRONO!$F14,0))),CRONO!Z$12,OFFSET(CÁLCULO!$AJ$15:$BB$15,$F14,0,OFFSET(ORÇAMENTO!$D$15,CRONO!$F14,0)))
                +IF(AND($F16&lt;&gt;"",$F16&lt;&gt;0),
                        SUMIF(CÁLCULO!$BC$15:$BU$131,CRONO!Z$12,CÁLCULO!$AJ$15:$BB$131)/(ORÇAMENTO!$X$15-CÁLCULO.TotalAdmLocal)*CRONO!$F16,
                        0),
                 Z15*$S14),
          SUMIF(OFFSET($S16,1,0,$R14-2),($M14+1)&amp;"$",OFFSET(Z16,1,0,$R14-2)))</f>
        <v>0</v>
      </c>
      <c r="AA16" s="212">
        <f ca="1">IF($R14=2,
         IF(AND(ACOMPANHAMENTO="PLE",ISNUMBER($F14)),
                SUMIF((OFFSET(CÁLCULO!$BC$15:$BU$15,$F14,0,OFFSET(ORÇAMENTO!$D$15,CRONO!$F14,0))),CRONO!AA$12,OFFSET(CÁLCULO!$AJ$15:$BB$15,$F14,0,OFFSET(ORÇAMENTO!$D$15,CRONO!$F14,0)))
                +IF(AND($F16&lt;&gt;"",$F16&lt;&gt;0),
                        SUMIF(CÁLCULO!$BC$15:$BU$131,CRONO!AA$12,CÁLCULO!$AJ$15:$BB$131)/(ORÇAMENTO!$X$15-CÁLCULO.TotalAdmLocal)*CRONO!$F16,
                        0),
                 AA15*$S14),
          SUMIF(OFFSET($S16,1,0,$R14-2),($M14+1)&amp;"$",OFFSET(AA16,1,0,$R14-2)))</f>
        <v>0</v>
      </c>
      <c r="AB16" s="212">
        <f ca="1">IF($R14=2,
         IF(AND(ACOMPANHAMENTO="PLE",ISNUMBER($F14)),
                SUMIF((OFFSET(CÁLCULO!$BC$15:$BU$15,$F14,0,OFFSET(ORÇAMENTO!$D$15,CRONO!$F14,0))),CRONO!AB$12,OFFSET(CÁLCULO!$AJ$15:$BB$15,$F14,0,OFFSET(ORÇAMENTO!$D$15,CRONO!$F14,0)))
                +IF(AND($F16&lt;&gt;"",$F16&lt;&gt;0),
                        SUMIF(CÁLCULO!$BC$15:$BU$131,CRONO!AB$12,CÁLCULO!$AJ$15:$BB$131)/(ORÇAMENTO!$X$15-CÁLCULO.TotalAdmLocal)*CRONO!$F16,
                        0),
                 AB15*$S14),
          SUMIF(OFFSET($S16,1,0,$R14-2),($M14+1)&amp;"$",OFFSET(AB16,1,0,$R14-2)))</f>
        <v>0</v>
      </c>
      <c r="AC16" s="212">
        <f ca="1">IF($R14=2,
         IF(AND(ACOMPANHAMENTO="PLE",ISNUMBER($F14)),
                SUMIF((OFFSET(CÁLCULO!$BC$15:$BU$15,$F14,0,OFFSET(ORÇAMENTO!$D$15,CRONO!$F14,0))),CRONO!AC$12,OFFSET(CÁLCULO!$AJ$15:$BB$15,$F14,0,OFFSET(ORÇAMENTO!$D$15,CRONO!$F14,0)))
                +IF(AND($F16&lt;&gt;"",$F16&lt;&gt;0),
                        SUMIF(CÁLCULO!$BC$15:$BU$131,CRONO!AC$12,CÁLCULO!$AJ$15:$BB$131)/(ORÇAMENTO!$X$15-CÁLCULO.TotalAdmLocal)*CRONO!$F16,
                        0),
                 AC15*$S14),
          SUMIF(OFFSET($S16,1,0,$R14-2),($M14+1)&amp;"$",OFFSET(AC16,1,0,$R14-2)))</f>
        <v>0</v>
      </c>
      <c r="AD16" s="212">
        <f ca="1">IF($R14=2,
         IF(AND(ACOMPANHAMENTO="PLE",ISNUMBER($F14)),
                SUMIF((OFFSET(CÁLCULO!$BC$15:$BU$15,$F14,0,OFFSET(ORÇAMENTO!$D$15,CRONO!$F14,0))),CRONO!AD$12,OFFSET(CÁLCULO!$AJ$15:$BB$15,$F14,0,OFFSET(ORÇAMENTO!$D$15,CRONO!$F14,0)))
                +IF(AND($F16&lt;&gt;"",$F16&lt;&gt;0),
                        SUMIF(CÁLCULO!$BC$15:$BU$131,CRONO!AD$12,CÁLCULO!$AJ$15:$BB$131)/(ORÇAMENTO!$X$15-CÁLCULO.TotalAdmLocal)*CRONO!$F16,
                        0),
                 AD15*$S14),
          SUMIF(OFFSET($S16,1,0,$R14-2),($M14+1)&amp;"$",OFFSET(AD16,1,0,$R14-2)))</f>
        <v>0</v>
      </c>
      <c r="AE16" s="212">
        <f ca="1">IF($R14=2,
         IF(AND(ACOMPANHAMENTO="PLE",ISNUMBER($F14)),
                SUMIF((OFFSET(CÁLCULO!$BC$15:$BU$15,$F14,0,OFFSET(ORÇAMENTO!$D$15,CRONO!$F14,0))),CRONO!AE$12,OFFSET(CÁLCULO!$AJ$15:$BB$15,$F14,0,OFFSET(ORÇAMENTO!$D$15,CRONO!$F14,0)))
                +IF(AND($F16&lt;&gt;"",$F16&lt;&gt;0),
                        SUMIF(CÁLCULO!$BC$15:$BU$131,CRONO!AE$12,CÁLCULO!$AJ$15:$BB$131)/(ORÇAMENTO!$X$15-CÁLCULO.TotalAdmLocal)*CRONO!$F16,
                        0),
                 AE15*$S14),
          SUMIF(OFFSET($S16,1,0,$R14-2),($M14+1)&amp;"$",OFFSET(AE16,1,0,$R14-2)))</f>
        <v>0</v>
      </c>
      <c r="AF16" s="212">
        <f ca="1">IF($R14=2,
         IF(AND(ACOMPANHAMENTO="PLE",ISNUMBER($F14)),
                SUMIF((OFFSET(CÁLCULO!$BC$15:$BU$15,$F14,0,OFFSET(ORÇAMENTO!$D$15,CRONO!$F14,0))),CRONO!AF$12,OFFSET(CÁLCULO!$AJ$15:$BB$15,$F14,0,OFFSET(ORÇAMENTO!$D$15,CRONO!$F14,0)))
                +IF(AND($F16&lt;&gt;"",$F16&lt;&gt;0),
                        SUMIF(CÁLCULO!$BC$15:$BU$131,CRONO!AF$12,CÁLCULO!$AJ$15:$BB$131)/(ORÇAMENTO!$X$15-CÁLCULO.TotalAdmLocal)*CRONO!$F16,
                        0),
                 AF15*$S14),
          SUMIF(OFFSET($S16,1,0,$R14-2),($M14+1)&amp;"$",OFFSET(AF16,1,0,$R14-2)))</f>
        <v>0</v>
      </c>
      <c r="AG16" s="212">
        <f ca="1">IF($R14=2,
         IF(AND(ACOMPANHAMENTO="PLE",ISNUMBER($F14)),
                SUMIF((OFFSET(CÁLCULO!$BC$15:$BU$15,$F14,0,OFFSET(ORÇAMENTO!$D$15,CRONO!$F14,0))),CRONO!AG$12,OFFSET(CÁLCULO!$AJ$15:$BB$15,$F14,0,OFFSET(ORÇAMENTO!$D$15,CRONO!$F14,0)))
                +IF(AND($F16&lt;&gt;"",$F16&lt;&gt;0),
                        SUMIF(CÁLCULO!$BC$15:$BU$131,CRONO!AG$12,CÁLCULO!$AJ$15:$BB$131)/(ORÇAMENTO!$X$15-CÁLCULO.TotalAdmLocal)*CRONO!$F16,
                        0),
                 AG15*$S14),
          SUMIF(OFFSET($S16,1,0,$R14-2),($M14+1)&amp;"$",OFFSET(AG16,1,0,$R14-2)))</f>
        <v>0</v>
      </c>
      <c r="AH16" s="212">
        <f ca="1">IF($R14=2,
         IF(AND(ACOMPANHAMENTO="PLE",ISNUMBER($F14)),
                SUMIF((OFFSET(CÁLCULO!$BC$15:$BU$15,$F14,0,OFFSET(ORÇAMENTO!$D$15,CRONO!$F14,0))),CRONO!AH$12,OFFSET(CÁLCULO!$AJ$15:$BB$15,$F14,0,OFFSET(ORÇAMENTO!$D$15,CRONO!$F14,0)))
                +IF(AND($F16&lt;&gt;"",$F16&lt;&gt;0),
                        SUMIF(CÁLCULO!$BC$15:$BU$131,CRONO!AH$12,CÁLCULO!$AJ$15:$BB$131)/(ORÇAMENTO!$X$15-CÁLCULO.TotalAdmLocal)*CRONO!$F16,
                        0),
                 AH15*$S14),
          SUMIF(OFFSET($S16,1,0,$R14-2),($M14+1)&amp;"$",OFFSET(AH16,1,0,$R14-2)))</f>
        <v>0</v>
      </c>
      <c r="AI16" s="212">
        <f ca="1">IF($R14=2,
         IF(AND(ACOMPANHAMENTO="PLE",ISNUMBER($F14)),
                SUMIF((OFFSET(CÁLCULO!$BC$15:$BU$15,$F14,0,OFFSET(ORÇAMENTO!$D$15,CRONO!$F14,0))),CRONO!AI$12,OFFSET(CÁLCULO!$AJ$15:$BB$15,$F14,0,OFFSET(ORÇAMENTO!$D$15,CRONO!$F14,0)))
                +IF(AND($F16&lt;&gt;"",$F16&lt;&gt;0),
                        SUMIF(CÁLCULO!$BC$15:$BU$131,CRONO!AI$12,CÁLCULO!$AJ$15:$BB$131)/(ORÇAMENTO!$X$15-CÁLCULO.TotalAdmLocal)*CRONO!$F16,
                        0),
                 AI15*$S14),
          SUMIF(OFFSET($S16,1,0,$R14-2),($M14+1)&amp;"$",OFFSET(AI16,1,0,$R14-2)))</f>
        <v>0</v>
      </c>
      <c r="AJ16" s="212">
        <f ca="1">IF($R14=2,
         IF(AND(ACOMPANHAMENTO="PLE",ISNUMBER($F14)),
                SUMIF((OFFSET(CÁLCULO!$BC$15:$BU$15,$F14,0,OFFSET(ORÇAMENTO!$D$15,CRONO!$F14,0))),CRONO!AJ$12,OFFSET(CÁLCULO!$AJ$15:$BB$15,$F14,0,OFFSET(ORÇAMENTO!$D$15,CRONO!$F14,0)))
                +IF(AND($F16&lt;&gt;"",$F16&lt;&gt;0),
                        SUMIF(CÁLCULO!$BC$15:$BU$131,CRONO!AJ$12,CÁLCULO!$AJ$15:$BB$131)/(ORÇAMENTO!$X$15-CÁLCULO.TotalAdmLocal)*CRONO!$F16,
                        0),
                 AJ15*$S14),
          SUMIF(OFFSET($S16,1,0,$R14-2),($M14+1)&amp;"$",OFFSET(AJ16,1,0,$R14-2)))</f>
        <v>0</v>
      </c>
      <c r="AK16" s="212">
        <f ca="1">IF($R14=2,
         IF(AND(ACOMPANHAMENTO="PLE",ISNUMBER($F14)),
                SUMIF((OFFSET(CÁLCULO!$BC$15:$BU$15,$F14,0,OFFSET(ORÇAMENTO!$D$15,CRONO!$F14,0))),CRONO!AK$12,OFFSET(CÁLCULO!$AJ$15:$BB$15,$F14,0,OFFSET(ORÇAMENTO!$D$15,CRONO!$F14,0)))
                +IF(AND($F16&lt;&gt;"",$F16&lt;&gt;0),
                        SUMIF(CÁLCULO!$BC$15:$BU$131,CRONO!AK$12,CÁLCULO!$AJ$15:$BB$131)/(ORÇAMENTO!$X$15-CÁLCULO.TotalAdmLocal)*CRONO!$F16,
                        0),
                 AK15*$S14),
          SUMIF(OFFSET($S16,1,0,$R14-2),($M14+1)&amp;"$",OFFSET(AK16,1,0,$R14-2)))</f>
        <v>0</v>
      </c>
      <c r="AL16" s="212">
        <f ca="1">IF($R14=2,
         IF(AND(ACOMPANHAMENTO="PLE",ISNUMBER($F14)),
                SUMIF((OFFSET(CÁLCULO!$BC$15:$BU$15,$F14,0,OFFSET(ORÇAMENTO!$D$15,CRONO!$F14,0))),CRONO!AL$12,OFFSET(CÁLCULO!$AJ$15:$BB$15,$F14,0,OFFSET(ORÇAMENTO!$D$15,CRONO!$F14,0)))
                +IF(AND($F16&lt;&gt;"",$F16&lt;&gt;0),
                        SUMIF(CÁLCULO!$BC$15:$BU$131,CRONO!AL$12,CÁLCULO!$AJ$15:$BB$131)/(ORÇAMENTO!$X$15-CÁLCULO.TotalAdmLocal)*CRONO!$F16,
                        0),
                 AL15*$S14),
          SUMIF(OFFSET($S16,1,0,$R14-2),($M14+1)&amp;"$",OFFSET(AL16,1,0,$R14-2)))</f>
        <v>0</v>
      </c>
      <c r="AM16" s="212">
        <f ca="1">IF($R14=2,
         IF(AND(ACOMPANHAMENTO="PLE",ISNUMBER($F14)),
                SUMIF((OFFSET(CÁLCULO!$BC$15:$BU$15,$F14,0,OFFSET(ORÇAMENTO!$D$15,CRONO!$F14,0))),CRONO!AM$12,OFFSET(CÁLCULO!$AJ$15:$BB$15,$F14,0,OFFSET(ORÇAMENTO!$D$15,CRONO!$F14,0)))
                +IF(AND($F16&lt;&gt;"",$F16&lt;&gt;0),
                        SUMIF(CÁLCULO!$BC$15:$BU$131,CRONO!AM$12,CÁLCULO!$AJ$15:$BB$131)/(ORÇAMENTO!$X$15-CÁLCULO.TotalAdmLocal)*CRONO!$F16,
                        0),
                 AM15*$S14),
          SUMIF(OFFSET($S16,1,0,$R14-2),($M14+1)&amp;"$",OFFSET(AM16,1,0,$R14-2)))</f>
        <v>0</v>
      </c>
      <c r="AN16" s="212">
        <f ca="1">IF($R14=2,
         IF(AND(ACOMPANHAMENTO="PLE",ISNUMBER($F14)),
                SUMIF((OFFSET(CÁLCULO!$BC$15:$BU$15,$F14,0,OFFSET(ORÇAMENTO!$D$15,CRONO!$F14,0))),CRONO!AN$12,OFFSET(CÁLCULO!$AJ$15:$BB$15,$F14,0,OFFSET(ORÇAMENTO!$D$15,CRONO!$F14,0)))
                +IF(AND($F16&lt;&gt;"",$F16&lt;&gt;0),
                        SUMIF(CÁLCULO!$BC$15:$BU$131,CRONO!AN$12,CÁLCULO!$AJ$15:$BB$131)/(ORÇAMENTO!$X$15-CÁLCULO.TotalAdmLocal)*CRONO!$F16,
                        0),
                 AN15*$S14),
          SUMIF(OFFSET($S16,1,0,$R14-2),($M14+1)&amp;"$",OFFSET(AN16,1,0,$R14-2)))</f>
        <v>0</v>
      </c>
      <c r="AO16" s="212">
        <f ca="1">IF($R14=2,
         IF(AND(ACOMPANHAMENTO="PLE",ISNUMBER($F14)),
                SUMIF((OFFSET(CÁLCULO!$BC$15:$BU$15,$F14,0,OFFSET(ORÇAMENTO!$D$15,CRONO!$F14,0))),CRONO!AO$12,OFFSET(CÁLCULO!$AJ$15:$BB$15,$F14,0,OFFSET(ORÇAMENTO!$D$15,CRONO!$F14,0)))
                +IF(AND($F16&lt;&gt;"",$F16&lt;&gt;0),
                        SUMIF(CÁLCULO!$BC$15:$BU$131,CRONO!AO$12,CÁLCULO!$AJ$15:$BB$131)/(ORÇAMENTO!$X$15-CÁLCULO.TotalAdmLocal)*CRONO!$F16,
                        0),
                 AO15*$S14),
          SUMIF(OFFSET($S16,1,0,$R14-2),($M14+1)&amp;"$",OFFSET(AO16,1,0,$R14-2)))</f>
        <v>0</v>
      </c>
      <c r="AP16" s="212">
        <f ca="1">IF($R14=2,
         IF(AND(ACOMPANHAMENTO="PLE",ISNUMBER($F14)),
                SUMIF((OFFSET(CÁLCULO!$BC$15:$BU$15,$F14,0,OFFSET(ORÇAMENTO!$D$15,CRONO!$F14,0))),CRONO!AP$12,OFFSET(CÁLCULO!$AJ$15:$BB$15,$F14,0,OFFSET(ORÇAMENTO!$D$15,CRONO!$F14,0)))
                +IF(AND($F16&lt;&gt;"",$F16&lt;&gt;0),
                        SUMIF(CÁLCULO!$BC$15:$BU$131,CRONO!AP$12,CÁLCULO!$AJ$15:$BB$131)/(ORÇAMENTO!$X$15-CÁLCULO.TotalAdmLocal)*CRONO!$F16,
                        0),
                 AP15*$S14),
          SUMIF(OFFSET($S16,1,0,$R14-2),($M14+1)&amp;"$",OFFSET(AP16,1,0,$R14-2)))</f>
        <v>0</v>
      </c>
      <c r="AQ16" s="212">
        <f ca="1">IF($R14=2,
         IF(AND(ACOMPANHAMENTO="PLE",ISNUMBER($F14)),
                SUMIF((OFFSET(CÁLCULO!$BC$15:$BU$15,$F14,0,OFFSET(ORÇAMENTO!$D$15,CRONO!$F14,0))),CRONO!AQ$12,OFFSET(CÁLCULO!$AJ$15:$BB$15,$F14,0,OFFSET(ORÇAMENTO!$D$15,CRONO!$F14,0)))
                +IF(AND($F16&lt;&gt;"",$F16&lt;&gt;0),
                        SUMIF(CÁLCULO!$BC$15:$BU$131,CRONO!AQ$12,CÁLCULO!$AJ$15:$BB$131)/(ORÇAMENTO!$X$15-CÁLCULO.TotalAdmLocal)*CRONO!$F16,
                        0),
                 AQ15*$S14),
          SUMIF(OFFSET($S16,1,0,$R14-2),($M14+1)&amp;"$",OFFSET(AQ16,1,0,$R14-2)))</f>
        <v>0</v>
      </c>
      <c r="AR16" s="212">
        <f ca="1">IF($R14=2,
         IF(AND(ACOMPANHAMENTO="PLE",ISNUMBER($F14)),
                SUMIF((OFFSET(CÁLCULO!$BC$15:$BU$15,$F14,0,OFFSET(ORÇAMENTO!$D$15,CRONO!$F14,0))),CRONO!AR$12,OFFSET(CÁLCULO!$AJ$15:$BB$15,$F14,0,OFFSET(ORÇAMENTO!$D$15,CRONO!$F14,0)))
                +IF(AND($F16&lt;&gt;"",$F16&lt;&gt;0),
                        SUMIF(CÁLCULO!$BC$15:$BU$131,CRONO!AR$12,CÁLCULO!$AJ$15:$BB$131)/(ORÇAMENTO!$X$15-CÁLCULO.TotalAdmLocal)*CRONO!$F16,
                        0),
                 AR15*$S14),
          SUMIF(OFFSET($S16,1,0,$R14-2),($M14+1)&amp;"$",OFFSET(AR16,1,0,$R14-2)))</f>
        <v>0</v>
      </c>
      <c r="AS16" s="577"/>
    </row>
    <row r="17" spans="1:45" x14ac:dyDescent="0.2">
      <c r="A17" s="196" t="str">
        <f t="shared" ref="A17" ca="1" si="8">IF($M17&gt;1,CONCATENATE($I17," ",$J17),"")</f>
        <v>1.1. SERVIÇOS INICIAIS</v>
      </c>
      <c r="B17" s="195">
        <f t="shared" ref="B17" ca="1" si="9">OFFSET(B17,-3,0)+1</f>
        <v>2</v>
      </c>
      <c r="C17" s="195">
        <f ca="1">IF($R17&lt;&gt;2,0,IF($S17=0,1,IF(F18&gt;0,OFFSET(QCI!$M$13,SUBSTITUTE(F18,".",""),0),OFFSET(ORÇAMENTO!$AA$15,CRONO!$F17,0))/$S17))</f>
        <v>1</v>
      </c>
      <c r="D17" s="195">
        <f ca="1">IF($R17&lt;&gt;2,0,IF($S17=0,1,IF(F18&gt;0,OFFSET(QCI!$N$13,SUBSTITUTE(F18,".",""),0),OFFSET(ORÇAMENTO!$AB$15,CRONO!$F17,0))/$S17))</f>
        <v>0</v>
      </c>
      <c r="E17" s="198">
        <f ca="1">IF(AND($R17=2,ACOMPANHAMENTO="BM"),ROUND(E18,4),E19/$S17)</f>
        <v>1</v>
      </c>
      <c r="F17" s="195">
        <f ca="1">IF(B17&lt;=ORÇAMENTO.MáximoListaCrono,MATCH(B17,ORÇAMENTO.ListaCrono,0),NA())</f>
        <v>2</v>
      </c>
      <c r="G17" s="195" t="str">
        <f t="shared" ref="G17" ca="1" si="10">IF(AND($F18&lt;&gt;-1,$S17&gt;0),"F","")</f>
        <v>F</v>
      </c>
      <c r="H17" s="199" t="str">
        <f ca="1">IF(OR(S17=0,S17=""),"Linha",IF(AND(OR(ACOMPANHAMENTO="PLE",$R17&lt;&gt;2),$F18=0),"Linha",ROUND(1-SUM(U17:AS17),4)))</f>
        <v>Linha</v>
      </c>
      <c r="I17" s="200" t="str">
        <f ca="1">IF($F18=0,OFFSET(ORÇAMENTO!O$15,$F17,0),IF($F18&lt;&gt;-1,OFFSET(QCI!$D$13,$F18,0),""))</f>
        <v>1.1.</v>
      </c>
      <c r="J17" s="201" t="str">
        <f ca="1">IF($F18=0,OFFSET(ORÇAMENTO!R$15,$F17,0),IF($F18&lt;&gt;-1,OFFSET(QCI!$G$13,$F18,0),""))</f>
        <v>SERVIÇOS INICIAIS</v>
      </c>
      <c r="K17" s="201"/>
      <c r="L17" s="201"/>
      <c r="M17" s="202">
        <f ca="1">IF($F18=0,OFFSET(ORÇAMENTO!C$15,$F17,0),1)</f>
        <v>2</v>
      </c>
      <c r="N17" s="203">
        <f ca="1">IF($F18=-1,0,IF(N$13&lt;=$M17,IF(ISERROR(MATCH(N$13,OFFSET($M17,1,0,ROW($M$107)-ROW($M17)-1),0)),ROW($M$107)-ROW($M17)-1,MATCH(N$13,OFFSET($M17,1,0,ROW($M$107)-ROW($M17)-1),0)-1),0))</f>
        <v>38</v>
      </c>
      <c r="O17" s="203">
        <f ca="1">IF($F18=-1,0,IF(O$13&lt;=$M17,IF(ISERROR(MATCH(O$13,OFFSET($M17,1,0,ROW($M$107)-ROW($M17)-1),0)),ROW($M$107)-ROW($M17)-1,MATCH(O$13,OFFSET($M17,1,0,ROW($M$107)-ROW($M17)-1),0)-1),0))</f>
        <v>2</v>
      </c>
      <c r="P17" s="203">
        <f ca="1">IF($F18=-1,0,IF(P$13&lt;=$M17,IF(ISERROR(MATCH(P$13,OFFSET($M17,1,0,ROW($M$107)-ROW($M17)-1),0)),ROW($M$107)-ROW($M17)-1,MATCH(P$13,OFFSET($M17,1,0,ROW($M$107)-ROW($M17)-1),0)-1),0))</f>
        <v>0</v>
      </c>
      <c r="Q17" s="203">
        <f ca="1">IF($F18=-1,0,IF(Q$13&lt;=$M17,IF(ISERROR(MATCH(Q$13,OFFSET($M17,1,0,ROW($M$107)-ROW($M17)-1),0)),ROW($M$107)-ROW($M17)-1,MATCH(Q$13,OFFSET($M17,1,0,ROW($M$107)-ROW($M17)-1),0)-1),0))</f>
        <v>0</v>
      </c>
      <c r="R17" s="203">
        <f t="shared" ref="R17" ca="1" si="11">MIN(OFFSET(M17,0,1,,M17))</f>
        <v>2</v>
      </c>
      <c r="S17" s="204">
        <f ca="1">IF($F18=0,OFFSET(ORÇAMENTO!X$15,$F17,0),IF($F18&lt;&gt;-1,OFFSET(QCI!$O$13,$F18,0),""))</f>
        <v>1786.09</v>
      </c>
      <c r="T17" s="205" t="s">
        <v>266</v>
      </c>
      <c r="U17" s="198">
        <f ca="1">IF(AND($R17=2,ACOMPANHAMENTO="BM"),ROUND(U18,4),U19/$S17)</f>
        <v>1</v>
      </c>
      <c r="V17" s="198">
        <f ca="1">IF(AND($R17=2,ACOMPANHAMENTO="BM"),ROUND(V18,4),V19/$S17)</f>
        <v>0</v>
      </c>
      <c r="W17" s="198">
        <f ca="1">IF(AND($R17=2,ACOMPANHAMENTO="BM"),ROUND(W18,4),W19/$S17)</f>
        <v>0</v>
      </c>
      <c r="X17" s="198">
        <f ca="1">IF(AND($R17=2,ACOMPANHAMENTO="BM"),ROUND(X18,4),X19/$S17)</f>
        <v>0</v>
      </c>
      <c r="Y17" s="198">
        <f ca="1">IF(AND($R17=2,ACOMPANHAMENTO="BM"),ROUND(Y18,4),Y19/$S17)</f>
        <v>0</v>
      </c>
      <c r="Z17" s="198">
        <f ca="1">IF(AND($R17=2,ACOMPANHAMENTO="BM"),ROUND(Z18,4),Z19/$S17)</f>
        <v>0</v>
      </c>
      <c r="AA17" s="198">
        <f ca="1">IF(AND($R17=2,ACOMPANHAMENTO="BM"),ROUND(AA18,4),AA19/$S17)</f>
        <v>0</v>
      </c>
      <c r="AB17" s="198">
        <f ca="1">IF(AND($R17=2,ACOMPANHAMENTO="BM"),ROUND(AB18,4),AB19/$S17)</f>
        <v>0</v>
      </c>
      <c r="AC17" s="198">
        <f ca="1">IF(AND($R17=2,ACOMPANHAMENTO="BM"),ROUND(AC18,4),AC19/$S17)</f>
        <v>0</v>
      </c>
      <c r="AD17" s="198">
        <f ca="1">IF(AND($R17=2,ACOMPANHAMENTO="BM"),ROUND(AD18,4),AD19/$S17)</f>
        <v>0</v>
      </c>
      <c r="AE17" s="198">
        <f ca="1">IF(AND($R17=2,ACOMPANHAMENTO="BM"),ROUND(AE18,4),AE19/$S17)</f>
        <v>0</v>
      </c>
      <c r="AF17" s="198">
        <f ca="1">IF(AND($R17=2,ACOMPANHAMENTO="BM"),ROUND(AF18,4),AF19/$S17)</f>
        <v>0</v>
      </c>
      <c r="AG17" s="198">
        <f ca="1">IF(AND($R17=2,ACOMPANHAMENTO="BM"),ROUND(AG18,4),AG19/$S17)</f>
        <v>0</v>
      </c>
      <c r="AH17" s="198">
        <f ca="1">IF(AND($R17=2,ACOMPANHAMENTO="BM"),ROUND(AH18,4),AH19/$S17)</f>
        <v>0</v>
      </c>
      <c r="AI17" s="198">
        <f ca="1">IF(AND($R17=2,ACOMPANHAMENTO="BM"),ROUND(AI18,4),AI19/$S17)</f>
        <v>0</v>
      </c>
      <c r="AJ17" s="198">
        <f ca="1">IF(AND($R17=2,ACOMPANHAMENTO="BM"),ROUND(AJ18,4),AJ19/$S17)</f>
        <v>0</v>
      </c>
      <c r="AK17" s="198">
        <f ca="1">IF(AND($R17=2,ACOMPANHAMENTO="BM"),ROUND(AK18,4),AK19/$S17)</f>
        <v>0</v>
      </c>
      <c r="AL17" s="198">
        <f ca="1">IF(AND($R17=2,ACOMPANHAMENTO="BM"),ROUND(AL18,4),AL19/$S17)</f>
        <v>0</v>
      </c>
      <c r="AM17" s="198">
        <f ca="1">IF(AND($R17=2,ACOMPANHAMENTO="BM"),ROUND(AM18,4),AM19/$S17)</f>
        <v>0</v>
      </c>
      <c r="AN17" s="198">
        <f ca="1">IF(AND($R17=2,ACOMPANHAMENTO="BM"),ROUND(AN18,4),AN19/$S17)</f>
        <v>0</v>
      </c>
      <c r="AO17" s="198">
        <f ca="1">IF(AND($R17=2,ACOMPANHAMENTO="BM"),ROUND(AO18,4),AO19/$S17)</f>
        <v>0</v>
      </c>
      <c r="AP17" s="198">
        <f ca="1">IF(AND($R17=2,ACOMPANHAMENTO="BM"),ROUND(AP18,4),AP19/$S17)</f>
        <v>0</v>
      </c>
      <c r="AQ17" s="198">
        <f ca="1">IF(AND($R17=2,ACOMPANHAMENTO="BM"),ROUND(AQ18,4),AQ19/$S17)</f>
        <v>0</v>
      </c>
      <c r="AR17" s="198">
        <f ca="1">IF(AND($R17=2,ACOMPANHAMENTO="BM"),ROUND(AR18,4),AR19/$S17)</f>
        <v>0</v>
      </c>
      <c r="AS17" s="577"/>
    </row>
    <row r="18" spans="1:45" ht="12.75" hidden="1" customHeight="1" x14ac:dyDescent="0.2">
      <c r="E18" s="645"/>
      <c r="F18" s="195">
        <f ca="1">IF(ISERROR(F17),IF(1+COUNTIF($M$13:OFFSET(M17,-1,0),1)&lt;=MAX(QCI!$D$13:$D$24),1+COUNTIF($M$13:OFFSET(M17,-1,0),1),-1),0)</f>
        <v>0</v>
      </c>
      <c r="G18" s="195" t="str">
        <f ca="1">IF(ACOMPANHAMENTO="BM",OFFSET(G18,-1,0),"")</f>
        <v/>
      </c>
      <c r="H18" s="206" t="str">
        <f ca="1">IF(OR(S17=0,S17=""),"vazia",IF(AND(OR(ACOMPANHAMENTO="PLE",$R17&lt;&gt;2),$F18=0),"calculada","--&gt;"))</f>
        <v>calculada</v>
      </c>
      <c r="I18" s="207"/>
      <c r="J18" s="208" t="str">
        <f t="shared" ref="J18" ca="1" si="12">IF(AND(H17&lt;&gt;0,ISNUMBER(H17)),"PREENCHA ESTA LINHA --&gt;","")</f>
        <v/>
      </c>
      <c r="K18" s="208"/>
      <c r="L18" s="208"/>
      <c r="M18" s="209"/>
      <c r="N18" s="209"/>
      <c r="O18" s="209"/>
      <c r="P18" s="209"/>
      <c r="Q18" s="209"/>
      <c r="R18" s="209"/>
      <c r="S18" s="210"/>
      <c r="T18" s="211"/>
      <c r="U18" s="645"/>
      <c r="V18" s="645"/>
      <c r="W18" s="645"/>
      <c r="X18" s="645"/>
      <c r="Y18" s="645"/>
      <c r="Z18" s="645"/>
      <c r="AA18" s="645"/>
      <c r="AB18" s="645"/>
      <c r="AC18" s="645"/>
      <c r="AD18" s="645"/>
      <c r="AE18" s="645"/>
      <c r="AF18" s="645"/>
      <c r="AG18" s="645"/>
      <c r="AH18" s="645"/>
      <c r="AI18" s="645"/>
      <c r="AJ18" s="645"/>
      <c r="AK18" s="645"/>
      <c r="AL18" s="645"/>
      <c r="AM18" s="645"/>
      <c r="AN18" s="645"/>
      <c r="AO18" s="645"/>
      <c r="AP18" s="645"/>
      <c r="AQ18" s="645"/>
      <c r="AR18" s="645"/>
      <c r="AS18" s="577"/>
    </row>
    <row r="19" spans="1:45" ht="12.75" hidden="1" customHeight="1" x14ac:dyDescent="0.2">
      <c r="D19" s="576"/>
      <c r="E19" s="212">
        <f ca="1">IF($R17=2,
         IF(AND(ACOMPANHAMENTO="PLE",ISNUMBER($F17)),
                SUMIF((OFFSET(CÁLCULO!$BC$15:$BU$15,$F17,0,OFFSET(ORÇAMENTO!$D$15,CRONO!$F17,0))),CRONO!E$12,OFFSET(CÁLCULO!$AJ$15:$BB$15,$F17,0,OFFSET(ORÇAMENTO!$D$15,CRONO!$F17,0)))
                +IF(AND($F19&lt;&gt;"",$F19&lt;&gt;0),
                        SUMIF(CÁLCULO!$BC$15:$BU$131,CRONO!E$12,CÁLCULO!$AJ$15:$BB$131)/(ORÇAMENTO!$X$15-CÁLCULO.TotalAdmLocal)*CRONO!$F19,
                        0),
                 E18*$S17),
          SUMIF(OFFSET($S19,1,0,$R17-2),($M17+1)&amp;"$",OFFSET(E19,1,0,$R17-2)))</f>
        <v>1786.09</v>
      </c>
      <c r="F19" s="195" t="str">
        <f ca="1">IF(OR($R17&lt;&gt;2,AUTOEVENTO&lt;&gt;"manual",$F18&gt;0),"",
        IF(Import.TipoArredondamento="Tradicional",
              SUMIF(OFFSET(CÁLCULO!$M$15,CRONO!$F17,0,OFFSET(ORÇAMENTO!$D$15,CRONO!$F17,0)),1,OFFSET(ORÇAMENTO!$X$15,CRONO!$F17,0,OFFSET(ORÇAMENTO!$D$15,CRONO!$F17,0))),
              0))</f>
        <v/>
      </c>
      <c r="H19" s="213"/>
      <c r="S19" s="214" t="str">
        <f t="shared" ref="S19" ca="1" si="13">M17&amp;"$"</f>
        <v>2$</v>
      </c>
      <c r="T19" s="215"/>
      <c r="U19" s="212">
        <f ca="1">IF($R17=2,
         IF(AND(ACOMPANHAMENTO="PLE",ISNUMBER($F17)),
                SUMIF((OFFSET(CÁLCULO!$BC$15:$BU$15,$F17,0,OFFSET(ORÇAMENTO!$D$15,CRONO!$F17,0))),CRONO!U$12,OFFSET(CÁLCULO!$AJ$15:$BB$15,$F17,0,OFFSET(ORÇAMENTO!$D$15,CRONO!$F17,0)))
                +IF(AND($F19&lt;&gt;"",$F19&lt;&gt;0),
                        SUMIF(CÁLCULO!$BC$15:$BU$131,CRONO!U$12,CÁLCULO!$AJ$15:$BB$131)/(ORÇAMENTO!$X$15-CÁLCULO.TotalAdmLocal)*CRONO!$F19,
                        0),
                 U18*$S17),
          SUMIF(OFFSET($S19,1,0,$R17-2),($M17+1)&amp;"$",OFFSET(U19,1,0,$R17-2)))</f>
        <v>1786.09</v>
      </c>
      <c r="V19" s="212">
        <f ca="1">IF($R17=2,
         IF(AND(ACOMPANHAMENTO="PLE",ISNUMBER($F17)),
                SUMIF((OFFSET(CÁLCULO!$BC$15:$BU$15,$F17,0,OFFSET(ORÇAMENTO!$D$15,CRONO!$F17,0))),CRONO!V$12,OFFSET(CÁLCULO!$AJ$15:$BB$15,$F17,0,OFFSET(ORÇAMENTO!$D$15,CRONO!$F17,0)))
                +IF(AND($F19&lt;&gt;"",$F19&lt;&gt;0),
                        SUMIF(CÁLCULO!$BC$15:$BU$131,CRONO!V$12,CÁLCULO!$AJ$15:$BB$131)/(ORÇAMENTO!$X$15-CÁLCULO.TotalAdmLocal)*CRONO!$F19,
                        0),
                 V18*$S17),
          SUMIF(OFFSET($S19,1,0,$R17-2),($M17+1)&amp;"$",OFFSET(V19,1,0,$R17-2)))</f>
        <v>0</v>
      </c>
      <c r="W19" s="212">
        <f ca="1">IF($R17=2,
         IF(AND(ACOMPANHAMENTO="PLE",ISNUMBER($F17)),
                SUMIF((OFFSET(CÁLCULO!$BC$15:$BU$15,$F17,0,OFFSET(ORÇAMENTO!$D$15,CRONO!$F17,0))),CRONO!W$12,OFFSET(CÁLCULO!$AJ$15:$BB$15,$F17,0,OFFSET(ORÇAMENTO!$D$15,CRONO!$F17,0)))
                +IF(AND($F19&lt;&gt;"",$F19&lt;&gt;0),
                        SUMIF(CÁLCULO!$BC$15:$BU$131,CRONO!W$12,CÁLCULO!$AJ$15:$BB$131)/(ORÇAMENTO!$X$15-CÁLCULO.TotalAdmLocal)*CRONO!$F19,
                        0),
                 W18*$S17),
          SUMIF(OFFSET($S19,1,0,$R17-2),($M17+1)&amp;"$",OFFSET(W19,1,0,$R17-2)))</f>
        <v>0</v>
      </c>
      <c r="X19" s="212">
        <f ca="1">IF($R17=2,
         IF(AND(ACOMPANHAMENTO="PLE",ISNUMBER($F17)),
                SUMIF((OFFSET(CÁLCULO!$BC$15:$BU$15,$F17,0,OFFSET(ORÇAMENTO!$D$15,CRONO!$F17,0))),CRONO!X$12,OFFSET(CÁLCULO!$AJ$15:$BB$15,$F17,0,OFFSET(ORÇAMENTO!$D$15,CRONO!$F17,0)))
                +IF(AND($F19&lt;&gt;"",$F19&lt;&gt;0),
                        SUMIF(CÁLCULO!$BC$15:$BU$131,CRONO!X$12,CÁLCULO!$AJ$15:$BB$131)/(ORÇAMENTO!$X$15-CÁLCULO.TotalAdmLocal)*CRONO!$F19,
                        0),
                 X18*$S17),
          SUMIF(OFFSET($S19,1,0,$R17-2),($M17+1)&amp;"$",OFFSET(X19,1,0,$R17-2)))</f>
        <v>0</v>
      </c>
      <c r="Y19" s="212">
        <f ca="1">IF($R17=2,
         IF(AND(ACOMPANHAMENTO="PLE",ISNUMBER($F17)),
                SUMIF((OFFSET(CÁLCULO!$BC$15:$BU$15,$F17,0,OFFSET(ORÇAMENTO!$D$15,CRONO!$F17,0))),CRONO!Y$12,OFFSET(CÁLCULO!$AJ$15:$BB$15,$F17,0,OFFSET(ORÇAMENTO!$D$15,CRONO!$F17,0)))
                +IF(AND($F19&lt;&gt;"",$F19&lt;&gt;0),
                        SUMIF(CÁLCULO!$BC$15:$BU$131,CRONO!Y$12,CÁLCULO!$AJ$15:$BB$131)/(ORÇAMENTO!$X$15-CÁLCULO.TotalAdmLocal)*CRONO!$F19,
                        0),
                 Y18*$S17),
          SUMIF(OFFSET($S19,1,0,$R17-2),($M17+1)&amp;"$",OFFSET(Y19,1,0,$R17-2)))</f>
        <v>0</v>
      </c>
      <c r="Z19" s="212">
        <f ca="1">IF($R17=2,
         IF(AND(ACOMPANHAMENTO="PLE",ISNUMBER($F17)),
                SUMIF((OFFSET(CÁLCULO!$BC$15:$BU$15,$F17,0,OFFSET(ORÇAMENTO!$D$15,CRONO!$F17,0))),CRONO!Z$12,OFFSET(CÁLCULO!$AJ$15:$BB$15,$F17,0,OFFSET(ORÇAMENTO!$D$15,CRONO!$F17,0)))
                +IF(AND($F19&lt;&gt;"",$F19&lt;&gt;0),
                        SUMIF(CÁLCULO!$BC$15:$BU$131,CRONO!Z$12,CÁLCULO!$AJ$15:$BB$131)/(ORÇAMENTO!$X$15-CÁLCULO.TotalAdmLocal)*CRONO!$F19,
                        0),
                 Z18*$S17),
          SUMIF(OFFSET($S19,1,0,$R17-2),($M17+1)&amp;"$",OFFSET(Z19,1,0,$R17-2)))</f>
        <v>0</v>
      </c>
      <c r="AA19" s="212">
        <f ca="1">IF($R17=2,
         IF(AND(ACOMPANHAMENTO="PLE",ISNUMBER($F17)),
                SUMIF((OFFSET(CÁLCULO!$BC$15:$BU$15,$F17,0,OFFSET(ORÇAMENTO!$D$15,CRONO!$F17,0))),CRONO!AA$12,OFFSET(CÁLCULO!$AJ$15:$BB$15,$F17,0,OFFSET(ORÇAMENTO!$D$15,CRONO!$F17,0)))
                +IF(AND($F19&lt;&gt;"",$F19&lt;&gt;0),
                        SUMIF(CÁLCULO!$BC$15:$BU$131,CRONO!AA$12,CÁLCULO!$AJ$15:$BB$131)/(ORÇAMENTO!$X$15-CÁLCULO.TotalAdmLocal)*CRONO!$F19,
                        0),
                 AA18*$S17),
          SUMIF(OFFSET($S19,1,0,$R17-2),($M17+1)&amp;"$",OFFSET(AA19,1,0,$R17-2)))</f>
        <v>0</v>
      </c>
      <c r="AB19" s="212">
        <f ca="1">IF($R17=2,
         IF(AND(ACOMPANHAMENTO="PLE",ISNUMBER($F17)),
                SUMIF((OFFSET(CÁLCULO!$BC$15:$BU$15,$F17,0,OFFSET(ORÇAMENTO!$D$15,CRONO!$F17,0))),CRONO!AB$12,OFFSET(CÁLCULO!$AJ$15:$BB$15,$F17,0,OFFSET(ORÇAMENTO!$D$15,CRONO!$F17,0)))
                +IF(AND($F19&lt;&gt;"",$F19&lt;&gt;0),
                        SUMIF(CÁLCULO!$BC$15:$BU$131,CRONO!AB$12,CÁLCULO!$AJ$15:$BB$131)/(ORÇAMENTO!$X$15-CÁLCULO.TotalAdmLocal)*CRONO!$F19,
                        0),
                 AB18*$S17),
          SUMIF(OFFSET($S19,1,0,$R17-2),($M17+1)&amp;"$",OFFSET(AB19,1,0,$R17-2)))</f>
        <v>0</v>
      </c>
      <c r="AC19" s="212">
        <f ca="1">IF($R17=2,
         IF(AND(ACOMPANHAMENTO="PLE",ISNUMBER($F17)),
                SUMIF((OFFSET(CÁLCULO!$BC$15:$BU$15,$F17,0,OFFSET(ORÇAMENTO!$D$15,CRONO!$F17,0))),CRONO!AC$12,OFFSET(CÁLCULO!$AJ$15:$BB$15,$F17,0,OFFSET(ORÇAMENTO!$D$15,CRONO!$F17,0)))
                +IF(AND($F19&lt;&gt;"",$F19&lt;&gt;0),
                        SUMIF(CÁLCULO!$BC$15:$BU$131,CRONO!AC$12,CÁLCULO!$AJ$15:$BB$131)/(ORÇAMENTO!$X$15-CÁLCULO.TotalAdmLocal)*CRONO!$F19,
                        0),
                 AC18*$S17),
          SUMIF(OFFSET($S19,1,0,$R17-2),($M17+1)&amp;"$",OFFSET(AC19,1,0,$R17-2)))</f>
        <v>0</v>
      </c>
      <c r="AD19" s="212">
        <f ca="1">IF($R17=2,
         IF(AND(ACOMPANHAMENTO="PLE",ISNUMBER($F17)),
                SUMIF((OFFSET(CÁLCULO!$BC$15:$BU$15,$F17,0,OFFSET(ORÇAMENTO!$D$15,CRONO!$F17,0))),CRONO!AD$12,OFFSET(CÁLCULO!$AJ$15:$BB$15,$F17,0,OFFSET(ORÇAMENTO!$D$15,CRONO!$F17,0)))
                +IF(AND($F19&lt;&gt;"",$F19&lt;&gt;0),
                        SUMIF(CÁLCULO!$BC$15:$BU$131,CRONO!AD$12,CÁLCULO!$AJ$15:$BB$131)/(ORÇAMENTO!$X$15-CÁLCULO.TotalAdmLocal)*CRONO!$F19,
                        0),
                 AD18*$S17),
          SUMIF(OFFSET($S19,1,0,$R17-2),($M17+1)&amp;"$",OFFSET(AD19,1,0,$R17-2)))</f>
        <v>0</v>
      </c>
      <c r="AE19" s="212">
        <f ca="1">IF($R17=2,
         IF(AND(ACOMPANHAMENTO="PLE",ISNUMBER($F17)),
                SUMIF((OFFSET(CÁLCULO!$BC$15:$BU$15,$F17,0,OFFSET(ORÇAMENTO!$D$15,CRONO!$F17,0))),CRONO!AE$12,OFFSET(CÁLCULO!$AJ$15:$BB$15,$F17,0,OFFSET(ORÇAMENTO!$D$15,CRONO!$F17,0)))
                +IF(AND($F19&lt;&gt;"",$F19&lt;&gt;0),
                        SUMIF(CÁLCULO!$BC$15:$BU$131,CRONO!AE$12,CÁLCULO!$AJ$15:$BB$131)/(ORÇAMENTO!$X$15-CÁLCULO.TotalAdmLocal)*CRONO!$F19,
                        0),
                 AE18*$S17),
          SUMIF(OFFSET($S19,1,0,$R17-2),($M17+1)&amp;"$",OFFSET(AE19,1,0,$R17-2)))</f>
        <v>0</v>
      </c>
      <c r="AF19" s="212">
        <f ca="1">IF($R17=2,
         IF(AND(ACOMPANHAMENTO="PLE",ISNUMBER($F17)),
                SUMIF((OFFSET(CÁLCULO!$BC$15:$BU$15,$F17,0,OFFSET(ORÇAMENTO!$D$15,CRONO!$F17,0))),CRONO!AF$12,OFFSET(CÁLCULO!$AJ$15:$BB$15,$F17,0,OFFSET(ORÇAMENTO!$D$15,CRONO!$F17,0)))
                +IF(AND($F19&lt;&gt;"",$F19&lt;&gt;0),
                        SUMIF(CÁLCULO!$BC$15:$BU$131,CRONO!AF$12,CÁLCULO!$AJ$15:$BB$131)/(ORÇAMENTO!$X$15-CÁLCULO.TotalAdmLocal)*CRONO!$F19,
                        0),
                 AF18*$S17),
          SUMIF(OFFSET($S19,1,0,$R17-2),($M17+1)&amp;"$",OFFSET(AF19,1,0,$R17-2)))</f>
        <v>0</v>
      </c>
      <c r="AG19" s="212">
        <f ca="1">IF($R17=2,
         IF(AND(ACOMPANHAMENTO="PLE",ISNUMBER($F17)),
                SUMIF((OFFSET(CÁLCULO!$BC$15:$BU$15,$F17,0,OFFSET(ORÇAMENTO!$D$15,CRONO!$F17,0))),CRONO!AG$12,OFFSET(CÁLCULO!$AJ$15:$BB$15,$F17,0,OFFSET(ORÇAMENTO!$D$15,CRONO!$F17,0)))
                +IF(AND($F19&lt;&gt;"",$F19&lt;&gt;0),
                        SUMIF(CÁLCULO!$BC$15:$BU$131,CRONO!AG$12,CÁLCULO!$AJ$15:$BB$131)/(ORÇAMENTO!$X$15-CÁLCULO.TotalAdmLocal)*CRONO!$F19,
                        0),
                 AG18*$S17),
          SUMIF(OFFSET($S19,1,0,$R17-2),($M17+1)&amp;"$",OFFSET(AG19,1,0,$R17-2)))</f>
        <v>0</v>
      </c>
      <c r="AH19" s="212">
        <f ca="1">IF($R17=2,
         IF(AND(ACOMPANHAMENTO="PLE",ISNUMBER($F17)),
                SUMIF((OFFSET(CÁLCULO!$BC$15:$BU$15,$F17,0,OFFSET(ORÇAMENTO!$D$15,CRONO!$F17,0))),CRONO!AH$12,OFFSET(CÁLCULO!$AJ$15:$BB$15,$F17,0,OFFSET(ORÇAMENTO!$D$15,CRONO!$F17,0)))
                +IF(AND($F19&lt;&gt;"",$F19&lt;&gt;0),
                        SUMIF(CÁLCULO!$BC$15:$BU$131,CRONO!AH$12,CÁLCULO!$AJ$15:$BB$131)/(ORÇAMENTO!$X$15-CÁLCULO.TotalAdmLocal)*CRONO!$F19,
                        0),
                 AH18*$S17),
          SUMIF(OFFSET($S19,1,0,$R17-2),($M17+1)&amp;"$",OFFSET(AH19,1,0,$R17-2)))</f>
        <v>0</v>
      </c>
      <c r="AI19" s="212">
        <f ca="1">IF($R17=2,
         IF(AND(ACOMPANHAMENTO="PLE",ISNUMBER($F17)),
                SUMIF((OFFSET(CÁLCULO!$BC$15:$BU$15,$F17,0,OFFSET(ORÇAMENTO!$D$15,CRONO!$F17,0))),CRONO!AI$12,OFFSET(CÁLCULO!$AJ$15:$BB$15,$F17,0,OFFSET(ORÇAMENTO!$D$15,CRONO!$F17,0)))
                +IF(AND($F19&lt;&gt;"",$F19&lt;&gt;0),
                        SUMIF(CÁLCULO!$BC$15:$BU$131,CRONO!AI$12,CÁLCULO!$AJ$15:$BB$131)/(ORÇAMENTO!$X$15-CÁLCULO.TotalAdmLocal)*CRONO!$F19,
                        0),
                 AI18*$S17),
          SUMIF(OFFSET($S19,1,0,$R17-2),($M17+1)&amp;"$",OFFSET(AI19,1,0,$R17-2)))</f>
        <v>0</v>
      </c>
      <c r="AJ19" s="212">
        <f ca="1">IF($R17=2,
         IF(AND(ACOMPANHAMENTO="PLE",ISNUMBER($F17)),
                SUMIF((OFFSET(CÁLCULO!$BC$15:$BU$15,$F17,0,OFFSET(ORÇAMENTO!$D$15,CRONO!$F17,0))),CRONO!AJ$12,OFFSET(CÁLCULO!$AJ$15:$BB$15,$F17,0,OFFSET(ORÇAMENTO!$D$15,CRONO!$F17,0)))
                +IF(AND($F19&lt;&gt;"",$F19&lt;&gt;0),
                        SUMIF(CÁLCULO!$BC$15:$BU$131,CRONO!AJ$12,CÁLCULO!$AJ$15:$BB$131)/(ORÇAMENTO!$X$15-CÁLCULO.TotalAdmLocal)*CRONO!$F19,
                        0),
                 AJ18*$S17),
          SUMIF(OFFSET($S19,1,0,$R17-2),($M17+1)&amp;"$",OFFSET(AJ19,1,0,$R17-2)))</f>
        <v>0</v>
      </c>
      <c r="AK19" s="212">
        <f ca="1">IF($R17=2,
         IF(AND(ACOMPANHAMENTO="PLE",ISNUMBER($F17)),
                SUMIF((OFFSET(CÁLCULO!$BC$15:$BU$15,$F17,0,OFFSET(ORÇAMENTO!$D$15,CRONO!$F17,0))),CRONO!AK$12,OFFSET(CÁLCULO!$AJ$15:$BB$15,$F17,0,OFFSET(ORÇAMENTO!$D$15,CRONO!$F17,0)))
                +IF(AND($F19&lt;&gt;"",$F19&lt;&gt;0),
                        SUMIF(CÁLCULO!$BC$15:$BU$131,CRONO!AK$12,CÁLCULO!$AJ$15:$BB$131)/(ORÇAMENTO!$X$15-CÁLCULO.TotalAdmLocal)*CRONO!$F19,
                        0),
                 AK18*$S17),
          SUMIF(OFFSET($S19,1,0,$R17-2),($M17+1)&amp;"$",OFFSET(AK19,1,0,$R17-2)))</f>
        <v>0</v>
      </c>
      <c r="AL19" s="212">
        <f ca="1">IF($R17=2,
         IF(AND(ACOMPANHAMENTO="PLE",ISNUMBER($F17)),
                SUMIF((OFFSET(CÁLCULO!$BC$15:$BU$15,$F17,0,OFFSET(ORÇAMENTO!$D$15,CRONO!$F17,0))),CRONO!AL$12,OFFSET(CÁLCULO!$AJ$15:$BB$15,$F17,0,OFFSET(ORÇAMENTO!$D$15,CRONO!$F17,0)))
                +IF(AND($F19&lt;&gt;"",$F19&lt;&gt;0),
                        SUMIF(CÁLCULO!$BC$15:$BU$131,CRONO!AL$12,CÁLCULO!$AJ$15:$BB$131)/(ORÇAMENTO!$X$15-CÁLCULO.TotalAdmLocal)*CRONO!$F19,
                        0),
                 AL18*$S17),
          SUMIF(OFFSET($S19,1,0,$R17-2),($M17+1)&amp;"$",OFFSET(AL19,1,0,$R17-2)))</f>
        <v>0</v>
      </c>
      <c r="AM19" s="212">
        <f ca="1">IF($R17=2,
         IF(AND(ACOMPANHAMENTO="PLE",ISNUMBER($F17)),
                SUMIF((OFFSET(CÁLCULO!$BC$15:$BU$15,$F17,0,OFFSET(ORÇAMENTO!$D$15,CRONO!$F17,0))),CRONO!AM$12,OFFSET(CÁLCULO!$AJ$15:$BB$15,$F17,0,OFFSET(ORÇAMENTO!$D$15,CRONO!$F17,0)))
                +IF(AND($F19&lt;&gt;"",$F19&lt;&gt;0),
                        SUMIF(CÁLCULO!$BC$15:$BU$131,CRONO!AM$12,CÁLCULO!$AJ$15:$BB$131)/(ORÇAMENTO!$X$15-CÁLCULO.TotalAdmLocal)*CRONO!$F19,
                        0),
                 AM18*$S17),
          SUMIF(OFFSET($S19,1,0,$R17-2),($M17+1)&amp;"$",OFFSET(AM19,1,0,$R17-2)))</f>
        <v>0</v>
      </c>
      <c r="AN19" s="212">
        <f ca="1">IF($R17=2,
         IF(AND(ACOMPANHAMENTO="PLE",ISNUMBER($F17)),
                SUMIF((OFFSET(CÁLCULO!$BC$15:$BU$15,$F17,0,OFFSET(ORÇAMENTO!$D$15,CRONO!$F17,0))),CRONO!AN$12,OFFSET(CÁLCULO!$AJ$15:$BB$15,$F17,0,OFFSET(ORÇAMENTO!$D$15,CRONO!$F17,0)))
                +IF(AND($F19&lt;&gt;"",$F19&lt;&gt;0),
                        SUMIF(CÁLCULO!$BC$15:$BU$131,CRONO!AN$12,CÁLCULO!$AJ$15:$BB$131)/(ORÇAMENTO!$X$15-CÁLCULO.TotalAdmLocal)*CRONO!$F19,
                        0),
                 AN18*$S17),
          SUMIF(OFFSET($S19,1,0,$R17-2),($M17+1)&amp;"$",OFFSET(AN19,1,0,$R17-2)))</f>
        <v>0</v>
      </c>
      <c r="AO19" s="212">
        <f ca="1">IF($R17=2,
         IF(AND(ACOMPANHAMENTO="PLE",ISNUMBER($F17)),
                SUMIF((OFFSET(CÁLCULO!$BC$15:$BU$15,$F17,0,OFFSET(ORÇAMENTO!$D$15,CRONO!$F17,0))),CRONO!AO$12,OFFSET(CÁLCULO!$AJ$15:$BB$15,$F17,0,OFFSET(ORÇAMENTO!$D$15,CRONO!$F17,0)))
                +IF(AND($F19&lt;&gt;"",$F19&lt;&gt;0),
                        SUMIF(CÁLCULO!$BC$15:$BU$131,CRONO!AO$12,CÁLCULO!$AJ$15:$BB$131)/(ORÇAMENTO!$X$15-CÁLCULO.TotalAdmLocal)*CRONO!$F19,
                        0),
                 AO18*$S17),
          SUMIF(OFFSET($S19,1,0,$R17-2),($M17+1)&amp;"$",OFFSET(AO19,1,0,$R17-2)))</f>
        <v>0</v>
      </c>
      <c r="AP19" s="212">
        <f ca="1">IF($R17=2,
         IF(AND(ACOMPANHAMENTO="PLE",ISNUMBER($F17)),
                SUMIF((OFFSET(CÁLCULO!$BC$15:$BU$15,$F17,0,OFFSET(ORÇAMENTO!$D$15,CRONO!$F17,0))),CRONO!AP$12,OFFSET(CÁLCULO!$AJ$15:$BB$15,$F17,0,OFFSET(ORÇAMENTO!$D$15,CRONO!$F17,0)))
                +IF(AND($F19&lt;&gt;"",$F19&lt;&gt;0),
                        SUMIF(CÁLCULO!$BC$15:$BU$131,CRONO!AP$12,CÁLCULO!$AJ$15:$BB$131)/(ORÇAMENTO!$X$15-CÁLCULO.TotalAdmLocal)*CRONO!$F19,
                        0),
                 AP18*$S17),
          SUMIF(OFFSET($S19,1,0,$R17-2),($M17+1)&amp;"$",OFFSET(AP19,1,0,$R17-2)))</f>
        <v>0</v>
      </c>
      <c r="AQ19" s="212">
        <f ca="1">IF($R17=2,
         IF(AND(ACOMPANHAMENTO="PLE",ISNUMBER($F17)),
                SUMIF((OFFSET(CÁLCULO!$BC$15:$BU$15,$F17,0,OFFSET(ORÇAMENTO!$D$15,CRONO!$F17,0))),CRONO!AQ$12,OFFSET(CÁLCULO!$AJ$15:$BB$15,$F17,0,OFFSET(ORÇAMENTO!$D$15,CRONO!$F17,0)))
                +IF(AND($F19&lt;&gt;"",$F19&lt;&gt;0),
                        SUMIF(CÁLCULO!$BC$15:$BU$131,CRONO!AQ$12,CÁLCULO!$AJ$15:$BB$131)/(ORÇAMENTO!$X$15-CÁLCULO.TotalAdmLocal)*CRONO!$F19,
                        0),
                 AQ18*$S17),
          SUMIF(OFFSET($S19,1,0,$R17-2),($M17+1)&amp;"$",OFFSET(AQ19,1,0,$R17-2)))</f>
        <v>0</v>
      </c>
      <c r="AR19" s="212">
        <f ca="1">IF($R17=2,
         IF(AND(ACOMPANHAMENTO="PLE",ISNUMBER($F17)),
                SUMIF((OFFSET(CÁLCULO!$BC$15:$BU$15,$F17,0,OFFSET(ORÇAMENTO!$D$15,CRONO!$F17,0))),CRONO!AR$12,OFFSET(CÁLCULO!$AJ$15:$BB$15,$F17,0,OFFSET(ORÇAMENTO!$D$15,CRONO!$F17,0)))
                +IF(AND($F19&lt;&gt;"",$F19&lt;&gt;0),
                        SUMIF(CÁLCULO!$BC$15:$BU$131,CRONO!AR$12,CÁLCULO!$AJ$15:$BB$131)/(ORÇAMENTO!$X$15-CÁLCULO.TotalAdmLocal)*CRONO!$F19,
                        0),
                 AR18*$S17),
          SUMIF(OFFSET($S19,1,0,$R17-2),($M17+1)&amp;"$",OFFSET(AR19,1,0,$R17-2)))</f>
        <v>0</v>
      </c>
      <c r="AS19" s="577"/>
    </row>
    <row r="20" spans="1:45" x14ac:dyDescent="0.2">
      <c r="A20" s="196" t="str">
        <f t="shared" ref="A20" ca="1" si="14">IF($M20&gt;1,CONCATENATE($I20," ",$J20),"")</f>
        <v>1.2. LOCAÇÃO DE OBRA</v>
      </c>
      <c r="B20" s="195">
        <f t="shared" ref="B20" ca="1" si="15">OFFSET(B20,-3,0)+1</f>
        <v>3</v>
      </c>
      <c r="C20" s="195">
        <f ca="1">IF($R20&lt;&gt;2,0,IF($S20=0,1,IF(F21&gt;0,OFFSET(QCI!$M$13,SUBSTITUTE(F21,".",""),0),OFFSET(ORÇAMENTO!$AA$15,CRONO!$F20,0))/$S20))</f>
        <v>1</v>
      </c>
      <c r="D20" s="195">
        <f ca="1">IF($R20&lt;&gt;2,0,IF($S20=0,1,IF(F21&gt;0,OFFSET(QCI!$N$13,SUBSTITUTE(F21,".",""),0),OFFSET(ORÇAMENTO!$AB$15,CRONO!$F20,0))/$S20))</f>
        <v>0</v>
      </c>
      <c r="E20" s="198">
        <f ca="1">IF(AND($R20=2,ACOMPANHAMENTO="BM"),ROUND(E21,4),E22/$S20)</f>
        <v>1</v>
      </c>
      <c r="F20" s="195">
        <f ca="1">IF(B20&lt;=ORÇAMENTO.MáximoListaCrono,MATCH(B20,ORÇAMENTO.ListaCrono,0),NA())</f>
        <v>4</v>
      </c>
      <c r="G20" s="195" t="str">
        <f t="shared" ref="G20" ca="1" si="16">IF(AND($F21&lt;&gt;-1,$S20&gt;0),"F","")</f>
        <v>F</v>
      </c>
      <c r="H20" s="199" t="str">
        <f ca="1">IF(OR(S20=0,S20=""),"Linha",IF(AND(OR(ACOMPANHAMENTO="PLE",$R20&lt;&gt;2),$F21=0),"Linha",ROUND(1-SUM(U20:AS20),4)))</f>
        <v>Linha</v>
      </c>
      <c r="I20" s="200" t="str">
        <f ca="1">IF($F21=0,OFFSET(ORÇAMENTO!O$15,$F20,0),IF($F21&lt;&gt;-1,OFFSET(QCI!$D$13,$F21,0),""))</f>
        <v>1.2.</v>
      </c>
      <c r="J20" s="201" t="str">
        <f ca="1">IF($F21=0,OFFSET(ORÇAMENTO!R$15,$F20,0),IF($F21&lt;&gt;-1,OFFSET(QCI!$G$13,$F21,0),""))</f>
        <v>LOCAÇÃO DE OBRA</v>
      </c>
      <c r="K20" s="201"/>
      <c r="L20" s="201"/>
      <c r="M20" s="202">
        <f ca="1">IF($F21=0,OFFSET(ORÇAMENTO!C$15,$F20,0),1)</f>
        <v>2</v>
      </c>
      <c r="N20" s="203">
        <f ca="1">IF($F21=-1,0,IF(N$13&lt;=$M20,IF(ISERROR(MATCH(N$13,OFFSET($M20,1,0,ROW($M$107)-ROW($M20)-1),0)),ROW($M$107)-ROW($M20)-1,MATCH(N$13,OFFSET($M20,1,0,ROW($M$107)-ROW($M20)-1),0)-1),0))</f>
        <v>35</v>
      </c>
      <c r="O20" s="203">
        <f ca="1">IF($F21=-1,0,IF(O$13&lt;=$M20,IF(ISERROR(MATCH(O$13,OFFSET($M20,1,0,ROW($M$107)-ROW($M20)-1),0)),ROW($M$107)-ROW($M20)-1,MATCH(O$13,OFFSET($M20,1,0,ROW($M$107)-ROW($M20)-1),0)-1),0))</f>
        <v>2</v>
      </c>
      <c r="P20" s="203">
        <f ca="1">IF($F21=-1,0,IF(P$13&lt;=$M20,IF(ISERROR(MATCH(P$13,OFFSET($M20,1,0,ROW($M$107)-ROW($M20)-1),0)),ROW($M$107)-ROW($M20)-1,MATCH(P$13,OFFSET($M20,1,0,ROW($M$107)-ROW($M20)-1),0)-1),0))</f>
        <v>0</v>
      </c>
      <c r="Q20" s="203">
        <f ca="1">IF($F21=-1,0,IF(Q$13&lt;=$M20,IF(ISERROR(MATCH(Q$13,OFFSET($M20,1,0,ROW($M$107)-ROW($M20)-1),0)),ROW($M$107)-ROW($M20)-1,MATCH(Q$13,OFFSET($M20,1,0,ROW($M$107)-ROW($M20)-1),0)-1),0))</f>
        <v>0</v>
      </c>
      <c r="R20" s="203">
        <f t="shared" ref="R20" ca="1" si="17">MIN(OFFSET(M20,0,1,,M20))</f>
        <v>2</v>
      </c>
      <c r="S20" s="204">
        <f ca="1">IF($F21=0,OFFSET(ORÇAMENTO!X$15,$F20,0),IF($F21&lt;&gt;-1,OFFSET(QCI!$O$13,$F21,0),""))</f>
        <v>86506.2</v>
      </c>
      <c r="T20" s="205" t="s">
        <v>266</v>
      </c>
      <c r="U20" s="198">
        <f ca="1">IF(AND($R20=2,ACOMPANHAMENTO="BM"),ROUND(U21,4),U22/$S20)</f>
        <v>1</v>
      </c>
      <c r="V20" s="198">
        <f ca="1">IF(AND($R20=2,ACOMPANHAMENTO="BM"),ROUND(V21,4),V22/$S20)</f>
        <v>0</v>
      </c>
      <c r="W20" s="198">
        <f ca="1">IF(AND($R20=2,ACOMPANHAMENTO="BM"),ROUND(W21,4),W22/$S20)</f>
        <v>0</v>
      </c>
      <c r="X20" s="198">
        <f ca="1">IF(AND($R20=2,ACOMPANHAMENTO="BM"),ROUND(X21,4),X22/$S20)</f>
        <v>0</v>
      </c>
      <c r="Y20" s="198">
        <f ca="1">IF(AND($R20=2,ACOMPANHAMENTO="BM"),ROUND(Y21,4),Y22/$S20)</f>
        <v>0</v>
      </c>
      <c r="Z20" s="198">
        <f ca="1">IF(AND($R20=2,ACOMPANHAMENTO="BM"),ROUND(Z21,4),Z22/$S20)</f>
        <v>0</v>
      </c>
      <c r="AA20" s="198">
        <f ca="1">IF(AND($R20=2,ACOMPANHAMENTO="BM"),ROUND(AA21,4),AA22/$S20)</f>
        <v>0</v>
      </c>
      <c r="AB20" s="198">
        <f ca="1">IF(AND($R20=2,ACOMPANHAMENTO="BM"),ROUND(AB21,4),AB22/$S20)</f>
        <v>0</v>
      </c>
      <c r="AC20" s="198">
        <f ca="1">IF(AND($R20=2,ACOMPANHAMENTO="BM"),ROUND(AC21,4),AC22/$S20)</f>
        <v>0</v>
      </c>
      <c r="AD20" s="198">
        <f ca="1">IF(AND($R20=2,ACOMPANHAMENTO="BM"),ROUND(AD21,4),AD22/$S20)</f>
        <v>0</v>
      </c>
      <c r="AE20" s="198">
        <f ca="1">IF(AND($R20=2,ACOMPANHAMENTO="BM"),ROUND(AE21,4),AE22/$S20)</f>
        <v>0</v>
      </c>
      <c r="AF20" s="198">
        <f ca="1">IF(AND($R20=2,ACOMPANHAMENTO="BM"),ROUND(AF21,4),AF22/$S20)</f>
        <v>0</v>
      </c>
      <c r="AG20" s="198">
        <f ca="1">IF(AND($R20=2,ACOMPANHAMENTO="BM"),ROUND(AG21,4),AG22/$S20)</f>
        <v>0</v>
      </c>
      <c r="AH20" s="198">
        <f ca="1">IF(AND($R20=2,ACOMPANHAMENTO="BM"),ROUND(AH21,4),AH22/$S20)</f>
        <v>0</v>
      </c>
      <c r="AI20" s="198">
        <f ca="1">IF(AND($R20=2,ACOMPANHAMENTO="BM"),ROUND(AI21,4),AI22/$S20)</f>
        <v>0</v>
      </c>
      <c r="AJ20" s="198">
        <f ca="1">IF(AND($R20=2,ACOMPANHAMENTO="BM"),ROUND(AJ21,4),AJ22/$S20)</f>
        <v>0</v>
      </c>
      <c r="AK20" s="198">
        <f ca="1">IF(AND($R20=2,ACOMPANHAMENTO="BM"),ROUND(AK21,4),AK22/$S20)</f>
        <v>0</v>
      </c>
      <c r="AL20" s="198">
        <f ca="1">IF(AND($R20=2,ACOMPANHAMENTO="BM"),ROUND(AL21,4),AL22/$S20)</f>
        <v>0</v>
      </c>
      <c r="AM20" s="198">
        <f ca="1">IF(AND($R20=2,ACOMPANHAMENTO="BM"),ROUND(AM21,4),AM22/$S20)</f>
        <v>0</v>
      </c>
      <c r="AN20" s="198">
        <f ca="1">IF(AND($R20=2,ACOMPANHAMENTO="BM"),ROUND(AN21,4),AN22/$S20)</f>
        <v>0</v>
      </c>
      <c r="AO20" s="198">
        <f ca="1">IF(AND($R20=2,ACOMPANHAMENTO="BM"),ROUND(AO21,4),AO22/$S20)</f>
        <v>0</v>
      </c>
      <c r="AP20" s="198">
        <f ca="1">IF(AND($R20=2,ACOMPANHAMENTO="BM"),ROUND(AP21,4),AP22/$S20)</f>
        <v>0</v>
      </c>
      <c r="AQ20" s="198">
        <f ca="1">IF(AND($R20=2,ACOMPANHAMENTO="BM"),ROUND(AQ21,4),AQ22/$S20)</f>
        <v>0</v>
      </c>
      <c r="AR20" s="198">
        <f ca="1">IF(AND($R20=2,ACOMPANHAMENTO="BM"),ROUND(AR21,4),AR22/$S20)</f>
        <v>0</v>
      </c>
      <c r="AS20" s="577"/>
    </row>
    <row r="21" spans="1:45" ht="12.75" hidden="1" customHeight="1" x14ac:dyDescent="0.2">
      <c r="E21" s="645"/>
      <c r="F21" s="195">
        <f ca="1">IF(ISERROR(F20),IF(1+COUNTIF($M$13:OFFSET(M20,-1,0),1)&lt;=MAX(QCI!$D$13:$D$24),1+COUNTIF($M$13:OFFSET(M20,-1,0),1),-1),0)</f>
        <v>0</v>
      </c>
      <c r="G21" s="195" t="str">
        <f ca="1">IF(ACOMPANHAMENTO="BM",OFFSET(G21,-1,0),"")</f>
        <v/>
      </c>
      <c r="H21" s="206" t="str">
        <f ca="1">IF(OR(S20=0,S20=""),"vazia",IF(AND(OR(ACOMPANHAMENTO="PLE",$R20&lt;&gt;2),$F21=0),"calculada","--&gt;"))</f>
        <v>calculada</v>
      </c>
      <c r="I21" s="207"/>
      <c r="J21" s="208" t="str">
        <f t="shared" ref="J21" ca="1" si="18">IF(AND(H20&lt;&gt;0,ISNUMBER(H20)),"PREENCHA ESTA LINHA --&gt;","")</f>
        <v/>
      </c>
      <c r="K21" s="208"/>
      <c r="L21" s="208"/>
      <c r="M21" s="209"/>
      <c r="N21" s="209"/>
      <c r="O21" s="209"/>
      <c r="P21" s="209"/>
      <c r="Q21" s="209"/>
      <c r="R21" s="209"/>
      <c r="S21" s="210"/>
      <c r="T21" s="211"/>
      <c r="U21" s="645"/>
      <c r="V21" s="645"/>
      <c r="W21" s="645"/>
      <c r="X21" s="645"/>
      <c r="Y21" s="645"/>
      <c r="Z21" s="645"/>
      <c r="AA21" s="645"/>
      <c r="AB21" s="645"/>
      <c r="AC21" s="645"/>
      <c r="AD21" s="645"/>
      <c r="AE21" s="645"/>
      <c r="AF21" s="645"/>
      <c r="AG21" s="645"/>
      <c r="AH21" s="645"/>
      <c r="AI21" s="645"/>
      <c r="AJ21" s="645"/>
      <c r="AK21" s="645"/>
      <c r="AL21" s="645"/>
      <c r="AM21" s="645"/>
      <c r="AN21" s="645"/>
      <c r="AO21" s="645"/>
      <c r="AP21" s="645"/>
      <c r="AQ21" s="645"/>
      <c r="AR21" s="645"/>
      <c r="AS21" s="577"/>
    </row>
    <row r="22" spans="1:45" ht="12.75" hidden="1" customHeight="1" x14ac:dyDescent="0.2">
      <c r="D22" s="576"/>
      <c r="E22" s="212">
        <f ca="1">IF($R20=2,
         IF(AND(ACOMPANHAMENTO="PLE",ISNUMBER($F20)),
                SUMIF((OFFSET(CÁLCULO!$BC$15:$BU$15,$F20,0,OFFSET(ORÇAMENTO!$D$15,CRONO!$F20,0))),CRONO!E$12,OFFSET(CÁLCULO!$AJ$15:$BB$15,$F20,0,OFFSET(ORÇAMENTO!$D$15,CRONO!$F20,0)))
                +IF(AND($F22&lt;&gt;"",$F22&lt;&gt;0),
                        SUMIF(CÁLCULO!$BC$15:$BU$131,CRONO!E$12,CÁLCULO!$AJ$15:$BB$131)/(ORÇAMENTO!$X$15-CÁLCULO.TotalAdmLocal)*CRONO!$F22,
                        0),
                 E21*$S20),
          SUMIF(OFFSET($S22,1,0,$R20-2),($M20+1)&amp;"$",OFFSET(E22,1,0,$R20-2)))</f>
        <v>86506.2</v>
      </c>
      <c r="F22" s="195" t="str">
        <f ca="1">IF(OR($R20&lt;&gt;2,AUTOEVENTO&lt;&gt;"manual",$F21&gt;0),"",
        IF(Import.TipoArredondamento="Tradicional",
              SUMIF(OFFSET(CÁLCULO!$M$15,CRONO!$F20,0,OFFSET(ORÇAMENTO!$D$15,CRONO!$F20,0)),1,OFFSET(ORÇAMENTO!$X$15,CRONO!$F20,0,OFFSET(ORÇAMENTO!$D$15,CRONO!$F20,0))),
              0))</f>
        <v/>
      </c>
      <c r="H22" s="213"/>
      <c r="S22" s="214" t="str">
        <f t="shared" ref="S22" ca="1" si="19">M20&amp;"$"</f>
        <v>2$</v>
      </c>
      <c r="T22" s="215"/>
      <c r="U22" s="212">
        <f ca="1">IF($R20=2,
         IF(AND(ACOMPANHAMENTO="PLE",ISNUMBER($F20)),
                SUMIF((OFFSET(CÁLCULO!$BC$15:$BU$15,$F20,0,OFFSET(ORÇAMENTO!$D$15,CRONO!$F20,0))),CRONO!U$12,OFFSET(CÁLCULO!$AJ$15:$BB$15,$F20,0,OFFSET(ORÇAMENTO!$D$15,CRONO!$F20,0)))
                +IF(AND($F22&lt;&gt;"",$F22&lt;&gt;0),
                        SUMIF(CÁLCULO!$BC$15:$BU$131,CRONO!U$12,CÁLCULO!$AJ$15:$BB$131)/(ORÇAMENTO!$X$15-CÁLCULO.TotalAdmLocal)*CRONO!$F22,
                        0),
                 U21*$S20),
          SUMIF(OFFSET($S22,1,0,$R20-2),($M20+1)&amp;"$",OFFSET(U22,1,0,$R20-2)))</f>
        <v>86506.2</v>
      </c>
      <c r="V22" s="212">
        <f ca="1">IF($R20=2,
         IF(AND(ACOMPANHAMENTO="PLE",ISNUMBER($F20)),
                SUMIF((OFFSET(CÁLCULO!$BC$15:$BU$15,$F20,0,OFFSET(ORÇAMENTO!$D$15,CRONO!$F20,0))),CRONO!V$12,OFFSET(CÁLCULO!$AJ$15:$BB$15,$F20,0,OFFSET(ORÇAMENTO!$D$15,CRONO!$F20,0)))
                +IF(AND($F22&lt;&gt;"",$F22&lt;&gt;0),
                        SUMIF(CÁLCULO!$BC$15:$BU$131,CRONO!V$12,CÁLCULO!$AJ$15:$BB$131)/(ORÇAMENTO!$X$15-CÁLCULO.TotalAdmLocal)*CRONO!$F22,
                        0),
                 V21*$S20),
          SUMIF(OFFSET($S22,1,0,$R20-2),($M20+1)&amp;"$",OFFSET(V22,1,0,$R20-2)))</f>
        <v>0</v>
      </c>
      <c r="W22" s="212">
        <f ca="1">IF($R20=2,
         IF(AND(ACOMPANHAMENTO="PLE",ISNUMBER($F20)),
                SUMIF((OFFSET(CÁLCULO!$BC$15:$BU$15,$F20,0,OFFSET(ORÇAMENTO!$D$15,CRONO!$F20,0))),CRONO!W$12,OFFSET(CÁLCULO!$AJ$15:$BB$15,$F20,0,OFFSET(ORÇAMENTO!$D$15,CRONO!$F20,0)))
                +IF(AND($F22&lt;&gt;"",$F22&lt;&gt;0),
                        SUMIF(CÁLCULO!$BC$15:$BU$131,CRONO!W$12,CÁLCULO!$AJ$15:$BB$131)/(ORÇAMENTO!$X$15-CÁLCULO.TotalAdmLocal)*CRONO!$F22,
                        0),
                 W21*$S20),
          SUMIF(OFFSET($S22,1,0,$R20-2),($M20+1)&amp;"$",OFFSET(W22,1,0,$R20-2)))</f>
        <v>0</v>
      </c>
      <c r="X22" s="212">
        <f ca="1">IF($R20=2,
         IF(AND(ACOMPANHAMENTO="PLE",ISNUMBER($F20)),
                SUMIF((OFFSET(CÁLCULO!$BC$15:$BU$15,$F20,0,OFFSET(ORÇAMENTO!$D$15,CRONO!$F20,0))),CRONO!X$12,OFFSET(CÁLCULO!$AJ$15:$BB$15,$F20,0,OFFSET(ORÇAMENTO!$D$15,CRONO!$F20,0)))
                +IF(AND($F22&lt;&gt;"",$F22&lt;&gt;0),
                        SUMIF(CÁLCULO!$BC$15:$BU$131,CRONO!X$12,CÁLCULO!$AJ$15:$BB$131)/(ORÇAMENTO!$X$15-CÁLCULO.TotalAdmLocal)*CRONO!$F22,
                        0),
                 X21*$S20),
          SUMIF(OFFSET($S22,1,0,$R20-2),($M20+1)&amp;"$",OFFSET(X22,1,0,$R20-2)))</f>
        <v>0</v>
      </c>
      <c r="Y22" s="212">
        <f ca="1">IF($R20=2,
         IF(AND(ACOMPANHAMENTO="PLE",ISNUMBER($F20)),
                SUMIF((OFFSET(CÁLCULO!$BC$15:$BU$15,$F20,0,OFFSET(ORÇAMENTO!$D$15,CRONO!$F20,0))),CRONO!Y$12,OFFSET(CÁLCULO!$AJ$15:$BB$15,$F20,0,OFFSET(ORÇAMENTO!$D$15,CRONO!$F20,0)))
                +IF(AND($F22&lt;&gt;"",$F22&lt;&gt;0),
                        SUMIF(CÁLCULO!$BC$15:$BU$131,CRONO!Y$12,CÁLCULO!$AJ$15:$BB$131)/(ORÇAMENTO!$X$15-CÁLCULO.TotalAdmLocal)*CRONO!$F22,
                        0),
                 Y21*$S20),
          SUMIF(OFFSET($S22,1,0,$R20-2),($M20+1)&amp;"$",OFFSET(Y22,1,0,$R20-2)))</f>
        <v>0</v>
      </c>
      <c r="Z22" s="212">
        <f ca="1">IF($R20=2,
         IF(AND(ACOMPANHAMENTO="PLE",ISNUMBER($F20)),
                SUMIF((OFFSET(CÁLCULO!$BC$15:$BU$15,$F20,0,OFFSET(ORÇAMENTO!$D$15,CRONO!$F20,0))),CRONO!Z$12,OFFSET(CÁLCULO!$AJ$15:$BB$15,$F20,0,OFFSET(ORÇAMENTO!$D$15,CRONO!$F20,0)))
                +IF(AND($F22&lt;&gt;"",$F22&lt;&gt;0),
                        SUMIF(CÁLCULO!$BC$15:$BU$131,CRONO!Z$12,CÁLCULO!$AJ$15:$BB$131)/(ORÇAMENTO!$X$15-CÁLCULO.TotalAdmLocal)*CRONO!$F22,
                        0),
                 Z21*$S20),
          SUMIF(OFFSET($S22,1,0,$R20-2),($M20+1)&amp;"$",OFFSET(Z22,1,0,$R20-2)))</f>
        <v>0</v>
      </c>
      <c r="AA22" s="212">
        <f ca="1">IF($R20=2,
         IF(AND(ACOMPANHAMENTO="PLE",ISNUMBER($F20)),
                SUMIF((OFFSET(CÁLCULO!$BC$15:$BU$15,$F20,0,OFFSET(ORÇAMENTO!$D$15,CRONO!$F20,0))),CRONO!AA$12,OFFSET(CÁLCULO!$AJ$15:$BB$15,$F20,0,OFFSET(ORÇAMENTO!$D$15,CRONO!$F20,0)))
                +IF(AND($F22&lt;&gt;"",$F22&lt;&gt;0),
                        SUMIF(CÁLCULO!$BC$15:$BU$131,CRONO!AA$12,CÁLCULO!$AJ$15:$BB$131)/(ORÇAMENTO!$X$15-CÁLCULO.TotalAdmLocal)*CRONO!$F22,
                        0),
                 AA21*$S20),
          SUMIF(OFFSET($S22,1,0,$R20-2),($M20+1)&amp;"$",OFFSET(AA22,1,0,$R20-2)))</f>
        <v>0</v>
      </c>
      <c r="AB22" s="212">
        <f ca="1">IF($R20=2,
         IF(AND(ACOMPANHAMENTO="PLE",ISNUMBER($F20)),
                SUMIF((OFFSET(CÁLCULO!$BC$15:$BU$15,$F20,0,OFFSET(ORÇAMENTO!$D$15,CRONO!$F20,0))),CRONO!AB$12,OFFSET(CÁLCULO!$AJ$15:$BB$15,$F20,0,OFFSET(ORÇAMENTO!$D$15,CRONO!$F20,0)))
                +IF(AND($F22&lt;&gt;"",$F22&lt;&gt;0),
                        SUMIF(CÁLCULO!$BC$15:$BU$131,CRONO!AB$12,CÁLCULO!$AJ$15:$BB$131)/(ORÇAMENTO!$X$15-CÁLCULO.TotalAdmLocal)*CRONO!$F22,
                        0),
                 AB21*$S20),
          SUMIF(OFFSET($S22,1,0,$R20-2),($M20+1)&amp;"$",OFFSET(AB22,1,0,$R20-2)))</f>
        <v>0</v>
      </c>
      <c r="AC22" s="212">
        <f ca="1">IF($R20=2,
         IF(AND(ACOMPANHAMENTO="PLE",ISNUMBER($F20)),
                SUMIF((OFFSET(CÁLCULO!$BC$15:$BU$15,$F20,0,OFFSET(ORÇAMENTO!$D$15,CRONO!$F20,0))),CRONO!AC$12,OFFSET(CÁLCULO!$AJ$15:$BB$15,$F20,0,OFFSET(ORÇAMENTO!$D$15,CRONO!$F20,0)))
                +IF(AND($F22&lt;&gt;"",$F22&lt;&gt;0),
                        SUMIF(CÁLCULO!$BC$15:$BU$131,CRONO!AC$12,CÁLCULO!$AJ$15:$BB$131)/(ORÇAMENTO!$X$15-CÁLCULO.TotalAdmLocal)*CRONO!$F22,
                        0),
                 AC21*$S20),
          SUMIF(OFFSET($S22,1,0,$R20-2),($M20+1)&amp;"$",OFFSET(AC22,1,0,$R20-2)))</f>
        <v>0</v>
      </c>
      <c r="AD22" s="212">
        <f ca="1">IF($R20=2,
         IF(AND(ACOMPANHAMENTO="PLE",ISNUMBER($F20)),
                SUMIF((OFFSET(CÁLCULO!$BC$15:$BU$15,$F20,0,OFFSET(ORÇAMENTO!$D$15,CRONO!$F20,0))),CRONO!AD$12,OFFSET(CÁLCULO!$AJ$15:$BB$15,$F20,0,OFFSET(ORÇAMENTO!$D$15,CRONO!$F20,0)))
                +IF(AND($F22&lt;&gt;"",$F22&lt;&gt;0),
                        SUMIF(CÁLCULO!$BC$15:$BU$131,CRONO!AD$12,CÁLCULO!$AJ$15:$BB$131)/(ORÇAMENTO!$X$15-CÁLCULO.TotalAdmLocal)*CRONO!$F22,
                        0),
                 AD21*$S20),
          SUMIF(OFFSET($S22,1,0,$R20-2),($M20+1)&amp;"$",OFFSET(AD22,1,0,$R20-2)))</f>
        <v>0</v>
      </c>
      <c r="AE22" s="212">
        <f ca="1">IF($R20=2,
         IF(AND(ACOMPANHAMENTO="PLE",ISNUMBER($F20)),
                SUMIF((OFFSET(CÁLCULO!$BC$15:$BU$15,$F20,0,OFFSET(ORÇAMENTO!$D$15,CRONO!$F20,0))),CRONO!AE$12,OFFSET(CÁLCULO!$AJ$15:$BB$15,$F20,0,OFFSET(ORÇAMENTO!$D$15,CRONO!$F20,0)))
                +IF(AND($F22&lt;&gt;"",$F22&lt;&gt;0),
                        SUMIF(CÁLCULO!$BC$15:$BU$131,CRONO!AE$12,CÁLCULO!$AJ$15:$BB$131)/(ORÇAMENTO!$X$15-CÁLCULO.TotalAdmLocal)*CRONO!$F22,
                        0),
                 AE21*$S20),
          SUMIF(OFFSET($S22,1,0,$R20-2),($M20+1)&amp;"$",OFFSET(AE22,1,0,$R20-2)))</f>
        <v>0</v>
      </c>
      <c r="AF22" s="212">
        <f ca="1">IF($R20=2,
         IF(AND(ACOMPANHAMENTO="PLE",ISNUMBER($F20)),
                SUMIF((OFFSET(CÁLCULO!$BC$15:$BU$15,$F20,0,OFFSET(ORÇAMENTO!$D$15,CRONO!$F20,0))),CRONO!AF$12,OFFSET(CÁLCULO!$AJ$15:$BB$15,$F20,0,OFFSET(ORÇAMENTO!$D$15,CRONO!$F20,0)))
                +IF(AND($F22&lt;&gt;"",$F22&lt;&gt;0),
                        SUMIF(CÁLCULO!$BC$15:$BU$131,CRONO!AF$12,CÁLCULO!$AJ$15:$BB$131)/(ORÇAMENTO!$X$15-CÁLCULO.TotalAdmLocal)*CRONO!$F22,
                        0),
                 AF21*$S20),
          SUMIF(OFFSET($S22,1,0,$R20-2),($M20+1)&amp;"$",OFFSET(AF22,1,0,$R20-2)))</f>
        <v>0</v>
      </c>
      <c r="AG22" s="212">
        <f ca="1">IF($R20=2,
         IF(AND(ACOMPANHAMENTO="PLE",ISNUMBER($F20)),
                SUMIF((OFFSET(CÁLCULO!$BC$15:$BU$15,$F20,0,OFFSET(ORÇAMENTO!$D$15,CRONO!$F20,0))),CRONO!AG$12,OFFSET(CÁLCULO!$AJ$15:$BB$15,$F20,0,OFFSET(ORÇAMENTO!$D$15,CRONO!$F20,0)))
                +IF(AND($F22&lt;&gt;"",$F22&lt;&gt;0),
                        SUMIF(CÁLCULO!$BC$15:$BU$131,CRONO!AG$12,CÁLCULO!$AJ$15:$BB$131)/(ORÇAMENTO!$X$15-CÁLCULO.TotalAdmLocal)*CRONO!$F22,
                        0),
                 AG21*$S20),
          SUMIF(OFFSET($S22,1,0,$R20-2),($M20+1)&amp;"$",OFFSET(AG22,1,0,$R20-2)))</f>
        <v>0</v>
      </c>
      <c r="AH22" s="212">
        <f ca="1">IF($R20=2,
         IF(AND(ACOMPANHAMENTO="PLE",ISNUMBER($F20)),
                SUMIF((OFFSET(CÁLCULO!$BC$15:$BU$15,$F20,0,OFFSET(ORÇAMENTO!$D$15,CRONO!$F20,0))),CRONO!AH$12,OFFSET(CÁLCULO!$AJ$15:$BB$15,$F20,0,OFFSET(ORÇAMENTO!$D$15,CRONO!$F20,0)))
                +IF(AND($F22&lt;&gt;"",$F22&lt;&gt;0),
                        SUMIF(CÁLCULO!$BC$15:$BU$131,CRONO!AH$12,CÁLCULO!$AJ$15:$BB$131)/(ORÇAMENTO!$X$15-CÁLCULO.TotalAdmLocal)*CRONO!$F22,
                        0),
                 AH21*$S20),
          SUMIF(OFFSET($S22,1,0,$R20-2),($M20+1)&amp;"$",OFFSET(AH22,1,0,$R20-2)))</f>
        <v>0</v>
      </c>
      <c r="AI22" s="212">
        <f ca="1">IF($R20=2,
         IF(AND(ACOMPANHAMENTO="PLE",ISNUMBER($F20)),
                SUMIF((OFFSET(CÁLCULO!$BC$15:$BU$15,$F20,0,OFFSET(ORÇAMENTO!$D$15,CRONO!$F20,0))),CRONO!AI$12,OFFSET(CÁLCULO!$AJ$15:$BB$15,$F20,0,OFFSET(ORÇAMENTO!$D$15,CRONO!$F20,0)))
                +IF(AND($F22&lt;&gt;"",$F22&lt;&gt;0),
                        SUMIF(CÁLCULO!$BC$15:$BU$131,CRONO!AI$12,CÁLCULO!$AJ$15:$BB$131)/(ORÇAMENTO!$X$15-CÁLCULO.TotalAdmLocal)*CRONO!$F22,
                        0),
                 AI21*$S20),
          SUMIF(OFFSET($S22,1,0,$R20-2),($M20+1)&amp;"$",OFFSET(AI22,1,0,$R20-2)))</f>
        <v>0</v>
      </c>
      <c r="AJ22" s="212">
        <f ca="1">IF($R20=2,
         IF(AND(ACOMPANHAMENTO="PLE",ISNUMBER($F20)),
                SUMIF((OFFSET(CÁLCULO!$BC$15:$BU$15,$F20,0,OFFSET(ORÇAMENTO!$D$15,CRONO!$F20,0))),CRONO!AJ$12,OFFSET(CÁLCULO!$AJ$15:$BB$15,$F20,0,OFFSET(ORÇAMENTO!$D$15,CRONO!$F20,0)))
                +IF(AND($F22&lt;&gt;"",$F22&lt;&gt;0),
                        SUMIF(CÁLCULO!$BC$15:$BU$131,CRONO!AJ$12,CÁLCULO!$AJ$15:$BB$131)/(ORÇAMENTO!$X$15-CÁLCULO.TotalAdmLocal)*CRONO!$F22,
                        0),
                 AJ21*$S20),
          SUMIF(OFFSET($S22,1,0,$R20-2),($M20+1)&amp;"$",OFFSET(AJ22,1,0,$R20-2)))</f>
        <v>0</v>
      </c>
      <c r="AK22" s="212">
        <f ca="1">IF($R20=2,
         IF(AND(ACOMPANHAMENTO="PLE",ISNUMBER($F20)),
                SUMIF((OFFSET(CÁLCULO!$BC$15:$BU$15,$F20,0,OFFSET(ORÇAMENTO!$D$15,CRONO!$F20,0))),CRONO!AK$12,OFFSET(CÁLCULO!$AJ$15:$BB$15,$F20,0,OFFSET(ORÇAMENTO!$D$15,CRONO!$F20,0)))
                +IF(AND($F22&lt;&gt;"",$F22&lt;&gt;0),
                        SUMIF(CÁLCULO!$BC$15:$BU$131,CRONO!AK$12,CÁLCULO!$AJ$15:$BB$131)/(ORÇAMENTO!$X$15-CÁLCULO.TotalAdmLocal)*CRONO!$F22,
                        0),
                 AK21*$S20),
          SUMIF(OFFSET($S22,1,0,$R20-2),($M20+1)&amp;"$",OFFSET(AK22,1,0,$R20-2)))</f>
        <v>0</v>
      </c>
      <c r="AL22" s="212">
        <f ca="1">IF($R20=2,
         IF(AND(ACOMPANHAMENTO="PLE",ISNUMBER($F20)),
                SUMIF((OFFSET(CÁLCULO!$BC$15:$BU$15,$F20,0,OFFSET(ORÇAMENTO!$D$15,CRONO!$F20,0))),CRONO!AL$12,OFFSET(CÁLCULO!$AJ$15:$BB$15,$F20,0,OFFSET(ORÇAMENTO!$D$15,CRONO!$F20,0)))
                +IF(AND($F22&lt;&gt;"",$F22&lt;&gt;0),
                        SUMIF(CÁLCULO!$BC$15:$BU$131,CRONO!AL$12,CÁLCULO!$AJ$15:$BB$131)/(ORÇAMENTO!$X$15-CÁLCULO.TotalAdmLocal)*CRONO!$F22,
                        0),
                 AL21*$S20),
          SUMIF(OFFSET($S22,1,0,$R20-2),($M20+1)&amp;"$",OFFSET(AL22,1,0,$R20-2)))</f>
        <v>0</v>
      </c>
      <c r="AM22" s="212">
        <f ca="1">IF($R20=2,
         IF(AND(ACOMPANHAMENTO="PLE",ISNUMBER($F20)),
                SUMIF((OFFSET(CÁLCULO!$BC$15:$BU$15,$F20,0,OFFSET(ORÇAMENTO!$D$15,CRONO!$F20,0))),CRONO!AM$12,OFFSET(CÁLCULO!$AJ$15:$BB$15,$F20,0,OFFSET(ORÇAMENTO!$D$15,CRONO!$F20,0)))
                +IF(AND($F22&lt;&gt;"",$F22&lt;&gt;0),
                        SUMIF(CÁLCULO!$BC$15:$BU$131,CRONO!AM$12,CÁLCULO!$AJ$15:$BB$131)/(ORÇAMENTO!$X$15-CÁLCULO.TotalAdmLocal)*CRONO!$F22,
                        0),
                 AM21*$S20),
          SUMIF(OFFSET($S22,1,0,$R20-2),($M20+1)&amp;"$",OFFSET(AM22,1,0,$R20-2)))</f>
        <v>0</v>
      </c>
      <c r="AN22" s="212">
        <f ca="1">IF($R20=2,
         IF(AND(ACOMPANHAMENTO="PLE",ISNUMBER($F20)),
                SUMIF((OFFSET(CÁLCULO!$BC$15:$BU$15,$F20,0,OFFSET(ORÇAMENTO!$D$15,CRONO!$F20,0))),CRONO!AN$12,OFFSET(CÁLCULO!$AJ$15:$BB$15,$F20,0,OFFSET(ORÇAMENTO!$D$15,CRONO!$F20,0)))
                +IF(AND($F22&lt;&gt;"",$F22&lt;&gt;0),
                        SUMIF(CÁLCULO!$BC$15:$BU$131,CRONO!AN$12,CÁLCULO!$AJ$15:$BB$131)/(ORÇAMENTO!$X$15-CÁLCULO.TotalAdmLocal)*CRONO!$F22,
                        0),
                 AN21*$S20),
          SUMIF(OFFSET($S22,1,0,$R20-2),($M20+1)&amp;"$",OFFSET(AN22,1,0,$R20-2)))</f>
        <v>0</v>
      </c>
      <c r="AO22" s="212">
        <f ca="1">IF($R20=2,
         IF(AND(ACOMPANHAMENTO="PLE",ISNUMBER($F20)),
                SUMIF((OFFSET(CÁLCULO!$BC$15:$BU$15,$F20,0,OFFSET(ORÇAMENTO!$D$15,CRONO!$F20,0))),CRONO!AO$12,OFFSET(CÁLCULO!$AJ$15:$BB$15,$F20,0,OFFSET(ORÇAMENTO!$D$15,CRONO!$F20,0)))
                +IF(AND($F22&lt;&gt;"",$F22&lt;&gt;0),
                        SUMIF(CÁLCULO!$BC$15:$BU$131,CRONO!AO$12,CÁLCULO!$AJ$15:$BB$131)/(ORÇAMENTO!$X$15-CÁLCULO.TotalAdmLocal)*CRONO!$F22,
                        0),
                 AO21*$S20),
          SUMIF(OFFSET($S22,1,0,$R20-2),($M20+1)&amp;"$",OFFSET(AO22,1,0,$R20-2)))</f>
        <v>0</v>
      </c>
      <c r="AP22" s="212">
        <f ca="1">IF($R20=2,
         IF(AND(ACOMPANHAMENTO="PLE",ISNUMBER($F20)),
                SUMIF((OFFSET(CÁLCULO!$BC$15:$BU$15,$F20,0,OFFSET(ORÇAMENTO!$D$15,CRONO!$F20,0))),CRONO!AP$12,OFFSET(CÁLCULO!$AJ$15:$BB$15,$F20,0,OFFSET(ORÇAMENTO!$D$15,CRONO!$F20,0)))
                +IF(AND($F22&lt;&gt;"",$F22&lt;&gt;0),
                        SUMIF(CÁLCULO!$BC$15:$BU$131,CRONO!AP$12,CÁLCULO!$AJ$15:$BB$131)/(ORÇAMENTO!$X$15-CÁLCULO.TotalAdmLocal)*CRONO!$F22,
                        0),
                 AP21*$S20),
          SUMIF(OFFSET($S22,1,0,$R20-2),($M20+1)&amp;"$",OFFSET(AP22,1,0,$R20-2)))</f>
        <v>0</v>
      </c>
      <c r="AQ22" s="212">
        <f ca="1">IF($R20=2,
         IF(AND(ACOMPANHAMENTO="PLE",ISNUMBER($F20)),
                SUMIF((OFFSET(CÁLCULO!$BC$15:$BU$15,$F20,0,OFFSET(ORÇAMENTO!$D$15,CRONO!$F20,0))),CRONO!AQ$12,OFFSET(CÁLCULO!$AJ$15:$BB$15,$F20,0,OFFSET(ORÇAMENTO!$D$15,CRONO!$F20,0)))
                +IF(AND($F22&lt;&gt;"",$F22&lt;&gt;0),
                        SUMIF(CÁLCULO!$BC$15:$BU$131,CRONO!AQ$12,CÁLCULO!$AJ$15:$BB$131)/(ORÇAMENTO!$X$15-CÁLCULO.TotalAdmLocal)*CRONO!$F22,
                        0),
                 AQ21*$S20),
          SUMIF(OFFSET($S22,1,0,$R20-2),($M20+1)&amp;"$",OFFSET(AQ22,1,0,$R20-2)))</f>
        <v>0</v>
      </c>
      <c r="AR22" s="212">
        <f ca="1">IF($R20=2,
         IF(AND(ACOMPANHAMENTO="PLE",ISNUMBER($F20)),
                SUMIF((OFFSET(CÁLCULO!$BC$15:$BU$15,$F20,0,OFFSET(ORÇAMENTO!$D$15,CRONO!$F20,0))),CRONO!AR$12,OFFSET(CÁLCULO!$AJ$15:$BB$15,$F20,0,OFFSET(ORÇAMENTO!$D$15,CRONO!$F20,0)))
                +IF(AND($F22&lt;&gt;"",$F22&lt;&gt;0),
                        SUMIF(CÁLCULO!$BC$15:$BU$131,CRONO!AR$12,CÁLCULO!$AJ$15:$BB$131)/(ORÇAMENTO!$X$15-CÁLCULO.TotalAdmLocal)*CRONO!$F22,
                        0),
                 AR21*$S20),
          SUMIF(OFFSET($S22,1,0,$R20-2),($M20+1)&amp;"$",OFFSET(AR22,1,0,$R20-2)))</f>
        <v>0</v>
      </c>
      <c r="AS22" s="577"/>
    </row>
    <row r="23" spans="1:45" x14ac:dyDescent="0.2">
      <c r="A23" s="196" t="str">
        <f t="shared" ref="A23" ca="1" si="20">IF($M23&gt;1,CONCATENATE($I23," ",$J23),"")</f>
        <v>1.3. DEMOLIÇÕES E REMOÇÕES</v>
      </c>
      <c r="B23" s="195">
        <f t="shared" ref="B23" ca="1" si="21">OFFSET(B23,-3,0)+1</f>
        <v>4</v>
      </c>
      <c r="C23" s="195">
        <f ca="1">IF($R23&lt;&gt;2,0,IF($S23=0,1,IF(F24&gt;0,OFFSET(QCI!$M$13,SUBSTITUTE(F24,".",""),0),OFFSET(ORÇAMENTO!$AA$15,CRONO!$F23,0))/$S23))</f>
        <v>1.0000000000000002</v>
      </c>
      <c r="D23" s="195">
        <f ca="1">IF($R23&lt;&gt;2,0,IF($S23=0,1,IF(F24&gt;0,OFFSET(QCI!$N$13,SUBSTITUTE(F24,".",""),0),OFFSET(ORÇAMENTO!$AB$15,CRONO!$F23,0))/$S23))</f>
        <v>0</v>
      </c>
      <c r="E23" s="198">
        <f ca="1">IF(AND($R23=2,ACOMPANHAMENTO="BM"),ROUND(E24,4),E25/$S23)</f>
        <v>1.0000000000000002</v>
      </c>
      <c r="F23" s="195">
        <f ca="1">IF(B23&lt;=ORÇAMENTO.MáximoListaCrono,MATCH(B23,ORÇAMENTO.ListaCrono,0),NA())</f>
        <v>6</v>
      </c>
      <c r="G23" s="195" t="str">
        <f t="shared" ref="G23" ca="1" si="22">IF(AND($F24&lt;&gt;-1,$S23&gt;0),"F","")</f>
        <v>F</v>
      </c>
      <c r="H23" s="199" t="str">
        <f ca="1">IF(OR(S23=0,S23=""),"Linha",IF(AND(OR(ACOMPANHAMENTO="PLE",$R23&lt;&gt;2),$F24=0),"Linha",ROUND(1-SUM(U23:AS23),4)))</f>
        <v>Linha</v>
      </c>
      <c r="I23" s="200" t="str">
        <f ca="1">IF($F24=0,OFFSET(ORÇAMENTO!O$15,$F23,0),IF($F24&lt;&gt;-1,OFFSET(QCI!$D$13,$F24,0),""))</f>
        <v>1.3.</v>
      </c>
      <c r="J23" s="201" t="str">
        <f ca="1">IF($F24=0,OFFSET(ORÇAMENTO!R$15,$F23,0),IF($F24&lt;&gt;-1,OFFSET(QCI!$G$13,$F24,0),""))</f>
        <v>DEMOLIÇÕES E REMOÇÕES</v>
      </c>
      <c r="K23" s="201"/>
      <c r="L23" s="201"/>
      <c r="M23" s="202">
        <f ca="1">IF($F24=0,OFFSET(ORÇAMENTO!C$15,$F23,0),1)</f>
        <v>2</v>
      </c>
      <c r="N23" s="203">
        <f ca="1">IF($F24=-1,0,IF(N$13&lt;=$M23,IF(ISERROR(MATCH(N$13,OFFSET($M23,1,0,ROW($M$107)-ROW($M23)-1),0)),ROW($M$107)-ROW($M23)-1,MATCH(N$13,OFFSET($M23,1,0,ROW($M$107)-ROW($M23)-1),0)-1),0))</f>
        <v>32</v>
      </c>
      <c r="O23" s="203">
        <f ca="1">IF($F24=-1,0,IF(O$13&lt;=$M23,IF(ISERROR(MATCH(O$13,OFFSET($M23,1,0,ROW($M$107)-ROW($M23)-1),0)),ROW($M$107)-ROW($M23)-1,MATCH(O$13,OFFSET($M23,1,0,ROW($M$107)-ROW($M23)-1),0)-1),0))</f>
        <v>2</v>
      </c>
      <c r="P23" s="203">
        <f ca="1">IF($F24=-1,0,IF(P$13&lt;=$M23,IF(ISERROR(MATCH(P$13,OFFSET($M23,1,0,ROW($M$107)-ROW($M23)-1),0)),ROW($M$107)-ROW($M23)-1,MATCH(P$13,OFFSET($M23,1,0,ROW($M$107)-ROW($M23)-1),0)-1),0))</f>
        <v>0</v>
      </c>
      <c r="Q23" s="203">
        <f ca="1">IF($F24=-1,0,IF(Q$13&lt;=$M23,IF(ISERROR(MATCH(Q$13,OFFSET($M23,1,0,ROW($M$107)-ROW($M23)-1),0)),ROW($M$107)-ROW($M23)-1,MATCH(Q$13,OFFSET($M23,1,0,ROW($M$107)-ROW($M23)-1),0)-1),0))</f>
        <v>0</v>
      </c>
      <c r="R23" s="203">
        <f t="shared" ref="R23" ca="1" si="23">MIN(OFFSET(M23,0,1,,M23))</f>
        <v>2</v>
      </c>
      <c r="S23" s="204">
        <f ca="1">IF($F24=0,OFFSET(ORÇAMENTO!X$15,$F23,0),IF($F24&lt;&gt;-1,OFFSET(QCI!$O$13,$F24,0),""))</f>
        <v>4402.6899999999996</v>
      </c>
      <c r="T23" s="205" t="s">
        <v>266</v>
      </c>
      <c r="U23" s="198">
        <f ca="1">IF(AND($R23=2,ACOMPANHAMENTO="BM"),ROUND(U24,4),U25/$S23)</f>
        <v>1.0000000000000002</v>
      </c>
      <c r="V23" s="198">
        <f ca="1">IF(AND($R23=2,ACOMPANHAMENTO="BM"),ROUND(V24,4),V25/$S23)</f>
        <v>0</v>
      </c>
      <c r="W23" s="198">
        <f ca="1">IF(AND($R23=2,ACOMPANHAMENTO="BM"),ROUND(W24,4),W25/$S23)</f>
        <v>0</v>
      </c>
      <c r="X23" s="198">
        <f ca="1">IF(AND($R23=2,ACOMPANHAMENTO="BM"),ROUND(X24,4),X25/$S23)</f>
        <v>0</v>
      </c>
      <c r="Y23" s="198">
        <f ca="1">IF(AND($R23=2,ACOMPANHAMENTO="BM"),ROUND(Y24,4),Y25/$S23)</f>
        <v>0</v>
      </c>
      <c r="Z23" s="198">
        <f ca="1">IF(AND($R23=2,ACOMPANHAMENTO="BM"),ROUND(Z24,4),Z25/$S23)</f>
        <v>0</v>
      </c>
      <c r="AA23" s="198">
        <f ca="1">IF(AND($R23=2,ACOMPANHAMENTO="BM"),ROUND(AA24,4),AA25/$S23)</f>
        <v>0</v>
      </c>
      <c r="AB23" s="198">
        <f ca="1">IF(AND($R23=2,ACOMPANHAMENTO="BM"),ROUND(AB24,4),AB25/$S23)</f>
        <v>0</v>
      </c>
      <c r="AC23" s="198">
        <f ca="1">IF(AND($R23=2,ACOMPANHAMENTO="BM"),ROUND(AC24,4),AC25/$S23)</f>
        <v>0</v>
      </c>
      <c r="AD23" s="198">
        <f ca="1">IF(AND($R23=2,ACOMPANHAMENTO="BM"),ROUND(AD24,4),AD25/$S23)</f>
        <v>0</v>
      </c>
      <c r="AE23" s="198">
        <f ca="1">IF(AND($R23=2,ACOMPANHAMENTO="BM"),ROUND(AE24,4),AE25/$S23)</f>
        <v>0</v>
      </c>
      <c r="AF23" s="198">
        <f ca="1">IF(AND($R23=2,ACOMPANHAMENTO="BM"),ROUND(AF24,4),AF25/$S23)</f>
        <v>0</v>
      </c>
      <c r="AG23" s="198">
        <f ca="1">IF(AND($R23=2,ACOMPANHAMENTO="BM"),ROUND(AG24,4),AG25/$S23)</f>
        <v>0</v>
      </c>
      <c r="AH23" s="198">
        <f ca="1">IF(AND($R23=2,ACOMPANHAMENTO="BM"),ROUND(AH24,4),AH25/$S23)</f>
        <v>0</v>
      </c>
      <c r="AI23" s="198">
        <f ca="1">IF(AND($R23=2,ACOMPANHAMENTO="BM"),ROUND(AI24,4),AI25/$S23)</f>
        <v>0</v>
      </c>
      <c r="AJ23" s="198">
        <f ca="1">IF(AND($R23=2,ACOMPANHAMENTO="BM"),ROUND(AJ24,4),AJ25/$S23)</f>
        <v>0</v>
      </c>
      <c r="AK23" s="198">
        <f ca="1">IF(AND($R23=2,ACOMPANHAMENTO="BM"),ROUND(AK24,4),AK25/$S23)</f>
        <v>0</v>
      </c>
      <c r="AL23" s="198">
        <f ca="1">IF(AND($R23=2,ACOMPANHAMENTO="BM"),ROUND(AL24,4),AL25/$S23)</f>
        <v>0</v>
      </c>
      <c r="AM23" s="198">
        <f ca="1">IF(AND($R23=2,ACOMPANHAMENTO="BM"),ROUND(AM24,4),AM25/$S23)</f>
        <v>0</v>
      </c>
      <c r="AN23" s="198">
        <f ca="1">IF(AND($R23=2,ACOMPANHAMENTO="BM"),ROUND(AN24,4),AN25/$S23)</f>
        <v>0</v>
      </c>
      <c r="AO23" s="198">
        <f ca="1">IF(AND($R23=2,ACOMPANHAMENTO="BM"),ROUND(AO24,4),AO25/$S23)</f>
        <v>0</v>
      </c>
      <c r="AP23" s="198">
        <f ca="1">IF(AND($R23=2,ACOMPANHAMENTO="BM"),ROUND(AP24,4),AP25/$S23)</f>
        <v>0</v>
      </c>
      <c r="AQ23" s="198">
        <f ca="1">IF(AND($R23=2,ACOMPANHAMENTO="BM"),ROUND(AQ24,4),AQ25/$S23)</f>
        <v>0</v>
      </c>
      <c r="AR23" s="198">
        <f ca="1">IF(AND($R23=2,ACOMPANHAMENTO="BM"),ROUND(AR24,4),AR25/$S23)</f>
        <v>0</v>
      </c>
      <c r="AS23" s="577"/>
    </row>
    <row r="24" spans="1:45" ht="12.75" hidden="1" customHeight="1" x14ac:dyDescent="0.2">
      <c r="E24" s="645"/>
      <c r="F24" s="195">
        <f ca="1">IF(ISERROR(F23),IF(1+COUNTIF($M$13:OFFSET(M23,-1,0),1)&lt;=MAX(QCI!$D$13:$D$24),1+COUNTIF($M$13:OFFSET(M23,-1,0),1),-1),0)</f>
        <v>0</v>
      </c>
      <c r="G24" s="195" t="str">
        <f ca="1">IF(ACOMPANHAMENTO="BM",OFFSET(G24,-1,0),"")</f>
        <v/>
      </c>
      <c r="H24" s="206" t="str">
        <f ca="1">IF(OR(S23=0,S23=""),"vazia",IF(AND(OR(ACOMPANHAMENTO="PLE",$R23&lt;&gt;2),$F24=0),"calculada","--&gt;"))</f>
        <v>calculada</v>
      </c>
      <c r="I24" s="207"/>
      <c r="J24" s="208" t="str">
        <f t="shared" ref="J24" ca="1" si="24">IF(AND(H23&lt;&gt;0,ISNUMBER(H23)),"PREENCHA ESTA LINHA --&gt;","")</f>
        <v/>
      </c>
      <c r="K24" s="208"/>
      <c r="L24" s="208"/>
      <c r="M24" s="209"/>
      <c r="N24" s="209"/>
      <c r="O24" s="209"/>
      <c r="P24" s="209"/>
      <c r="Q24" s="209"/>
      <c r="R24" s="209"/>
      <c r="S24" s="210"/>
      <c r="T24" s="211"/>
      <c r="U24" s="645"/>
      <c r="V24" s="645"/>
      <c r="W24" s="645"/>
      <c r="X24" s="645"/>
      <c r="Y24" s="645"/>
      <c r="Z24" s="645"/>
      <c r="AA24" s="645"/>
      <c r="AB24" s="645"/>
      <c r="AC24" s="645"/>
      <c r="AD24" s="645"/>
      <c r="AE24" s="645"/>
      <c r="AF24" s="645"/>
      <c r="AG24" s="645"/>
      <c r="AH24" s="645"/>
      <c r="AI24" s="645"/>
      <c r="AJ24" s="645"/>
      <c r="AK24" s="645"/>
      <c r="AL24" s="645"/>
      <c r="AM24" s="645"/>
      <c r="AN24" s="645"/>
      <c r="AO24" s="645"/>
      <c r="AP24" s="645"/>
      <c r="AQ24" s="645"/>
      <c r="AR24" s="645"/>
      <c r="AS24" s="577"/>
    </row>
    <row r="25" spans="1:45" ht="12.75" hidden="1" customHeight="1" x14ac:dyDescent="0.2">
      <c r="D25" s="576"/>
      <c r="E25" s="212">
        <f ca="1">IF($R23=2,
         IF(AND(ACOMPANHAMENTO="PLE",ISNUMBER($F23)),
                SUMIF((OFFSET(CÁLCULO!$BC$15:$BU$15,$F23,0,OFFSET(ORÇAMENTO!$D$15,CRONO!$F23,0))),CRONO!E$12,OFFSET(CÁLCULO!$AJ$15:$BB$15,$F23,0,OFFSET(ORÇAMENTO!$D$15,CRONO!$F23,0)))
                +IF(AND($F25&lt;&gt;"",$F25&lt;&gt;0),
                        SUMIF(CÁLCULO!$BC$15:$BU$131,CRONO!E$12,CÁLCULO!$AJ$15:$BB$131)/(ORÇAMENTO!$X$15-CÁLCULO.TotalAdmLocal)*CRONO!$F25,
                        0),
                 E24*$S23),
          SUMIF(OFFSET($S25,1,0,$R23-2),($M23+1)&amp;"$",OFFSET(E25,1,0,$R23-2)))</f>
        <v>4402.6900000000005</v>
      </c>
      <c r="F25" s="195" t="str">
        <f ca="1">IF(OR($R23&lt;&gt;2,AUTOEVENTO&lt;&gt;"manual",$F24&gt;0),"",
        IF(Import.TipoArredondamento="Tradicional",
              SUMIF(OFFSET(CÁLCULO!$M$15,CRONO!$F23,0,OFFSET(ORÇAMENTO!$D$15,CRONO!$F23,0)),1,OFFSET(ORÇAMENTO!$X$15,CRONO!$F23,0,OFFSET(ORÇAMENTO!$D$15,CRONO!$F23,0))),
              0))</f>
        <v/>
      </c>
      <c r="H25" s="213"/>
      <c r="S25" s="214" t="str">
        <f t="shared" ref="S25" ca="1" si="25">M23&amp;"$"</f>
        <v>2$</v>
      </c>
      <c r="T25" s="215"/>
      <c r="U25" s="212">
        <f ca="1">IF($R23=2,
         IF(AND(ACOMPANHAMENTO="PLE",ISNUMBER($F23)),
                SUMIF((OFFSET(CÁLCULO!$BC$15:$BU$15,$F23,0,OFFSET(ORÇAMENTO!$D$15,CRONO!$F23,0))),CRONO!U$12,OFFSET(CÁLCULO!$AJ$15:$BB$15,$F23,0,OFFSET(ORÇAMENTO!$D$15,CRONO!$F23,0)))
                +IF(AND($F25&lt;&gt;"",$F25&lt;&gt;0),
                        SUMIF(CÁLCULO!$BC$15:$BU$131,CRONO!U$12,CÁLCULO!$AJ$15:$BB$131)/(ORÇAMENTO!$X$15-CÁLCULO.TotalAdmLocal)*CRONO!$F25,
                        0),
                 U24*$S23),
          SUMIF(OFFSET($S25,1,0,$R23-2),($M23+1)&amp;"$",OFFSET(U25,1,0,$R23-2)))</f>
        <v>4402.6900000000005</v>
      </c>
      <c r="V25" s="212">
        <f ca="1">IF($R23=2,
         IF(AND(ACOMPANHAMENTO="PLE",ISNUMBER($F23)),
                SUMIF((OFFSET(CÁLCULO!$BC$15:$BU$15,$F23,0,OFFSET(ORÇAMENTO!$D$15,CRONO!$F23,0))),CRONO!V$12,OFFSET(CÁLCULO!$AJ$15:$BB$15,$F23,0,OFFSET(ORÇAMENTO!$D$15,CRONO!$F23,0)))
                +IF(AND($F25&lt;&gt;"",$F25&lt;&gt;0),
                        SUMIF(CÁLCULO!$BC$15:$BU$131,CRONO!V$12,CÁLCULO!$AJ$15:$BB$131)/(ORÇAMENTO!$X$15-CÁLCULO.TotalAdmLocal)*CRONO!$F25,
                        0),
                 V24*$S23),
          SUMIF(OFFSET($S25,1,0,$R23-2),($M23+1)&amp;"$",OFFSET(V25,1,0,$R23-2)))</f>
        <v>0</v>
      </c>
      <c r="W25" s="212">
        <f ca="1">IF($R23=2,
         IF(AND(ACOMPANHAMENTO="PLE",ISNUMBER($F23)),
                SUMIF((OFFSET(CÁLCULO!$BC$15:$BU$15,$F23,0,OFFSET(ORÇAMENTO!$D$15,CRONO!$F23,0))),CRONO!W$12,OFFSET(CÁLCULO!$AJ$15:$BB$15,$F23,0,OFFSET(ORÇAMENTO!$D$15,CRONO!$F23,0)))
                +IF(AND($F25&lt;&gt;"",$F25&lt;&gt;0),
                        SUMIF(CÁLCULO!$BC$15:$BU$131,CRONO!W$12,CÁLCULO!$AJ$15:$BB$131)/(ORÇAMENTO!$X$15-CÁLCULO.TotalAdmLocal)*CRONO!$F25,
                        0),
                 W24*$S23),
          SUMIF(OFFSET($S25,1,0,$R23-2),($M23+1)&amp;"$",OFFSET(W25,1,0,$R23-2)))</f>
        <v>0</v>
      </c>
      <c r="X25" s="212">
        <f ca="1">IF($R23=2,
         IF(AND(ACOMPANHAMENTO="PLE",ISNUMBER($F23)),
                SUMIF((OFFSET(CÁLCULO!$BC$15:$BU$15,$F23,0,OFFSET(ORÇAMENTO!$D$15,CRONO!$F23,0))),CRONO!X$12,OFFSET(CÁLCULO!$AJ$15:$BB$15,$F23,0,OFFSET(ORÇAMENTO!$D$15,CRONO!$F23,0)))
                +IF(AND($F25&lt;&gt;"",$F25&lt;&gt;0),
                        SUMIF(CÁLCULO!$BC$15:$BU$131,CRONO!X$12,CÁLCULO!$AJ$15:$BB$131)/(ORÇAMENTO!$X$15-CÁLCULO.TotalAdmLocal)*CRONO!$F25,
                        0),
                 X24*$S23),
          SUMIF(OFFSET($S25,1,0,$R23-2),($M23+1)&amp;"$",OFFSET(X25,1,0,$R23-2)))</f>
        <v>0</v>
      </c>
      <c r="Y25" s="212">
        <f ca="1">IF($R23=2,
         IF(AND(ACOMPANHAMENTO="PLE",ISNUMBER($F23)),
                SUMIF((OFFSET(CÁLCULO!$BC$15:$BU$15,$F23,0,OFFSET(ORÇAMENTO!$D$15,CRONO!$F23,0))),CRONO!Y$12,OFFSET(CÁLCULO!$AJ$15:$BB$15,$F23,0,OFFSET(ORÇAMENTO!$D$15,CRONO!$F23,0)))
                +IF(AND($F25&lt;&gt;"",$F25&lt;&gt;0),
                        SUMIF(CÁLCULO!$BC$15:$BU$131,CRONO!Y$12,CÁLCULO!$AJ$15:$BB$131)/(ORÇAMENTO!$X$15-CÁLCULO.TotalAdmLocal)*CRONO!$F25,
                        0),
                 Y24*$S23),
          SUMIF(OFFSET($S25,1,0,$R23-2),($M23+1)&amp;"$",OFFSET(Y25,1,0,$R23-2)))</f>
        <v>0</v>
      </c>
      <c r="Z25" s="212">
        <f ca="1">IF($R23=2,
         IF(AND(ACOMPANHAMENTO="PLE",ISNUMBER($F23)),
                SUMIF((OFFSET(CÁLCULO!$BC$15:$BU$15,$F23,0,OFFSET(ORÇAMENTO!$D$15,CRONO!$F23,0))),CRONO!Z$12,OFFSET(CÁLCULO!$AJ$15:$BB$15,$F23,0,OFFSET(ORÇAMENTO!$D$15,CRONO!$F23,0)))
                +IF(AND($F25&lt;&gt;"",$F25&lt;&gt;0),
                        SUMIF(CÁLCULO!$BC$15:$BU$131,CRONO!Z$12,CÁLCULO!$AJ$15:$BB$131)/(ORÇAMENTO!$X$15-CÁLCULO.TotalAdmLocal)*CRONO!$F25,
                        0),
                 Z24*$S23),
          SUMIF(OFFSET($S25,1,0,$R23-2),($M23+1)&amp;"$",OFFSET(Z25,1,0,$R23-2)))</f>
        <v>0</v>
      </c>
      <c r="AA25" s="212">
        <f ca="1">IF($R23=2,
         IF(AND(ACOMPANHAMENTO="PLE",ISNUMBER($F23)),
                SUMIF((OFFSET(CÁLCULO!$BC$15:$BU$15,$F23,0,OFFSET(ORÇAMENTO!$D$15,CRONO!$F23,0))),CRONO!AA$12,OFFSET(CÁLCULO!$AJ$15:$BB$15,$F23,0,OFFSET(ORÇAMENTO!$D$15,CRONO!$F23,0)))
                +IF(AND($F25&lt;&gt;"",$F25&lt;&gt;0),
                        SUMIF(CÁLCULO!$BC$15:$BU$131,CRONO!AA$12,CÁLCULO!$AJ$15:$BB$131)/(ORÇAMENTO!$X$15-CÁLCULO.TotalAdmLocal)*CRONO!$F25,
                        0),
                 AA24*$S23),
          SUMIF(OFFSET($S25,1,0,$R23-2),($M23+1)&amp;"$",OFFSET(AA25,1,0,$R23-2)))</f>
        <v>0</v>
      </c>
      <c r="AB25" s="212">
        <f ca="1">IF($R23=2,
         IF(AND(ACOMPANHAMENTO="PLE",ISNUMBER($F23)),
                SUMIF((OFFSET(CÁLCULO!$BC$15:$BU$15,$F23,0,OFFSET(ORÇAMENTO!$D$15,CRONO!$F23,0))),CRONO!AB$12,OFFSET(CÁLCULO!$AJ$15:$BB$15,$F23,0,OFFSET(ORÇAMENTO!$D$15,CRONO!$F23,0)))
                +IF(AND($F25&lt;&gt;"",$F25&lt;&gt;0),
                        SUMIF(CÁLCULO!$BC$15:$BU$131,CRONO!AB$12,CÁLCULO!$AJ$15:$BB$131)/(ORÇAMENTO!$X$15-CÁLCULO.TotalAdmLocal)*CRONO!$F25,
                        0),
                 AB24*$S23),
          SUMIF(OFFSET($S25,1,0,$R23-2),($M23+1)&amp;"$",OFFSET(AB25,1,0,$R23-2)))</f>
        <v>0</v>
      </c>
      <c r="AC25" s="212">
        <f ca="1">IF($R23=2,
         IF(AND(ACOMPANHAMENTO="PLE",ISNUMBER($F23)),
                SUMIF((OFFSET(CÁLCULO!$BC$15:$BU$15,$F23,0,OFFSET(ORÇAMENTO!$D$15,CRONO!$F23,0))),CRONO!AC$12,OFFSET(CÁLCULO!$AJ$15:$BB$15,$F23,0,OFFSET(ORÇAMENTO!$D$15,CRONO!$F23,0)))
                +IF(AND($F25&lt;&gt;"",$F25&lt;&gt;0),
                        SUMIF(CÁLCULO!$BC$15:$BU$131,CRONO!AC$12,CÁLCULO!$AJ$15:$BB$131)/(ORÇAMENTO!$X$15-CÁLCULO.TotalAdmLocal)*CRONO!$F25,
                        0),
                 AC24*$S23),
          SUMIF(OFFSET($S25,1,0,$R23-2),($M23+1)&amp;"$",OFFSET(AC25,1,0,$R23-2)))</f>
        <v>0</v>
      </c>
      <c r="AD25" s="212">
        <f ca="1">IF($R23=2,
         IF(AND(ACOMPANHAMENTO="PLE",ISNUMBER($F23)),
                SUMIF((OFFSET(CÁLCULO!$BC$15:$BU$15,$F23,0,OFFSET(ORÇAMENTO!$D$15,CRONO!$F23,0))),CRONO!AD$12,OFFSET(CÁLCULO!$AJ$15:$BB$15,$F23,0,OFFSET(ORÇAMENTO!$D$15,CRONO!$F23,0)))
                +IF(AND($F25&lt;&gt;"",$F25&lt;&gt;0),
                        SUMIF(CÁLCULO!$BC$15:$BU$131,CRONO!AD$12,CÁLCULO!$AJ$15:$BB$131)/(ORÇAMENTO!$X$15-CÁLCULO.TotalAdmLocal)*CRONO!$F25,
                        0),
                 AD24*$S23),
          SUMIF(OFFSET($S25,1,0,$R23-2),($M23+1)&amp;"$",OFFSET(AD25,1,0,$R23-2)))</f>
        <v>0</v>
      </c>
      <c r="AE25" s="212">
        <f ca="1">IF($R23=2,
         IF(AND(ACOMPANHAMENTO="PLE",ISNUMBER($F23)),
                SUMIF((OFFSET(CÁLCULO!$BC$15:$BU$15,$F23,0,OFFSET(ORÇAMENTO!$D$15,CRONO!$F23,0))),CRONO!AE$12,OFFSET(CÁLCULO!$AJ$15:$BB$15,$F23,0,OFFSET(ORÇAMENTO!$D$15,CRONO!$F23,0)))
                +IF(AND($F25&lt;&gt;"",$F25&lt;&gt;0),
                        SUMIF(CÁLCULO!$BC$15:$BU$131,CRONO!AE$12,CÁLCULO!$AJ$15:$BB$131)/(ORÇAMENTO!$X$15-CÁLCULO.TotalAdmLocal)*CRONO!$F25,
                        0),
                 AE24*$S23),
          SUMIF(OFFSET($S25,1,0,$R23-2),($M23+1)&amp;"$",OFFSET(AE25,1,0,$R23-2)))</f>
        <v>0</v>
      </c>
      <c r="AF25" s="212">
        <f ca="1">IF($R23=2,
         IF(AND(ACOMPANHAMENTO="PLE",ISNUMBER($F23)),
                SUMIF((OFFSET(CÁLCULO!$BC$15:$BU$15,$F23,0,OFFSET(ORÇAMENTO!$D$15,CRONO!$F23,0))),CRONO!AF$12,OFFSET(CÁLCULO!$AJ$15:$BB$15,$F23,0,OFFSET(ORÇAMENTO!$D$15,CRONO!$F23,0)))
                +IF(AND($F25&lt;&gt;"",$F25&lt;&gt;0),
                        SUMIF(CÁLCULO!$BC$15:$BU$131,CRONO!AF$12,CÁLCULO!$AJ$15:$BB$131)/(ORÇAMENTO!$X$15-CÁLCULO.TotalAdmLocal)*CRONO!$F25,
                        0),
                 AF24*$S23),
          SUMIF(OFFSET($S25,1,0,$R23-2),($M23+1)&amp;"$",OFFSET(AF25,1,0,$R23-2)))</f>
        <v>0</v>
      </c>
      <c r="AG25" s="212">
        <f ca="1">IF($R23=2,
         IF(AND(ACOMPANHAMENTO="PLE",ISNUMBER($F23)),
                SUMIF((OFFSET(CÁLCULO!$BC$15:$BU$15,$F23,0,OFFSET(ORÇAMENTO!$D$15,CRONO!$F23,0))),CRONO!AG$12,OFFSET(CÁLCULO!$AJ$15:$BB$15,$F23,0,OFFSET(ORÇAMENTO!$D$15,CRONO!$F23,0)))
                +IF(AND($F25&lt;&gt;"",$F25&lt;&gt;0),
                        SUMIF(CÁLCULO!$BC$15:$BU$131,CRONO!AG$12,CÁLCULO!$AJ$15:$BB$131)/(ORÇAMENTO!$X$15-CÁLCULO.TotalAdmLocal)*CRONO!$F25,
                        0),
                 AG24*$S23),
          SUMIF(OFFSET($S25,1,0,$R23-2),($M23+1)&amp;"$",OFFSET(AG25,1,0,$R23-2)))</f>
        <v>0</v>
      </c>
      <c r="AH25" s="212">
        <f ca="1">IF($R23=2,
         IF(AND(ACOMPANHAMENTO="PLE",ISNUMBER($F23)),
                SUMIF((OFFSET(CÁLCULO!$BC$15:$BU$15,$F23,0,OFFSET(ORÇAMENTO!$D$15,CRONO!$F23,0))),CRONO!AH$12,OFFSET(CÁLCULO!$AJ$15:$BB$15,$F23,0,OFFSET(ORÇAMENTO!$D$15,CRONO!$F23,0)))
                +IF(AND($F25&lt;&gt;"",$F25&lt;&gt;0),
                        SUMIF(CÁLCULO!$BC$15:$BU$131,CRONO!AH$12,CÁLCULO!$AJ$15:$BB$131)/(ORÇAMENTO!$X$15-CÁLCULO.TotalAdmLocal)*CRONO!$F25,
                        0),
                 AH24*$S23),
          SUMIF(OFFSET($S25,1,0,$R23-2),($M23+1)&amp;"$",OFFSET(AH25,1,0,$R23-2)))</f>
        <v>0</v>
      </c>
      <c r="AI25" s="212">
        <f ca="1">IF($R23=2,
         IF(AND(ACOMPANHAMENTO="PLE",ISNUMBER($F23)),
                SUMIF((OFFSET(CÁLCULO!$BC$15:$BU$15,$F23,0,OFFSET(ORÇAMENTO!$D$15,CRONO!$F23,0))),CRONO!AI$12,OFFSET(CÁLCULO!$AJ$15:$BB$15,$F23,0,OFFSET(ORÇAMENTO!$D$15,CRONO!$F23,0)))
                +IF(AND($F25&lt;&gt;"",$F25&lt;&gt;0),
                        SUMIF(CÁLCULO!$BC$15:$BU$131,CRONO!AI$12,CÁLCULO!$AJ$15:$BB$131)/(ORÇAMENTO!$X$15-CÁLCULO.TotalAdmLocal)*CRONO!$F25,
                        0),
                 AI24*$S23),
          SUMIF(OFFSET($S25,1,0,$R23-2),($M23+1)&amp;"$",OFFSET(AI25,1,0,$R23-2)))</f>
        <v>0</v>
      </c>
      <c r="AJ25" s="212">
        <f ca="1">IF($R23=2,
         IF(AND(ACOMPANHAMENTO="PLE",ISNUMBER($F23)),
                SUMIF((OFFSET(CÁLCULO!$BC$15:$BU$15,$F23,0,OFFSET(ORÇAMENTO!$D$15,CRONO!$F23,0))),CRONO!AJ$12,OFFSET(CÁLCULO!$AJ$15:$BB$15,$F23,0,OFFSET(ORÇAMENTO!$D$15,CRONO!$F23,0)))
                +IF(AND($F25&lt;&gt;"",$F25&lt;&gt;0),
                        SUMIF(CÁLCULO!$BC$15:$BU$131,CRONO!AJ$12,CÁLCULO!$AJ$15:$BB$131)/(ORÇAMENTO!$X$15-CÁLCULO.TotalAdmLocal)*CRONO!$F25,
                        0),
                 AJ24*$S23),
          SUMIF(OFFSET($S25,1,0,$R23-2),($M23+1)&amp;"$",OFFSET(AJ25,1,0,$R23-2)))</f>
        <v>0</v>
      </c>
      <c r="AK25" s="212">
        <f ca="1">IF($R23=2,
         IF(AND(ACOMPANHAMENTO="PLE",ISNUMBER($F23)),
                SUMIF((OFFSET(CÁLCULO!$BC$15:$BU$15,$F23,0,OFFSET(ORÇAMENTO!$D$15,CRONO!$F23,0))),CRONO!AK$12,OFFSET(CÁLCULO!$AJ$15:$BB$15,$F23,0,OFFSET(ORÇAMENTO!$D$15,CRONO!$F23,0)))
                +IF(AND($F25&lt;&gt;"",$F25&lt;&gt;0),
                        SUMIF(CÁLCULO!$BC$15:$BU$131,CRONO!AK$12,CÁLCULO!$AJ$15:$BB$131)/(ORÇAMENTO!$X$15-CÁLCULO.TotalAdmLocal)*CRONO!$F25,
                        0),
                 AK24*$S23),
          SUMIF(OFFSET($S25,1,0,$R23-2),($M23+1)&amp;"$",OFFSET(AK25,1,0,$R23-2)))</f>
        <v>0</v>
      </c>
      <c r="AL25" s="212">
        <f ca="1">IF($R23=2,
         IF(AND(ACOMPANHAMENTO="PLE",ISNUMBER($F23)),
                SUMIF((OFFSET(CÁLCULO!$BC$15:$BU$15,$F23,0,OFFSET(ORÇAMENTO!$D$15,CRONO!$F23,0))),CRONO!AL$12,OFFSET(CÁLCULO!$AJ$15:$BB$15,$F23,0,OFFSET(ORÇAMENTO!$D$15,CRONO!$F23,0)))
                +IF(AND($F25&lt;&gt;"",$F25&lt;&gt;0),
                        SUMIF(CÁLCULO!$BC$15:$BU$131,CRONO!AL$12,CÁLCULO!$AJ$15:$BB$131)/(ORÇAMENTO!$X$15-CÁLCULO.TotalAdmLocal)*CRONO!$F25,
                        0),
                 AL24*$S23),
          SUMIF(OFFSET($S25,1,0,$R23-2),($M23+1)&amp;"$",OFFSET(AL25,1,0,$R23-2)))</f>
        <v>0</v>
      </c>
      <c r="AM25" s="212">
        <f ca="1">IF($R23=2,
         IF(AND(ACOMPANHAMENTO="PLE",ISNUMBER($F23)),
                SUMIF((OFFSET(CÁLCULO!$BC$15:$BU$15,$F23,0,OFFSET(ORÇAMENTO!$D$15,CRONO!$F23,0))),CRONO!AM$12,OFFSET(CÁLCULO!$AJ$15:$BB$15,$F23,0,OFFSET(ORÇAMENTO!$D$15,CRONO!$F23,0)))
                +IF(AND($F25&lt;&gt;"",$F25&lt;&gt;0),
                        SUMIF(CÁLCULO!$BC$15:$BU$131,CRONO!AM$12,CÁLCULO!$AJ$15:$BB$131)/(ORÇAMENTO!$X$15-CÁLCULO.TotalAdmLocal)*CRONO!$F25,
                        0),
                 AM24*$S23),
          SUMIF(OFFSET($S25,1,0,$R23-2),($M23+1)&amp;"$",OFFSET(AM25,1,0,$R23-2)))</f>
        <v>0</v>
      </c>
      <c r="AN25" s="212">
        <f ca="1">IF($R23=2,
         IF(AND(ACOMPANHAMENTO="PLE",ISNUMBER($F23)),
                SUMIF((OFFSET(CÁLCULO!$BC$15:$BU$15,$F23,0,OFFSET(ORÇAMENTO!$D$15,CRONO!$F23,0))),CRONO!AN$12,OFFSET(CÁLCULO!$AJ$15:$BB$15,$F23,0,OFFSET(ORÇAMENTO!$D$15,CRONO!$F23,0)))
                +IF(AND($F25&lt;&gt;"",$F25&lt;&gt;0),
                        SUMIF(CÁLCULO!$BC$15:$BU$131,CRONO!AN$12,CÁLCULO!$AJ$15:$BB$131)/(ORÇAMENTO!$X$15-CÁLCULO.TotalAdmLocal)*CRONO!$F25,
                        0),
                 AN24*$S23),
          SUMIF(OFFSET($S25,1,0,$R23-2),($M23+1)&amp;"$",OFFSET(AN25,1,0,$R23-2)))</f>
        <v>0</v>
      </c>
      <c r="AO25" s="212">
        <f ca="1">IF($R23=2,
         IF(AND(ACOMPANHAMENTO="PLE",ISNUMBER($F23)),
                SUMIF((OFFSET(CÁLCULO!$BC$15:$BU$15,$F23,0,OFFSET(ORÇAMENTO!$D$15,CRONO!$F23,0))),CRONO!AO$12,OFFSET(CÁLCULO!$AJ$15:$BB$15,$F23,0,OFFSET(ORÇAMENTO!$D$15,CRONO!$F23,0)))
                +IF(AND($F25&lt;&gt;"",$F25&lt;&gt;0),
                        SUMIF(CÁLCULO!$BC$15:$BU$131,CRONO!AO$12,CÁLCULO!$AJ$15:$BB$131)/(ORÇAMENTO!$X$15-CÁLCULO.TotalAdmLocal)*CRONO!$F25,
                        0),
                 AO24*$S23),
          SUMIF(OFFSET($S25,1,0,$R23-2),($M23+1)&amp;"$",OFFSET(AO25,1,0,$R23-2)))</f>
        <v>0</v>
      </c>
      <c r="AP25" s="212">
        <f ca="1">IF($R23=2,
         IF(AND(ACOMPANHAMENTO="PLE",ISNUMBER($F23)),
                SUMIF((OFFSET(CÁLCULO!$BC$15:$BU$15,$F23,0,OFFSET(ORÇAMENTO!$D$15,CRONO!$F23,0))),CRONO!AP$12,OFFSET(CÁLCULO!$AJ$15:$BB$15,$F23,0,OFFSET(ORÇAMENTO!$D$15,CRONO!$F23,0)))
                +IF(AND($F25&lt;&gt;"",$F25&lt;&gt;0),
                        SUMIF(CÁLCULO!$BC$15:$BU$131,CRONO!AP$12,CÁLCULO!$AJ$15:$BB$131)/(ORÇAMENTO!$X$15-CÁLCULO.TotalAdmLocal)*CRONO!$F25,
                        0),
                 AP24*$S23),
          SUMIF(OFFSET($S25,1,0,$R23-2),($M23+1)&amp;"$",OFFSET(AP25,1,0,$R23-2)))</f>
        <v>0</v>
      </c>
      <c r="AQ25" s="212">
        <f ca="1">IF($R23=2,
         IF(AND(ACOMPANHAMENTO="PLE",ISNUMBER($F23)),
                SUMIF((OFFSET(CÁLCULO!$BC$15:$BU$15,$F23,0,OFFSET(ORÇAMENTO!$D$15,CRONO!$F23,0))),CRONO!AQ$12,OFFSET(CÁLCULO!$AJ$15:$BB$15,$F23,0,OFFSET(ORÇAMENTO!$D$15,CRONO!$F23,0)))
                +IF(AND($F25&lt;&gt;"",$F25&lt;&gt;0),
                        SUMIF(CÁLCULO!$BC$15:$BU$131,CRONO!AQ$12,CÁLCULO!$AJ$15:$BB$131)/(ORÇAMENTO!$X$15-CÁLCULO.TotalAdmLocal)*CRONO!$F25,
                        0),
                 AQ24*$S23),
          SUMIF(OFFSET($S25,1,0,$R23-2),($M23+1)&amp;"$",OFFSET(AQ25,1,0,$R23-2)))</f>
        <v>0</v>
      </c>
      <c r="AR25" s="212">
        <f ca="1">IF($R23=2,
         IF(AND(ACOMPANHAMENTO="PLE",ISNUMBER($F23)),
                SUMIF((OFFSET(CÁLCULO!$BC$15:$BU$15,$F23,0,OFFSET(ORÇAMENTO!$D$15,CRONO!$F23,0))),CRONO!AR$12,OFFSET(CÁLCULO!$AJ$15:$BB$15,$F23,0,OFFSET(ORÇAMENTO!$D$15,CRONO!$F23,0)))
                +IF(AND($F25&lt;&gt;"",$F25&lt;&gt;0),
                        SUMIF(CÁLCULO!$BC$15:$BU$131,CRONO!AR$12,CÁLCULO!$AJ$15:$BB$131)/(ORÇAMENTO!$X$15-CÁLCULO.TotalAdmLocal)*CRONO!$F25,
                        0),
                 AR24*$S23),
          SUMIF(OFFSET($S25,1,0,$R23-2),($M23+1)&amp;"$",OFFSET(AR25,1,0,$R23-2)))</f>
        <v>0</v>
      </c>
      <c r="AS25" s="577"/>
    </row>
    <row r="26" spans="1:45" x14ac:dyDescent="0.2">
      <c r="A26" s="196" t="str">
        <f t="shared" ref="A26" ca="1" si="26">IF($M26&gt;1,CONCATENATE($I26," ",$J26),"")</f>
        <v>1.4. PAVIMENTAÇÃO</v>
      </c>
      <c r="B26" s="195">
        <f t="shared" ref="B26" ca="1" si="27">OFFSET(B26,-3,0)+1</f>
        <v>5</v>
      </c>
      <c r="C26" s="195">
        <f ca="1">IF($R26&lt;&gt;2,0,IF($S26=0,1,IF(F27&gt;0,OFFSET(QCI!$M$13,SUBSTITUTE(F27,".",""),0),OFFSET(ORÇAMENTO!$AA$15,CRONO!$F26,0))/$S26))</f>
        <v>1</v>
      </c>
      <c r="D26" s="195">
        <f ca="1">IF($R26&lt;&gt;2,0,IF($S26=0,1,IF(F27&gt;0,OFFSET(QCI!$N$13,SUBSTITUTE(F27,".",""),0),OFFSET(ORÇAMENTO!$AB$15,CRONO!$F26,0))/$S26))</f>
        <v>0</v>
      </c>
      <c r="E26" s="198">
        <f ca="1">IF(AND($R26=2,ACOMPANHAMENTO="BM"),ROUND(E27,4),E28/$S26)</f>
        <v>0</v>
      </c>
      <c r="F26" s="195">
        <f ca="1">IF(B26&lt;=ORÇAMENTO.MáximoListaCrono,MATCH(B26,ORÇAMENTO.ListaCrono,0),NA())</f>
        <v>14</v>
      </c>
      <c r="G26" s="195" t="str">
        <f t="shared" ref="G26" ca="1" si="28">IF(AND($F27&lt;&gt;-1,$S26&gt;0),"F","")</f>
        <v>F</v>
      </c>
      <c r="H26" s="199" t="str">
        <f ca="1">IF(OR(S26=0,S26=""),"Linha",IF(AND(OR(ACOMPANHAMENTO="PLE",$R26&lt;&gt;2),$F27=0),"Linha",ROUND(1-SUM(U26:AS26),4)))</f>
        <v>Linha</v>
      </c>
      <c r="I26" s="200" t="str">
        <f ca="1">IF($F27=0,OFFSET(ORÇAMENTO!O$15,$F26,0),IF($F27&lt;&gt;-1,OFFSET(QCI!$D$13,$F27,0),""))</f>
        <v>1.4.</v>
      </c>
      <c r="J26" s="201" t="str">
        <f ca="1">IF($F27=0,OFFSET(ORÇAMENTO!R$15,$F26,0),IF($F27&lt;&gt;-1,OFFSET(QCI!$G$13,$F27,0),""))</f>
        <v>PAVIMENTAÇÃO</v>
      </c>
      <c r="K26" s="201"/>
      <c r="L26" s="201"/>
      <c r="M26" s="202">
        <f ca="1">IF($F27=0,OFFSET(ORÇAMENTO!C$15,$F26,0),1)</f>
        <v>2</v>
      </c>
      <c r="N26" s="203">
        <f ca="1">IF($F27=-1,0,IF(N$13&lt;=$M26,IF(ISERROR(MATCH(N$13,OFFSET($M26,1,0,ROW($M$107)-ROW($M26)-1),0)),ROW($M$107)-ROW($M26)-1,MATCH(N$13,OFFSET($M26,1,0,ROW($M$107)-ROW($M26)-1),0)-1),0))</f>
        <v>29</v>
      </c>
      <c r="O26" s="203">
        <f ca="1">IF($F27=-1,0,IF(O$13&lt;=$M26,IF(ISERROR(MATCH(O$13,OFFSET($M26,1,0,ROW($M$107)-ROW($M26)-1),0)),ROW($M$107)-ROW($M26)-1,MATCH(O$13,OFFSET($M26,1,0,ROW($M$107)-ROW($M26)-1),0)-1),0))</f>
        <v>2</v>
      </c>
      <c r="P26" s="203">
        <f ca="1">IF($F27=-1,0,IF(P$13&lt;=$M26,IF(ISERROR(MATCH(P$13,OFFSET($M26,1,0,ROW($M$107)-ROW($M26)-1),0)),ROW($M$107)-ROW($M26)-1,MATCH(P$13,OFFSET($M26,1,0,ROW($M$107)-ROW($M26)-1),0)-1),0))</f>
        <v>0</v>
      </c>
      <c r="Q26" s="203">
        <f ca="1">IF($F27=-1,0,IF(Q$13&lt;=$M26,IF(ISERROR(MATCH(Q$13,OFFSET($M26,1,0,ROW($M$107)-ROW($M26)-1),0)),ROW($M$107)-ROW($M26)-1,MATCH(Q$13,OFFSET($M26,1,0,ROW($M$107)-ROW($M26)-1),0)-1),0))</f>
        <v>0</v>
      </c>
      <c r="R26" s="203">
        <f t="shared" ref="R26" ca="1" si="29">MIN(OFFSET(M26,0,1,,M26))</f>
        <v>2</v>
      </c>
      <c r="S26" s="204">
        <f ca="1">IF($F27=0,OFFSET(ORÇAMENTO!X$15,$F26,0),IF($F27&lt;&gt;-1,OFFSET(QCI!$O$13,$F27,0),""))</f>
        <v>68099.22</v>
      </c>
      <c r="T26" s="205" t="s">
        <v>266</v>
      </c>
      <c r="U26" s="198">
        <f ca="1">IF(AND($R26=2,ACOMPANHAMENTO="BM"),ROUND(U27,4),U28/$S26)</f>
        <v>0</v>
      </c>
      <c r="V26" s="198">
        <f ca="1">IF(AND($R26=2,ACOMPANHAMENTO="BM"),ROUND(V27,4),V28/$S26)</f>
        <v>0</v>
      </c>
      <c r="W26" s="198">
        <f ca="1">IF(AND($R26=2,ACOMPANHAMENTO="BM"),ROUND(W27,4),W28/$S26)</f>
        <v>1</v>
      </c>
      <c r="X26" s="198">
        <f ca="1">IF(AND($R26=2,ACOMPANHAMENTO="BM"),ROUND(X27,4),X28/$S26)</f>
        <v>0</v>
      </c>
      <c r="Y26" s="198">
        <f ca="1">IF(AND($R26=2,ACOMPANHAMENTO="BM"),ROUND(Y27,4),Y28/$S26)</f>
        <v>0</v>
      </c>
      <c r="Z26" s="198">
        <f ca="1">IF(AND($R26=2,ACOMPANHAMENTO="BM"),ROUND(Z27,4),Z28/$S26)</f>
        <v>0</v>
      </c>
      <c r="AA26" s="198">
        <f ca="1">IF(AND($R26=2,ACOMPANHAMENTO="BM"),ROUND(AA27,4),AA28/$S26)</f>
        <v>0</v>
      </c>
      <c r="AB26" s="198">
        <f ca="1">IF(AND($R26=2,ACOMPANHAMENTO="BM"),ROUND(AB27,4),AB28/$S26)</f>
        <v>0</v>
      </c>
      <c r="AC26" s="198">
        <f ca="1">IF(AND($R26=2,ACOMPANHAMENTO="BM"),ROUND(AC27,4),AC28/$S26)</f>
        <v>0</v>
      </c>
      <c r="AD26" s="198">
        <f ca="1">IF(AND($R26=2,ACOMPANHAMENTO="BM"),ROUND(AD27,4),AD28/$S26)</f>
        <v>0</v>
      </c>
      <c r="AE26" s="198">
        <f ca="1">IF(AND($R26=2,ACOMPANHAMENTO="BM"),ROUND(AE27,4),AE28/$S26)</f>
        <v>0</v>
      </c>
      <c r="AF26" s="198">
        <f ca="1">IF(AND($R26=2,ACOMPANHAMENTO="BM"),ROUND(AF27,4),AF28/$S26)</f>
        <v>0</v>
      </c>
      <c r="AG26" s="198">
        <f ca="1">IF(AND($R26=2,ACOMPANHAMENTO="BM"),ROUND(AG27,4),AG28/$S26)</f>
        <v>0</v>
      </c>
      <c r="AH26" s="198">
        <f ca="1">IF(AND($R26=2,ACOMPANHAMENTO="BM"),ROUND(AH27,4),AH28/$S26)</f>
        <v>0</v>
      </c>
      <c r="AI26" s="198">
        <f ca="1">IF(AND($R26=2,ACOMPANHAMENTO="BM"),ROUND(AI27,4),AI28/$S26)</f>
        <v>0</v>
      </c>
      <c r="AJ26" s="198">
        <f ca="1">IF(AND($R26=2,ACOMPANHAMENTO="BM"),ROUND(AJ27,4),AJ28/$S26)</f>
        <v>0</v>
      </c>
      <c r="AK26" s="198">
        <f ca="1">IF(AND($R26=2,ACOMPANHAMENTO="BM"),ROUND(AK27,4),AK28/$S26)</f>
        <v>0</v>
      </c>
      <c r="AL26" s="198">
        <f ca="1">IF(AND($R26=2,ACOMPANHAMENTO="BM"),ROUND(AL27,4),AL28/$S26)</f>
        <v>0</v>
      </c>
      <c r="AM26" s="198">
        <f ca="1">IF(AND($R26=2,ACOMPANHAMENTO="BM"),ROUND(AM27,4),AM28/$S26)</f>
        <v>0</v>
      </c>
      <c r="AN26" s="198">
        <f ca="1">IF(AND($R26=2,ACOMPANHAMENTO="BM"),ROUND(AN27,4),AN28/$S26)</f>
        <v>0</v>
      </c>
      <c r="AO26" s="198">
        <f ca="1">IF(AND($R26=2,ACOMPANHAMENTO="BM"),ROUND(AO27,4),AO28/$S26)</f>
        <v>0</v>
      </c>
      <c r="AP26" s="198">
        <f ca="1">IF(AND($R26=2,ACOMPANHAMENTO="BM"),ROUND(AP27,4),AP28/$S26)</f>
        <v>0</v>
      </c>
      <c r="AQ26" s="198">
        <f ca="1">IF(AND($R26=2,ACOMPANHAMENTO="BM"),ROUND(AQ27,4),AQ28/$S26)</f>
        <v>0</v>
      </c>
      <c r="AR26" s="198">
        <f ca="1">IF(AND($R26=2,ACOMPANHAMENTO="BM"),ROUND(AR27,4),AR28/$S26)</f>
        <v>0</v>
      </c>
      <c r="AS26" s="577"/>
    </row>
    <row r="27" spans="1:45" ht="12.75" hidden="1" customHeight="1" x14ac:dyDescent="0.2">
      <c r="E27" s="645"/>
      <c r="F27" s="195">
        <f ca="1">IF(ISERROR(F26),IF(1+COUNTIF($M$13:OFFSET(M26,-1,0),1)&lt;=MAX(QCI!$D$13:$D$24),1+COUNTIF($M$13:OFFSET(M26,-1,0),1),-1),0)</f>
        <v>0</v>
      </c>
      <c r="G27" s="195" t="str">
        <f ca="1">IF(ACOMPANHAMENTO="BM",OFFSET(G27,-1,0),"")</f>
        <v/>
      </c>
      <c r="H27" s="206" t="str">
        <f ca="1">IF(OR(S26=0,S26=""),"vazia",IF(AND(OR(ACOMPANHAMENTO="PLE",$R26&lt;&gt;2),$F27=0),"calculada","--&gt;"))</f>
        <v>calculada</v>
      </c>
      <c r="I27" s="207"/>
      <c r="J27" s="208" t="str">
        <f t="shared" ref="J27" ca="1" si="30">IF(AND(H26&lt;&gt;0,ISNUMBER(H26)),"PREENCHA ESTA LINHA --&gt;","")</f>
        <v/>
      </c>
      <c r="K27" s="208"/>
      <c r="L27" s="208"/>
      <c r="M27" s="209"/>
      <c r="N27" s="209"/>
      <c r="O27" s="209"/>
      <c r="P27" s="209"/>
      <c r="Q27" s="209"/>
      <c r="R27" s="209"/>
      <c r="S27" s="210"/>
      <c r="T27" s="211"/>
      <c r="U27" s="645"/>
      <c r="V27" s="645"/>
      <c r="W27" s="645"/>
      <c r="X27" s="645"/>
      <c r="Y27" s="645"/>
      <c r="Z27" s="645"/>
      <c r="AA27" s="645"/>
      <c r="AB27" s="645"/>
      <c r="AC27" s="645"/>
      <c r="AD27" s="645"/>
      <c r="AE27" s="645"/>
      <c r="AF27" s="645"/>
      <c r="AG27" s="645"/>
      <c r="AH27" s="645"/>
      <c r="AI27" s="645"/>
      <c r="AJ27" s="645"/>
      <c r="AK27" s="645"/>
      <c r="AL27" s="645"/>
      <c r="AM27" s="645"/>
      <c r="AN27" s="645"/>
      <c r="AO27" s="645"/>
      <c r="AP27" s="645"/>
      <c r="AQ27" s="645"/>
      <c r="AR27" s="645"/>
      <c r="AS27" s="577"/>
    </row>
    <row r="28" spans="1:45" ht="12.75" hidden="1" customHeight="1" x14ac:dyDescent="0.2">
      <c r="D28" s="576"/>
      <c r="E28" s="212">
        <f ca="1">IF($R26=2,
         IF(AND(ACOMPANHAMENTO="PLE",ISNUMBER($F26)),
                SUMIF((OFFSET(CÁLCULO!$BC$15:$BU$15,$F26,0,OFFSET(ORÇAMENTO!$D$15,CRONO!$F26,0))),CRONO!E$12,OFFSET(CÁLCULO!$AJ$15:$BB$15,$F26,0,OFFSET(ORÇAMENTO!$D$15,CRONO!$F26,0)))
                +IF(AND($F28&lt;&gt;"",$F28&lt;&gt;0),
                        SUMIF(CÁLCULO!$BC$15:$BU$131,CRONO!E$12,CÁLCULO!$AJ$15:$BB$131)/(ORÇAMENTO!$X$15-CÁLCULO.TotalAdmLocal)*CRONO!$F28,
                        0),
                 E27*$S26),
          SUMIF(OFFSET($S28,1,0,$R26-2),($M26+1)&amp;"$",OFFSET(E28,1,0,$R26-2)))</f>
        <v>0</v>
      </c>
      <c r="F28" s="195" t="str">
        <f ca="1">IF(OR($R26&lt;&gt;2,AUTOEVENTO&lt;&gt;"manual",$F27&gt;0),"",
        IF(Import.TipoArredondamento="Tradicional",
              SUMIF(OFFSET(CÁLCULO!$M$15,CRONO!$F26,0,OFFSET(ORÇAMENTO!$D$15,CRONO!$F26,0)),1,OFFSET(ORÇAMENTO!$X$15,CRONO!$F26,0,OFFSET(ORÇAMENTO!$D$15,CRONO!$F26,0))),
              0))</f>
        <v/>
      </c>
      <c r="H28" s="213"/>
      <c r="S28" s="214" t="str">
        <f t="shared" ref="S28" ca="1" si="31">M26&amp;"$"</f>
        <v>2$</v>
      </c>
      <c r="T28" s="215"/>
      <c r="U28" s="212">
        <f ca="1">IF($R26=2,
         IF(AND(ACOMPANHAMENTO="PLE",ISNUMBER($F26)),
                SUMIF((OFFSET(CÁLCULO!$BC$15:$BU$15,$F26,0,OFFSET(ORÇAMENTO!$D$15,CRONO!$F26,0))),CRONO!U$12,OFFSET(CÁLCULO!$AJ$15:$BB$15,$F26,0,OFFSET(ORÇAMENTO!$D$15,CRONO!$F26,0)))
                +IF(AND($F28&lt;&gt;"",$F28&lt;&gt;0),
                        SUMIF(CÁLCULO!$BC$15:$BU$131,CRONO!U$12,CÁLCULO!$AJ$15:$BB$131)/(ORÇAMENTO!$X$15-CÁLCULO.TotalAdmLocal)*CRONO!$F28,
                        0),
                 U27*$S26),
          SUMIF(OFFSET($S28,1,0,$R26-2),($M26+1)&amp;"$",OFFSET(U28,1,0,$R26-2)))</f>
        <v>0</v>
      </c>
      <c r="V28" s="212">
        <f ca="1">IF($R26=2,
         IF(AND(ACOMPANHAMENTO="PLE",ISNUMBER($F26)),
                SUMIF((OFFSET(CÁLCULO!$BC$15:$BU$15,$F26,0,OFFSET(ORÇAMENTO!$D$15,CRONO!$F26,0))),CRONO!V$12,OFFSET(CÁLCULO!$AJ$15:$BB$15,$F26,0,OFFSET(ORÇAMENTO!$D$15,CRONO!$F26,0)))
                +IF(AND($F28&lt;&gt;"",$F28&lt;&gt;0),
                        SUMIF(CÁLCULO!$BC$15:$BU$131,CRONO!V$12,CÁLCULO!$AJ$15:$BB$131)/(ORÇAMENTO!$X$15-CÁLCULO.TotalAdmLocal)*CRONO!$F28,
                        0),
                 V27*$S26),
          SUMIF(OFFSET($S28,1,0,$R26-2),($M26+1)&amp;"$",OFFSET(V28,1,0,$R26-2)))</f>
        <v>0</v>
      </c>
      <c r="W28" s="212">
        <f ca="1">IF($R26=2,
         IF(AND(ACOMPANHAMENTO="PLE",ISNUMBER($F26)),
                SUMIF((OFFSET(CÁLCULO!$BC$15:$BU$15,$F26,0,OFFSET(ORÇAMENTO!$D$15,CRONO!$F26,0))),CRONO!W$12,OFFSET(CÁLCULO!$AJ$15:$BB$15,$F26,0,OFFSET(ORÇAMENTO!$D$15,CRONO!$F26,0)))
                +IF(AND($F28&lt;&gt;"",$F28&lt;&gt;0),
                        SUMIF(CÁLCULO!$BC$15:$BU$131,CRONO!W$12,CÁLCULO!$AJ$15:$BB$131)/(ORÇAMENTO!$X$15-CÁLCULO.TotalAdmLocal)*CRONO!$F28,
                        0),
                 W27*$S26),
          SUMIF(OFFSET($S28,1,0,$R26-2),($M26+1)&amp;"$",OFFSET(W28,1,0,$R26-2)))</f>
        <v>68099.22</v>
      </c>
      <c r="X28" s="212">
        <f ca="1">IF($R26=2,
         IF(AND(ACOMPANHAMENTO="PLE",ISNUMBER($F26)),
                SUMIF((OFFSET(CÁLCULO!$BC$15:$BU$15,$F26,0,OFFSET(ORÇAMENTO!$D$15,CRONO!$F26,0))),CRONO!X$12,OFFSET(CÁLCULO!$AJ$15:$BB$15,$F26,0,OFFSET(ORÇAMENTO!$D$15,CRONO!$F26,0)))
                +IF(AND($F28&lt;&gt;"",$F28&lt;&gt;0),
                        SUMIF(CÁLCULO!$BC$15:$BU$131,CRONO!X$12,CÁLCULO!$AJ$15:$BB$131)/(ORÇAMENTO!$X$15-CÁLCULO.TotalAdmLocal)*CRONO!$F28,
                        0),
                 X27*$S26),
          SUMIF(OFFSET($S28,1,0,$R26-2),($M26+1)&amp;"$",OFFSET(X28,1,0,$R26-2)))</f>
        <v>0</v>
      </c>
      <c r="Y28" s="212">
        <f ca="1">IF($R26=2,
         IF(AND(ACOMPANHAMENTO="PLE",ISNUMBER($F26)),
                SUMIF((OFFSET(CÁLCULO!$BC$15:$BU$15,$F26,0,OFFSET(ORÇAMENTO!$D$15,CRONO!$F26,0))),CRONO!Y$12,OFFSET(CÁLCULO!$AJ$15:$BB$15,$F26,0,OFFSET(ORÇAMENTO!$D$15,CRONO!$F26,0)))
                +IF(AND($F28&lt;&gt;"",$F28&lt;&gt;0),
                        SUMIF(CÁLCULO!$BC$15:$BU$131,CRONO!Y$12,CÁLCULO!$AJ$15:$BB$131)/(ORÇAMENTO!$X$15-CÁLCULO.TotalAdmLocal)*CRONO!$F28,
                        0),
                 Y27*$S26),
          SUMIF(OFFSET($S28,1,0,$R26-2),($M26+1)&amp;"$",OFFSET(Y28,1,0,$R26-2)))</f>
        <v>0</v>
      </c>
      <c r="Z28" s="212">
        <f ca="1">IF($R26=2,
         IF(AND(ACOMPANHAMENTO="PLE",ISNUMBER($F26)),
                SUMIF((OFFSET(CÁLCULO!$BC$15:$BU$15,$F26,0,OFFSET(ORÇAMENTO!$D$15,CRONO!$F26,0))),CRONO!Z$12,OFFSET(CÁLCULO!$AJ$15:$BB$15,$F26,0,OFFSET(ORÇAMENTO!$D$15,CRONO!$F26,0)))
                +IF(AND($F28&lt;&gt;"",$F28&lt;&gt;0),
                        SUMIF(CÁLCULO!$BC$15:$BU$131,CRONO!Z$12,CÁLCULO!$AJ$15:$BB$131)/(ORÇAMENTO!$X$15-CÁLCULO.TotalAdmLocal)*CRONO!$F28,
                        0),
                 Z27*$S26),
          SUMIF(OFFSET($S28,1,0,$R26-2),($M26+1)&amp;"$",OFFSET(Z28,1,0,$R26-2)))</f>
        <v>0</v>
      </c>
      <c r="AA28" s="212">
        <f ca="1">IF($R26=2,
         IF(AND(ACOMPANHAMENTO="PLE",ISNUMBER($F26)),
                SUMIF((OFFSET(CÁLCULO!$BC$15:$BU$15,$F26,0,OFFSET(ORÇAMENTO!$D$15,CRONO!$F26,0))),CRONO!AA$12,OFFSET(CÁLCULO!$AJ$15:$BB$15,$F26,0,OFFSET(ORÇAMENTO!$D$15,CRONO!$F26,0)))
                +IF(AND($F28&lt;&gt;"",$F28&lt;&gt;0),
                        SUMIF(CÁLCULO!$BC$15:$BU$131,CRONO!AA$12,CÁLCULO!$AJ$15:$BB$131)/(ORÇAMENTO!$X$15-CÁLCULO.TotalAdmLocal)*CRONO!$F28,
                        0),
                 AA27*$S26),
          SUMIF(OFFSET($S28,1,0,$R26-2),($M26+1)&amp;"$",OFFSET(AA28,1,0,$R26-2)))</f>
        <v>0</v>
      </c>
      <c r="AB28" s="212">
        <f ca="1">IF($R26=2,
         IF(AND(ACOMPANHAMENTO="PLE",ISNUMBER($F26)),
                SUMIF((OFFSET(CÁLCULO!$BC$15:$BU$15,$F26,0,OFFSET(ORÇAMENTO!$D$15,CRONO!$F26,0))),CRONO!AB$12,OFFSET(CÁLCULO!$AJ$15:$BB$15,$F26,0,OFFSET(ORÇAMENTO!$D$15,CRONO!$F26,0)))
                +IF(AND($F28&lt;&gt;"",$F28&lt;&gt;0),
                        SUMIF(CÁLCULO!$BC$15:$BU$131,CRONO!AB$12,CÁLCULO!$AJ$15:$BB$131)/(ORÇAMENTO!$X$15-CÁLCULO.TotalAdmLocal)*CRONO!$F28,
                        0),
                 AB27*$S26),
          SUMIF(OFFSET($S28,1,0,$R26-2),($M26+1)&amp;"$",OFFSET(AB28,1,0,$R26-2)))</f>
        <v>0</v>
      </c>
      <c r="AC28" s="212">
        <f ca="1">IF($R26=2,
         IF(AND(ACOMPANHAMENTO="PLE",ISNUMBER($F26)),
                SUMIF((OFFSET(CÁLCULO!$BC$15:$BU$15,$F26,0,OFFSET(ORÇAMENTO!$D$15,CRONO!$F26,0))),CRONO!AC$12,OFFSET(CÁLCULO!$AJ$15:$BB$15,$F26,0,OFFSET(ORÇAMENTO!$D$15,CRONO!$F26,0)))
                +IF(AND($F28&lt;&gt;"",$F28&lt;&gt;0),
                        SUMIF(CÁLCULO!$BC$15:$BU$131,CRONO!AC$12,CÁLCULO!$AJ$15:$BB$131)/(ORÇAMENTO!$X$15-CÁLCULO.TotalAdmLocal)*CRONO!$F28,
                        0),
                 AC27*$S26),
          SUMIF(OFFSET($S28,1,0,$R26-2),($M26+1)&amp;"$",OFFSET(AC28,1,0,$R26-2)))</f>
        <v>0</v>
      </c>
      <c r="AD28" s="212">
        <f ca="1">IF($R26=2,
         IF(AND(ACOMPANHAMENTO="PLE",ISNUMBER($F26)),
                SUMIF((OFFSET(CÁLCULO!$BC$15:$BU$15,$F26,0,OFFSET(ORÇAMENTO!$D$15,CRONO!$F26,0))),CRONO!AD$12,OFFSET(CÁLCULO!$AJ$15:$BB$15,$F26,0,OFFSET(ORÇAMENTO!$D$15,CRONO!$F26,0)))
                +IF(AND($F28&lt;&gt;"",$F28&lt;&gt;0),
                        SUMIF(CÁLCULO!$BC$15:$BU$131,CRONO!AD$12,CÁLCULO!$AJ$15:$BB$131)/(ORÇAMENTO!$X$15-CÁLCULO.TotalAdmLocal)*CRONO!$F28,
                        0),
                 AD27*$S26),
          SUMIF(OFFSET($S28,1,0,$R26-2),($M26+1)&amp;"$",OFFSET(AD28,1,0,$R26-2)))</f>
        <v>0</v>
      </c>
      <c r="AE28" s="212">
        <f ca="1">IF($R26=2,
         IF(AND(ACOMPANHAMENTO="PLE",ISNUMBER($F26)),
                SUMIF((OFFSET(CÁLCULO!$BC$15:$BU$15,$F26,0,OFFSET(ORÇAMENTO!$D$15,CRONO!$F26,0))),CRONO!AE$12,OFFSET(CÁLCULO!$AJ$15:$BB$15,$F26,0,OFFSET(ORÇAMENTO!$D$15,CRONO!$F26,0)))
                +IF(AND($F28&lt;&gt;"",$F28&lt;&gt;0),
                        SUMIF(CÁLCULO!$BC$15:$BU$131,CRONO!AE$12,CÁLCULO!$AJ$15:$BB$131)/(ORÇAMENTO!$X$15-CÁLCULO.TotalAdmLocal)*CRONO!$F28,
                        0),
                 AE27*$S26),
          SUMIF(OFFSET($S28,1,0,$R26-2),($M26+1)&amp;"$",OFFSET(AE28,1,0,$R26-2)))</f>
        <v>0</v>
      </c>
      <c r="AF28" s="212">
        <f ca="1">IF($R26=2,
         IF(AND(ACOMPANHAMENTO="PLE",ISNUMBER($F26)),
                SUMIF((OFFSET(CÁLCULO!$BC$15:$BU$15,$F26,0,OFFSET(ORÇAMENTO!$D$15,CRONO!$F26,0))),CRONO!AF$12,OFFSET(CÁLCULO!$AJ$15:$BB$15,$F26,0,OFFSET(ORÇAMENTO!$D$15,CRONO!$F26,0)))
                +IF(AND($F28&lt;&gt;"",$F28&lt;&gt;0),
                        SUMIF(CÁLCULO!$BC$15:$BU$131,CRONO!AF$12,CÁLCULO!$AJ$15:$BB$131)/(ORÇAMENTO!$X$15-CÁLCULO.TotalAdmLocal)*CRONO!$F28,
                        0),
                 AF27*$S26),
          SUMIF(OFFSET($S28,1,0,$R26-2),($M26+1)&amp;"$",OFFSET(AF28,1,0,$R26-2)))</f>
        <v>0</v>
      </c>
      <c r="AG28" s="212">
        <f ca="1">IF($R26=2,
         IF(AND(ACOMPANHAMENTO="PLE",ISNUMBER($F26)),
                SUMIF((OFFSET(CÁLCULO!$BC$15:$BU$15,$F26,0,OFFSET(ORÇAMENTO!$D$15,CRONO!$F26,0))),CRONO!AG$12,OFFSET(CÁLCULO!$AJ$15:$BB$15,$F26,0,OFFSET(ORÇAMENTO!$D$15,CRONO!$F26,0)))
                +IF(AND($F28&lt;&gt;"",$F28&lt;&gt;0),
                        SUMIF(CÁLCULO!$BC$15:$BU$131,CRONO!AG$12,CÁLCULO!$AJ$15:$BB$131)/(ORÇAMENTO!$X$15-CÁLCULO.TotalAdmLocal)*CRONO!$F28,
                        0),
                 AG27*$S26),
          SUMIF(OFFSET($S28,1,0,$R26-2),($M26+1)&amp;"$",OFFSET(AG28,1,0,$R26-2)))</f>
        <v>0</v>
      </c>
      <c r="AH28" s="212">
        <f ca="1">IF($R26=2,
         IF(AND(ACOMPANHAMENTO="PLE",ISNUMBER($F26)),
                SUMIF((OFFSET(CÁLCULO!$BC$15:$BU$15,$F26,0,OFFSET(ORÇAMENTO!$D$15,CRONO!$F26,0))),CRONO!AH$12,OFFSET(CÁLCULO!$AJ$15:$BB$15,$F26,0,OFFSET(ORÇAMENTO!$D$15,CRONO!$F26,0)))
                +IF(AND($F28&lt;&gt;"",$F28&lt;&gt;0),
                        SUMIF(CÁLCULO!$BC$15:$BU$131,CRONO!AH$12,CÁLCULO!$AJ$15:$BB$131)/(ORÇAMENTO!$X$15-CÁLCULO.TotalAdmLocal)*CRONO!$F28,
                        0),
                 AH27*$S26),
          SUMIF(OFFSET($S28,1,0,$R26-2),($M26+1)&amp;"$",OFFSET(AH28,1,0,$R26-2)))</f>
        <v>0</v>
      </c>
      <c r="AI28" s="212">
        <f ca="1">IF($R26=2,
         IF(AND(ACOMPANHAMENTO="PLE",ISNUMBER($F26)),
                SUMIF((OFFSET(CÁLCULO!$BC$15:$BU$15,$F26,0,OFFSET(ORÇAMENTO!$D$15,CRONO!$F26,0))),CRONO!AI$12,OFFSET(CÁLCULO!$AJ$15:$BB$15,$F26,0,OFFSET(ORÇAMENTO!$D$15,CRONO!$F26,0)))
                +IF(AND($F28&lt;&gt;"",$F28&lt;&gt;0),
                        SUMIF(CÁLCULO!$BC$15:$BU$131,CRONO!AI$12,CÁLCULO!$AJ$15:$BB$131)/(ORÇAMENTO!$X$15-CÁLCULO.TotalAdmLocal)*CRONO!$F28,
                        0),
                 AI27*$S26),
          SUMIF(OFFSET($S28,1,0,$R26-2),($M26+1)&amp;"$",OFFSET(AI28,1,0,$R26-2)))</f>
        <v>0</v>
      </c>
      <c r="AJ28" s="212">
        <f ca="1">IF($R26=2,
         IF(AND(ACOMPANHAMENTO="PLE",ISNUMBER($F26)),
                SUMIF((OFFSET(CÁLCULO!$BC$15:$BU$15,$F26,0,OFFSET(ORÇAMENTO!$D$15,CRONO!$F26,0))),CRONO!AJ$12,OFFSET(CÁLCULO!$AJ$15:$BB$15,$F26,0,OFFSET(ORÇAMENTO!$D$15,CRONO!$F26,0)))
                +IF(AND($F28&lt;&gt;"",$F28&lt;&gt;0),
                        SUMIF(CÁLCULO!$BC$15:$BU$131,CRONO!AJ$12,CÁLCULO!$AJ$15:$BB$131)/(ORÇAMENTO!$X$15-CÁLCULO.TotalAdmLocal)*CRONO!$F28,
                        0),
                 AJ27*$S26),
          SUMIF(OFFSET($S28,1,0,$R26-2),($M26+1)&amp;"$",OFFSET(AJ28,1,0,$R26-2)))</f>
        <v>0</v>
      </c>
      <c r="AK28" s="212">
        <f ca="1">IF($R26=2,
         IF(AND(ACOMPANHAMENTO="PLE",ISNUMBER($F26)),
                SUMIF((OFFSET(CÁLCULO!$BC$15:$BU$15,$F26,0,OFFSET(ORÇAMENTO!$D$15,CRONO!$F26,0))),CRONO!AK$12,OFFSET(CÁLCULO!$AJ$15:$BB$15,$F26,0,OFFSET(ORÇAMENTO!$D$15,CRONO!$F26,0)))
                +IF(AND($F28&lt;&gt;"",$F28&lt;&gt;0),
                        SUMIF(CÁLCULO!$BC$15:$BU$131,CRONO!AK$12,CÁLCULO!$AJ$15:$BB$131)/(ORÇAMENTO!$X$15-CÁLCULO.TotalAdmLocal)*CRONO!$F28,
                        0),
                 AK27*$S26),
          SUMIF(OFFSET($S28,1,0,$R26-2),($M26+1)&amp;"$",OFFSET(AK28,1,0,$R26-2)))</f>
        <v>0</v>
      </c>
      <c r="AL28" s="212">
        <f ca="1">IF($R26=2,
         IF(AND(ACOMPANHAMENTO="PLE",ISNUMBER($F26)),
                SUMIF((OFFSET(CÁLCULO!$BC$15:$BU$15,$F26,0,OFFSET(ORÇAMENTO!$D$15,CRONO!$F26,0))),CRONO!AL$12,OFFSET(CÁLCULO!$AJ$15:$BB$15,$F26,0,OFFSET(ORÇAMENTO!$D$15,CRONO!$F26,0)))
                +IF(AND($F28&lt;&gt;"",$F28&lt;&gt;0),
                        SUMIF(CÁLCULO!$BC$15:$BU$131,CRONO!AL$12,CÁLCULO!$AJ$15:$BB$131)/(ORÇAMENTO!$X$15-CÁLCULO.TotalAdmLocal)*CRONO!$F28,
                        0),
                 AL27*$S26),
          SUMIF(OFFSET($S28,1,0,$R26-2),($M26+1)&amp;"$",OFFSET(AL28,1,0,$R26-2)))</f>
        <v>0</v>
      </c>
      <c r="AM28" s="212">
        <f ca="1">IF($R26=2,
         IF(AND(ACOMPANHAMENTO="PLE",ISNUMBER($F26)),
                SUMIF((OFFSET(CÁLCULO!$BC$15:$BU$15,$F26,0,OFFSET(ORÇAMENTO!$D$15,CRONO!$F26,0))),CRONO!AM$12,OFFSET(CÁLCULO!$AJ$15:$BB$15,$F26,0,OFFSET(ORÇAMENTO!$D$15,CRONO!$F26,0)))
                +IF(AND($F28&lt;&gt;"",$F28&lt;&gt;0),
                        SUMIF(CÁLCULO!$BC$15:$BU$131,CRONO!AM$12,CÁLCULO!$AJ$15:$BB$131)/(ORÇAMENTO!$X$15-CÁLCULO.TotalAdmLocal)*CRONO!$F28,
                        0),
                 AM27*$S26),
          SUMIF(OFFSET($S28,1,0,$R26-2),($M26+1)&amp;"$",OFFSET(AM28,1,0,$R26-2)))</f>
        <v>0</v>
      </c>
      <c r="AN28" s="212">
        <f ca="1">IF($R26=2,
         IF(AND(ACOMPANHAMENTO="PLE",ISNUMBER($F26)),
                SUMIF((OFFSET(CÁLCULO!$BC$15:$BU$15,$F26,0,OFFSET(ORÇAMENTO!$D$15,CRONO!$F26,0))),CRONO!AN$12,OFFSET(CÁLCULO!$AJ$15:$BB$15,$F26,0,OFFSET(ORÇAMENTO!$D$15,CRONO!$F26,0)))
                +IF(AND($F28&lt;&gt;"",$F28&lt;&gt;0),
                        SUMIF(CÁLCULO!$BC$15:$BU$131,CRONO!AN$12,CÁLCULO!$AJ$15:$BB$131)/(ORÇAMENTO!$X$15-CÁLCULO.TotalAdmLocal)*CRONO!$F28,
                        0),
                 AN27*$S26),
          SUMIF(OFFSET($S28,1,0,$R26-2),($M26+1)&amp;"$",OFFSET(AN28,1,0,$R26-2)))</f>
        <v>0</v>
      </c>
      <c r="AO28" s="212">
        <f ca="1">IF($R26=2,
         IF(AND(ACOMPANHAMENTO="PLE",ISNUMBER($F26)),
                SUMIF((OFFSET(CÁLCULO!$BC$15:$BU$15,$F26,0,OFFSET(ORÇAMENTO!$D$15,CRONO!$F26,0))),CRONO!AO$12,OFFSET(CÁLCULO!$AJ$15:$BB$15,$F26,0,OFFSET(ORÇAMENTO!$D$15,CRONO!$F26,0)))
                +IF(AND($F28&lt;&gt;"",$F28&lt;&gt;0),
                        SUMIF(CÁLCULO!$BC$15:$BU$131,CRONO!AO$12,CÁLCULO!$AJ$15:$BB$131)/(ORÇAMENTO!$X$15-CÁLCULO.TotalAdmLocal)*CRONO!$F28,
                        0),
                 AO27*$S26),
          SUMIF(OFFSET($S28,1,0,$R26-2),($M26+1)&amp;"$",OFFSET(AO28,1,0,$R26-2)))</f>
        <v>0</v>
      </c>
      <c r="AP28" s="212">
        <f ca="1">IF($R26=2,
         IF(AND(ACOMPANHAMENTO="PLE",ISNUMBER($F26)),
                SUMIF((OFFSET(CÁLCULO!$BC$15:$BU$15,$F26,0,OFFSET(ORÇAMENTO!$D$15,CRONO!$F26,0))),CRONO!AP$12,OFFSET(CÁLCULO!$AJ$15:$BB$15,$F26,0,OFFSET(ORÇAMENTO!$D$15,CRONO!$F26,0)))
                +IF(AND($F28&lt;&gt;"",$F28&lt;&gt;0),
                        SUMIF(CÁLCULO!$BC$15:$BU$131,CRONO!AP$12,CÁLCULO!$AJ$15:$BB$131)/(ORÇAMENTO!$X$15-CÁLCULO.TotalAdmLocal)*CRONO!$F28,
                        0),
                 AP27*$S26),
          SUMIF(OFFSET($S28,1,0,$R26-2),($M26+1)&amp;"$",OFFSET(AP28,1,0,$R26-2)))</f>
        <v>0</v>
      </c>
      <c r="AQ28" s="212">
        <f ca="1">IF($R26=2,
         IF(AND(ACOMPANHAMENTO="PLE",ISNUMBER($F26)),
                SUMIF((OFFSET(CÁLCULO!$BC$15:$BU$15,$F26,0,OFFSET(ORÇAMENTO!$D$15,CRONO!$F26,0))),CRONO!AQ$12,OFFSET(CÁLCULO!$AJ$15:$BB$15,$F26,0,OFFSET(ORÇAMENTO!$D$15,CRONO!$F26,0)))
                +IF(AND($F28&lt;&gt;"",$F28&lt;&gt;0),
                        SUMIF(CÁLCULO!$BC$15:$BU$131,CRONO!AQ$12,CÁLCULO!$AJ$15:$BB$131)/(ORÇAMENTO!$X$15-CÁLCULO.TotalAdmLocal)*CRONO!$F28,
                        0),
                 AQ27*$S26),
          SUMIF(OFFSET($S28,1,0,$R26-2),($M26+1)&amp;"$",OFFSET(AQ28,1,0,$R26-2)))</f>
        <v>0</v>
      </c>
      <c r="AR28" s="212">
        <f ca="1">IF($R26=2,
         IF(AND(ACOMPANHAMENTO="PLE",ISNUMBER($F26)),
                SUMIF((OFFSET(CÁLCULO!$BC$15:$BU$15,$F26,0,OFFSET(ORÇAMENTO!$D$15,CRONO!$F26,0))),CRONO!AR$12,OFFSET(CÁLCULO!$AJ$15:$BB$15,$F26,0,OFFSET(ORÇAMENTO!$D$15,CRONO!$F26,0)))
                +IF(AND($F28&lt;&gt;"",$F28&lt;&gt;0),
                        SUMIF(CÁLCULO!$BC$15:$BU$131,CRONO!AR$12,CÁLCULO!$AJ$15:$BB$131)/(ORÇAMENTO!$X$15-CÁLCULO.TotalAdmLocal)*CRONO!$F28,
                        0),
                 AR27*$S26),
          SUMIF(OFFSET($S28,1,0,$R26-2),($M26+1)&amp;"$",OFFSET(AR28,1,0,$R26-2)))</f>
        <v>0</v>
      </c>
      <c r="AS28" s="577"/>
    </row>
    <row r="29" spans="1:45" x14ac:dyDescent="0.2">
      <c r="A29" s="196" t="str">
        <f t="shared" ref="A29" ca="1" si="32">IF($M29&gt;1,CONCATENATE($I29," ",$J29),"")</f>
        <v>1.5. ESTRUTURA E FUNDAÇÕES - PROJETO E ORÇAMENTO TERCERIZADO - AZEVEDO ENGENHARIA (AZ ENG)</v>
      </c>
      <c r="B29" s="195">
        <f t="shared" ref="B29" ca="1" si="33">OFFSET(B29,-3,0)+1</f>
        <v>6</v>
      </c>
      <c r="C29" s="195">
        <f ca="1">IF($R29&lt;&gt;2,0,IF($S29=0,1,IF(F30&gt;0,OFFSET(QCI!$M$13,SUBSTITUTE(F30,".",""),0),OFFSET(ORÇAMENTO!$AA$15,CRONO!$F29,0))/$S29))</f>
        <v>1</v>
      </c>
      <c r="D29" s="195">
        <f ca="1">IF($R29&lt;&gt;2,0,IF($S29=0,1,IF(F30&gt;0,OFFSET(QCI!$N$13,SUBSTITUTE(F30,".",""),0),OFFSET(ORÇAMENTO!$AB$15,CRONO!$F29,0))/$S29))</f>
        <v>0</v>
      </c>
      <c r="E29" s="198">
        <f ca="1">IF(AND($R29=2,ACOMPANHAMENTO="BM"),ROUND(E30,4),E31/$S29)</f>
        <v>1.7746300257228589E-2</v>
      </c>
      <c r="F29" s="195">
        <f ca="1">IF(B29&lt;=ORÇAMENTO.MáximoListaCrono,MATCH(B29,ORÇAMENTO.ListaCrono,0),NA())</f>
        <v>19</v>
      </c>
      <c r="G29" s="195" t="str">
        <f t="shared" ref="G29" ca="1" si="34">IF(AND($F30&lt;&gt;-1,$S29&gt;0),"F","")</f>
        <v>F</v>
      </c>
      <c r="H29" s="199" t="str">
        <f ca="1">IF(OR(S29=0,S29=""),"Linha",IF(AND(OR(ACOMPANHAMENTO="PLE",$R29&lt;&gt;2),$F30=0),"Linha",ROUND(1-SUM(U29:AS29),4)))</f>
        <v>Linha</v>
      </c>
      <c r="I29" s="200" t="str">
        <f ca="1">IF($F30=0,OFFSET(ORÇAMENTO!O$15,$F29,0),IF($F30&lt;&gt;-1,OFFSET(QCI!$D$13,$F30,0),""))</f>
        <v>1.5.</v>
      </c>
      <c r="J29" s="201" t="str">
        <f ca="1">IF($F30=0,OFFSET(ORÇAMENTO!R$15,$F29,0),IF($F30&lt;&gt;-1,OFFSET(QCI!$G$13,$F30,0),""))</f>
        <v>ESTRUTURA E FUNDAÇÕES - PROJETO E ORÇAMENTO TERCERIZADO - AZEVEDO ENGENHARIA (AZ ENG)</v>
      </c>
      <c r="K29" s="201"/>
      <c r="L29" s="201"/>
      <c r="M29" s="202">
        <f ca="1">IF($F30=0,OFFSET(ORÇAMENTO!C$15,$F29,0),1)</f>
        <v>2</v>
      </c>
      <c r="N29" s="203">
        <f ca="1">IF($F30=-1,0,IF(N$13&lt;=$M29,IF(ISERROR(MATCH(N$13,OFFSET($M29,1,0,ROW($M$107)-ROW($M29)-1),0)),ROW($M$107)-ROW($M29)-1,MATCH(N$13,OFFSET($M29,1,0,ROW($M$107)-ROW($M29)-1),0)-1),0))</f>
        <v>26</v>
      </c>
      <c r="O29" s="203">
        <f ca="1">IF($F30=-1,0,IF(O$13&lt;=$M29,IF(ISERROR(MATCH(O$13,OFFSET($M29,1,0,ROW($M$107)-ROW($M29)-1),0)),ROW($M$107)-ROW($M29)-1,MATCH(O$13,OFFSET($M29,1,0,ROW($M$107)-ROW($M29)-1),0)-1),0))</f>
        <v>2</v>
      </c>
      <c r="P29" s="203">
        <f ca="1">IF($F30=-1,0,IF(P$13&lt;=$M29,IF(ISERROR(MATCH(P$13,OFFSET($M29,1,0,ROW($M$107)-ROW($M29)-1),0)),ROW($M$107)-ROW($M29)-1,MATCH(P$13,OFFSET($M29,1,0,ROW($M$107)-ROW($M29)-1),0)-1),0))</f>
        <v>0</v>
      </c>
      <c r="Q29" s="203">
        <f ca="1">IF($F30=-1,0,IF(Q$13&lt;=$M29,IF(ISERROR(MATCH(Q$13,OFFSET($M29,1,0,ROW($M$107)-ROW($M29)-1),0)),ROW($M$107)-ROW($M29)-1,MATCH(Q$13,OFFSET($M29,1,0,ROW($M$107)-ROW($M29)-1),0)-1),0))</f>
        <v>0</v>
      </c>
      <c r="R29" s="203">
        <f t="shared" ref="R29" ca="1" si="35">MIN(OFFSET(M29,0,1,,M29))</f>
        <v>2</v>
      </c>
      <c r="S29" s="204">
        <f ca="1">IF($F30=0,OFFSET(ORÇAMENTO!X$15,$F29,0),IF($F30&lt;&gt;-1,OFFSET(QCI!$O$13,$F30,0),""))</f>
        <v>943277.74</v>
      </c>
      <c r="T29" s="205" t="s">
        <v>266</v>
      </c>
      <c r="U29" s="198">
        <f ca="1">IF(AND($R29=2,ACOMPANHAMENTO="BM"),ROUND(U30,4),U31/$S29)</f>
        <v>1.7746300257228589E-2</v>
      </c>
      <c r="V29" s="198">
        <f ca="1">IF(AND($R29=2,ACOMPANHAMENTO="BM"),ROUND(V30,4),V31/$S29)</f>
        <v>0.74640282511066147</v>
      </c>
      <c r="W29" s="198">
        <f ca="1">IF(AND($R29=2,ACOMPANHAMENTO="BM"),ROUND(W30,4),W31/$S29)</f>
        <v>0.23585087463210996</v>
      </c>
      <c r="X29" s="198">
        <f ca="1">IF(AND($R29=2,ACOMPANHAMENTO="BM"),ROUND(X30,4),X31/$S29)</f>
        <v>0</v>
      </c>
      <c r="Y29" s="198">
        <f ca="1">IF(AND($R29=2,ACOMPANHAMENTO="BM"),ROUND(Y30,4),Y31/$S29)</f>
        <v>0</v>
      </c>
      <c r="Z29" s="198">
        <f ca="1">IF(AND($R29=2,ACOMPANHAMENTO="BM"),ROUND(Z30,4),Z31/$S29)</f>
        <v>0</v>
      </c>
      <c r="AA29" s="198">
        <f ca="1">IF(AND($R29=2,ACOMPANHAMENTO="BM"),ROUND(AA30,4),AA31/$S29)</f>
        <v>0</v>
      </c>
      <c r="AB29" s="198">
        <f ca="1">IF(AND($R29=2,ACOMPANHAMENTO="BM"),ROUND(AB30,4),AB31/$S29)</f>
        <v>0</v>
      </c>
      <c r="AC29" s="198">
        <f ca="1">IF(AND($R29=2,ACOMPANHAMENTO="BM"),ROUND(AC30,4),AC31/$S29)</f>
        <v>0</v>
      </c>
      <c r="AD29" s="198">
        <f ca="1">IF(AND($R29=2,ACOMPANHAMENTO="BM"),ROUND(AD30,4),AD31/$S29)</f>
        <v>0</v>
      </c>
      <c r="AE29" s="198">
        <f ca="1">IF(AND($R29=2,ACOMPANHAMENTO="BM"),ROUND(AE30,4),AE31/$S29)</f>
        <v>0</v>
      </c>
      <c r="AF29" s="198">
        <f ca="1">IF(AND($R29=2,ACOMPANHAMENTO="BM"),ROUND(AF30,4),AF31/$S29)</f>
        <v>0</v>
      </c>
      <c r="AG29" s="198">
        <f ca="1">IF(AND($R29=2,ACOMPANHAMENTO="BM"),ROUND(AG30,4),AG31/$S29)</f>
        <v>0</v>
      </c>
      <c r="AH29" s="198">
        <f ca="1">IF(AND($R29=2,ACOMPANHAMENTO="BM"),ROUND(AH30,4),AH31/$S29)</f>
        <v>0</v>
      </c>
      <c r="AI29" s="198">
        <f ca="1">IF(AND($R29=2,ACOMPANHAMENTO="BM"),ROUND(AI30,4),AI31/$S29)</f>
        <v>0</v>
      </c>
      <c r="AJ29" s="198">
        <f ca="1">IF(AND($R29=2,ACOMPANHAMENTO="BM"),ROUND(AJ30,4),AJ31/$S29)</f>
        <v>0</v>
      </c>
      <c r="AK29" s="198">
        <f ca="1">IF(AND($R29=2,ACOMPANHAMENTO="BM"),ROUND(AK30,4),AK31/$S29)</f>
        <v>0</v>
      </c>
      <c r="AL29" s="198">
        <f ca="1">IF(AND($R29=2,ACOMPANHAMENTO="BM"),ROUND(AL30,4),AL31/$S29)</f>
        <v>0</v>
      </c>
      <c r="AM29" s="198">
        <f ca="1">IF(AND($R29=2,ACOMPANHAMENTO="BM"),ROUND(AM30,4),AM31/$S29)</f>
        <v>0</v>
      </c>
      <c r="AN29" s="198">
        <f ca="1">IF(AND($R29=2,ACOMPANHAMENTO="BM"),ROUND(AN30,4),AN31/$S29)</f>
        <v>0</v>
      </c>
      <c r="AO29" s="198">
        <f ca="1">IF(AND($R29=2,ACOMPANHAMENTO="BM"),ROUND(AO30,4),AO31/$S29)</f>
        <v>0</v>
      </c>
      <c r="AP29" s="198">
        <f ca="1">IF(AND($R29=2,ACOMPANHAMENTO="BM"),ROUND(AP30,4),AP31/$S29)</f>
        <v>0</v>
      </c>
      <c r="AQ29" s="198">
        <f ca="1">IF(AND($R29=2,ACOMPANHAMENTO="BM"),ROUND(AQ30,4),AQ31/$S29)</f>
        <v>0</v>
      </c>
      <c r="AR29" s="198">
        <f ca="1">IF(AND($R29=2,ACOMPANHAMENTO="BM"),ROUND(AR30,4),AR31/$S29)</f>
        <v>0</v>
      </c>
      <c r="AS29" s="577"/>
    </row>
    <row r="30" spans="1:45" ht="12.75" hidden="1" customHeight="1" x14ac:dyDescent="0.2">
      <c r="E30" s="645"/>
      <c r="F30" s="195">
        <f ca="1">IF(ISERROR(F29),IF(1+COUNTIF($M$13:OFFSET(M29,-1,0),1)&lt;=MAX(QCI!$D$13:$D$24),1+COUNTIF($M$13:OFFSET(M29,-1,0),1),-1),0)</f>
        <v>0</v>
      </c>
      <c r="G30" s="195" t="str">
        <f ca="1">IF(ACOMPANHAMENTO="BM",OFFSET(G30,-1,0),"")</f>
        <v/>
      </c>
      <c r="H30" s="206" t="str">
        <f ca="1">IF(OR(S29=0,S29=""),"vazia",IF(AND(OR(ACOMPANHAMENTO="PLE",$R29&lt;&gt;2),$F30=0),"calculada","--&gt;"))</f>
        <v>calculada</v>
      </c>
      <c r="I30" s="207"/>
      <c r="J30" s="208" t="str">
        <f t="shared" ref="J30" ca="1" si="36">IF(AND(H29&lt;&gt;0,ISNUMBER(H29)),"PREENCHA ESTA LINHA --&gt;","")</f>
        <v/>
      </c>
      <c r="K30" s="208"/>
      <c r="L30" s="208"/>
      <c r="M30" s="209"/>
      <c r="N30" s="209"/>
      <c r="O30" s="209"/>
      <c r="P30" s="209"/>
      <c r="Q30" s="209"/>
      <c r="R30" s="209"/>
      <c r="S30" s="210"/>
      <c r="T30" s="211"/>
      <c r="U30" s="645"/>
      <c r="V30" s="645"/>
      <c r="W30" s="645"/>
      <c r="X30" s="645"/>
      <c r="Y30" s="645"/>
      <c r="Z30" s="645"/>
      <c r="AA30" s="645"/>
      <c r="AB30" s="645"/>
      <c r="AC30" s="645"/>
      <c r="AD30" s="645"/>
      <c r="AE30" s="645"/>
      <c r="AF30" s="645"/>
      <c r="AG30" s="645"/>
      <c r="AH30" s="645"/>
      <c r="AI30" s="645"/>
      <c r="AJ30" s="645"/>
      <c r="AK30" s="645"/>
      <c r="AL30" s="645"/>
      <c r="AM30" s="645"/>
      <c r="AN30" s="645"/>
      <c r="AO30" s="645"/>
      <c r="AP30" s="645"/>
      <c r="AQ30" s="645"/>
      <c r="AR30" s="645"/>
      <c r="AS30" s="577"/>
    </row>
    <row r="31" spans="1:45" ht="12.75" hidden="1" customHeight="1" x14ac:dyDescent="0.2">
      <c r="D31" s="576"/>
      <c r="E31" s="212">
        <f ca="1">IF($R29=2,
         IF(AND(ACOMPANHAMENTO="PLE",ISNUMBER($F29)),
                SUMIF((OFFSET(CÁLCULO!$BC$15:$BU$15,$F29,0,OFFSET(ORÇAMENTO!$D$15,CRONO!$F29,0))),CRONO!E$12,OFFSET(CÁLCULO!$AJ$15:$BB$15,$F29,0,OFFSET(ORÇAMENTO!$D$15,CRONO!$F29,0)))
                +IF(AND($F31&lt;&gt;"",$F31&lt;&gt;0),
                        SUMIF(CÁLCULO!$BC$15:$BU$131,CRONO!E$12,CÁLCULO!$AJ$15:$BB$131)/(ORÇAMENTO!$X$15-CÁLCULO.TotalAdmLocal)*CRONO!$F31,
                        0),
                 E30*$S29),
          SUMIF(OFFSET($S31,1,0,$R29-2),($M29+1)&amp;"$",OFFSET(E31,1,0,$R29-2)))</f>
        <v>16739.690000000002</v>
      </c>
      <c r="F31" s="195" t="str">
        <f ca="1">IF(OR($R29&lt;&gt;2,AUTOEVENTO&lt;&gt;"manual",$F30&gt;0),"",
        IF(Import.TipoArredondamento="Tradicional",
              SUMIF(OFFSET(CÁLCULO!$M$15,CRONO!$F29,0,OFFSET(ORÇAMENTO!$D$15,CRONO!$F29,0)),1,OFFSET(ORÇAMENTO!$X$15,CRONO!$F29,0,OFFSET(ORÇAMENTO!$D$15,CRONO!$F29,0))),
              0))</f>
        <v/>
      </c>
      <c r="H31" s="213"/>
      <c r="S31" s="214" t="str">
        <f t="shared" ref="S31" ca="1" si="37">M29&amp;"$"</f>
        <v>2$</v>
      </c>
      <c r="T31" s="215"/>
      <c r="U31" s="212">
        <f ca="1">IF($R29=2,
         IF(AND(ACOMPANHAMENTO="PLE",ISNUMBER($F29)),
                SUMIF((OFFSET(CÁLCULO!$BC$15:$BU$15,$F29,0,OFFSET(ORÇAMENTO!$D$15,CRONO!$F29,0))),CRONO!U$12,OFFSET(CÁLCULO!$AJ$15:$BB$15,$F29,0,OFFSET(ORÇAMENTO!$D$15,CRONO!$F29,0)))
                +IF(AND($F31&lt;&gt;"",$F31&lt;&gt;0),
                        SUMIF(CÁLCULO!$BC$15:$BU$131,CRONO!U$12,CÁLCULO!$AJ$15:$BB$131)/(ORÇAMENTO!$X$15-CÁLCULO.TotalAdmLocal)*CRONO!$F31,
                        0),
                 U30*$S29),
          SUMIF(OFFSET($S31,1,0,$R29-2),($M29+1)&amp;"$",OFFSET(U31,1,0,$R29-2)))</f>
        <v>16739.690000000002</v>
      </c>
      <c r="V31" s="212">
        <f ca="1">IF($R29=2,
         IF(AND(ACOMPANHAMENTO="PLE",ISNUMBER($F29)),
                SUMIF((OFFSET(CÁLCULO!$BC$15:$BU$15,$F29,0,OFFSET(ORÇAMENTO!$D$15,CRONO!$F29,0))),CRONO!V$12,OFFSET(CÁLCULO!$AJ$15:$BB$15,$F29,0,OFFSET(ORÇAMENTO!$D$15,CRONO!$F29,0)))
                +IF(AND($F31&lt;&gt;"",$F31&lt;&gt;0),
                        SUMIF(CÁLCULO!$BC$15:$BU$131,CRONO!V$12,CÁLCULO!$AJ$15:$BB$131)/(ORÇAMENTO!$X$15-CÁLCULO.TotalAdmLocal)*CRONO!$F31,
                        0),
                 V30*$S29),
          SUMIF(OFFSET($S31,1,0,$R29-2),($M29+1)&amp;"$",OFFSET(V31,1,0,$R29-2)))</f>
        <v>704065.17</v>
      </c>
      <c r="W31" s="212">
        <f ca="1">IF($R29=2,
         IF(AND(ACOMPANHAMENTO="PLE",ISNUMBER($F29)),
                SUMIF((OFFSET(CÁLCULO!$BC$15:$BU$15,$F29,0,OFFSET(ORÇAMENTO!$D$15,CRONO!$F29,0))),CRONO!W$12,OFFSET(CÁLCULO!$AJ$15:$BB$15,$F29,0,OFFSET(ORÇAMENTO!$D$15,CRONO!$F29,0)))
                +IF(AND($F31&lt;&gt;"",$F31&lt;&gt;0),
                        SUMIF(CÁLCULO!$BC$15:$BU$131,CRONO!W$12,CÁLCULO!$AJ$15:$BB$131)/(ORÇAMENTO!$X$15-CÁLCULO.TotalAdmLocal)*CRONO!$F31,
                        0),
                 W30*$S29),
          SUMIF(OFFSET($S31,1,0,$R29-2),($M29+1)&amp;"$",OFFSET(W31,1,0,$R29-2)))</f>
        <v>222472.88</v>
      </c>
      <c r="X31" s="212">
        <f ca="1">IF($R29=2,
         IF(AND(ACOMPANHAMENTO="PLE",ISNUMBER($F29)),
                SUMIF((OFFSET(CÁLCULO!$BC$15:$BU$15,$F29,0,OFFSET(ORÇAMENTO!$D$15,CRONO!$F29,0))),CRONO!X$12,OFFSET(CÁLCULO!$AJ$15:$BB$15,$F29,0,OFFSET(ORÇAMENTO!$D$15,CRONO!$F29,0)))
                +IF(AND($F31&lt;&gt;"",$F31&lt;&gt;0),
                        SUMIF(CÁLCULO!$BC$15:$BU$131,CRONO!X$12,CÁLCULO!$AJ$15:$BB$131)/(ORÇAMENTO!$X$15-CÁLCULO.TotalAdmLocal)*CRONO!$F31,
                        0),
                 X30*$S29),
          SUMIF(OFFSET($S31,1,0,$R29-2),($M29+1)&amp;"$",OFFSET(X31,1,0,$R29-2)))</f>
        <v>0</v>
      </c>
      <c r="Y31" s="212">
        <f ca="1">IF($R29=2,
         IF(AND(ACOMPANHAMENTO="PLE",ISNUMBER($F29)),
                SUMIF((OFFSET(CÁLCULO!$BC$15:$BU$15,$F29,0,OFFSET(ORÇAMENTO!$D$15,CRONO!$F29,0))),CRONO!Y$12,OFFSET(CÁLCULO!$AJ$15:$BB$15,$F29,0,OFFSET(ORÇAMENTO!$D$15,CRONO!$F29,0)))
                +IF(AND($F31&lt;&gt;"",$F31&lt;&gt;0),
                        SUMIF(CÁLCULO!$BC$15:$BU$131,CRONO!Y$12,CÁLCULO!$AJ$15:$BB$131)/(ORÇAMENTO!$X$15-CÁLCULO.TotalAdmLocal)*CRONO!$F31,
                        0),
                 Y30*$S29),
          SUMIF(OFFSET($S31,1,0,$R29-2),($M29+1)&amp;"$",OFFSET(Y31,1,0,$R29-2)))</f>
        <v>0</v>
      </c>
      <c r="Z31" s="212">
        <f ca="1">IF($R29=2,
         IF(AND(ACOMPANHAMENTO="PLE",ISNUMBER($F29)),
                SUMIF((OFFSET(CÁLCULO!$BC$15:$BU$15,$F29,0,OFFSET(ORÇAMENTO!$D$15,CRONO!$F29,0))),CRONO!Z$12,OFFSET(CÁLCULO!$AJ$15:$BB$15,$F29,0,OFFSET(ORÇAMENTO!$D$15,CRONO!$F29,0)))
                +IF(AND($F31&lt;&gt;"",$F31&lt;&gt;0),
                        SUMIF(CÁLCULO!$BC$15:$BU$131,CRONO!Z$12,CÁLCULO!$AJ$15:$BB$131)/(ORÇAMENTO!$X$15-CÁLCULO.TotalAdmLocal)*CRONO!$F31,
                        0),
                 Z30*$S29),
          SUMIF(OFFSET($S31,1,0,$R29-2),($M29+1)&amp;"$",OFFSET(Z31,1,0,$R29-2)))</f>
        <v>0</v>
      </c>
      <c r="AA31" s="212">
        <f ca="1">IF($R29=2,
         IF(AND(ACOMPANHAMENTO="PLE",ISNUMBER($F29)),
                SUMIF((OFFSET(CÁLCULO!$BC$15:$BU$15,$F29,0,OFFSET(ORÇAMENTO!$D$15,CRONO!$F29,0))),CRONO!AA$12,OFFSET(CÁLCULO!$AJ$15:$BB$15,$F29,0,OFFSET(ORÇAMENTO!$D$15,CRONO!$F29,0)))
                +IF(AND($F31&lt;&gt;"",$F31&lt;&gt;0),
                        SUMIF(CÁLCULO!$BC$15:$BU$131,CRONO!AA$12,CÁLCULO!$AJ$15:$BB$131)/(ORÇAMENTO!$X$15-CÁLCULO.TotalAdmLocal)*CRONO!$F31,
                        0),
                 AA30*$S29),
          SUMIF(OFFSET($S31,1,0,$R29-2),($M29+1)&amp;"$",OFFSET(AA31,1,0,$R29-2)))</f>
        <v>0</v>
      </c>
      <c r="AB31" s="212">
        <f ca="1">IF($R29=2,
         IF(AND(ACOMPANHAMENTO="PLE",ISNUMBER($F29)),
                SUMIF((OFFSET(CÁLCULO!$BC$15:$BU$15,$F29,0,OFFSET(ORÇAMENTO!$D$15,CRONO!$F29,0))),CRONO!AB$12,OFFSET(CÁLCULO!$AJ$15:$BB$15,$F29,0,OFFSET(ORÇAMENTO!$D$15,CRONO!$F29,0)))
                +IF(AND($F31&lt;&gt;"",$F31&lt;&gt;0),
                        SUMIF(CÁLCULO!$BC$15:$BU$131,CRONO!AB$12,CÁLCULO!$AJ$15:$BB$131)/(ORÇAMENTO!$X$15-CÁLCULO.TotalAdmLocal)*CRONO!$F31,
                        0),
                 AB30*$S29),
          SUMIF(OFFSET($S31,1,0,$R29-2),($M29+1)&amp;"$",OFFSET(AB31,1,0,$R29-2)))</f>
        <v>0</v>
      </c>
      <c r="AC31" s="212">
        <f ca="1">IF($R29=2,
         IF(AND(ACOMPANHAMENTO="PLE",ISNUMBER($F29)),
                SUMIF((OFFSET(CÁLCULO!$BC$15:$BU$15,$F29,0,OFFSET(ORÇAMENTO!$D$15,CRONO!$F29,0))),CRONO!AC$12,OFFSET(CÁLCULO!$AJ$15:$BB$15,$F29,0,OFFSET(ORÇAMENTO!$D$15,CRONO!$F29,0)))
                +IF(AND($F31&lt;&gt;"",$F31&lt;&gt;0),
                        SUMIF(CÁLCULO!$BC$15:$BU$131,CRONO!AC$12,CÁLCULO!$AJ$15:$BB$131)/(ORÇAMENTO!$X$15-CÁLCULO.TotalAdmLocal)*CRONO!$F31,
                        0),
                 AC30*$S29),
          SUMIF(OFFSET($S31,1,0,$R29-2),($M29+1)&amp;"$",OFFSET(AC31,1,0,$R29-2)))</f>
        <v>0</v>
      </c>
      <c r="AD31" s="212">
        <f ca="1">IF($R29=2,
         IF(AND(ACOMPANHAMENTO="PLE",ISNUMBER($F29)),
                SUMIF((OFFSET(CÁLCULO!$BC$15:$BU$15,$F29,0,OFFSET(ORÇAMENTO!$D$15,CRONO!$F29,0))),CRONO!AD$12,OFFSET(CÁLCULO!$AJ$15:$BB$15,$F29,0,OFFSET(ORÇAMENTO!$D$15,CRONO!$F29,0)))
                +IF(AND($F31&lt;&gt;"",$F31&lt;&gt;0),
                        SUMIF(CÁLCULO!$BC$15:$BU$131,CRONO!AD$12,CÁLCULO!$AJ$15:$BB$131)/(ORÇAMENTO!$X$15-CÁLCULO.TotalAdmLocal)*CRONO!$F31,
                        0),
                 AD30*$S29),
          SUMIF(OFFSET($S31,1,0,$R29-2),($M29+1)&amp;"$",OFFSET(AD31,1,0,$R29-2)))</f>
        <v>0</v>
      </c>
      <c r="AE31" s="212">
        <f ca="1">IF($R29=2,
         IF(AND(ACOMPANHAMENTO="PLE",ISNUMBER($F29)),
                SUMIF((OFFSET(CÁLCULO!$BC$15:$BU$15,$F29,0,OFFSET(ORÇAMENTO!$D$15,CRONO!$F29,0))),CRONO!AE$12,OFFSET(CÁLCULO!$AJ$15:$BB$15,$F29,0,OFFSET(ORÇAMENTO!$D$15,CRONO!$F29,0)))
                +IF(AND($F31&lt;&gt;"",$F31&lt;&gt;0),
                        SUMIF(CÁLCULO!$BC$15:$BU$131,CRONO!AE$12,CÁLCULO!$AJ$15:$BB$131)/(ORÇAMENTO!$X$15-CÁLCULO.TotalAdmLocal)*CRONO!$F31,
                        0),
                 AE30*$S29),
          SUMIF(OFFSET($S31,1,0,$R29-2),($M29+1)&amp;"$",OFFSET(AE31,1,0,$R29-2)))</f>
        <v>0</v>
      </c>
      <c r="AF31" s="212">
        <f ca="1">IF($R29=2,
         IF(AND(ACOMPANHAMENTO="PLE",ISNUMBER($F29)),
                SUMIF((OFFSET(CÁLCULO!$BC$15:$BU$15,$F29,0,OFFSET(ORÇAMENTO!$D$15,CRONO!$F29,0))),CRONO!AF$12,OFFSET(CÁLCULO!$AJ$15:$BB$15,$F29,0,OFFSET(ORÇAMENTO!$D$15,CRONO!$F29,0)))
                +IF(AND($F31&lt;&gt;"",$F31&lt;&gt;0),
                        SUMIF(CÁLCULO!$BC$15:$BU$131,CRONO!AF$12,CÁLCULO!$AJ$15:$BB$131)/(ORÇAMENTO!$X$15-CÁLCULO.TotalAdmLocal)*CRONO!$F31,
                        0),
                 AF30*$S29),
          SUMIF(OFFSET($S31,1,0,$R29-2),($M29+1)&amp;"$",OFFSET(AF31,1,0,$R29-2)))</f>
        <v>0</v>
      </c>
      <c r="AG31" s="212">
        <f ca="1">IF($R29=2,
         IF(AND(ACOMPANHAMENTO="PLE",ISNUMBER($F29)),
                SUMIF((OFFSET(CÁLCULO!$BC$15:$BU$15,$F29,0,OFFSET(ORÇAMENTO!$D$15,CRONO!$F29,0))),CRONO!AG$12,OFFSET(CÁLCULO!$AJ$15:$BB$15,$F29,0,OFFSET(ORÇAMENTO!$D$15,CRONO!$F29,0)))
                +IF(AND($F31&lt;&gt;"",$F31&lt;&gt;0),
                        SUMIF(CÁLCULO!$BC$15:$BU$131,CRONO!AG$12,CÁLCULO!$AJ$15:$BB$131)/(ORÇAMENTO!$X$15-CÁLCULO.TotalAdmLocal)*CRONO!$F31,
                        0),
                 AG30*$S29),
          SUMIF(OFFSET($S31,1,0,$R29-2),($M29+1)&amp;"$",OFFSET(AG31,1,0,$R29-2)))</f>
        <v>0</v>
      </c>
      <c r="AH31" s="212">
        <f ca="1">IF($R29=2,
         IF(AND(ACOMPANHAMENTO="PLE",ISNUMBER($F29)),
                SUMIF((OFFSET(CÁLCULO!$BC$15:$BU$15,$F29,0,OFFSET(ORÇAMENTO!$D$15,CRONO!$F29,0))),CRONO!AH$12,OFFSET(CÁLCULO!$AJ$15:$BB$15,$F29,0,OFFSET(ORÇAMENTO!$D$15,CRONO!$F29,0)))
                +IF(AND($F31&lt;&gt;"",$F31&lt;&gt;0),
                        SUMIF(CÁLCULO!$BC$15:$BU$131,CRONO!AH$12,CÁLCULO!$AJ$15:$BB$131)/(ORÇAMENTO!$X$15-CÁLCULO.TotalAdmLocal)*CRONO!$F31,
                        0),
                 AH30*$S29),
          SUMIF(OFFSET($S31,1,0,$R29-2),($M29+1)&amp;"$",OFFSET(AH31,1,0,$R29-2)))</f>
        <v>0</v>
      </c>
      <c r="AI31" s="212">
        <f ca="1">IF($R29=2,
         IF(AND(ACOMPANHAMENTO="PLE",ISNUMBER($F29)),
                SUMIF((OFFSET(CÁLCULO!$BC$15:$BU$15,$F29,0,OFFSET(ORÇAMENTO!$D$15,CRONO!$F29,0))),CRONO!AI$12,OFFSET(CÁLCULO!$AJ$15:$BB$15,$F29,0,OFFSET(ORÇAMENTO!$D$15,CRONO!$F29,0)))
                +IF(AND($F31&lt;&gt;"",$F31&lt;&gt;0),
                        SUMIF(CÁLCULO!$BC$15:$BU$131,CRONO!AI$12,CÁLCULO!$AJ$15:$BB$131)/(ORÇAMENTO!$X$15-CÁLCULO.TotalAdmLocal)*CRONO!$F31,
                        0),
                 AI30*$S29),
          SUMIF(OFFSET($S31,1,0,$R29-2),($M29+1)&amp;"$",OFFSET(AI31,1,0,$R29-2)))</f>
        <v>0</v>
      </c>
      <c r="AJ31" s="212">
        <f ca="1">IF($R29=2,
         IF(AND(ACOMPANHAMENTO="PLE",ISNUMBER($F29)),
                SUMIF((OFFSET(CÁLCULO!$BC$15:$BU$15,$F29,0,OFFSET(ORÇAMENTO!$D$15,CRONO!$F29,0))),CRONO!AJ$12,OFFSET(CÁLCULO!$AJ$15:$BB$15,$F29,0,OFFSET(ORÇAMENTO!$D$15,CRONO!$F29,0)))
                +IF(AND($F31&lt;&gt;"",$F31&lt;&gt;0),
                        SUMIF(CÁLCULO!$BC$15:$BU$131,CRONO!AJ$12,CÁLCULO!$AJ$15:$BB$131)/(ORÇAMENTO!$X$15-CÁLCULO.TotalAdmLocal)*CRONO!$F31,
                        0),
                 AJ30*$S29),
          SUMIF(OFFSET($S31,1,0,$R29-2),($M29+1)&amp;"$",OFFSET(AJ31,1,0,$R29-2)))</f>
        <v>0</v>
      </c>
      <c r="AK31" s="212">
        <f ca="1">IF($R29=2,
         IF(AND(ACOMPANHAMENTO="PLE",ISNUMBER($F29)),
                SUMIF((OFFSET(CÁLCULO!$BC$15:$BU$15,$F29,0,OFFSET(ORÇAMENTO!$D$15,CRONO!$F29,0))),CRONO!AK$12,OFFSET(CÁLCULO!$AJ$15:$BB$15,$F29,0,OFFSET(ORÇAMENTO!$D$15,CRONO!$F29,0)))
                +IF(AND($F31&lt;&gt;"",$F31&lt;&gt;0),
                        SUMIF(CÁLCULO!$BC$15:$BU$131,CRONO!AK$12,CÁLCULO!$AJ$15:$BB$131)/(ORÇAMENTO!$X$15-CÁLCULO.TotalAdmLocal)*CRONO!$F31,
                        0),
                 AK30*$S29),
          SUMIF(OFFSET($S31,1,0,$R29-2),($M29+1)&amp;"$",OFFSET(AK31,1,0,$R29-2)))</f>
        <v>0</v>
      </c>
      <c r="AL31" s="212">
        <f ca="1">IF($R29=2,
         IF(AND(ACOMPANHAMENTO="PLE",ISNUMBER($F29)),
                SUMIF((OFFSET(CÁLCULO!$BC$15:$BU$15,$F29,0,OFFSET(ORÇAMENTO!$D$15,CRONO!$F29,0))),CRONO!AL$12,OFFSET(CÁLCULO!$AJ$15:$BB$15,$F29,0,OFFSET(ORÇAMENTO!$D$15,CRONO!$F29,0)))
                +IF(AND($F31&lt;&gt;"",$F31&lt;&gt;0),
                        SUMIF(CÁLCULO!$BC$15:$BU$131,CRONO!AL$12,CÁLCULO!$AJ$15:$BB$131)/(ORÇAMENTO!$X$15-CÁLCULO.TotalAdmLocal)*CRONO!$F31,
                        0),
                 AL30*$S29),
          SUMIF(OFFSET($S31,1,0,$R29-2),($M29+1)&amp;"$",OFFSET(AL31,1,0,$R29-2)))</f>
        <v>0</v>
      </c>
      <c r="AM31" s="212">
        <f ca="1">IF($R29=2,
         IF(AND(ACOMPANHAMENTO="PLE",ISNUMBER($F29)),
                SUMIF((OFFSET(CÁLCULO!$BC$15:$BU$15,$F29,0,OFFSET(ORÇAMENTO!$D$15,CRONO!$F29,0))),CRONO!AM$12,OFFSET(CÁLCULO!$AJ$15:$BB$15,$F29,0,OFFSET(ORÇAMENTO!$D$15,CRONO!$F29,0)))
                +IF(AND($F31&lt;&gt;"",$F31&lt;&gt;0),
                        SUMIF(CÁLCULO!$BC$15:$BU$131,CRONO!AM$12,CÁLCULO!$AJ$15:$BB$131)/(ORÇAMENTO!$X$15-CÁLCULO.TotalAdmLocal)*CRONO!$F31,
                        0),
                 AM30*$S29),
          SUMIF(OFFSET($S31,1,0,$R29-2),($M29+1)&amp;"$",OFFSET(AM31,1,0,$R29-2)))</f>
        <v>0</v>
      </c>
      <c r="AN31" s="212">
        <f ca="1">IF($R29=2,
         IF(AND(ACOMPANHAMENTO="PLE",ISNUMBER($F29)),
                SUMIF((OFFSET(CÁLCULO!$BC$15:$BU$15,$F29,0,OFFSET(ORÇAMENTO!$D$15,CRONO!$F29,0))),CRONO!AN$12,OFFSET(CÁLCULO!$AJ$15:$BB$15,$F29,0,OFFSET(ORÇAMENTO!$D$15,CRONO!$F29,0)))
                +IF(AND($F31&lt;&gt;"",$F31&lt;&gt;0),
                        SUMIF(CÁLCULO!$BC$15:$BU$131,CRONO!AN$12,CÁLCULO!$AJ$15:$BB$131)/(ORÇAMENTO!$X$15-CÁLCULO.TotalAdmLocal)*CRONO!$F31,
                        0),
                 AN30*$S29),
          SUMIF(OFFSET($S31,1,0,$R29-2),($M29+1)&amp;"$",OFFSET(AN31,1,0,$R29-2)))</f>
        <v>0</v>
      </c>
      <c r="AO31" s="212">
        <f ca="1">IF($R29=2,
         IF(AND(ACOMPANHAMENTO="PLE",ISNUMBER($F29)),
                SUMIF((OFFSET(CÁLCULO!$BC$15:$BU$15,$F29,0,OFFSET(ORÇAMENTO!$D$15,CRONO!$F29,0))),CRONO!AO$12,OFFSET(CÁLCULO!$AJ$15:$BB$15,$F29,0,OFFSET(ORÇAMENTO!$D$15,CRONO!$F29,0)))
                +IF(AND($F31&lt;&gt;"",$F31&lt;&gt;0),
                        SUMIF(CÁLCULO!$BC$15:$BU$131,CRONO!AO$12,CÁLCULO!$AJ$15:$BB$131)/(ORÇAMENTO!$X$15-CÁLCULO.TotalAdmLocal)*CRONO!$F31,
                        0),
                 AO30*$S29),
          SUMIF(OFFSET($S31,1,0,$R29-2),($M29+1)&amp;"$",OFFSET(AO31,1,0,$R29-2)))</f>
        <v>0</v>
      </c>
      <c r="AP31" s="212">
        <f ca="1">IF($R29=2,
         IF(AND(ACOMPANHAMENTO="PLE",ISNUMBER($F29)),
                SUMIF((OFFSET(CÁLCULO!$BC$15:$BU$15,$F29,0,OFFSET(ORÇAMENTO!$D$15,CRONO!$F29,0))),CRONO!AP$12,OFFSET(CÁLCULO!$AJ$15:$BB$15,$F29,0,OFFSET(ORÇAMENTO!$D$15,CRONO!$F29,0)))
                +IF(AND($F31&lt;&gt;"",$F31&lt;&gt;0),
                        SUMIF(CÁLCULO!$BC$15:$BU$131,CRONO!AP$12,CÁLCULO!$AJ$15:$BB$131)/(ORÇAMENTO!$X$15-CÁLCULO.TotalAdmLocal)*CRONO!$F31,
                        0),
                 AP30*$S29),
          SUMIF(OFFSET($S31,1,0,$R29-2),($M29+1)&amp;"$",OFFSET(AP31,1,0,$R29-2)))</f>
        <v>0</v>
      </c>
      <c r="AQ31" s="212">
        <f ca="1">IF($R29=2,
         IF(AND(ACOMPANHAMENTO="PLE",ISNUMBER($F29)),
                SUMIF((OFFSET(CÁLCULO!$BC$15:$BU$15,$F29,0,OFFSET(ORÇAMENTO!$D$15,CRONO!$F29,0))),CRONO!AQ$12,OFFSET(CÁLCULO!$AJ$15:$BB$15,$F29,0,OFFSET(ORÇAMENTO!$D$15,CRONO!$F29,0)))
                +IF(AND($F31&lt;&gt;"",$F31&lt;&gt;0),
                        SUMIF(CÁLCULO!$BC$15:$BU$131,CRONO!AQ$12,CÁLCULO!$AJ$15:$BB$131)/(ORÇAMENTO!$X$15-CÁLCULO.TotalAdmLocal)*CRONO!$F31,
                        0),
                 AQ30*$S29),
          SUMIF(OFFSET($S31,1,0,$R29-2),($M29+1)&amp;"$",OFFSET(AQ31,1,0,$R29-2)))</f>
        <v>0</v>
      </c>
      <c r="AR31" s="212">
        <f ca="1">IF($R29=2,
         IF(AND(ACOMPANHAMENTO="PLE",ISNUMBER($F29)),
                SUMIF((OFFSET(CÁLCULO!$BC$15:$BU$15,$F29,0,OFFSET(ORÇAMENTO!$D$15,CRONO!$F29,0))),CRONO!AR$12,OFFSET(CÁLCULO!$AJ$15:$BB$15,$F29,0,OFFSET(ORÇAMENTO!$D$15,CRONO!$F29,0)))
                +IF(AND($F31&lt;&gt;"",$F31&lt;&gt;0),
                        SUMIF(CÁLCULO!$BC$15:$BU$131,CRONO!AR$12,CÁLCULO!$AJ$15:$BB$131)/(ORÇAMENTO!$X$15-CÁLCULO.TotalAdmLocal)*CRONO!$F31,
                        0),
                 AR30*$S29),
          SUMIF(OFFSET($S31,1,0,$R29-2),($M29+1)&amp;"$",OFFSET(AR31,1,0,$R29-2)))</f>
        <v>0</v>
      </c>
      <c r="AS31" s="577"/>
    </row>
    <row r="32" spans="1:45" x14ac:dyDescent="0.2">
      <c r="A32" s="196" t="str">
        <f t="shared" ref="A32" ca="1" si="38">IF($M32&gt;1,CONCATENATE($I32," ",$J32),"")</f>
        <v>1.6. PAREDES DE FECHAMENTO</v>
      </c>
      <c r="B32" s="195">
        <f t="shared" ref="B32" ca="1" si="39">OFFSET(B32,-3,0)+1</f>
        <v>7</v>
      </c>
      <c r="C32" s="195">
        <f ca="1">IF($R32&lt;&gt;2,0,IF($S32=0,1,IF(F33&gt;0,OFFSET(QCI!$M$13,SUBSTITUTE(F33,".",""),0),OFFSET(ORÇAMENTO!$AA$15,CRONO!$F32,0))/$S32))</f>
        <v>1.0000000000000002</v>
      </c>
      <c r="D32" s="195">
        <f ca="1">IF($R32&lt;&gt;2,0,IF($S32=0,1,IF(F33&gt;0,OFFSET(QCI!$N$13,SUBSTITUTE(F33,".",""),0),OFFSET(ORÇAMENTO!$AB$15,CRONO!$F32,0))/$S32))</f>
        <v>0</v>
      </c>
      <c r="E32" s="198">
        <f ca="1">IF(AND($R32=2,ACOMPANHAMENTO="BM"),ROUND(E33,4),E34/$S32)</f>
        <v>0</v>
      </c>
      <c r="F32" s="195">
        <f ca="1">IF(B32&lt;=ORÇAMENTO.MáximoListaCrono,MATCH(B32,ORÇAMENTO.ListaCrono,0),NA())</f>
        <v>40</v>
      </c>
      <c r="G32" s="195" t="str">
        <f t="shared" ref="G32" ca="1" si="40">IF(AND($F33&lt;&gt;-1,$S32&gt;0),"F","")</f>
        <v>F</v>
      </c>
      <c r="H32" s="199" t="str">
        <f ca="1">IF(OR(S32=0,S32=""),"Linha",IF(AND(OR(ACOMPANHAMENTO="PLE",$R32&lt;&gt;2),$F33=0),"Linha",ROUND(1-SUM(U32:AS32),4)))</f>
        <v>Linha</v>
      </c>
      <c r="I32" s="200" t="str">
        <f ca="1">IF($F33=0,OFFSET(ORÇAMENTO!O$15,$F32,0),IF($F33&lt;&gt;-1,OFFSET(QCI!$D$13,$F33,0),""))</f>
        <v>1.6.</v>
      </c>
      <c r="J32" s="201" t="str">
        <f ca="1">IF($F33=0,OFFSET(ORÇAMENTO!R$15,$F32,0),IF($F33&lt;&gt;-1,OFFSET(QCI!$G$13,$F33,0),""))</f>
        <v>PAREDES DE FECHAMENTO</v>
      </c>
      <c r="K32" s="201"/>
      <c r="L32" s="201"/>
      <c r="M32" s="202">
        <f ca="1">IF($F33=0,OFFSET(ORÇAMENTO!C$15,$F32,0),1)</f>
        <v>2</v>
      </c>
      <c r="N32" s="203">
        <f ca="1">IF($F33=-1,0,IF(N$13&lt;=$M32,IF(ISERROR(MATCH(N$13,OFFSET($M32,1,0,ROW($M$107)-ROW($M32)-1),0)),ROW($M$107)-ROW($M32)-1,MATCH(N$13,OFFSET($M32,1,0,ROW($M$107)-ROW($M32)-1),0)-1),0))</f>
        <v>23</v>
      </c>
      <c r="O32" s="203">
        <f ca="1">IF($F33=-1,0,IF(O$13&lt;=$M32,IF(ISERROR(MATCH(O$13,OFFSET($M32,1,0,ROW($M$107)-ROW($M32)-1),0)),ROW($M$107)-ROW($M32)-1,MATCH(O$13,OFFSET($M32,1,0,ROW($M$107)-ROW($M32)-1),0)-1),0))</f>
        <v>2</v>
      </c>
      <c r="P32" s="203">
        <f ca="1">IF($F33=-1,0,IF(P$13&lt;=$M32,IF(ISERROR(MATCH(P$13,OFFSET($M32,1,0,ROW($M$107)-ROW($M32)-1),0)),ROW($M$107)-ROW($M32)-1,MATCH(P$13,OFFSET($M32,1,0,ROW($M$107)-ROW($M32)-1),0)-1),0))</f>
        <v>0</v>
      </c>
      <c r="Q32" s="203">
        <f ca="1">IF($F33=-1,0,IF(Q$13&lt;=$M32,IF(ISERROR(MATCH(Q$13,OFFSET($M32,1,0,ROW($M$107)-ROW($M32)-1),0)),ROW($M$107)-ROW($M32)-1,MATCH(Q$13,OFFSET($M32,1,0,ROW($M$107)-ROW($M32)-1),0)-1),0))</f>
        <v>0</v>
      </c>
      <c r="R32" s="203">
        <f t="shared" ref="R32" ca="1" si="41">MIN(OFFSET(M32,0,1,,M32))</f>
        <v>2</v>
      </c>
      <c r="S32" s="204">
        <f ca="1">IF($F33=0,OFFSET(ORÇAMENTO!X$15,$F32,0),IF($F33&lt;&gt;-1,OFFSET(QCI!$O$13,$F33,0),""))</f>
        <v>39517.21</v>
      </c>
      <c r="T32" s="205" t="s">
        <v>266</v>
      </c>
      <c r="U32" s="198">
        <f ca="1">IF(AND($R32=2,ACOMPANHAMENTO="BM"),ROUND(U33,4),U34/$S32)</f>
        <v>0</v>
      </c>
      <c r="V32" s="198">
        <f ca="1">IF(AND($R32=2,ACOMPANHAMENTO="BM"),ROUND(V33,4),V34/$S32)</f>
        <v>0</v>
      </c>
      <c r="W32" s="198">
        <f ca="1">IF(AND($R32=2,ACOMPANHAMENTO="BM"),ROUND(W33,4),W34/$S32)</f>
        <v>0</v>
      </c>
      <c r="X32" s="198">
        <f ca="1">IF(AND($R32=2,ACOMPANHAMENTO="BM"),ROUND(X33,4),X34/$S32)</f>
        <v>1.0000000000000002</v>
      </c>
      <c r="Y32" s="198">
        <f ca="1">IF(AND($R32=2,ACOMPANHAMENTO="BM"),ROUND(Y33,4),Y34/$S32)</f>
        <v>0</v>
      </c>
      <c r="Z32" s="198">
        <f ca="1">IF(AND($R32=2,ACOMPANHAMENTO="BM"),ROUND(Z33,4),Z34/$S32)</f>
        <v>0</v>
      </c>
      <c r="AA32" s="198">
        <f ca="1">IF(AND($R32=2,ACOMPANHAMENTO="BM"),ROUND(AA33,4),AA34/$S32)</f>
        <v>0</v>
      </c>
      <c r="AB32" s="198">
        <f ca="1">IF(AND($R32=2,ACOMPANHAMENTO="BM"),ROUND(AB33,4),AB34/$S32)</f>
        <v>0</v>
      </c>
      <c r="AC32" s="198">
        <f ca="1">IF(AND($R32=2,ACOMPANHAMENTO="BM"),ROUND(AC33,4),AC34/$S32)</f>
        <v>0</v>
      </c>
      <c r="AD32" s="198">
        <f ca="1">IF(AND($R32=2,ACOMPANHAMENTO="BM"),ROUND(AD33,4),AD34/$S32)</f>
        <v>0</v>
      </c>
      <c r="AE32" s="198">
        <f ca="1">IF(AND($R32=2,ACOMPANHAMENTO="BM"),ROUND(AE33,4),AE34/$S32)</f>
        <v>0</v>
      </c>
      <c r="AF32" s="198">
        <f ca="1">IF(AND($R32=2,ACOMPANHAMENTO="BM"),ROUND(AF33,4),AF34/$S32)</f>
        <v>0</v>
      </c>
      <c r="AG32" s="198">
        <f ca="1">IF(AND($R32=2,ACOMPANHAMENTO="BM"),ROUND(AG33,4),AG34/$S32)</f>
        <v>0</v>
      </c>
      <c r="AH32" s="198">
        <f ca="1">IF(AND($R32=2,ACOMPANHAMENTO="BM"),ROUND(AH33,4),AH34/$S32)</f>
        <v>0</v>
      </c>
      <c r="AI32" s="198">
        <f ca="1">IF(AND($R32=2,ACOMPANHAMENTO="BM"),ROUND(AI33,4),AI34/$S32)</f>
        <v>0</v>
      </c>
      <c r="AJ32" s="198">
        <f ca="1">IF(AND($R32=2,ACOMPANHAMENTO="BM"),ROUND(AJ33,4),AJ34/$S32)</f>
        <v>0</v>
      </c>
      <c r="AK32" s="198">
        <f ca="1">IF(AND($R32=2,ACOMPANHAMENTO="BM"),ROUND(AK33,4),AK34/$S32)</f>
        <v>0</v>
      </c>
      <c r="AL32" s="198">
        <f ca="1">IF(AND($R32=2,ACOMPANHAMENTO="BM"),ROUND(AL33,4),AL34/$S32)</f>
        <v>0</v>
      </c>
      <c r="AM32" s="198">
        <f ca="1">IF(AND($R32=2,ACOMPANHAMENTO="BM"),ROUND(AM33,4),AM34/$S32)</f>
        <v>0</v>
      </c>
      <c r="AN32" s="198">
        <f ca="1">IF(AND($R32=2,ACOMPANHAMENTO="BM"),ROUND(AN33,4),AN34/$S32)</f>
        <v>0</v>
      </c>
      <c r="AO32" s="198">
        <f ca="1">IF(AND($R32=2,ACOMPANHAMENTO="BM"),ROUND(AO33,4),AO34/$S32)</f>
        <v>0</v>
      </c>
      <c r="AP32" s="198">
        <f ca="1">IF(AND($R32=2,ACOMPANHAMENTO="BM"),ROUND(AP33,4),AP34/$S32)</f>
        <v>0</v>
      </c>
      <c r="AQ32" s="198">
        <f ca="1">IF(AND($R32=2,ACOMPANHAMENTO="BM"),ROUND(AQ33,4),AQ34/$S32)</f>
        <v>0</v>
      </c>
      <c r="AR32" s="198">
        <f ca="1">IF(AND($R32=2,ACOMPANHAMENTO="BM"),ROUND(AR33,4),AR34/$S32)</f>
        <v>0</v>
      </c>
      <c r="AS32" s="577"/>
    </row>
    <row r="33" spans="1:45" ht="12.75" hidden="1" customHeight="1" x14ac:dyDescent="0.2">
      <c r="E33" s="645"/>
      <c r="F33" s="195">
        <f ca="1">IF(ISERROR(F32),IF(1+COUNTIF($M$13:OFFSET(M32,-1,0),1)&lt;=MAX(QCI!$D$13:$D$24),1+COUNTIF($M$13:OFFSET(M32,-1,0),1),-1),0)</f>
        <v>0</v>
      </c>
      <c r="G33" s="195" t="str">
        <f ca="1">IF(ACOMPANHAMENTO="BM",OFFSET(G33,-1,0),"")</f>
        <v/>
      </c>
      <c r="H33" s="206" t="str">
        <f ca="1">IF(OR(S32=0,S32=""),"vazia",IF(AND(OR(ACOMPANHAMENTO="PLE",$R32&lt;&gt;2),$F33=0),"calculada","--&gt;"))</f>
        <v>calculada</v>
      </c>
      <c r="I33" s="207"/>
      <c r="J33" s="208" t="str">
        <f t="shared" ref="J33" ca="1" si="42">IF(AND(H32&lt;&gt;0,ISNUMBER(H32)),"PREENCHA ESTA LINHA --&gt;","")</f>
        <v/>
      </c>
      <c r="K33" s="208"/>
      <c r="L33" s="208"/>
      <c r="M33" s="209"/>
      <c r="N33" s="209"/>
      <c r="O33" s="209"/>
      <c r="P33" s="209"/>
      <c r="Q33" s="209"/>
      <c r="R33" s="209"/>
      <c r="S33" s="210"/>
      <c r="T33" s="211"/>
      <c r="U33" s="645"/>
      <c r="V33" s="645"/>
      <c r="W33" s="645"/>
      <c r="X33" s="645"/>
      <c r="Y33" s="645"/>
      <c r="Z33" s="645"/>
      <c r="AA33" s="645"/>
      <c r="AB33" s="645"/>
      <c r="AC33" s="645"/>
      <c r="AD33" s="645"/>
      <c r="AE33" s="645"/>
      <c r="AF33" s="645"/>
      <c r="AG33" s="645"/>
      <c r="AH33" s="645"/>
      <c r="AI33" s="645"/>
      <c r="AJ33" s="645"/>
      <c r="AK33" s="645"/>
      <c r="AL33" s="645"/>
      <c r="AM33" s="645"/>
      <c r="AN33" s="645"/>
      <c r="AO33" s="645"/>
      <c r="AP33" s="645"/>
      <c r="AQ33" s="645"/>
      <c r="AR33" s="645"/>
      <c r="AS33" s="577"/>
    </row>
    <row r="34" spans="1:45" ht="12.75" hidden="1" customHeight="1" x14ac:dyDescent="0.2">
      <c r="D34" s="576"/>
      <c r="E34" s="212">
        <f ca="1">IF($R32=2,
         IF(AND(ACOMPANHAMENTO="PLE",ISNUMBER($F32)),
                SUMIF((OFFSET(CÁLCULO!$BC$15:$BU$15,$F32,0,OFFSET(ORÇAMENTO!$D$15,CRONO!$F32,0))),CRONO!E$12,OFFSET(CÁLCULO!$AJ$15:$BB$15,$F32,0,OFFSET(ORÇAMENTO!$D$15,CRONO!$F32,0)))
                +IF(AND($F34&lt;&gt;"",$F34&lt;&gt;0),
                        SUMIF(CÁLCULO!$BC$15:$BU$131,CRONO!E$12,CÁLCULO!$AJ$15:$BB$131)/(ORÇAMENTO!$X$15-CÁLCULO.TotalAdmLocal)*CRONO!$F34,
                        0),
                 E33*$S32),
          SUMIF(OFFSET($S34,1,0,$R32-2),($M32+1)&amp;"$",OFFSET(E34,1,0,$R32-2)))</f>
        <v>0</v>
      </c>
      <c r="F34" s="195" t="str">
        <f ca="1">IF(OR($R32&lt;&gt;2,AUTOEVENTO&lt;&gt;"manual",$F33&gt;0),"",
        IF(Import.TipoArredondamento="Tradicional",
              SUMIF(OFFSET(CÁLCULO!$M$15,CRONO!$F32,0,OFFSET(ORÇAMENTO!$D$15,CRONO!$F32,0)),1,OFFSET(ORÇAMENTO!$X$15,CRONO!$F32,0,OFFSET(ORÇAMENTO!$D$15,CRONO!$F32,0))),
              0))</f>
        <v/>
      </c>
      <c r="H34" s="213"/>
      <c r="S34" s="214" t="str">
        <f t="shared" ref="S34" ca="1" si="43">M32&amp;"$"</f>
        <v>2$</v>
      </c>
      <c r="T34" s="215"/>
      <c r="U34" s="212">
        <f ca="1">IF($R32=2,
         IF(AND(ACOMPANHAMENTO="PLE",ISNUMBER($F32)),
                SUMIF((OFFSET(CÁLCULO!$BC$15:$BU$15,$F32,0,OFFSET(ORÇAMENTO!$D$15,CRONO!$F32,0))),CRONO!U$12,OFFSET(CÁLCULO!$AJ$15:$BB$15,$F32,0,OFFSET(ORÇAMENTO!$D$15,CRONO!$F32,0)))
                +IF(AND($F34&lt;&gt;"",$F34&lt;&gt;0),
                        SUMIF(CÁLCULO!$BC$15:$BU$131,CRONO!U$12,CÁLCULO!$AJ$15:$BB$131)/(ORÇAMENTO!$X$15-CÁLCULO.TotalAdmLocal)*CRONO!$F34,
                        0),
                 U33*$S32),
          SUMIF(OFFSET($S34,1,0,$R32-2),($M32+1)&amp;"$",OFFSET(U34,1,0,$R32-2)))</f>
        <v>0</v>
      </c>
      <c r="V34" s="212">
        <f ca="1">IF($R32=2,
         IF(AND(ACOMPANHAMENTO="PLE",ISNUMBER($F32)),
                SUMIF((OFFSET(CÁLCULO!$BC$15:$BU$15,$F32,0,OFFSET(ORÇAMENTO!$D$15,CRONO!$F32,0))),CRONO!V$12,OFFSET(CÁLCULO!$AJ$15:$BB$15,$F32,0,OFFSET(ORÇAMENTO!$D$15,CRONO!$F32,0)))
                +IF(AND($F34&lt;&gt;"",$F34&lt;&gt;0),
                        SUMIF(CÁLCULO!$BC$15:$BU$131,CRONO!V$12,CÁLCULO!$AJ$15:$BB$131)/(ORÇAMENTO!$X$15-CÁLCULO.TotalAdmLocal)*CRONO!$F34,
                        0),
                 V33*$S32),
          SUMIF(OFFSET($S34,1,0,$R32-2),($M32+1)&amp;"$",OFFSET(V34,1,0,$R32-2)))</f>
        <v>0</v>
      </c>
      <c r="W34" s="212">
        <f ca="1">IF($R32=2,
         IF(AND(ACOMPANHAMENTO="PLE",ISNUMBER($F32)),
                SUMIF((OFFSET(CÁLCULO!$BC$15:$BU$15,$F32,0,OFFSET(ORÇAMENTO!$D$15,CRONO!$F32,0))),CRONO!W$12,OFFSET(CÁLCULO!$AJ$15:$BB$15,$F32,0,OFFSET(ORÇAMENTO!$D$15,CRONO!$F32,0)))
                +IF(AND($F34&lt;&gt;"",$F34&lt;&gt;0),
                        SUMIF(CÁLCULO!$BC$15:$BU$131,CRONO!W$12,CÁLCULO!$AJ$15:$BB$131)/(ORÇAMENTO!$X$15-CÁLCULO.TotalAdmLocal)*CRONO!$F34,
                        0),
                 W33*$S32),
          SUMIF(OFFSET($S34,1,0,$R32-2),($M32+1)&amp;"$",OFFSET(W34,1,0,$R32-2)))</f>
        <v>0</v>
      </c>
      <c r="X34" s="212">
        <f ca="1">IF($R32=2,
         IF(AND(ACOMPANHAMENTO="PLE",ISNUMBER($F32)),
                SUMIF((OFFSET(CÁLCULO!$BC$15:$BU$15,$F32,0,OFFSET(ORÇAMENTO!$D$15,CRONO!$F32,0))),CRONO!X$12,OFFSET(CÁLCULO!$AJ$15:$BB$15,$F32,0,OFFSET(ORÇAMENTO!$D$15,CRONO!$F32,0)))
                +IF(AND($F34&lt;&gt;"",$F34&lt;&gt;0),
                        SUMIF(CÁLCULO!$BC$15:$BU$131,CRONO!X$12,CÁLCULO!$AJ$15:$BB$131)/(ORÇAMENTO!$X$15-CÁLCULO.TotalAdmLocal)*CRONO!$F34,
                        0),
                 X33*$S32),
          SUMIF(OFFSET($S34,1,0,$R32-2),($M32+1)&amp;"$",OFFSET(X34,1,0,$R32-2)))</f>
        <v>39517.210000000006</v>
      </c>
      <c r="Y34" s="212">
        <f ca="1">IF($R32=2,
         IF(AND(ACOMPANHAMENTO="PLE",ISNUMBER($F32)),
                SUMIF((OFFSET(CÁLCULO!$BC$15:$BU$15,$F32,0,OFFSET(ORÇAMENTO!$D$15,CRONO!$F32,0))),CRONO!Y$12,OFFSET(CÁLCULO!$AJ$15:$BB$15,$F32,0,OFFSET(ORÇAMENTO!$D$15,CRONO!$F32,0)))
                +IF(AND($F34&lt;&gt;"",$F34&lt;&gt;0),
                        SUMIF(CÁLCULO!$BC$15:$BU$131,CRONO!Y$12,CÁLCULO!$AJ$15:$BB$131)/(ORÇAMENTO!$X$15-CÁLCULO.TotalAdmLocal)*CRONO!$F34,
                        0),
                 Y33*$S32),
          SUMIF(OFFSET($S34,1,0,$R32-2),($M32+1)&amp;"$",OFFSET(Y34,1,0,$R32-2)))</f>
        <v>0</v>
      </c>
      <c r="Z34" s="212">
        <f ca="1">IF($R32=2,
         IF(AND(ACOMPANHAMENTO="PLE",ISNUMBER($F32)),
                SUMIF((OFFSET(CÁLCULO!$BC$15:$BU$15,$F32,0,OFFSET(ORÇAMENTO!$D$15,CRONO!$F32,0))),CRONO!Z$12,OFFSET(CÁLCULO!$AJ$15:$BB$15,$F32,0,OFFSET(ORÇAMENTO!$D$15,CRONO!$F32,0)))
                +IF(AND($F34&lt;&gt;"",$F34&lt;&gt;0),
                        SUMIF(CÁLCULO!$BC$15:$BU$131,CRONO!Z$12,CÁLCULO!$AJ$15:$BB$131)/(ORÇAMENTO!$X$15-CÁLCULO.TotalAdmLocal)*CRONO!$F34,
                        0),
                 Z33*$S32),
          SUMIF(OFFSET($S34,1,0,$R32-2),($M32+1)&amp;"$",OFFSET(Z34,1,0,$R32-2)))</f>
        <v>0</v>
      </c>
      <c r="AA34" s="212">
        <f ca="1">IF($R32=2,
         IF(AND(ACOMPANHAMENTO="PLE",ISNUMBER($F32)),
                SUMIF((OFFSET(CÁLCULO!$BC$15:$BU$15,$F32,0,OFFSET(ORÇAMENTO!$D$15,CRONO!$F32,0))),CRONO!AA$12,OFFSET(CÁLCULO!$AJ$15:$BB$15,$F32,0,OFFSET(ORÇAMENTO!$D$15,CRONO!$F32,0)))
                +IF(AND($F34&lt;&gt;"",$F34&lt;&gt;0),
                        SUMIF(CÁLCULO!$BC$15:$BU$131,CRONO!AA$12,CÁLCULO!$AJ$15:$BB$131)/(ORÇAMENTO!$X$15-CÁLCULO.TotalAdmLocal)*CRONO!$F34,
                        0),
                 AA33*$S32),
          SUMIF(OFFSET($S34,1,0,$R32-2),($M32+1)&amp;"$",OFFSET(AA34,1,0,$R32-2)))</f>
        <v>0</v>
      </c>
      <c r="AB34" s="212">
        <f ca="1">IF($R32=2,
         IF(AND(ACOMPANHAMENTO="PLE",ISNUMBER($F32)),
                SUMIF((OFFSET(CÁLCULO!$BC$15:$BU$15,$F32,0,OFFSET(ORÇAMENTO!$D$15,CRONO!$F32,0))),CRONO!AB$12,OFFSET(CÁLCULO!$AJ$15:$BB$15,$F32,0,OFFSET(ORÇAMENTO!$D$15,CRONO!$F32,0)))
                +IF(AND($F34&lt;&gt;"",$F34&lt;&gt;0),
                        SUMIF(CÁLCULO!$BC$15:$BU$131,CRONO!AB$12,CÁLCULO!$AJ$15:$BB$131)/(ORÇAMENTO!$X$15-CÁLCULO.TotalAdmLocal)*CRONO!$F34,
                        0),
                 AB33*$S32),
          SUMIF(OFFSET($S34,1,0,$R32-2),($M32+1)&amp;"$",OFFSET(AB34,1,0,$R32-2)))</f>
        <v>0</v>
      </c>
      <c r="AC34" s="212">
        <f ca="1">IF($R32=2,
         IF(AND(ACOMPANHAMENTO="PLE",ISNUMBER($F32)),
                SUMIF((OFFSET(CÁLCULO!$BC$15:$BU$15,$F32,0,OFFSET(ORÇAMENTO!$D$15,CRONO!$F32,0))),CRONO!AC$12,OFFSET(CÁLCULO!$AJ$15:$BB$15,$F32,0,OFFSET(ORÇAMENTO!$D$15,CRONO!$F32,0)))
                +IF(AND($F34&lt;&gt;"",$F34&lt;&gt;0),
                        SUMIF(CÁLCULO!$BC$15:$BU$131,CRONO!AC$12,CÁLCULO!$AJ$15:$BB$131)/(ORÇAMENTO!$X$15-CÁLCULO.TotalAdmLocal)*CRONO!$F34,
                        0),
                 AC33*$S32),
          SUMIF(OFFSET($S34,1,0,$R32-2),($M32+1)&amp;"$",OFFSET(AC34,1,0,$R32-2)))</f>
        <v>0</v>
      </c>
      <c r="AD34" s="212">
        <f ca="1">IF($R32=2,
         IF(AND(ACOMPANHAMENTO="PLE",ISNUMBER($F32)),
                SUMIF((OFFSET(CÁLCULO!$BC$15:$BU$15,$F32,0,OFFSET(ORÇAMENTO!$D$15,CRONO!$F32,0))),CRONO!AD$12,OFFSET(CÁLCULO!$AJ$15:$BB$15,$F32,0,OFFSET(ORÇAMENTO!$D$15,CRONO!$F32,0)))
                +IF(AND($F34&lt;&gt;"",$F34&lt;&gt;0),
                        SUMIF(CÁLCULO!$BC$15:$BU$131,CRONO!AD$12,CÁLCULO!$AJ$15:$BB$131)/(ORÇAMENTO!$X$15-CÁLCULO.TotalAdmLocal)*CRONO!$F34,
                        0),
                 AD33*$S32),
          SUMIF(OFFSET($S34,1,0,$R32-2),($M32+1)&amp;"$",OFFSET(AD34,1,0,$R32-2)))</f>
        <v>0</v>
      </c>
      <c r="AE34" s="212">
        <f ca="1">IF($R32=2,
         IF(AND(ACOMPANHAMENTO="PLE",ISNUMBER($F32)),
                SUMIF((OFFSET(CÁLCULO!$BC$15:$BU$15,$F32,0,OFFSET(ORÇAMENTO!$D$15,CRONO!$F32,0))),CRONO!AE$12,OFFSET(CÁLCULO!$AJ$15:$BB$15,$F32,0,OFFSET(ORÇAMENTO!$D$15,CRONO!$F32,0)))
                +IF(AND($F34&lt;&gt;"",$F34&lt;&gt;0),
                        SUMIF(CÁLCULO!$BC$15:$BU$131,CRONO!AE$12,CÁLCULO!$AJ$15:$BB$131)/(ORÇAMENTO!$X$15-CÁLCULO.TotalAdmLocal)*CRONO!$F34,
                        0),
                 AE33*$S32),
          SUMIF(OFFSET($S34,1,0,$R32-2),($M32+1)&amp;"$",OFFSET(AE34,1,0,$R32-2)))</f>
        <v>0</v>
      </c>
      <c r="AF34" s="212">
        <f ca="1">IF($R32=2,
         IF(AND(ACOMPANHAMENTO="PLE",ISNUMBER($F32)),
                SUMIF((OFFSET(CÁLCULO!$BC$15:$BU$15,$F32,0,OFFSET(ORÇAMENTO!$D$15,CRONO!$F32,0))),CRONO!AF$12,OFFSET(CÁLCULO!$AJ$15:$BB$15,$F32,0,OFFSET(ORÇAMENTO!$D$15,CRONO!$F32,0)))
                +IF(AND($F34&lt;&gt;"",$F34&lt;&gt;0),
                        SUMIF(CÁLCULO!$BC$15:$BU$131,CRONO!AF$12,CÁLCULO!$AJ$15:$BB$131)/(ORÇAMENTO!$X$15-CÁLCULO.TotalAdmLocal)*CRONO!$F34,
                        0),
                 AF33*$S32),
          SUMIF(OFFSET($S34,1,0,$R32-2),($M32+1)&amp;"$",OFFSET(AF34,1,0,$R32-2)))</f>
        <v>0</v>
      </c>
      <c r="AG34" s="212">
        <f ca="1">IF($R32=2,
         IF(AND(ACOMPANHAMENTO="PLE",ISNUMBER($F32)),
                SUMIF((OFFSET(CÁLCULO!$BC$15:$BU$15,$F32,0,OFFSET(ORÇAMENTO!$D$15,CRONO!$F32,0))),CRONO!AG$12,OFFSET(CÁLCULO!$AJ$15:$BB$15,$F32,0,OFFSET(ORÇAMENTO!$D$15,CRONO!$F32,0)))
                +IF(AND($F34&lt;&gt;"",$F34&lt;&gt;0),
                        SUMIF(CÁLCULO!$BC$15:$BU$131,CRONO!AG$12,CÁLCULO!$AJ$15:$BB$131)/(ORÇAMENTO!$X$15-CÁLCULO.TotalAdmLocal)*CRONO!$F34,
                        0),
                 AG33*$S32),
          SUMIF(OFFSET($S34,1,0,$R32-2),($M32+1)&amp;"$",OFFSET(AG34,1,0,$R32-2)))</f>
        <v>0</v>
      </c>
      <c r="AH34" s="212">
        <f ca="1">IF($R32=2,
         IF(AND(ACOMPANHAMENTO="PLE",ISNUMBER($F32)),
                SUMIF((OFFSET(CÁLCULO!$BC$15:$BU$15,$F32,0,OFFSET(ORÇAMENTO!$D$15,CRONO!$F32,0))),CRONO!AH$12,OFFSET(CÁLCULO!$AJ$15:$BB$15,$F32,0,OFFSET(ORÇAMENTO!$D$15,CRONO!$F32,0)))
                +IF(AND($F34&lt;&gt;"",$F34&lt;&gt;0),
                        SUMIF(CÁLCULO!$BC$15:$BU$131,CRONO!AH$12,CÁLCULO!$AJ$15:$BB$131)/(ORÇAMENTO!$X$15-CÁLCULO.TotalAdmLocal)*CRONO!$F34,
                        0),
                 AH33*$S32),
          SUMIF(OFFSET($S34,1,0,$R32-2),($M32+1)&amp;"$",OFFSET(AH34,1,0,$R32-2)))</f>
        <v>0</v>
      </c>
      <c r="AI34" s="212">
        <f ca="1">IF($R32=2,
         IF(AND(ACOMPANHAMENTO="PLE",ISNUMBER($F32)),
                SUMIF((OFFSET(CÁLCULO!$BC$15:$BU$15,$F32,0,OFFSET(ORÇAMENTO!$D$15,CRONO!$F32,0))),CRONO!AI$12,OFFSET(CÁLCULO!$AJ$15:$BB$15,$F32,0,OFFSET(ORÇAMENTO!$D$15,CRONO!$F32,0)))
                +IF(AND($F34&lt;&gt;"",$F34&lt;&gt;0),
                        SUMIF(CÁLCULO!$BC$15:$BU$131,CRONO!AI$12,CÁLCULO!$AJ$15:$BB$131)/(ORÇAMENTO!$X$15-CÁLCULO.TotalAdmLocal)*CRONO!$F34,
                        0),
                 AI33*$S32),
          SUMIF(OFFSET($S34,1,0,$R32-2),($M32+1)&amp;"$",OFFSET(AI34,1,0,$R32-2)))</f>
        <v>0</v>
      </c>
      <c r="AJ34" s="212">
        <f ca="1">IF($R32=2,
         IF(AND(ACOMPANHAMENTO="PLE",ISNUMBER($F32)),
                SUMIF((OFFSET(CÁLCULO!$BC$15:$BU$15,$F32,0,OFFSET(ORÇAMENTO!$D$15,CRONO!$F32,0))),CRONO!AJ$12,OFFSET(CÁLCULO!$AJ$15:$BB$15,$F32,0,OFFSET(ORÇAMENTO!$D$15,CRONO!$F32,0)))
                +IF(AND($F34&lt;&gt;"",$F34&lt;&gt;0),
                        SUMIF(CÁLCULO!$BC$15:$BU$131,CRONO!AJ$12,CÁLCULO!$AJ$15:$BB$131)/(ORÇAMENTO!$X$15-CÁLCULO.TotalAdmLocal)*CRONO!$F34,
                        0),
                 AJ33*$S32),
          SUMIF(OFFSET($S34,1,0,$R32-2),($M32+1)&amp;"$",OFFSET(AJ34,1,0,$R32-2)))</f>
        <v>0</v>
      </c>
      <c r="AK34" s="212">
        <f ca="1">IF($R32=2,
         IF(AND(ACOMPANHAMENTO="PLE",ISNUMBER($F32)),
                SUMIF((OFFSET(CÁLCULO!$BC$15:$BU$15,$F32,0,OFFSET(ORÇAMENTO!$D$15,CRONO!$F32,0))),CRONO!AK$12,OFFSET(CÁLCULO!$AJ$15:$BB$15,$F32,0,OFFSET(ORÇAMENTO!$D$15,CRONO!$F32,0)))
                +IF(AND($F34&lt;&gt;"",$F34&lt;&gt;0),
                        SUMIF(CÁLCULO!$BC$15:$BU$131,CRONO!AK$12,CÁLCULO!$AJ$15:$BB$131)/(ORÇAMENTO!$X$15-CÁLCULO.TotalAdmLocal)*CRONO!$F34,
                        0),
                 AK33*$S32),
          SUMIF(OFFSET($S34,1,0,$R32-2),($M32+1)&amp;"$",OFFSET(AK34,1,0,$R32-2)))</f>
        <v>0</v>
      </c>
      <c r="AL34" s="212">
        <f ca="1">IF($R32=2,
         IF(AND(ACOMPANHAMENTO="PLE",ISNUMBER($F32)),
                SUMIF((OFFSET(CÁLCULO!$BC$15:$BU$15,$F32,0,OFFSET(ORÇAMENTO!$D$15,CRONO!$F32,0))),CRONO!AL$12,OFFSET(CÁLCULO!$AJ$15:$BB$15,$F32,0,OFFSET(ORÇAMENTO!$D$15,CRONO!$F32,0)))
                +IF(AND($F34&lt;&gt;"",$F34&lt;&gt;0),
                        SUMIF(CÁLCULO!$BC$15:$BU$131,CRONO!AL$12,CÁLCULO!$AJ$15:$BB$131)/(ORÇAMENTO!$X$15-CÁLCULO.TotalAdmLocal)*CRONO!$F34,
                        0),
                 AL33*$S32),
          SUMIF(OFFSET($S34,1,0,$R32-2),($M32+1)&amp;"$",OFFSET(AL34,1,0,$R32-2)))</f>
        <v>0</v>
      </c>
      <c r="AM34" s="212">
        <f ca="1">IF($R32=2,
         IF(AND(ACOMPANHAMENTO="PLE",ISNUMBER($F32)),
                SUMIF((OFFSET(CÁLCULO!$BC$15:$BU$15,$F32,0,OFFSET(ORÇAMENTO!$D$15,CRONO!$F32,0))),CRONO!AM$12,OFFSET(CÁLCULO!$AJ$15:$BB$15,$F32,0,OFFSET(ORÇAMENTO!$D$15,CRONO!$F32,0)))
                +IF(AND($F34&lt;&gt;"",$F34&lt;&gt;0),
                        SUMIF(CÁLCULO!$BC$15:$BU$131,CRONO!AM$12,CÁLCULO!$AJ$15:$BB$131)/(ORÇAMENTO!$X$15-CÁLCULO.TotalAdmLocal)*CRONO!$F34,
                        0),
                 AM33*$S32),
          SUMIF(OFFSET($S34,1,0,$R32-2),($M32+1)&amp;"$",OFFSET(AM34,1,0,$R32-2)))</f>
        <v>0</v>
      </c>
      <c r="AN34" s="212">
        <f ca="1">IF($R32=2,
         IF(AND(ACOMPANHAMENTO="PLE",ISNUMBER($F32)),
                SUMIF((OFFSET(CÁLCULO!$BC$15:$BU$15,$F32,0,OFFSET(ORÇAMENTO!$D$15,CRONO!$F32,0))),CRONO!AN$12,OFFSET(CÁLCULO!$AJ$15:$BB$15,$F32,0,OFFSET(ORÇAMENTO!$D$15,CRONO!$F32,0)))
                +IF(AND($F34&lt;&gt;"",$F34&lt;&gt;0),
                        SUMIF(CÁLCULO!$BC$15:$BU$131,CRONO!AN$12,CÁLCULO!$AJ$15:$BB$131)/(ORÇAMENTO!$X$15-CÁLCULO.TotalAdmLocal)*CRONO!$F34,
                        0),
                 AN33*$S32),
          SUMIF(OFFSET($S34,1,0,$R32-2),($M32+1)&amp;"$",OFFSET(AN34,1,0,$R32-2)))</f>
        <v>0</v>
      </c>
      <c r="AO34" s="212">
        <f ca="1">IF($R32=2,
         IF(AND(ACOMPANHAMENTO="PLE",ISNUMBER($F32)),
                SUMIF((OFFSET(CÁLCULO!$BC$15:$BU$15,$F32,0,OFFSET(ORÇAMENTO!$D$15,CRONO!$F32,0))),CRONO!AO$12,OFFSET(CÁLCULO!$AJ$15:$BB$15,$F32,0,OFFSET(ORÇAMENTO!$D$15,CRONO!$F32,0)))
                +IF(AND($F34&lt;&gt;"",$F34&lt;&gt;0),
                        SUMIF(CÁLCULO!$BC$15:$BU$131,CRONO!AO$12,CÁLCULO!$AJ$15:$BB$131)/(ORÇAMENTO!$X$15-CÁLCULO.TotalAdmLocal)*CRONO!$F34,
                        0),
                 AO33*$S32),
          SUMIF(OFFSET($S34,1,0,$R32-2),($M32+1)&amp;"$",OFFSET(AO34,1,0,$R32-2)))</f>
        <v>0</v>
      </c>
      <c r="AP34" s="212">
        <f ca="1">IF($R32=2,
         IF(AND(ACOMPANHAMENTO="PLE",ISNUMBER($F32)),
                SUMIF((OFFSET(CÁLCULO!$BC$15:$BU$15,$F32,0,OFFSET(ORÇAMENTO!$D$15,CRONO!$F32,0))),CRONO!AP$12,OFFSET(CÁLCULO!$AJ$15:$BB$15,$F32,0,OFFSET(ORÇAMENTO!$D$15,CRONO!$F32,0)))
                +IF(AND($F34&lt;&gt;"",$F34&lt;&gt;0),
                        SUMIF(CÁLCULO!$BC$15:$BU$131,CRONO!AP$12,CÁLCULO!$AJ$15:$BB$131)/(ORÇAMENTO!$X$15-CÁLCULO.TotalAdmLocal)*CRONO!$F34,
                        0),
                 AP33*$S32),
          SUMIF(OFFSET($S34,1,0,$R32-2),($M32+1)&amp;"$",OFFSET(AP34,1,0,$R32-2)))</f>
        <v>0</v>
      </c>
      <c r="AQ34" s="212">
        <f ca="1">IF($R32=2,
         IF(AND(ACOMPANHAMENTO="PLE",ISNUMBER($F32)),
                SUMIF((OFFSET(CÁLCULO!$BC$15:$BU$15,$F32,0,OFFSET(ORÇAMENTO!$D$15,CRONO!$F32,0))),CRONO!AQ$12,OFFSET(CÁLCULO!$AJ$15:$BB$15,$F32,0,OFFSET(ORÇAMENTO!$D$15,CRONO!$F32,0)))
                +IF(AND($F34&lt;&gt;"",$F34&lt;&gt;0),
                        SUMIF(CÁLCULO!$BC$15:$BU$131,CRONO!AQ$12,CÁLCULO!$AJ$15:$BB$131)/(ORÇAMENTO!$X$15-CÁLCULO.TotalAdmLocal)*CRONO!$F34,
                        0),
                 AQ33*$S32),
          SUMIF(OFFSET($S34,1,0,$R32-2),($M32+1)&amp;"$",OFFSET(AQ34,1,0,$R32-2)))</f>
        <v>0</v>
      </c>
      <c r="AR34" s="212">
        <f ca="1">IF($R32=2,
         IF(AND(ACOMPANHAMENTO="PLE",ISNUMBER($F32)),
                SUMIF((OFFSET(CÁLCULO!$BC$15:$BU$15,$F32,0,OFFSET(ORÇAMENTO!$D$15,CRONO!$F32,0))),CRONO!AR$12,OFFSET(CÁLCULO!$AJ$15:$BB$15,$F32,0,OFFSET(ORÇAMENTO!$D$15,CRONO!$F32,0)))
                +IF(AND($F34&lt;&gt;"",$F34&lt;&gt;0),
                        SUMIF(CÁLCULO!$BC$15:$BU$131,CRONO!AR$12,CÁLCULO!$AJ$15:$BB$131)/(ORÇAMENTO!$X$15-CÁLCULO.TotalAdmLocal)*CRONO!$F34,
                        0),
                 AR33*$S32),
          SUMIF(OFFSET($S34,1,0,$R32-2),($M32+1)&amp;"$",OFFSET(AR34,1,0,$R32-2)))</f>
        <v>0</v>
      </c>
      <c r="AS34" s="577"/>
    </row>
    <row r="35" spans="1:45" x14ac:dyDescent="0.2">
      <c r="A35" s="196" t="str">
        <f t="shared" ref="A35" ca="1" si="44">IF($M35&gt;1,CONCATENATE($I35," ",$J35),"")</f>
        <v>1.7. ESQUADRIAS</v>
      </c>
      <c r="B35" s="195">
        <f t="shared" ref="B35" ca="1" si="45">OFFSET(B35,-3,0)+1</f>
        <v>8</v>
      </c>
      <c r="C35" s="195">
        <f ca="1">IF($R35&lt;&gt;2,0,IF($S35=0,1,IF(F36&gt;0,OFFSET(QCI!$M$13,SUBSTITUTE(F36,".",""),0),OFFSET(ORÇAMENTO!$AA$15,CRONO!$F35,0))/$S35))</f>
        <v>1</v>
      </c>
      <c r="D35" s="195">
        <f ca="1">IF($R35&lt;&gt;2,0,IF($S35=0,1,IF(F36&gt;0,OFFSET(QCI!$N$13,SUBSTITUTE(F36,".",""),0),OFFSET(ORÇAMENTO!$AB$15,CRONO!$F35,0))/$S35))</f>
        <v>0</v>
      </c>
      <c r="E35" s="198">
        <f ca="1">IF(AND($R35=2,ACOMPANHAMENTO="BM"),ROUND(E36,4),E37/$S35)</f>
        <v>0</v>
      </c>
      <c r="F35" s="195">
        <f ca="1">IF(B35&lt;=ORÇAMENTO.MáximoListaCrono,MATCH(B35,ORÇAMENTO.ListaCrono,0),NA())</f>
        <v>48</v>
      </c>
      <c r="G35" s="195" t="str">
        <f t="shared" ref="G35" ca="1" si="46">IF(AND($F36&lt;&gt;-1,$S35&gt;0),"F","")</f>
        <v>F</v>
      </c>
      <c r="H35" s="199" t="str">
        <f ca="1">IF(OR(S35=0,S35=""),"Linha",IF(AND(OR(ACOMPANHAMENTO="PLE",$R35&lt;&gt;2),$F36=0),"Linha",ROUND(1-SUM(U35:AS35),4)))</f>
        <v>Linha</v>
      </c>
      <c r="I35" s="200" t="str">
        <f ca="1">IF($F36=0,OFFSET(ORÇAMENTO!O$15,$F35,0),IF($F36&lt;&gt;-1,OFFSET(QCI!$D$13,$F36,0),""))</f>
        <v>1.7.</v>
      </c>
      <c r="J35" s="201" t="str">
        <f ca="1">IF($F36=0,OFFSET(ORÇAMENTO!R$15,$F35,0),IF($F36&lt;&gt;-1,OFFSET(QCI!$G$13,$F36,0),""))</f>
        <v>ESQUADRIAS</v>
      </c>
      <c r="K35" s="201"/>
      <c r="L35" s="201"/>
      <c r="M35" s="202">
        <f ca="1">IF($F36=0,OFFSET(ORÇAMENTO!C$15,$F35,0),1)</f>
        <v>2</v>
      </c>
      <c r="N35" s="203">
        <f ca="1">IF($F36=-1,0,IF(N$13&lt;=$M35,IF(ISERROR(MATCH(N$13,OFFSET($M35,1,0,ROW($M$107)-ROW($M35)-1),0)),ROW($M$107)-ROW($M35)-1,MATCH(N$13,OFFSET($M35,1,0,ROW($M$107)-ROW($M35)-1),0)-1),0))</f>
        <v>20</v>
      </c>
      <c r="O35" s="203">
        <f ca="1">IF($F36=-1,0,IF(O$13&lt;=$M35,IF(ISERROR(MATCH(O$13,OFFSET($M35,1,0,ROW($M$107)-ROW($M35)-1),0)),ROW($M$107)-ROW($M35)-1,MATCH(O$13,OFFSET($M35,1,0,ROW($M$107)-ROW($M35)-1),0)-1),0))</f>
        <v>2</v>
      </c>
      <c r="P35" s="203">
        <f ca="1">IF($F36=-1,0,IF(P$13&lt;=$M35,IF(ISERROR(MATCH(P$13,OFFSET($M35,1,0,ROW($M$107)-ROW($M35)-1),0)),ROW($M$107)-ROW($M35)-1,MATCH(P$13,OFFSET($M35,1,0,ROW($M$107)-ROW($M35)-1),0)-1),0))</f>
        <v>0</v>
      </c>
      <c r="Q35" s="203">
        <f ca="1">IF($F36=-1,0,IF(Q$13&lt;=$M35,IF(ISERROR(MATCH(Q$13,OFFSET($M35,1,0,ROW($M$107)-ROW($M35)-1),0)),ROW($M$107)-ROW($M35)-1,MATCH(Q$13,OFFSET($M35,1,0,ROW($M$107)-ROW($M35)-1),0)-1),0))</f>
        <v>0</v>
      </c>
      <c r="R35" s="203">
        <f t="shared" ref="R35" ca="1" si="47">MIN(OFFSET(M35,0,1,,M35))</f>
        <v>2</v>
      </c>
      <c r="S35" s="204">
        <f ca="1">IF($F36=0,OFFSET(ORÇAMENTO!X$15,$F35,0),IF($F36&lt;&gt;-1,OFFSET(QCI!$O$13,$F36,0),""))</f>
        <v>35832.15</v>
      </c>
      <c r="T35" s="205" t="s">
        <v>266</v>
      </c>
      <c r="U35" s="198">
        <f ca="1">IF(AND($R35=2,ACOMPANHAMENTO="BM"),ROUND(U36,4),U37/$S35)</f>
        <v>0</v>
      </c>
      <c r="V35" s="198">
        <f ca="1">IF(AND($R35=2,ACOMPANHAMENTO="BM"),ROUND(V36,4),V37/$S35)</f>
        <v>0</v>
      </c>
      <c r="W35" s="198">
        <f ca="1">IF(AND($R35=2,ACOMPANHAMENTO="BM"),ROUND(W36,4),W37/$S35)</f>
        <v>0</v>
      </c>
      <c r="X35" s="198">
        <f ca="1">IF(AND($R35=2,ACOMPANHAMENTO="BM"),ROUND(X36,4),X37/$S35)</f>
        <v>1</v>
      </c>
      <c r="Y35" s="198">
        <f ca="1">IF(AND($R35=2,ACOMPANHAMENTO="BM"),ROUND(Y36,4),Y37/$S35)</f>
        <v>0</v>
      </c>
      <c r="Z35" s="198">
        <f ca="1">IF(AND($R35=2,ACOMPANHAMENTO="BM"),ROUND(Z36,4),Z37/$S35)</f>
        <v>0</v>
      </c>
      <c r="AA35" s="198">
        <f ca="1">IF(AND($R35=2,ACOMPANHAMENTO="BM"),ROUND(AA36,4),AA37/$S35)</f>
        <v>0</v>
      </c>
      <c r="AB35" s="198">
        <f ca="1">IF(AND($R35=2,ACOMPANHAMENTO="BM"),ROUND(AB36,4),AB37/$S35)</f>
        <v>0</v>
      </c>
      <c r="AC35" s="198">
        <f ca="1">IF(AND($R35=2,ACOMPANHAMENTO="BM"),ROUND(AC36,4),AC37/$S35)</f>
        <v>0</v>
      </c>
      <c r="AD35" s="198">
        <f ca="1">IF(AND($R35=2,ACOMPANHAMENTO="BM"),ROUND(AD36,4),AD37/$S35)</f>
        <v>0</v>
      </c>
      <c r="AE35" s="198">
        <f ca="1">IF(AND($R35=2,ACOMPANHAMENTO="BM"),ROUND(AE36,4),AE37/$S35)</f>
        <v>0</v>
      </c>
      <c r="AF35" s="198">
        <f ca="1">IF(AND($R35=2,ACOMPANHAMENTO="BM"),ROUND(AF36,4),AF37/$S35)</f>
        <v>0</v>
      </c>
      <c r="AG35" s="198">
        <f ca="1">IF(AND($R35=2,ACOMPANHAMENTO="BM"),ROUND(AG36,4),AG37/$S35)</f>
        <v>0</v>
      </c>
      <c r="AH35" s="198">
        <f ca="1">IF(AND($R35=2,ACOMPANHAMENTO="BM"),ROUND(AH36,4),AH37/$S35)</f>
        <v>0</v>
      </c>
      <c r="AI35" s="198">
        <f ca="1">IF(AND($R35=2,ACOMPANHAMENTO="BM"),ROUND(AI36,4),AI37/$S35)</f>
        <v>0</v>
      </c>
      <c r="AJ35" s="198">
        <f ca="1">IF(AND($R35=2,ACOMPANHAMENTO="BM"),ROUND(AJ36,4),AJ37/$S35)</f>
        <v>0</v>
      </c>
      <c r="AK35" s="198">
        <f ca="1">IF(AND($R35=2,ACOMPANHAMENTO="BM"),ROUND(AK36,4),AK37/$S35)</f>
        <v>0</v>
      </c>
      <c r="AL35" s="198">
        <f ca="1">IF(AND($R35=2,ACOMPANHAMENTO="BM"),ROUND(AL36,4),AL37/$S35)</f>
        <v>0</v>
      </c>
      <c r="AM35" s="198">
        <f ca="1">IF(AND($R35=2,ACOMPANHAMENTO="BM"),ROUND(AM36,4),AM37/$S35)</f>
        <v>0</v>
      </c>
      <c r="AN35" s="198">
        <f ca="1">IF(AND($R35=2,ACOMPANHAMENTO="BM"),ROUND(AN36,4),AN37/$S35)</f>
        <v>0</v>
      </c>
      <c r="AO35" s="198">
        <f ca="1">IF(AND($R35=2,ACOMPANHAMENTO="BM"),ROUND(AO36,4),AO37/$S35)</f>
        <v>0</v>
      </c>
      <c r="AP35" s="198">
        <f ca="1">IF(AND($R35=2,ACOMPANHAMENTO="BM"),ROUND(AP36,4),AP37/$S35)</f>
        <v>0</v>
      </c>
      <c r="AQ35" s="198">
        <f ca="1">IF(AND($R35=2,ACOMPANHAMENTO="BM"),ROUND(AQ36,4),AQ37/$S35)</f>
        <v>0</v>
      </c>
      <c r="AR35" s="198">
        <f ca="1">IF(AND($R35=2,ACOMPANHAMENTO="BM"),ROUND(AR36,4),AR37/$S35)</f>
        <v>0</v>
      </c>
      <c r="AS35" s="577"/>
    </row>
    <row r="36" spans="1:45" ht="12.75" hidden="1" customHeight="1" x14ac:dyDescent="0.2">
      <c r="E36" s="645"/>
      <c r="F36" s="195">
        <f ca="1">IF(ISERROR(F35),IF(1+COUNTIF($M$13:OFFSET(M35,-1,0),1)&lt;=MAX(QCI!$D$13:$D$24),1+COUNTIF($M$13:OFFSET(M35,-1,0),1),-1),0)</f>
        <v>0</v>
      </c>
      <c r="G36" s="195" t="str">
        <f ca="1">IF(ACOMPANHAMENTO="BM",OFFSET(G36,-1,0),"")</f>
        <v/>
      </c>
      <c r="H36" s="206" t="str">
        <f ca="1">IF(OR(S35=0,S35=""),"vazia",IF(AND(OR(ACOMPANHAMENTO="PLE",$R35&lt;&gt;2),$F36=0),"calculada","--&gt;"))</f>
        <v>calculada</v>
      </c>
      <c r="I36" s="207"/>
      <c r="J36" s="208" t="str">
        <f t="shared" ref="J36" ca="1" si="48">IF(AND(H35&lt;&gt;0,ISNUMBER(H35)),"PREENCHA ESTA LINHA --&gt;","")</f>
        <v/>
      </c>
      <c r="K36" s="208"/>
      <c r="L36" s="208"/>
      <c r="M36" s="209"/>
      <c r="N36" s="209"/>
      <c r="O36" s="209"/>
      <c r="P36" s="209"/>
      <c r="Q36" s="209"/>
      <c r="R36" s="209"/>
      <c r="S36" s="210"/>
      <c r="T36" s="211"/>
      <c r="U36" s="645"/>
      <c r="V36" s="645"/>
      <c r="W36" s="645"/>
      <c r="X36" s="645"/>
      <c r="Y36" s="645"/>
      <c r="Z36" s="645"/>
      <c r="AA36" s="645"/>
      <c r="AB36" s="645"/>
      <c r="AC36" s="645"/>
      <c r="AD36" s="645"/>
      <c r="AE36" s="645"/>
      <c r="AF36" s="645"/>
      <c r="AG36" s="645"/>
      <c r="AH36" s="645"/>
      <c r="AI36" s="645"/>
      <c r="AJ36" s="645"/>
      <c r="AK36" s="645"/>
      <c r="AL36" s="645"/>
      <c r="AM36" s="645"/>
      <c r="AN36" s="645"/>
      <c r="AO36" s="645"/>
      <c r="AP36" s="645"/>
      <c r="AQ36" s="645"/>
      <c r="AR36" s="645"/>
      <c r="AS36" s="577"/>
    </row>
    <row r="37" spans="1:45" ht="12.75" hidden="1" customHeight="1" x14ac:dyDescent="0.2">
      <c r="D37" s="576"/>
      <c r="E37" s="212">
        <f ca="1">IF($R35=2,
         IF(AND(ACOMPANHAMENTO="PLE",ISNUMBER($F35)),
                SUMIF((OFFSET(CÁLCULO!$BC$15:$BU$15,$F35,0,OFFSET(ORÇAMENTO!$D$15,CRONO!$F35,0))),CRONO!E$12,OFFSET(CÁLCULO!$AJ$15:$BB$15,$F35,0,OFFSET(ORÇAMENTO!$D$15,CRONO!$F35,0)))
                +IF(AND($F37&lt;&gt;"",$F37&lt;&gt;0),
                        SUMIF(CÁLCULO!$BC$15:$BU$131,CRONO!E$12,CÁLCULO!$AJ$15:$BB$131)/(ORÇAMENTO!$X$15-CÁLCULO.TotalAdmLocal)*CRONO!$F37,
                        0),
                 E36*$S35),
          SUMIF(OFFSET($S37,1,0,$R35-2),($M35+1)&amp;"$",OFFSET(E37,1,0,$R35-2)))</f>
        <v>0</v>
      </c>
      <c r="F37" s="195" t="str">
        <f ca="1">IF(OR($R35&lt;&gt;2,AUTOEVENTO&lt;&gt;"manual",$F36&gt;0),"",
        IF(Import.TipoArredondamento="Tradicional",
              SUMIF(OFFSET(CÁLCULO!$M$15,CRONO!$F35,0,OFFSET(ORÇAMENTO!$D$15,CRONO!$F35,0)),1,OFFSET(ORÇAMENTO!$X$15,CRONO!$F35,0,OFFSET(ORÇAMENTO!$D$15,CRONO!$F35,0))),
              0))</f>
        <v/>
      </c>
      <c r="H37" s="213"/>
      <c r="S37" s="214" t="str">
        <f t="shared" ref="S37" ca="1" si="49">M35&amp;"$"</f>
        <v>2$</v>
      </c>
      <c r="T37" s="215"/>
      <c r="U37" s="212">
        <f ca="1">IF($R35=2,
         IF(AND(ACOMPANHAMENTO="PLE",ISNUMBER($F35)),
                SUMIF((OFFSET(CÁLCULO!$BC$15:$BU$15,$F35,0,OFFSET(ORÇAMENTO!$D$15,CRONO!$F35,0))),CRONO!U$12,OFFSET(CÁLCULO!$AJ$15:$BB$15,$F35,0,OFFSET(ORÇAMENTO!$D$15,CRONO!$F35,0)))
                +IF(AND($F37&lt;&gt;"",$F37&lt;&gt;0),
                        SUMIF(CÁLCULO!$BC$15:$BU$131,CRONO!U$12,CÁLCULO!$AJ$15:$BB$131)/(ORÇAMENTO!$X$15-CÁLCULO.TotalAdmLocal)*CRONO!$F37,
                        0),
                 U36*$S35),
          SUMIF(OFFSET($S37,1,0,$R35-2),($M35+1)&amp;"$",OFFSET(U37,1,0,$R35-2)))</f>
        <v>0</v>
      </c>
      <c r="V37" s="212">
        <f ca="1">IF($R35=2,
         IF(AND(ACOMPANHAMENTO="PLE",ISNUMBER($F35)),
                SUMIF((OFFSET(CÁLCULO!$BC$15:$BU$15,$F35,0,OFFSET(ORÇAMENTO!$D$15,CRONO!$F35,0))),CRONO!V$12,OFFSET(CÁLCULO!$AJ$15:$BB$15,$F35,0,OFFSET(ORÇAMENTO!$D$15,CRONO!$F35,0)))
                +IF(AND($F37&lt;&gt;"",$F37&lt;&gt;0),
                        SUMIF(CÁLCULO!$BC$15:$BU$131,CRONO!V$12,CÁLCULO!$AJ$15:$BB$131)/(ORÇAMENTO!$X$15-CÁLCULO.TotalAdmLocal)*CRONO!$F37,
                        0),
                 V36*$S35),
          SUMIF(OFFSET($S37,1,0,$R35-2),($M35+1)&amp;"$",OFFSET(V37,1,0,$R35-2)))</f>
        <v>0</v>
      </c>
      <c r="W37" s="212">
        <f ca="1">IF($R35=2,
         IF(AND(ACOMPANHAMENTO="PLE",ISNUMBER($F35)),
                SUMIF((OFFSET(CÁLCULO!$BC$15:$BU$15,$F35,0,OFFSET(ORÇAMENTO!$D$15,CRONO!$F35,0))),CRONO!W$12,OFFSET(CÁLCULO!$AJ$15:$BB$15,$F35,0,OFFSET(ORÇAMENTO!$D$15,CRONO!$F35,0)))
                +IF(AND($F37&lt;&gt;"",$F37&lt;&gt;0),
                        SUMIF(CÁLCULO!$BC$15:$BU$131,CRONO!W$12,CÁLCULO!$AJ$15:$BB$131)/(ORÇAMENTO!$X$15-CÁLCULO.TotalAdmLocal)*CRONO!$F37,
                        0),
                 W36*$S35),
          SUMIF(OFFSET($S37,1,0,$R35-2),($M35+1)&amp;"$",OFFSET(W37,1,0,$R35-2)))</f>
        <v>0</v>
      </c>
      <c r="X37" s="212">
        <f ca="1">IF($R35=2,
         IF(AND(ACOMPANHAMENTO="PLE",ISNUMBER($F35)),
                SUMIF((OFFSET(CÁLCULO!$BC$15:$BU$15,$F35,0,OFFSET(ORÇAMENTO!$D$15,CRONO!$F35,0))),CRONO!X$12,OFFSET(CÁLCULO!$AJ$15:$BB$15,$F35,0,OFFSET(ORÇAMENTO!$D$15,CRONO!$F35,0)))
                +IF(AND($F37&lt;&gt;"",$F37&lt;&gt;0),
                        SUMIF(CÁLCULO!$BC$15:$BU$131,CRONO!X$12,CÁLCULO!$AJ$15:$BB$131)/(ORÇAMENTO!$X$15-CÁLCULO.TotalAdmLocal)*CRONO!$F37,
                        0),
                 X36*$S35),
          SUMIF(OFFSET($S37,1,0,$R35-2),($M35+1)&amp;"$",OFFSET(X37,1,0,$R35-2)))</f>
        <v>35832.15</v>
      </c>
      <c r="Y37" s="212">
        <f ca="1">IF($R35=2,
         IF(AND(ACOMPANHAMENTO="PLE",ISNUMBER($F35)),
                SUMIF((OFFSET(CÁLCULO!$BC$15:$BU$15,$F35,0,OFFSET(ORÇAMENTO!$D$15,CRONO!$F35,0))),CRONO!Y$12,OFFSET(CÁLCULO!$AJ$15:$BB$15,$F35,0,OFFSET(ORÇAMENTO!$D$15,CRONO!$F35,0)))
                +IF(AND($F37&lt;&gt;"",$F37&lt;&gt;0),
                        SUMIF(CÁLCULO!$BC$15:$BU$131,CRONO!Y$12,CÁLCULO!$AJ$15:$BB$131)/(ORÇAMENTO!$X$15-CÁLCULO.TotalAdmLocal)*CRONO!$F37,
                        0),
                 Y36*$S35),
          SUMIF(OFFSET($S37,1,0,$R35-2),($M35+1)&amp;"$",OFFSET(Y37,1,0,$R35-2)))</f>
        <v>0</v>
      </c>
      <c r="Z37" s="212">
        <f ca="1">IF($R35=2,
         IF(AND(ACOMPANHAMENTO="PLE",ISNUMBER($F35)),
                SUMIF((OFFSET(CÁLCULO!$BC$15:$BU$15,$F35,0,OFFSET(ORÇAMENTO!$D$15,CRONO!$F35,0))),CRONO!Z$12,OFFSET(CÁLCULO!$AJ$15:$BB$15,$F35,0,OFFSET(ORÇAMENTO!$D$15,CRONO!$F35,0)))
                +IF(AND($F37&lt;&gt;"",$F37&lt;&gt;0),
                        SUMIF(CÁLCULO!$BC$15:$BU$131,CRONO!Z$12,CÁLCULO!$AJ$15:$BB$131)/(ORÇAMENTO!$X$15-CÁLCULO.TotalAdmLocal)*CRONO!$F37,
                        0),
                 Z36*$S35),
          SUMIF(OFFSET($S37,1,0,$R35-2),($M35+1)&amp;"$",OFFSET(Z37,1,0,$R35-2)))</f>
        <v>0</v>
      </c>
      <c r="AA37" s="212">
        <f ca="1">IF($R35=2,
         IF(AND(ACOMPANHAMENTO="PLE",ISNUMBER($F35)),
                SUMIF((OFFSET(CÁLCULO!$BC$15:$BU$15,$F35,0,OFFSET(ORÇAMENTO!$D$15,CRONO!$F35,0))),CRONO!AA$12,OFFSET(CÁLCULO!$AJ$15:$BB$15,$F35,0,OFFSET(ORÇAMENTO!$D$15,CRONO!$F35,0)))
                +IF(AND($F37&lt;&gt;"",$F37&lt;&gt;0),
                        SUMIF(CÁLCULO!$BC$15:$BU$131,CRONO!AA$12,CÁLCULO!$AJ$15:$BB$131)/(ORÇAMENTO!$X$15-CÁLCULO.TotalAdmLocal)*CRONO!$F37,
                        0),
                 AA36*$S35),
          SUMIF(OFFSET($S37,1,0,$R35-2),($M35+1)&amp;"$",OFFSET(AA37,1,0,$R35-2)))</f>
        <v>0</v>
      </c>
      <c r="AB37" s="212">
        <f ca="1">IF($R35=2,
         IF(AND(ACOMPANHAMENTO="PLE",ISNUMBER($F35)),
                SUMIF((OFFSET(CÁLCULO!$BC$15:$BU$15,$F35,0,OFFSET(ORÇAMENTO!$D$15,CRONO!$F35,0))),CRONO!AB$12,OFFSET(CÁLCULO!$AJ$15:$BB$15,$F35,0,OFFSET(ORÇAMENTO!$D$15,CRONO!$F35,0)))
                +IF(AND($F37&lt;&gt;"",$F37&lt;&gt;0),
                        SUMIF(CÁLCULO!$BC$15:$BU$131,CRONO!AB$12,CÁLCULO!$AJ$15:$BB$131)/(ORÇAMENTO!$X$15-CÁLCULO.TotalAdmLocal)*CRONO!$F37,
                        0),
                 AB36*$S35),
          SUMIF(OFFSET($S37,1,0,$R35-2),($M35+1)&amp;"$",OFFSET(AB37,1,0,$R35-2)))</f>
        <v>0</v>
      </c>
      <c r="AC37" s="212">
        <f ca="1">IF($R35=2,
         IF(AND(ACOMPANHAMENTO="PLE",ISNUMBER($F35)),
                SUMIF((OFFSET(CÁLCULO!$BC$15:$BU$15,$F35,0,OFFSET(ORÇAMENTO!$D$15,CRONO!$F35,0))),CRONO!AC$12,OFFSET(CÁLCULO!$AJ$15:$BB$15,$F35,0,OFFSET(ORÇAMENTO!$D$15,CRONO!$F35,0)))
                +IF(AND($F37&lt;&gt;"",$F37&lt;&gt;0),
                        SUMIF(CÁLCULO!$BC$15:$BU$131,CRONO!AC$12,CÁLCULO!$AJ$15:$BB$131)/(ORÇAMENTO!$X$15-CÁLCULO.TotalAdmLocal)*CRONO!$F37,
                        0),
                 AC36*$S35),
          SUMIF(OFFSET($S37,1,0,$R35-2),($M35+1)&amp;"$",OFFSET(AC37,1,0,$R35-2)))</f>
        <v>0</v>
      </c>
      <c r="AD37" s="212">
        <f ca="1">IF($R35=2,
         IF(AND(ACOMPANHAMENTO="PLE",ISNUMBER($F35)),
                SUMIF((OFFSET(CÁLCULO!$BC$15:$BU$15,$F35,0,OFFSET(ORÇAMENTO!$D$15,CRONO!$F35,0))),CRONO!AD$12,OFFSET(CÁLCULO!$AJ$15:$BB$15,$F35,0,OFFSET(ORÇAMENTO!$D$15,CRONO!$F35,0)))
                +IF(AND($F37&lt;&gt;"",$F37&lt;&gt;0),
                        SUMIF(CÁLCULO!$BC$15:$BU$131,CRONO!AD$12,CÁLCULO!$AJ$15:$BB$131)/(ORÇAMENTO!$X$15-CÁLCULO.TotalAdmLocal)*CRONO!$F37,
                        0),
                 AD36*$S35),
          SUMIF(OFFSET($S37,1,0,$R35-2),($M35+1)&amp;"$",OFFSET(AD37,1,0,$R35-2)))</f>
        <v>0</v>
      </c>
      <c r="AE37" s="212">
        <f ca="1">IF($R35=2,
         IF(AND(ACOMPANHAMENTO="PLE",ISNUMBER($F35)),
                SUMIF((OFFSET(CÁLCULO!$BC$15:$BU$15,$F35,0,OFFSET(ORÇAMENTO!$D$15,CRONO!$F35,0))),CRONO!AE$12,OFFSET(CÁLCULO!$AJ$15:$BB$15,$F35,0,OFFSET(ORÇAMENTO!$D$15,CRONO!$F35,0)))
                +IF(AND($F37&lt;&gt;"",$F37&lt;&gt;0),
                        SUMIF(CÁLCULO!$BC$15:$BU$131,CRONO!AE$12,CÁLCULO!$AJ$15:$BB$131)/(ORÇAMENTO!$X$15-CÁLCULO.TotalAdmLocal)*CRONO!$F37,
                        0),
                 AE36*$S35),
          SUMIF(OFFSET($S37,1,0,$R35-2),($M35+1)&amp;"$",OFFSET(AE37,1,0,$R35-2)))</f>
        <v>0</v>
      </c>
      <c r="AF37" s="212">
        <f ca="1">IF($R35=2,
         IF(AND(ACOMPANHAMENTO="PLE",ISNUMBER($F35)),
                SUMIF((OFFSET(CÁLCULO!$BC$15:$BU$15,$F35,0,OFFSET(ORÇAMENTO!$D$15,CRONO!$F35,0))),CRONO!AF$12,OFFSET(CÁLCULO!$AJ$15:$BB$15,$F35,0,OFFSET(ORÇAMENTO!$D$15,CRONO!$F35,0)))
                +IF(AND($F37&lt;&gt;"",$F37&lt;&gt;0),
                        SUMIF(CÁLCULO!$BC$15:$BU$131,CRONO!AF$12,CÁLCULO!$AJ$15:$BB$131)/(ORÇAMENTO!$X$15-CÁLCULO.TotalAdmLocal)*CRONO!$F37,
                        0),
                 AF36*$S35),
          SUMIF(OFFSET($S37,1,0,$R35-2),($M35+1)&amp;"$",OFFSET(AF37,1,0,$R35-2)))</f>
        <v>0</v>
      </c>
      <c r="AG37" s="212">
        <f ca="1">IF($R35=2,
         IF(AND(ACOMPANHAMENTO="PLE",ISNUMBER($F35)),
                SUMIF((OFFSET(CÁLCULO!$BC$15:$BU$15,$F35,0,OFFSET(ORÇAMENTO!$D$15,CRONO!$F35,0))),CRONO!AG$12,OFFSET(CÁLCULO!$AJ$15:$BB$15,$F35,0,OFFSET(ORÇAMENTO!$D$15,CRONO!$F35,0)))
                +IF(AND($F37&lt;&gt;"",$F37&lt;&gt;0),
                        SUMIF(CÁLCULO!$BC$15:$BU$131,CRONO!AG$12,CÁLCULO!$AJ$15:$BB$131)/(ORÇAMENTO!$X$15-CÁLCULO.TotalAdmLocal)*CRONO!$F37,
                        0),
                 AG36*$S35),
          SUMIF(OFFSET($S37,1,0,$R35-2),($M35+1)&amp;"$",OFFSET(AG37,1,0,$R35-2)))</f>
        <v>0</v>
      </c>
      <c r="AH37" s="212">
        <f ca="1">IF($R35=2,
         IF(AND(ACOMPANHAMENTO="PLE",ISNUMBER($F35)),
                SUMIF((OFFSET(CÁLCULO!$BC$15:$BU$15,$F35,0,OFFSET(ORÇAMENTO!$D$15,CRONO!$F35,0))),CRONO!AH$12,OFFSET(CÁLCULO!$AJ$15:$BB$15,$F35,0,OFFSET(ORÇAMENTO!$D$15,CRONO!$F35,0)))
                +IF(AND($F37&lt;&gt;"",$F37&lt;&gt;0),
                        SUMIF(CÁLCULO!$BC$15:$BU$131,CRONO!AH$12,CÁLCULO!$AJ$15:$BB$131)/(ORÇAMENTO!$X$15-CÁLCULO.TotalAdmLocal)*CRONO!$F37,
                        0),
                 AH36*$S35),
          SUMIF(OFFSET($S37,1,0,$R35-2),($M35+1)&amp;"$",OFFSET(AH37,1,0,$R35-2)))</f>
        <v>0</v>
      </c>
      <c r="AI37" s="212">
        <f ca="1">IF($R35=2,
         IF(AND(ACOMPANHAMENTO="PLE",ISNUMBER($F35)),
                SUMIF((OFFSET(CÁLCULO!$BC$15:$BU$15,$F35,0,OFFSET(ORÇAMENTO!$D$15,CRONO!$F35,0))),CRONO!AI$12,OFFSET(CÁLCULO!$AJ$15:$BB$15,$F35,0,OFFSET(ORÇAMENTO!$D$15,CRONO!$F35,0)))
                +IF(AND($F37&lt;&gt;"",$F37&lt;&gt;0),
                        SUMIF(CÁLCULO!$BC$15:$BU$131,CRONO!AI$12,CÁLCULO!$AJ$15:$BB$131)/(ORÇAMENTO!$X$15-CÁLCULO.TotalAdmLocal)*CRONO!$F37,
                        0),
                 AI36*$S35),
          SUMIF(OFFSET($S37,1,0,$R35-2),($M35+1)&amp;"$",OFFSET(AI37,1,0,$R35-2)))</f>
        <v>0</v>
      </c>
      <c r="AJ37" s="212">
        <f ca="1">IF($R35=2,
         IF(AND(ACOMPANHAMENTO="PLE",ISNUMBER($F35)),
                SUMIF((OFFSET(CÁLCULO!$BC$15:$BU$15,$F35,0,OFFSET(ORÇAMENTO!$D$15,CRONO!$F35,0))),CRONO!AJ$12,OFFSET(CÁLCULO!$AJ$15:$BB$15,$F35,0,OFFSET(ORÇAMENTO!$D$15,CRONO!$F35,0)))
                +IF(AND($F37&lt;&gt;"",$F37&lt;&gt;0),
                        SUMIF(CÁLCULO!$BC$15:$BU$131,CRONO!AJ$12,CÁLCULO!$AJ$15:$BB$131)/(ORÇAMENTO!$X$15-CÁLCULO.TotalAdmLocal)*CRONO!$F37,
                        0),
                 AJ36*$S35),
          SUMIF(OFFSET($S37,1,0,$R35-2),($M35+1)&amp;"$",OFFSET(AJ37,1,0,$R35-2)))</f>
        <v>0</v>
      </c>
      <c r="AK37" s="212">
        <f ca="1">IF($R35=2,
         IF(AND(ACOMPANHAMENTO="PLE",ISNUMBER($F35)),
                SUMIF((OFFSET(CÁLCULO!$BC$15:$BU$15,$F35,0,OFFSET(ORÇAMENTO!$D$15,CRONO!$F35,0))),CRONO!AK$12,OFFSET(CÁLCULO!$AJ$15:$BB$15,$F35,0,OFFSET(ORÇAMENTO!$D$15,CRONO!$F35,0)))
                +IF(AND($F37&lt;&gt;"",$F37&lt;&gt;0),
                        SUMIF(CÁLCULO!$BC$15:$BU$131,CRONO!AK$12,CÁLCULO!$AJ$15:$BB$131)/(ORÇAMENTO!$X$15-CÁLCULO.TotalAdmLocal)*CRONO!$F37,
                        0),
                 AK36*$S35),
          SUMIF(OFFSET($S37,1,0,$R35-2),($M35+1)&amp;"$",OFFSET(AK37,1,0,$R35-2)))</f>
        <v>0</v>
      </c>
      <c r="AL37" s="212">
        <f ca="1">IF($R35=2,
         IF(AND(ACOMPANHAMENTO="PLE",ISNUMBER($F35)),
                SUMIF((OFFSET(CÁLCULO!$BC$15:$BU$15,$F35,0,OFFSET(ORÇAMENTO!$D$15,CRONO!$F35,0))),CRONO!AL$12,OFFSET(CÁLCULO!$AJ$15:$BB$15,$F35,0,OFFSET(ORÇAMENTO!$D$15,CRONO!$F35,0)))
                +IF(AND($F37&lt;&gt;"",$F37&lt;&gt;0),
                        SUMIF(CÁLCULO!$BC$15:$BU$131,CRONO!AL$12,CÁLCULO!$AJ$15:$BB$131)/(ORÇAMENTO!$X$15-CÁLCULO.TotalAdmLocal)*CRONO!$F37,
                        0),
                 AL36*$S35),
          SUMIF(OFFSET($S37,1,0,$R35-2),($M35+1)&amp;"$",OFFSET(AL37,1,0,$R35-2)))</f>
        <v>0</v>
      </c>
      <c r="AM37" s="212">
        <f ca="1">IF($R35=2,
         IF(AND(ACOMPANHAMENTO="PLE",ISNUMBER($F35)),
                SUMIF((OFFSET(CÁLCULO!$BC$15:$BU$15,$F35,0,OFFSET(ORÇAMENTO!$D$15,CRONO!$F35,0))),CRONO!AM$12,OFFSET(CÁLCULO!$AJ$15:$BB$15,$F35,0,OFFSET(ORÇAMENTO!$D$15,CRONO!$F35,0)))
                +IF(AND($F37&lt;&gt;"",$F37&lt;&gt;0),
                        SUMIF(CÁLCULO!$BC$15:$BU$131,CRONO!AM$12,CÁLCULO!$AJ$15:$BB$131)/(ORÇAMENTO!$X$15-CÁLCULO.TotalAdmLocal)*CRONO!$F37,
                        0),
                 AM36*$S35),
          SUMIF(OFFSET($S37,1,0,$R35-2),($M35+1)&amp;"$",OFFSET(AM37,1,0,$R35-2)))</f>
        <v>0</v>
      </c>
      <c r="AN37" s="212">
        <f ca="1">IF($R35=2,
         IF(AND(ACOMPANHAMENTO="PLE",ISNUMBER($F35)),
                SUMIF((OFFSET(CÁLCULO!$BC$15:$BU$15,$F35,0,OFFSET(ORÇAMENTO!$D$15,CRONO!$F35,0))),CRONO!AN$12,OFFSET(CÁLCULO!$AJ$15:$BB$15,$F35,0,OFFSET(ORÇAMENTO!$D$15,CRONO!$F35,0)))
                +IF(AND($F37&lt;&gt;"",$F37&lt;&gt;0),
                        SUMIF(CÁLCULO!$BC$15:$BU$131,CRONO!AN$12,CÁLCULO!$AJ$15:$BB$131)/(ORÇAMENTO!$X$15-CÁLCULO.TotalAdmLocal)*CRONO!$F37,
                        0),
                 AN36*$S35),
          SUMIF(OFFSET($S37,1,0,$R35-2),($M35+1)&amp;"$",OFFSET(AN37,1,0,$R35-2)))</f>
        <v>0</v>
      </c>
      <c r="AO37" s="212">
        <f ca="1">IF($R35=2,
         IF(AND(ACOMPANHAMENTO="PLE",ISNUMBER($F35)),
                SUMIF((OFFSET(CÁLCULO!$BC$15:$BU$15,$F35,0,OFFSET(ORÇAMENTO!$D$15,CRONO!$F35,0))),CRONO!AO$12,OFFSET(CÁLCULO!$AJ$15:$BB$15,$F35,0,OFFSET(ORÇAMENTO!$D$15,CRONO!$F35,0)))
                +IF(AND($F37&lt;&gt;"",$F37&lt;&gt;0),
                        SUMIF(CÁLCULO!$BC$15:$BU$131,CRONO!AO$12,CÁLCULO!$AJ$15:$BB$131)/(ORÇAMENTO!$X$15-CÁLCULO.TotalAdmLocal)*CRONO!$F37,
                        0),
                 AO36*$S35),
          SUMIF(OFFSET($S37,1,0,$R35-2),($M35+1)&amp;"$",OFFSET(AO37,1,0,$R35-2)))</f>
        <v>0</v>
      </c>
      <c r="AP37" s="212">
        <f ca="1">IF($R35=2,
         IF(AND(ACOMPANHAMENTO="PLE",ISNUMBER($F35)),
                SUMIF((OFFSET(CÁLCULO!$BC$15:$BU$15,$F35,0,OFFSET(ORÇAMENTO!$D$15,CRONO!$F35,0))),CRONO!AP$12,OFFSET(CÁLCULO!$AJ$15:$BB$15,$F35,0,OFFSET(ORÇAMENTO!$D$15,CRONO!$F35,0)))
                +IF(AND($F37&lt;&gt;"",$F37&lt;&gt;0),
                        SUMIF(CÁLCULO!$BC$15:$BU$131,CRONO!AP$12,CÁLCULO!$AJ$15:$BB$131)/(ORÇAMENTO!$X$15-CÁLCULO.TotalAdmLocal)*CRONO!$F37,
                        0),
                 AP36*$S35),
          SUMIF(OFFSET($S37,1,0,$R35-2),($M35+1)&amp;"$",OFFSET(AP37,1,0,$R35-2)))</f>
        <v>0</v>
      </c>
      <c r="AQ37" s="212">
        <f ca="1">IF($R35=2,
         IF(AND(ACOMPANHAMENTO="PLE",ISNUMBER($F35)),
                SUMIF((OFFSET(CÁLCULO!$BC$15:$BU$15,$F35,0,OFFSET(ORÇAMENTO!$D$15,CRONO!$F35,0))),CRONO!AQ$12,OFFSET(CÁLCULO!$AJ$15:$BB$15,$F35,0,OFFSET(ORÇAMENTO!$D$15,CRONO!$F35,0)))
                +IF(AND($F37&lt;&gt;"",$F37&lt;&gt;0),
                        SUMIF(CÁLCULO!$BC$15:$BU$131,CRONO!AQ$12,CÁLCULO!$AJ$15:$BB$131)/(ORÇAMENTO!$X$15-CÁLCULO.TotalAdmLocal)*CRONO!$F37,
                        0),
                 AQ36*$S35),
          SUMIF(OFFSET($S37,1,0,$R35-2),($M35+1)&amp;"$",OFFSET(AQ37,1,0,$R35-2)))</f>
        <v>0</v>
      </c>
      <c r="AR37" s="212">
        <f ca="1">IF($R35=2,
         IF(AND(ACOMPANHAMENTO="PLE",ISNUMBER($F35)),
                SUMIF((OFFSET(CÁLCULO!$BC$15:$BU$15,$F35,0,OFFSET(ORÇAMENTO!$D$15,CRONO!$F35,0))),CRONO!AR$12,OFFSET(CÁLCULO!$AJ$15:$BB$15,$F35,0,OFFSET(ORÇAMENTO!$D$15,CRONO!$F35,0)))
                +IF(AND($F37&lt;&gt;"",$F37&lt;&gt;0),
                        SUMIF(CÁLCULO!$BC$15:$BU$131,CRONO!AR$12,CÁLCULO!$AJ$15:$BB$131)/(ORÇAMENTO!$X$15-CÁLCULO.TotalAdmLocal)*CRONO!$F37,
                        0),
                 AR36*$S35),
          SUMIF(OFFSET($S37,1,0,$R35-2),($M35+1)&amp;"$",OFFSET(AR37,1,0,$R35-2)))</f>
        <v>0</v>
      </c>
      <c r="AS37" s="577"/>
    </row>
    <row r="38" spans="1:45" x14ac:dyDescent="0.2">
      <c r="A38" s="196" t="str">
        <f t="shared" ref="A38" ca="1" si="50">IF($M38&gt;1,CONCATENATE($I38," ",$J38),"")</f>
        <v>1.8. PINTURA</v>
      </c>
      <c r="B38" s="195">
        <f t="shared" ref="B38" ca="1" si="51">OFFSET(B38,-3,0)+1</f>
        <v>9</v>
      </c>
      <c r="C38" s="195">
        <f ca="1">IF($R38&lt;&gt;2,0,IF($S38=0,1,IF(F39&gt;0,OFFSET(QCI!$M$13,SUBSTITUTE(F39,".",""),0),OFFSET(ORÇAMENTO!$AA$15,CRONO!$F38,0))/$S38))</f>
        <v>1</v>
      </c>
      <c r="D38" s="195">
        <f ca="1">IF($R38&lt;&gt;2,0,IF($S38=0,1,IF(F39&gt;0,OFFSET(QCI!$N$13,SUBSTITUTE(F39,".",""),0),OFFSET(ORÇAMENTO!$AB$15,CRONO!$F38,0))/$S38))</f>
        <v>0</v>
      </c>
      <c r="E38" s="198">
        <f ca="1">IF(AND($R38=2,ACOMPANHAMENTO="BM"),ROUND(E39,4),E40/$S38)</f>
        <v>0</v>
      </c>
      <c r="F38" s="195">
        <f ca="1">IF(B38&lt;=ORÇAMENTO.MáximoListaCrono,MATCH(B38,ORÇAMENTO.ListaCrono,0),NA())</f>
        <v>50</v>
      </c>
      <c r="G38" s="195" t="str">
        <f t="shared" ref="G38" ca="1" si="52">IF(AND($F39&lt;&gt;-1,$S38&gt;0),"F","")</f>
        <v>F</v>
      </c>
      <c r="H38" s="199" t="str">
        <f ca="1">IF(OR(S38=0,S38=""),"Linha",IF(AND(OR(ACOMPANHAMENTO="PLE",$R38&lt;&gt;2),$F39=0),"Linha",ROUND(1-SUM(U38:AS38),4)))</f>
        <v>Linha</v>
      </c>
      <c r="I38" s="200" t="str">
        <f ca="1">IF($F39=0,OFFSET(ORÇAMENTO!O$15,$F38,0),IF($F39&lt;&gt;-1,OFFSET(QCI!$D$13,$F39,0),""))</f>
        <v>1.8.</v>
      </c>
      <c r="J38" s="201" t="str">
        <f ca="1">IF($F39=0,OFFSET(ORÇAMENTO!R$15,$F38,0),IF($F39&lt;&gt;-1,OFFSET(QCI!$G$13,$F39,0),""))</f>
        <v>PINTURA</v>
      </c>
      <c r="K38" s="201"/>
      <c r="L38" s="201"/>
      <c r="M38" s="202">
        <f ca="1">IF($F39=0,OFFSET(ORÇAMENTO!C$15,$F38,0),1)</f>
        <v>2</v>
      </c>
      <c r="N38" s="203">
        <f ca="1">IF($F39=-1,0,IF(N$13&lt;=$M38,IF(ISERROR(MATCH(N$13,OFFSET($M38,1,0,ROW($M$107)-ROW($M38)-1),0)),ROW($M$107)-ROW($M38)-1,MATCH(N$13,OFFSET($M38,1,0,ROW($M$107)-ROW($M38)-1),0)-1),0))</f>
        <v>17</v>
      </c>
      <c r="O38" s="203">
        <f ca="1">IF($F39=-1,0,IF(O$13&lt;=$M38,IF(ISERROR(MATCH(O$13,OFFSET($M38,1,0,ROW($M$107)-ROW($M38)-1),0)),ROW($M$107)-ROW($M38)-1,MATCH(O$13,OFFSET($M38,1,0,ROW($M$107)-ROW($M38)-1),0)-1),0))</f>
        <v>2</v>
      </c>
      <c r="P38" s="203">
        <f ca="1">IF($F39=-1,0,IF(P$13&lt;=$M38,IF(ISERROR(MATCH(P$13,OFFSET($M38,1,0,ROW($M$107)-ROW($M38)-1),0)),ROW($M$107)-ROW($M38)-1,MATCH(P$13,OFFSET($M38,1,0,ROW($M$107)-ROW($M38)-1),0)-1),0))</f>
        <v>0</v>
      </c>
      <c r="Q38" s="203">
        <f ca="1">IF($F39=-1,0,IF(Q$13&lt;=$M38,IF(ISERROR(MATCH(Q$13,OFFSET($M38,1,0,ROW($M$107)-ROW($M38)-1),0)),ROW($M$107)-ROW($M38)-1,MATCH(Q$13,OFFSET($M38,1,0,ROW($M$107)-ROW($M38)-1),0)-1),0))</f>
        <v>0</v>
      </c>
      <c r="R38" s="203">
        <f t="shared" ref="R38" ca="1" si="53">MIN(OFFSET(M38,0,1,,M38))</f>
        <v>2</v>
      </c>
      <c r="S38" s="204">
        <f ca="1">IF($F39=0,OFFSET(ORÇAMENTO!X$15,$F38,0),IF($F39&lt;&gt;-1,OFFSET(QCI!$O$13,$F39,0),""))</f>
        <v>15539.26</v>
      </c>
      <c r="T38" s="205" t="s">
        <v>266</v>
      </c>
      <c r="U38" s="198">
        <f ca="1">IF(AND($R38=2,ACOMPANHAMENTO="BM"),ROUND(U39,4),U40/$S38)</f>
        <v>0</v>
      </c>
      <c r="V38" s="198">
        <f ca="1">IF(AND($R38=2,ACOMPANHAMENTO="BM"),ROUND(V39,4),V40/$S38)</f>
        <v>0</v>
      </c>
      <c r="W38" s="198">
        <f ca="1">IF(AND($R38=2,ACOMPANHAMENTO="BM"),ROUND(W39,4),W40/$S38)</f>
        <v>0</v>
      </c>
      <c r="X38" s="198">
        <f ca="1">IF(AND($R38=2,ACOMPANHAMENTO="BM"),ROUND(X39,4),X40/$S38)</f>
        <v>0</v>
      </c>
      <c r="Y38" s="198">
        <f ca="1">IF(AND($R38=2,ACOMPANHAMENTO="BM"),ROUND(Y39,4),Y40/$S38)</f>
        <v>1</v>
      </c>
      <c r="Z38" s="198">
        <f ca="1">IF(AND($R38=2,ACOMPANHAMENTO="BM"),ROUND(Z39,4),Z40/$S38)</f>
        <v>0</v>
      </c>
      <c r="AA38" s="198">
        <f ca="1">IF(AND($R38=2,ACOMPANHAMENTO="BM"),ROUND(AA39,4),AA40/$S38)</f>
        <v>0</v>
      </c>
      <c r="AB38" s="198">
        <f ca="1">IF(AND($R38=2,ACOMPANHAMENTO="BM"),ROUND(AB39,4),AB40/$S38)</f>
        <v>0</v>
      </c>
      <c r="AC38" s="198">
        <f ca="1">IF(AND($R38=2,ACOMPANHAMENTO="BM"),ROUND(AC39,4),AC40/$S38)</f>
        <v>0</v>
      </c>
      <c r="AD38" s="198">
        <f ca="1">IF(AND($R38=2,ACOMPANHAMENTO="BM"),ROUND(AD39,4),AD40/$S38)</f>
        <v>0</v>
      </c>
      <c r="AE38" s="198">
        <f ca="1">IF(AND($R38=2,ACOMPANHAMENTO="BM"),ROUND(AE39,4),AE40/$S38)</f>
        <v>0</v>
      </c>
      <c r="AF38" s="198">
        <f ca="1">IF(AND($R38=2,ACOMPANHAMENTO="BM"),ROUND(AF39,4),AF40/$S38)</f>
        <v>0</v>
      </c>
      <c r="AG38" s="198">
        <f ca="1">IF(AND($R38=2,ACOMPANHAMENTO="BM"),ROUND(AG39,4),AG40/$S38)</f>
        <v>0</v>
      </c>
      <c r="AH38" s="198">
        <f ca="1">IF(AND($R38=2,ACOMPANHAMENTO="BM"),ROUND(AH39,4),AH40/$S38)</f>
        <v>0</v>
      </c>
      <c r="AI38" s="198">
        <f ca="1">IF(AND($R38=2,ACOMPANHAMENTO="BM"),ROUND(AI39,4),AI40/$S38)</f>
        <v>0</v>
      </c>
      <c r="AJ38" s="198">
        <f ca="1">IF(AND($R38=2,ACOMPANHAMENTO="BM"),ROUND(AJ39,4),AJ40/$S38)</f>
        <v>0</v>
      </c>
      <c r="AK38" s="198">
        <f ca="1">IF(AND($R38=2,ACOMPANHAMENTO="BM"),ROUND(AK39,4),AK40/$S38)</f>
        <v>0</v>
      </c>
      <c r="AL38" s="198">
        <f ca="1">IF(AND($R38=2,ACOMPANHAMENTO="BM"),ROUND(AL39,4),AL40/$S38)</f>
        <v>0</v>
      </c>
      <c r="AM38" s="198">
        <f ca="1">IF(AND($R38=2,ACOMPANHAMENTO="BM"),ROUND(AM39,4),AM40/$S38)</f>
        <v>0</v>
      </c>
      <c r="AN38" s="198">
        <f ca="1">IF(AND($R38=2,ACOMPANHAMENTO="BM"),ROUND(AN39,4),AN40/$S38)</f>
        <v>0</v>
      </c>
      <c r="AO38" s="198">
        <f ca="1">IF(AND($R38=2,ACOMPANHAMENTO="BM"),ROUND(AO39,4),AO40/$S38)</f>
        <v>0</v>
      </c>
      <c r="AP38" s="198">
        <f ca="1">IF(AND($R38=2,ACOMPANHAMENTO="BM"),ROUND(AP39,4),AP40/$S38)</f>
        <v>0</v>
      </c>
      <c r="AQ38" s="198">
        <f ca="1">IF(AND($R38=2,ACOMPANHAMENTO="BM"),ROUND(AQ39,4),AQ40/$S38)</f>
        <v>0</v>
      </c>
      <c r="AR38" s="198">
        <f ca="1">IF(AND($R38=2,ACOMPANHAMENTO="BM"),ROUND(AR39,4),AR40/$S38)</f>
        <v>0</v>
      </c>
      <c r="AS38" s="577"/>
    </row>
    <row r="39" spans="1:45" ht="12.75" hidden="1" customHeight="1" x14ac:dyDescent="0.2">
      <c r="E39" s="645"/>
      <c r="F39" s="195">
        <f ca="1">IF(ISERROR(F38),IF(1+COUNTIF($M$13:OFFSET(M38,-1,0),1)&lt;=MAX(QCI!$D$13:$D$24),1+COUNTIF($M$13:OFFSET(M38,-1,0),1),-1),0)</f>
        <v>0</v>
      </c>
      <c r="G39" s="195" t="str">
        <f ca="1">IF(ACOMPANHAMENTO="BM",OFFSET(G39,-1,0),"")</f>
        <v/>
      </c>
      <c r="H39" s="206" t="str">
        <f ca="1">IF(OR(S38=0,S38=""),"vazia",IF(AND(OR(ACOMPANHAMENTO="PLE",$R38&lt;&gt;2),$F39=0),"calculada","--&gt;"))</f>
        <v>calculada</v>
      </c>
      <c r="I39" s="207"/>
      <c r="J39" s="208" t="str">
        <f t="shared" ref="J39" ca="1" si="54">IF(AND(H38&lt;&gt;0,ISNUMBER(H38)),"PREENCHA ESTA LINHA --&gt;","")</f>
        <v/>
      </c>
      <c r="K39" s="208"/>
      <c r="L39" s="208"/>
      <c r="M39" s="209"/>
      <c r="N39" s="209"/>
      <c r="O39" s="209"/>
      <c r="P39" s="209"/>
      <c r="Q39" s="209"/>
      <c r="R39" s="209"/>
      <c r="S39" s="210"/>
      <c r="T39" s="211"/>
      <c r="U39" s="645"/>
      <c r="V39" s="645"/>
      <c r="W39" s="645"/>
      <c r="X39" s="645"/>
      <c r="Y39" s="645"/>
      <c r="Z39" s="645"/>
      <c r="AA39" s="645"/>
      <c r="AB39" s="645"/>
      <c r="AC39" s="645"/>
      <c r="AD39" s="645"/>
      <c r="AE39" s="645"/>
      <c r="AF39" s="645"/>
      <c r="AG39" s="645"/>
      <c r="AH39" s="645"/>
      <c r="AI39" s="645"/>
      <c r="AJ39" s="645"/>
      <c r="AK39" s="645"/>
      <c r="AL39" s="645"/>
      <c r="AM39" s="645"/>
      <c r="AN39" s="645"/>
      <c r="AO39" s="645"/>
      <c r="AP39" s="645"/>
      <c r="AQ39" s="645"/>
      <c r="AR39" s="645"/>
      <c r="AS39" s="577"/>
    </row>
    <row r="40" spans="1:45" ht="12.75" hidden="1" customHeight="1" x14ac:dyDescent="0.2">
      <c r="D40" s="576"/>
      <c r="E40" s="212">
        <f ca="1">IF($R38=2,
         IF(AND(ACOMPANHAMENTO="PLE",ISNUMBER($F38)),
                SUMIF((OFFSET(CÁLCULO!$BC$15:$BU$15,$F38,0,OFFSET(ORÇAMENTO!$D$15,CRONO!$F38,0))),CRONO!E$12,OFFSET(CÁLCULO!$AJ$15:$BB$15,$F38,0,OFFSET(ORÇAMENTO!$D$15,CRONO!$F38,0)))
                +IF(AND($F40&lt;&gt;"",$F40&lt;&gt;0),
                        SUMIF(CÁLCULO!$BC$15:$BU$131,CRONO!E$12,CÁLCULO!$AJ$15:$BB$131)/(ORÇAMENTO!$X$15-CÁLCULO.TotalAdmLocal)*CRONO!$F40,
                        0),
                 E39*$S38),
          SUMIF(OFFSET($S40,1,0,$R38-2),($M38+1)&amp;"$",OFFSET(E40,1,0,$R38-2)))</f>
        <v>0</v>
      </c>
      <c r="F40" s="195" t="str">
        <f ca="1">IF(OR($R38&lt;&gt;2,AUTOEVENTO&lt;&gt;"manual",$F39&gt;0),"",
        IF(Import.TipoArredondamento="Tradicional",
              SUMIF(OFFSET(CÁLCULO!$M$15,CRONO!$F38,0,OFFSET(ORÇAMENTO!$D$15,CRONO!$F38,0)),1,OFFSET(ORÇAMENTO!$X$15,CRONO!$F38,0,OFFSET(ORÇAMENTO!$D$15,CRONO!$F38,0))),
              0))</f>
        <v/>
      </c>
      <c r="H40" s="213"/>
      <c r="S40" s="214" t="str">
        <f t="shared" ref="S40" ca="1" si="55">M38&amp;"$"</f>
        <v>2$</v>
      </c>
      <c r="T40" s="215"/>
      <c r="U40" s="212">
        <f ca="1">IF($R38=2,
         IF(AND(ACOMPANHAMENTO="PLE",ISNUMBER($F38)),
                SUMIF((OFFSET(CÁLCULO!$BC$15:$BU$15,$F38,0,OFFSET(ORÇAMENTO!$D$15,CRONO!$F38,0))),CRONO!U$12,OFFSET(CÁLCULO!$AJ$15:$BB$15,$F38,0,OFFSET(ORÇAMENTO!$D$15,CRONO!$F38,0)))
                +IF(AND($F40&lt;&gt;"",$F40&lt;&gt;0),
                        SUMIF(CÁLCULO!$BC$15:$BU$131,CRONO!U$12,CÁLCULO!$AJ$15:$BB$131)/(ORÇAMENTO!$X$15-CÁLCULO.TotalAdmLocal)*CRONO!$F40,
                        0),
                 U39*$S38),
          SUMIF(OFFSET($S40,1,0,$R38-2),($M38+1)&amp;"$",OFFSET(U40,1,0,$R38-2)))</f>
        <v>0</v>
      </c>
      <c r="V40" s="212">
        <f ca="1">IF($R38=2,
         IF(AND(ACOMPANHAMENTO="PLE",ISNUMBER($F38)),
                SUMIF((OFFSET(CÁLCULO!$BC$15:$BU$15,$F38,0,OFFSET(ORÇAMENTO!$D$15,CRONO!$F38,0))),CRONO!V$12,OFFSET(CÁLCULO!$AJ$15:$BB$15,$F38,0,OFFSET(ORÇAMENTO!$D$15,CRONO!$F38,0)))
                +IF(AND($F40&lt;&gt;"",$F40&lt;&gt;0),
                        SUMIF(CÁLCULO!$BC$15:$BU$131,CRONO!V$12,CÁLCULO!$AJ$15:$BB$131)/(ORÇAMENTO!$X$15-CÁLCULO.TotalAdmLocal)*CRONO!$F40,
                        0),
                 V39*$S38),
          SUMIF(OFFSET($S40,1,0,$R38-2),($M38+1)&amp;"$",OFFSET(V40,1,0,$R38-2)))</f>
        <v>0</v>
      </c>
      <c r="W40" s="212">
        <f ca="1">IF($R38=2,
         IF(AND(ACOMPANHAMENTO="PLE",ISNUMBER($F38)),
                SUMIF((OFFSET(CÁLCULO!$BC$15:$BU$15,$F38,0,OFFSET(ORÇAMENTO!$D$15,CRONO!$F38,0))),CRONO!W$12,OFFSET(CÁLCULO!$AJ$15:$BB$15,$F38,0,OFFSET(ORÇAMENTO!$D$15,CRONO!$F38,0)))
                +IF(AND($F40&lt;&gt;"",$F40&lt;&gt;0),
                        SUMIF(CÁLCULO!$BC$15:$BU$131,CRONO!W$12,CÁLCULO!$AJ$15:$BB$131)/(ORÇAMENTO!$X$15-CÁLCULO.TotalAdmLocal)*CRONO!$F40,
                        0),
                 W39*$S38),
          SUMIF(OFFSET($S40,1,0,$R38-2),($M38+1)&amp;"$",OFFSET(W40,1,0,$R38-2)))</f>
        <v>0</v>
      </c>
      <c r="X40" s="212">
        <f ca="1">IF($R38=2,
         IF(AND(ACOMPANHAMENTO="PLE",ISNUMBER($F38)),
                SUMIF((OFFSET(CÁLCULO!$BC$15:$BU$15,$F38,0,OFFSET(ORÇAMENTO!$D$15,CRONO!$F38,0))),CRONO!X$12,OFFSET(CÁLCULO!$AJ$15:$BB$15,$F38,0,OFFSET(ORÇAMENTO!$D$15,CRONO!$F38,0)))
                +IF(AND($F40&lt;&gt;"",$F40&lt;&gt;0),
                        SUMIF(CÁLCULO!$BC$15:$BU$131,CRONO!X$12,CÁLCULO!$AJ$15:$BB$131)/(ORÇAMENTO!$X$15-CÁLCULO.TotalAdmLocal)*CRONO!$F40,
                        0),
                 X39*$S38),
          SUMIF(OFFSET($S40,1,0,$R38-2),($M38+1)&amp;"$",OFFSET(X40,1,0,$R38-2)))</f>
        <v>0</v>
      </c>
      <c r="Y40" s="212">
        <f ca="1">IF($R38=2,
         IF(AND(ACOMPANHAMENTO="PLE",ISNUMBER($F38)),
                SUMIF((OFFSET(CÁLCULO!$BC$15:$BU$15,$F38,0,OFFSET(ORÇAMENTO!$D$15,CRONO!$F38,0))),CRONO!Y$12,OFFSET(CÁLCULO!$AJ$15:$BB$15,$F38,0,OFFSET(ORÇAMENTO!$D$15,CRONO!$F38,0)))
                +IF(AND($F40&lt;&gt;"",$F40&lt;&gt;0),
                        SUMIF(CÁLCULO!$BC$15:$BU$131,CRONO!Y$12,CÁLCULO!$AJ$15:$BB$131)/(ORÇAMENTO!$X$15-CÁLCULO.TotalAdmLocal)*CRONO!$F40,
                        0),
                 Y39*$S38),
          SUMIF(OFFSET($S40,1,0,$R38-2),($M38+1)&amp;"$",OFFSET(Y40,1,0,$R38-2)))</f>
        <v>15539.26</v>
      </c>
      <c r="Z40" s="212">
        <f ca="1">IF($R38=2,
         IF(AND(ACOMPANHAMENTO="PLE",ISNUMBER($F38)),
                SUMIF((OFFSET(CÁLCULO!$BC$15:$BU$15,$F38,0,OFFSET(ORÇAMENTO!$D$15,CRONO!$F38,0))),CRONO!Z$12,OFFSET(CÁLCULO!$AJ$15:$BB$15,$F38,0,OFFSET(ORÇAMENTO!$D$15,CRONO!$F38,0)))
                +IF(AND($F40&lt;&gt;"",$F40&lt;&gt;0),
                        SUMIF(CÁLCULO!$BC$15:$BU$131,CRONO!Z$12,CÁLCULO!$AJ$15:$BB$131)/(ORÇAMENTO!$X$15-CÁLCULO.TotalAdmLocal)*CRONO!$F40,
                        0),
                 Z39*$S38),
          SUMIF(OFFSET($S40,1,0,$R38-2),($M38+1)&amp;"$",OFFSET(Z40,1,0,$R38-2)))</f>
        <v>0</v>
      </c>
      <c r="AA40" s="212">
        <f ca="1">IF($R38=2,
         IF(AND(ACOMPANHAMENTO="PLE",ISNUMBER($F38)),
                SUMIF((OFFSET(CÁLCULO!$BC$15:$BU$15,$F38,0,OFFSET(ORÇAMENTO!$D$15,CRONO!$F38,0))),CRONO!AA$12,OFFSET(CÁLCULO!$AJ$15:$BB$15,$F38,0,OFFSET(ORÇAMENTO!$D$15,CRONO!$F38,0)))
                +IF(AND($F40&lt;&gt;"",$F40&lt;&gt;0),
                        SUMIF(CÁLCULO!$BC$15:$BU$131,CRONO!AA$12,CÁLCULO!$AJ$15:$BB$131)/(ORÇAMENTO!$X$15-CÁLCULO.TotalAdmLocal)*CRONO!$F40,
                        0),
                 AA39*$S38),
          SUMIF(OFFSET($S40,1,0,$R38-2),($M38+1)&amp;"$",OFFSET(AA40,1,0,$R38-2)))</f>
        <v>0</v>
      </c>
      <c r="AB40" s="212">
        <f ca="1">IF($R38=2,
         IF(AND(ACOMPANHAMENTO="PLE",ISNUMBER($F38)),
                SUMIF((OFFSET(CÁLCULO!$BC$15:$BU$15,$F38,0,OFFSET(ORÇAMENTO!$D$15,CRONO!$F38,0))),CRONO!AB$12,OFFSET(CÁLCULO!$AJ$15:$BB$15,$F38,0,OFFSET(ORÇAMENTO!$D$15,CRONO!$F38,0)))
                +IF(AND($F40&lt;&gt;"",$F40&lt;&gt;0),
                        SUMIF(CÁLCULO!$BC$15:$BU$131,CRONO!AB$12,CÁLCULO!$AJ$15:$BB$131)/(ORÇAMENTO!$X$15-CÁLCULO.TotalAdmLocal)*CRONO!$F40,
                        0),
                 AB39*$S38),
          SUMIF(OFFSET($S40,1,0,$R38-2),($M38+1)&amp;"$",OFFSET(AB40,1,0,$R38-2)))</f>
        <v>0</v>
      </c>
      <c r="AC40" s="212">
        <f ca="1">IF($R38=2,
         IF(AND(ACOMPANHAMENTO="PLE",ISNUMBER($F38)),
                SUMIF((OFFSET(CÁLCULO!$BC$15:$BU$15,$F38,0,OFFSET(ORÇAMENTO!$D$15,CRONO!$F38,0))),CRONO!AC$12,OFFSET(CÁLCULO!$AJ$15:$BB$15,$F38,0,OFFSET(ORÇAMENTO!$D$15,CRONO!$F38,0)))
                +IF(AND($F40&lt;&gt;"",$F40&lt;&gt;0),
                        SUMIF(CÁLCULO!$BC$15:$BU$131,CRONO!AC$12,CÁLCULO!$AJ$15:$BB$131)/(ORÇAMENTO!$X$15-CÁLCULO.TotalAdmLocal)*CRONO!$F40,
                        0),
                 AC39*$S38),
          SUMIF(OFFSET($S40,1,0,$R38-2),($M38+1)&amp;"$",OFFSET(AC40,1,0,$R38-2)))</f>
        <v>0</v>
      </c>
      <c r="AD40" s="212">
        <f ca="1">IF($R38=2,
         IF(AND(ACOMPANHAMENTO="PLE",ISNUMBER($F38)),
                SUMIF((OFFSET(CÁLCULO!$BC$15:$BU$15,$F38,0,OFFSET(ORÇAMENTO!$D$15,CRONO!$F38,0))),CRONO!AD$12,OFFSET(CÁLCULO!$AJ$15:$BB$15,$F38,0,OFFSET(ORÇAMENTO!$D$15,CRONO!$F38,0)))
                +IF(AND($F40&lt;&gt;"",$F40&lt;&gt;0),
                        SUMIF(CÁLCULO!$BC$15:$BU$131,CRONO!AD$12,CÁLCULO!$AJ$15:$BB$131)/(ORÇAMENTO!$X$15-CÁLCULO.TotalAdmLocal)*CRONO!$F40,
                        0),
                 AD39*$S38),
          SUMIF(OFFSET($S40,1,0,$R38-2),($M38+1)&amp;"$",OFFSET(AD40,1,0,$R38-2)))</f>
        <v>0</v>
      </c>
      <c r="AE40" s="212">
        <f ca="1">IF($R38=2,
         IF(AND(ACOMPANHAMENTO="PLE",ISNUMBER($F38)),
                SUMIF((OFFSET(CÁLCULO!$BC$15:$BU$15,$F38,0,OFFSET(ORÇAMENTO!$D$15,CRONO!$F38,0))),CRONO!AE$12,OFFSET(CÁLCULO!$AJ$15:$BB$15,$F38,0,OFFSET(ORÇAMENTO!$D$15,CRONO!$F38,0)))
                +IF(AND($F40&lt;&gt;"",$F40&lt;&gt;0),
                        SUMIF(CÁLCULO!$BC$15:$BU$131,CRONO!AE$12,CÁLCULO!$AJ$15:$BB$131)/(ORÇAMENTO!$X$15-CÁLCULO.TotalAdmLocal)*CRONO!$F40,
                        0),
                 AE39*$S38),
          SUMIF(OFFSET($S40,1,0,$R38-2),($M38+1)&amp;"$",OFFSET(AE40,1,0,$R38-2)))</f>
        <v>0</v>
      </c>
      <c r="AF40" s="212">
        <f ca="1">IF($R38=2,
         IF(AND(ACOMPANHAMENTO="PLE",ISNUMBER($F38)),
                SUMIF((OFFSET(CÁLCULO!$BC$15:$BU$15,$F38,0,OFFSET(ORÇAMENTO!$D$15,CRONO!$F38,0))),CRONO!AF$12,OFFSET(CÁLCULO!$AJ$15:$BB$15,$F38,0,OFFSET(ORÇAMENTO!$D$15,CRONO!$F38,0)))
                +IF(AND($F40&lt;&gt;"",$F40&lt;&gt;0),
                        SUMIF(CÁLCULO!$BC$15:$BU$131,CRONO!AF$12,CÁLCULO!$AJ$15:$BB$131)/(ORÇAMENTO!$X$15-CÁLCULO.TotalAdmLocal)*CRONO!$F40,
                        0),
                 AF39*$S38),
          SUMIF(OFFSET($S40,1,0,$R38-2),($M38+1)&amp;"$",OFFSET(AF40,1,0,$R38-2)))</f>
        <v>0</v>
      </c>
      <c r="AG40" s="212">
        <f ca="1">IF($R38=2,
         IF(AND(ACOMPANHAMENTO="PLE",ISNUMBER($F38)),
                SUMIF((OFFSET(CÁLCULO!$BC$15:$BU$15,$F38,0,OFFSET(ORÇAMENTO!$D$15,CRONO!$F38,0))),CRONO!AG$12,OFFSET(CÁLCULO!$AJ$15:$BB$15,$F38,0,OFFSET(ORÇAMENTO!$D$15,CRONO!$F38,0)))
                +IF(AND($F40&lt;&gt;"",$F40&lt;&gt;0),
                        SUMIF(CÁLCULO!$BC$15:$BU$131,CRONO!AG$12,CÁLCULO!$AJ$15:$BB$131)/(ORÇAMENTO!$X$15-CÁLCULO.TotalAdmLocal)*CRONO!$F40,
                        0),
                 AG39*$S38),
          SUMIF(OFFSET($S40,1,0,$R38-2),($M38+1)&amp;"$",OFFSET(AG40,1,0,$R38-2)))</f>
        <v>0</v>
      </c>
      <c r="AH40" s="212">
        <f ca="1">IF($R38=2,
         IF(AND(ACOMPANHAMENTO="PLE",ISNUMBER($F38)),
                SUMIF((OFFSET(CÁLCULO!$BC$15:$BU$15,$F38,0,OFFSET(ORÇAMENTO!$D$15,CRONO!$F38,0))),CRONO!AH$12,OFFSET(CÁLCULO!$AJ$15:$BB$15,$F38,0,OFFSET(ORÇAMENTO!$D$15,CRONO!$F38,0)))
                +IF(AND($F40&lt;&gt;"",$F40&lt;&gt;0),
                        SUMIF(CÁLCULO!$BC$15:$BU$131,CRONO!AH$12,CÁLCULO!$AJ$15:$BB$131)/(ORÇAMENTO!$X$15-CÁLCULO.TotalAdmLocal)*CRONO!$F40,
                        0),
                 AH39*$S38),
          SUMIF(OFFSET($S40,1,0,$R38-2),($M38+1)&amp;"$",OFFSET(AH40,1,0,$R38-2)))</f>
        <v>0</v>
      </c>
      <c r="AI40" s="212">
        <f ca="1">IF($R38=2,
         IF(AND(ACOMPANHAMENTO="PLE",ISNUMBER($F38)),
                SUMIF((OFFSET(CÁLCULO!$BC$15:$BU$15,$F38,0,OFFSET(ORÇAMENTO!$D$15,CRONO!$F38,0))),CRONO!AI$12,OFFSET(CÁLCULO!$AJ$15:$BB$15,$F38,0,OFFSET(ORÇAMENTO!$D$15,CRONO!$F38,0)))
                +IF(AND($F40&lt;&gt;"",$F40&lt;&gt;0),
                        SUMIF(CÁLCULO!$BC$15:$BU$131,CRONO!AI$12,CÁLCULO!$AJ$15:$BB$131)/(ORÇAMENTO!$X$15-CÁLCULO.TotalAdmLocal)*CRONO!$F40,
                        0),
                 AI39*$S38),
          SUMIF(OFFSET($S40,1,0,$R38-2),($M38+1)&amp;"$",OFFSET(AI40,1,0,$R38-2)))</f>
        <v>0</v>
      </c>
      <c r="AJ40" s="212">
        <f ca="1">IF($R38=2,
         IF(AND(ACOMPANHAMENTO="PLE",ISNUMBER($F38)),
                SUMIF((OFFSET(CÁLCULO!$BC$15:$BU$15,$F38,0,OFFSET(ORÇAMENTO!$D$15,CRONO!$F38,0))),CRONO!AJ$12,OFFSET(CÁLCULO!$AJ$15:$BB$15,$F38,0,OFFSET(ORÇAMENTO!$D$15,CRONO!$F38,0)))
                +IF(AND($F40&lt;&gt;"",$F40&lt;&gt;0),
                        SUMIF(CÁLCULO!$BC$15:$BU$131,CRONO!AJ$12,CÁLCULO!$AJ$15:$BB$131)/(ORÇAMENTO!$X$15-CÁLCULO.TotalAdmLocal)*CRONO!$F40,
                        0),
                 AJ39*$S38),
          SUMIF(OFFSET($S40,1,0,$R38-2),($M38+1)&amp;"$",OFFSET(AJ40,1,0,$R38-2)))</f>
        <v>0</v>
      </c>
      <c r="AK40" s="212">
        <f ca="1">IF($R38=2,
         IF(AND(ACOMPANHAMENTO="PLE",ISNUMBER($F38)),
                SUMIF((OFFSET(CÁLCULO!$BC$15:$BU$15,$F38,0,OFFSET(ORÇAMENTO!$D$15,CRONO!$F38,0))),CRONO!AK$12,OFFSET(CÁLCULO!$AJ$15:$BB$15,$F38,0,OFFSET(ORÇAMENTO!$D$15,CRONO!$F38,0)))
                +IF(AND($F40&lt;&gt;"",$F40&lt;&gt;0),
                        SUMIF(CÁLCULO!$BC$15:$BU$131,CRONO!AK$12,CÁLCULO!$AJ$15:$BB$131)/(ORÇAMENTO!$X$15-CÁLCULO.TotalAdmLocal)*CRONO!$F40,
                        0),
                 AK39*$S38),
          SUMIF(OFFSET($S40,1,0,$R38-2),($M38+1)&amp;"$",OFFSET(AK40,1,0,$R38-2)))</f>
        <v>0</v>
      </c>
      <c r="AL40" s="212">
        <f ca="1">IF($R38=2,
         IF(AND(ACOMPANHAMENTO="PLE",ISNUMBER($F38)),
                SUMIF((OFFSET(CÁLCULO!$BC$15:$BU$15,$F38,0,OFFSET(ORÇAMENTO!$D$15,CRONO!$F38,0))),CRONO!AL$12,OFFSET(CÁLCULO!$AJ$15:$BB$15,$F38,0,OFFSET(ORÇAMENTO!$D$15,CRONO!$F38,0)))
                +IF(AND($F40&lt;&gt;"",$F40&lt;&gt;0),
                        SUMIF(CÁLCULO!$BC$15:$BU$131,CRONO!AL$12,CÁLCULO!$AJ$15:$BB$131)/(ORÇAMENTO!$X$15-CÁLCULO.TotalAdmLocal)*CRONO!$F40,
                        0),
                 AL39*$S38),
          SUMIF(OFFSET($S40,1,0,$R38-2),($M38+1)&amp;"$",OFFSET(AL40,1,0,$R38-2)))</f>
        <v>0</v>
      </c>
      <c r="AM40" s="212">
        <f ca="1">IF($R38=2,
         IF(AND(ACOMPANHAMENTO="PLE",ISNUMBER($F38)),
                SUMIF((OFFSET(CÁLCULO!$BC$15:$BU$15,$F38,0,OFFSET(ORÇAMENTO!$D$15,CRONO!$F38,0))),CRONO!AM$12,OFFSET(CÁLCULO!$AJ$15:$BB$15,$F38,0,OFFSET(ORÇAMENTO!$D$15,CRONO!$F38,0)))
                +IF(AND($F40&lt;&gt;"",$F40&lt;&gt;0),
                        SUMIF(CÁLCULO!$BC$15:$BU$131,CRONO!AM$12,CÁLCULO!$AJ$15:$BB$131)/(ORÇAMENTO!$X$15-CÁLCULO.TotalAdmLocal)*CRONO!$F40,
                        0),
                 AM39*$S38),
          SUMIF(OFFSET($S40,1,0,$R38-2),($M38+1)&amp;"$",OFFSET(AM40,1,0,$R38-2)))</f>
        <v>0</v>
      </c>
      <c r="AN40" s="212">
        <f ca="1">IF($R38=2,
         IF(AND(ACOMPANHAMENTO="PLE",ISNUMBER($F38)),
                SUMIF((OFFSET(CÁLCULO!$BC$15:$BU$15,$F38,0,OFFSET(ORÇAMENTO!$D$15,CRONO!$F38,0))),CRONO!AN$12,OFFSET(CÁLCULO!$AJ$15:$BB$15,$F38,0,OFFSET(ORÇAMENTO!$D$15,CRONO!$F38,0)))
                +IF(AND($F40&lt;&gt;"",$F40&lt;&gt;0),
                        SUMIF(CÁLCULO!$BC$15:$BU$131,CRONO!AN$12,CÁLCULO!$AJ$15:$BB$131)/(ORÇAMENTO!$X$15-CÁLCULO.TotalAdmLocal)*CRONO!$F40,
                        0),
                 AN39*$S38),
          SUMIF(OFFSET($S40,1,0,$R38-2),($M38+1)&amp;"$",OFFSET(AN40,1,0,$R38-2)))</f>
        <v>0</v>
      </c>
      <c r="AO40" s="212">
        <f ca="1">IF($R38=2,
         IF(AND(ACOMPANHAMENTO="PLE",ISNUMBER($F38)),
                SUMIF((OFFSET(CÁLCULO!$BC$15:$BU$15,$F38,0,OFFSET(ORÇAMENTO!$D$15,CRONO!$F38,0))),CRONO!AO$12,OFFSET(CÁLCULO!$AJ$15:$BB$15,$F38,0,OFFSET(ORÇAMENTO!$D$15,CRONO!$F38,0)))
                +IF(AND($F40&lt;&gt;"",$F40&lt;&gt;0),
                        SUMIF(CÁLCULO!$BC$15:$BU$131,CRONO!AO$12,CÁLCULO!$AJ$15:$BB$131)/(ORÇAMENTO!$X$15-CÁLCULO.TotalAdmLocal)*CRONO!$F40,
                        0),
                 AO39*$S38),
          SUMIF(OFFSET($S40,1,0,$R38-2),($M38+1)&amp;"$",OFFSET(AO40,1,0,$R38-2)))</f>
        <v>0</v>
      </c>
      <c r="AP40" s="212">
        <f ca="1">IF($R38=2,
         IF(AND(ACOMPANHAMENTO="PLE",ISNUMBER($F38)),
                SUMIF((OFFSET(CÁLCULO!$BC$15:$BU$15,$F38,0,OFFSET(ORÇAMENTO!$D$15,CRONO!$F38,0))),CRONO!AP$12,OFFSET(CÁLCULO!$AJ$15:$BB$15,$F38,0,OFFSET(ORÇAMENTO!$D$15,CRONO!$F38,0)))
                +IF(AND($F40&lt;&gt;"",$F40&lt;&gt;0),
                        SUMIF(CÁLCULO!$BC$15:$BU$131,CRONO!AP$12,CÁLCULO!$AJ$15:$BB$131)/(ORÇAMENTO!$X$15-CÁLCULO.TotalAdmLocal)*CRONO!$F40,
                        0),
                 AP39*$S38),
          SUMIF(OFFSET($S40,1,0,$R38-2),($M38+1)&amp;"$",OFFSET(AP40,1,0,$R38-2)))</f>
        <v>0</v>
      </c>
      <c r="AQ40" s="212">
        <f ca="1">IF($R38=2,
         IF(AND(ACOMPANHAMENTO="PLE",ISNUMBER($F38)),
                SUMIF((OFFSET(CÁLCULO!$BC$15:$BU$15,$F38,0,OFFSET(ORÇAMENTO!$D$15,CRONO!$F38,0))),CRONO!AQ$12,OFFSET(CÁLCULO!$AJ$15:$BB$15,$F38,0,OFFSET(ORÇAMENTO!$D$15,CRONO!$F38,0)))
                +IF(AND($F40&lt;&gt;"",$F40&lt;&gt;0),
                        SUMIF(CÁLCULO!$BC$15:$BU$131,CRONO!AQ$12,CÁLCULO!$AJ$15:$BB$131)/(ORÇAMENTO!$X$15-CÁLCULO.TotalAdmLocal)*CRONO!$F40,
                        0),
                 AQ39*$S38),
          SUMIF(OFFSET($S40,1,0,$R38-2),($M38+1)&amp;"$",OFFSET(AQ40,1,0,$R38-2)))</f>
        <v>0</v>
      </c>
      <c r="AR40" s="212">
        <f ca="1">IF($R38=2,
         IF(AND(ACOMPANHAMENTO="PLE",ISNUMBER($F38)),
                SUMIF((OFFSET(CÁLCULO!$BC$15:$BU$15,$F38,0,OFFSET(ORÇAMENTO!$D$15,CRONO!$F38,0))),CRONO!AR$12,OFFSET(CÁLCULO!$AJ$15:$BB$15,$F38,0,OFFSET(ORÇAMENTO!$D$15,CRONO!$F38,0)))
                +IF(AND($F40&lt;&gt;"",$F40&lt;&gt;0),
                        SUMIF(CÁLCULO!$BC$15:$BU$131,CRONO!AR$12,CÁLCULO!$AJ$15:$BB$131)/(ORÇAMENTO!$X$15-CÁLCULO.TotalAdmLocal)*CRONO!$F40,
                        0),
                 AR39*$S38),
          SUMIF(OFFSET($S40,1,0,$R38-2),($M38+1)&amp;"$",OFFSET(AR40,1,0,$R38-2)))</f>
        <v>0</v>
      </c>
      <c r="AS40" s="577"/>
    </row>
    <row r="41" spans="1:45" x14ac:dyDescent="0.2">
      <c r="A41" s="196" t="str">
        <f t="shared" ref="A41" ca="1" si="56">IF($M41&gt;1,CONCATENATE($I41," ",$J41),"")</f>
        <v>1.9. EQUIPAMENTOS E MOBILIÁRIOS URBANOS</v>
      </c>
      <c r="B41" s="195">
        <f t="shared" ref="B41" ca="1" si="57">OFFSET(B41,-3,0)+1</f>
        <v>10</v>
      </c>
      <c r="C41" s="195">
        <f ca="1">IF($R41&lt;&gt;2,0,IF($S41=0,1,IF(F42&gt;0,OFFSET(QCI!$M$13,SUBSTITUTE(F42,".",""),0),OFFSET(ORÇAMENTO!$AA$15,CRONO!$F41,0))/$S41))</f>
        <v>0.99999999999999978</v>
      </c>
      <c r="D41" s="195">
        <f ca="1">IF($R41&lt;&gt;2,0,IF($S41=0,1,IF(F42&gt;0,OFFSET(QCI!$N$13,SUBSTITUTE(F42,".",""),0),OFFSET(ORÇAMENTO!$AB$15,CRONO!$F41,0))/$S41))</f>
        <v>0</v>
      </c>
      <c r="E41" s="198">
        <f ca="1">IF(AND($R41=2,ACOMPANHAMENTO="BM"),ROUND(E42,4),E43/$S41)</f>
        <v>0</v>
      </c>
      <c r="F41" s="195">
        <f ca="1">IF(B41&lt;=ORÇAMENTO.MáximoListaCrono,MATCH(B41,ORÇAMENTO.ListaCrono,0),NA())</f>
        <v>55</v>
      </c>
      <c r="G41" s="195" t="str">
        <f t="shared" ref="G41" ca="1" si="58">IF(AND($F42&lt;&gt;-1,$S41&gt;0),"F","")</f>
        <v>F</v>
      </c>
      <c r="H41" s="199" t="str">
        <f ca="1">IF(OR(S41=0,S41=""),"Linha",IF(AND(OR(ACOMPANHAMENTO="PLE",$R41&lt;&gt;2),$F42=0),"Linha",ROUND(1-SUM(U41:AS41),4)))</f>
        <v>Linha</v>
      </c>
      <c r="I41" s="200" t="str">
        <f ca="1">IF($F42=0,OFFSET(ORÇAMENTO!O$15,$F41,0),IF($F42&lt;&gt;-1,OFFSET(QCI!$D$13,$F42,0),""))</f>
        <v>1.9.</v>
      </c>
      <c r="J41" s="201" t="str">
        <f ca="1">IF($F42=0,OFFSET(ORÇAMENTO!R$15,$F41,0),IF($F42&lt;&gt;-1,OFFSET(QCI!$G$13,$F42,0),""))</f>
        <v>EQUIPAMENTOS E MOBILIÁRIOS URBANOS</v>
      </c>
      <c r="K41" s="201"/>
      <c r="L41" s="201"/>
      <c r="M41" s="202">
        <f ca="1">IF($F42=0,OFFSET(ORÇAMENTO!C$15,$F41,0),1)</f>
        <v>2</v>
      </c>
      <c r="N41" s="203">
        <f ca="1">IF($F42=-1,0,IF(N$13&lt;=$M41,IF(ISERROR(MATCH(N$13,OFFSET($M41,1,0,ROW($M$107)-ROW($M41)-1),0)),ROW($M$107)-ROW($M41)-1,MATCH(N$13,OFFSET($M41,1,0,ROW($M$107)-ROW($M41)-1),0)-1),0))</f>
        <v>14</v>
      </c>
      <c r="O41" s="203">
        <f ca="1">IF($F42=-1,0,IF(O$13&lt;=$M41,IF(ISERROR(MATCH(O$13,OFFSET($M41,1,0,ROW($M$107)-ROW($M41)-1),0)),ROW($M$107)-ROW($M41)-1,MATCH(O$13,OFFSET($M41,1,0,ROW($M$107)-ROW($M41)-1),0)-1),0))</f>
        <v>2</v>
      </c>
      <c r="P41" s="203">
        <f ca="1">IF($F42=-1,0,IF(P$13&lt;=$M41,IF(ISERROR(MATCH(P$13,OFFSET($M41,1,0,ROW($M$107)-ROW($M41)-1),0)),ROW($M$107)-ROW($M41)-1,MATCH(P$13,OFFSET($M41,1,0,ROW($M$107)-ROW($M41)-1),0)-1),0))</f>
        <v>0</v>
      </c>
      <c r="Q41" s="203">
        <f ca="1">IF($F42=-1,0,IF(Q$13&lt;=$M41,IF(ISERROR(MATCH(Q$13,OFFSET($M41,1,0,ROW($M$107)-ROW($M41)-1),0)),ROW($M$107)-ROW($M41)-1,MATCH(Q$13,OFFSET($M41,1,0,ROW($M$107)-ROW($M41)-1),0)-1),0))</f>
        <v>0</v>
      </c>
      <c r="R41" s="203">
        <f t="shared" ref="R41" ca="1" si="59">MIN(OFFSET(M41,0,1,,M41))</f>
        <v>2</v>
      </c>
      <c r="S41" s="204">
        <f ca="1">IF($F42=0,OFFSET(ORÇAMENTO!X$15,$F41,0),IF($F42&lt;&gt;-1,OFFSET(QCI!$O$13,$F42,0),""))</f>
        <v>74775.08</v>
      </c>
      <c r="T41" s="205" t="s">
        <v>266</v>
      </c>
      <c r="U41" s="198">
        <f ca="1">IF(AND($R41=2,ACOMPANHAMENTO="BM"),ROUND(U42,4),U43/$S41)</f>
        <v>0</v>
      </c>
      <c r="V41" s="198">
        <f ca="1">IF(AND($R41=2,ACOMPANHAMENTO="BM"),ROUND(V42,4),V43/$S41)</f>
        <v>0</v>
      </c>
      <c r="W41" s="198">
        <f ca="1">IF(AND($R41=2,ACOMPANHAMENTO="BM"),ROUND(W42,4),W43/$S41)</f>
        <v>0</v>
      </c>
      <c r="X41" s="198">
        <f ca="1">IF(AND($R41=2,ACOMPANHAMENTO="BM"),ROUND(X42,4),X43/$S41)</f>
        <v>0</v>
      </c>
      <c r="Y41" s="198">
        <f ca="1">IF(AND($R41=2,ACOMPANHAMENTO="BM"),ROUND(Y42,4),Y43/$S41)</f>
        <v>0.99999999999999978</v>
      </c>
      <c r="Z41" s="198">
        <f ca="1">IF(AND($R41=2,ACOMPANHAMENTO="BM"),ROUND(Z42,4),Z43/$S41)</f>
        <v>0</v>
      </c>
      <c r="AA41" s="198">
        <f ca="1">IF(AND($R41=2,ACOMPANHAMENTO="BM"),ROUND(AA42,4),AA43/$S41)</f>
        <v>0</v>
      </c>
      <c r="AB41" s="198">
        <f ca="1">IF(AND($R41=2,ACOMPANHAMENTO="BM"),ROUND(AB42,4),AB43/$S41)</f>
        <v>0</v>
      </c>
      <c r="AC41" s="198">
        <f ca="1">IF(AND($R41=2,ACOMPANHAMENTO="BM"),ROUND(AC42,4),AC43/$S41)</f>
        <v>0</v>
      </c>
      <c r="AD41" s="198">
        <f ca="1">IF(AND($R41=2,ACOMPANHAMENTO="BM"),ROUND(AD42,4),AD43/$S41)</f>
        <v>0</v>
      </c>
      <c r="AE41" s="198">
        <f ca="1">IF(AND($R41=2,ACOMPANHAMENTO="BM"),ROUND(AE42,4),AE43/$S41)</f>
        <v>0</v>
      </c>
      <c r="AF41" s="198">
        <f ca="1">IF(AND($R41=2,ACOMPANHAMENTO="BM"),ROUND(AF42,4),AF43/$S41)</f>
        <v>0</v>
      </c>
      <c r="AG41" s="198">
        <f ca="1">IF(AND($R41=2,ACOMPANHAMENTO="BM"),ROUND(AG42,4),AG43/$S41)</f>
        <v>0</v>
      </c>
      <c r="AH41" s="198">
        <f ca="1">IF(AND($R41=2,ACOMPANHAMENTO="BM"),ROUND(AH42,4),AH43/$S41)</f>
        <v>0</v>
      </c>
      <c r="AI41" s="198">
        <f ca="1">IF(AND($R41=2,ACOMPANHAMENTO="BM"),ROUND(AI42,4),AI43/$S41)</f>
        <v>0</v>
      </c>
      <c r="AJ41" s="198">
        <f ca="1">IF(AND($R41=2,ACOMPANHAMENTO="BM"),ROUND(AJ42,4),AJ43/$S41)</f>
        <v>0</v>
      </c>
      <c r="AK41" s="198">
        <f ca="1">IF(AND($R41=2,ACOMPANHAMENTO="BM"),ROUND(AK42,4),AK43/$S41)</f>
        <v>0</v>
      </c>
      <c r="AL41" s="198">
        <f ca="1">IF(AND($R41=2,ACOMPANHAMENTO="BM"),ROUND(AL42,4),AL43/$S41)</f>
        <v>0</v>
      </c>
      <c r="AM41" s="198">
        <f ca="1">IF(AND($R41=2,ACOMPANHAMENTO="BM"),ROUND(AM42,4),AM43/$S41)</f>
        <v>0</v>
      </c>
      <c r="AN41" s="198">
        <f ca="1">IF(AND($R41=2,ACOMPANHAMENTO="BM"),ROUND(AN42,4),AN43/$S41)</f>
        <v>0</v>
      </c>
      <c r="AO41" s="198">
        <f ca="1">IF(AND($R41=2,ACOMPANHAMENTO="BM"),ROUND(AO42,4),AO43/$S41)</f>
        <v>0</v>
      </c>
      <c r="AP41" s="198">
        <f ca="1">IF(AND($R41=2,ACOMPANHAMENTO="BM"),ROUND(AP42,4),AP43/$S41)</f>
        <v>0</v>
      </c>
      <c r="AQ41" s="198">
        <f ca="1">IF(AND($R41=2,ACOMPANHAMENTO="BM"),ROUND(AQ42,4),AQ43/$S41)</f>
        <v>0</v>
      </c>
      <c r="AR41" s="198">
        <f ca="1">IF(AND($R41=2,ACOMPANHAMENTO="BM"),ROUND(AR42,4),AR43/$S41)</f>
        <v>0</v>
      </c>
      <c r="AS41" s="577"/>
    </row>
    <row r="42" spans="1:45" ht="12.75" hidden="1" customHeight="1" x14ac:dyDescent="0.2">
      <c r="E42" s="645"/>
      <c r="F42" s="195">
        <f ca="1">IF(ISERROR(F41),IF(1+COUNTIF($M$13:OFFSET(M41,-1,0),1)&lt;=MAX(QCI!$D$13:$D$24),1+COUNTIF($M$13:OFFSET(M41,-1,0),1),-1),0)</f>
        <v>0</v>
      </c>
      <c r="G42" s="195" t="str">
        <f ca="1">IF(ACOMPANHAMENTO="BM",OFFSET(G42,-1,0),"")</f>
        <v/>
      </c>
      <c r="H42" s="206" t="str">
        <f ca="1">IF(OR(S41=0,S41=""),"vazia",IF(AND(OR(ACOMPANHAMENTO="PLE",$R41&lt;&gt;2),$F42=0),"calculada","--&gt;"))</f>
        <v>calculada</v>
      </c>
      <c r="I42" s="207"/>
      <c r="J42" s="208" t="str">
        <f t="shared" ref="J42" ca="1" si="60">IF(AND(H41&lt;&gt;0,ISNUMBER(H41)),"PREENCHA ESTA LINHA --&gt;","")</f>
        <v/>
      </c>
      <c r="K42" s="208"/>
      <c r="L42" s="208"/>
      <c r="M42" s="209"/>
      <c r="N42" s="209"/>
      <c r="O42" s="209"/>
      <c r="P42" s="209"/>
      <c r="Q42" s="209"/>
      <c r="R42" s="209"/>
      <c r="S42" s="210"/>
      <c r="T42" s="211"/>
      <c r="U42" s="645"/>
      <c r="V42" s="645"/>
      <c r="W42" s="645"/>
      <c r="X42" s="645"/>
      <c r="Y42" s="645"/>
      <c r="Z42" s="645"/>
      <c r="AA42" s="645"/>
      <c r="AB42" s="645"/>
      <c r="AC42" s="645"/>
      <c r="AD42" s="645"/>
      <c r="AE42" s="645"/>
      <c r="AF42" s="645"/>
      <c r="AG42" s="645"/>
      <c r="AH42" s="645"/>
      <c r="AI42" s="645"/>
      <c r="AJ42" s="645"/>
      <c r="AK42" s="645"/>
      <c r="AL42" s="645"/>
      <c r="AM42" s="645"/>
      <c r="AN42" s="645"/>
      <c r="AO42" s="645"/>
      <c r="AP42" s="645"/>
      <c r="AQ42" s="645"/>
      <c r="AR42" s="645"/>
      <c r="AS42" s="577"/>
    </row>
    <row r="43" spans="1:45" ht="12.75" hidden="1" customHeight="1" x14ac:dyDescent="0.2">
      <c r="D43" s="576"/>
      <c r="E43" s="212">
        <f ca="1">IF($R41=2,
         IF(AND(ACOMPANHAMENTO="PLE",ISNUMBER($F41)),
                SUMIF((OFFSET(CÁLCULO!$BC$15:$BU$15,$F41,0,OFFSET(ORÇAMENTO!$D$15,CRONO!$F41,0))),CRONO!E$12,OFFSET(CÁLCULO!$AJ$15:$BB$15,$F41,0,OFFSET(ORÇAMENTO!$D$15,CRONO!$F41,0)))
                +IF(AND($F43&lt;&gt;"",$F43&lt;&gt;0),
                        SUMIF(CÁLCULO!$BC$15:$BU$131,CRONO!E$12,CÁLCULO!$AJ$15:$BB$131)/(ORÇAMENTO!$X$15-CÁLCULO.TotalAdmLocal)*CRONO!$F43,
                        0),
                 E42*$S41),
          SUMIF(OFFSET($S43,1,0,$R41-2),($M41+1)&amp;"$",OFFSET(E43,1,0,$R41-2)))</f>
        <v>0</v>
      </c>
      <c r="F43" s="195" t="str">
        <f ca="1">IF(OR($R41&lt;&gt;2,AUTOEVENTO&lt;&gt;"manual",$F42&gt;0),"",
        IF(Import.TipoArredondamento="Tradicional",
              SUMIF(OFFSET(CÁLCULO!$M$15,CRONO!$F41,0,OFFSET(ORÇAMENTO!$D$15,CRONO!$F41,0)),1,OFFSET(ORÇAMENTO!$X$15,CRONO!$F41,0,OFFSET(ORÇAMENTO!$D$15,CRONO!$F41,0))),
              0))</f>
        <v/>
      </c>
      <c r="H43" s="213"/>
      <c r="S43" s="214" t="str">
        <f t="shared" ref="S43" ca="1" si="61">M41&amp;"$"</f>
        <v>2$</v>
      </c>
      <c r="T43" s="215"/>
      <c r="U43" s="212">
        <f ca="1">IF($R41=2,
         IF(AND(ACOMPANHAMENTO="PLE",ISNUMBER($F41)),
                SUMIF((OFFSET(CÁLCULO!$BC$15:$BU$15,$F41,0,OFFSET(ORÇAMENTO!$D$15,CRONO!$F41,0))),CRONO!U$12,OFFSET(CÁLCULO!$AJ$15:$BB$15,$F41,0,OFFSET(ORÇAMENTO!$D$15,CRONO!$F41,0)))
                +IF(AND($F43&lt;&gt;"",$F43&lt;&gt;0),
                        SUMIF(CÁLCULO!$BC$15:$BU$131,CRONO!U$12,CÁLCULO!$AJ$15:$BB$131)/(ORÇAMENTO!$X$15-CÁLCULO.TotalAdmLocal)*CRONO!$F43,
                        0),
                 U42*$S41),
          SUMIF(OFFSET($S43,1,0,$R41-2),($M41+1)&amp;"$",OFFSET(U43,1,0,$R41-2)))</f>
        <v>0</v>
      </c>
      <c r="V43" s="212">
        <f ca="1">IF($R41=2,
         IF(AND(ACOMPANHAMENTO="PLE",ISNUMBER($F41)),
                SUMIF((OFFSET(CÁLCULO!$BC$15:$BU$15,$F41,0,OFFSET(ORÇAMENTO!$D$15,CRONO!$F41,0))),CRONO!V$12,OFFSET(CÁLCULO!$AJ$15:$BB$15,$F41,0,OFFSET(ORÇAMENTO!$D$15,CRONO!$F41,0)))
                +IF(AND($F43&lt;&gt;"",$F43&lt;&gt;0),
                        SUMIF(CÁLCULO!$BC$15:$BU$131,CRONO!V$12,CÁLCULO!$AJ$15:$BB$131)/(ORÇAMENTO!$X$15-CÁLCULO.TotalAdmLocal)*CRONO!$F43,
                        0),
                 V42*$S41),
          SUMIF(OFFSET($S43,1,0,$R41-2),($M41+1)&amp;"$",OFFSET(V43,1,0,$R41-2)))</f>
        <v>0</v>
      </c>
      <c r="W43" s="212">
        <f ca="1">IF($R41=2,
         IF(AND(ACOMPANHAMENTO="PLE",ISNUMBER($F41)),
                SUMIF((OFFSET(CÁLCULO!$BC$15:$BU$15,$F41,0,OFFSET(ORÇAMENTO!$D$15,CRONO!$F41,0))),CRONO!W$12,OFFSET(CÁLCULO!$AJ$15:$BB$15,$F41,0,OFFSET(ORÇAMENTO!$D$15,CRONO!$F41,0)))
                +IF(AND($F43&lt;&gt;"",$F43&lt;&gt;0),
                        SUMIF(CÁLCULO!$BC$15:$BU$131,CRONO!W$12,CÁLCULO!$AJ$15:$BB$131)/(ORÇAMENTO!$X$15-CÁLCULO.TotalAdmLocal)*CRONO!$F43,
                        0),
                 W42*$S41),
          SUMIF(OFFSET($S43,1,0,$R41-2),($M41+1)&amp;"$",OFFSET(W43,1,0,$R41-2)))</f>
        <v>0</v>
      </c>
      <c r="X43" s="212">
        <f ca="1">IF($R41=2,
         IF(AND(ACOMPANHAMENTO="PLE",ISNUMBER($F41)),
                SUMIF((OFFSET(CÁLCULO!$BC$15:$BU$15,$F41,0,OFFSET(ORÇAMENTO!$D$15,CRONO!$F41,0))),CRONO!X$12,OFFSET(CÁLCULO!$AJ$15:$BB$15,$F41,0,OFFSET(ORÇAMENTO!$D$15,CRONO!$F41,0)))
                +IF(AND($F43&lt;&gt;"",$F43&lt;&gt;0),
                        SUMIF(CÁLCULO!$BC$15:$BU$131,CRONO!X$12,CÁLCULO!$AJ$15:$BB$131)/(ORÇAMENTO!$X$15-CÁLCULO.TotalAdmLocal)*CRONO!$F43,
                        0),
                 X42*$S41),
          SUMIF(OFFSET($S43,1,0,$R41-2),($M41+1)&amp;"$",OFFSET(X43,1,0,$R41-2)))</f>
        <v>0</v>
      </c>
      <c r="Y43" s="212">
        <f ca="1">IF($R41=2,
         IF(AND(ACOMPANHAMENTO="PLE",ISNUMBER($F41)),
                SUMIF((OFFSET(CÁLCULO!$BC$15:$BU$15,$F41,0,OFFSET(ORÇAMENTO!$D$15,CRONO!$F41,0))),CRONO!Y$12,OFFSET(CÁLCULO!$AJ$15:$BB$15,$F41,0,OFFSET(ORÇAMENTO!$D$15,CRONO!$F41,0)))
                +IF(AND($F43&lt;&gt;"",$F43&lt;&gt;0),
                        SUMIF(CÁLCULO!$BC$15:$BU$131,CRONO!Y$12,CÁLCULO!$AJ$15:$BB$131)/(ORÇAMENTO!$X$15-CÁLCULO.TotalAdmLocal)*CRONO!$F43,
                        0),
                 Y42*$S41),
          SUMIF(OFFSET($S43,1,0,$R41-2),($M41+1)&amp;"$",OFFSET(Y43,1,0,$R41-2)))</f>
        <v>74775.079999999987</v>
      </c>
      <c r="Z43" s="212">
        <f ca="1">IF($R41=2,
         IF(AND(ACOMPANHAMENTO="PLE",ISNUMBER($F41)),
                SUMIF((OFFSET(CÁLCULO!$BC$15:$BU$15,$F41,0,OFFSET(ORÇAMENTO!$D$15,CRONO!$F41,0))),CRONO!Z$12,OFFSET(CÁLCULO!$AJ$15:$BB$15,$F41,0,OFFSET(ORÇAMENTO!$D$15,CRONO!$F41,0)))
                +IF(AND($F43&lt;&gt;"",$F43&lt;&gt;0),
                        SUMIF(CÁLCULO!$BC$15:$BU$131,CRONO!Z$12,CÁLCULO!$AJ$15:$BB$131)/(ORÇAMENTO!$X$15-CÁLCULO.TotalAdmLocal)*CRONO!$F43,
                        0),
                 Z42*$S41),
          SUMIF(OFFSET($S43,1,0,$R41-2),($M41+1)&amp;"$",OFFSET(Z43,1,0,$R41-2)))</f>
        <v>0</v>
      </c>
      <c r="AA43" s="212">
        <f ca="1">IF($R41=2,
         IF(AND(ACOMPANHAMENTO="PLE",ISNUMBER($F41)),
                SUMIF((OFFSET(CÁLCULO!$BC$15:$BU$15,$F41,0,OFFSET(ORÇAMENTO!$D$15,CRONO!$F41,0))),CRONO!AA$12,OFFSET(CÁLCULO!$AJ$15:$BB$15,$F41,0,OFFSET(ORÇAMENTO!$D$15,CRONO!$F41,0)))
                +IF(AND($F43&lt;&gt;"",$F43&lt;&gt;0),
                        SUMIF(CÁLCULO!$BC$15:$BU$131,CRONO!AA$12,CÁLCULO!$AJ$15:$BB$131)/(ORÇAMENTO!$X$15-CÁLCULO.TotalAdmLocal)*CRONO!$F43,
                        0),
                 AA42*$S41),
          SUMIF(OFFSET($S43,1,0,$R41-2),($M41+1)&amp;"$",OFFSET(AA43,1,0,$R41-2)))</f>
        <v>0</v>
      </c>
      <c r="AB43" s="212">
        <f ca="1">IF($R41=2,
         IF(AND(ACOMPANHAMENTO="PLE",ISNUMBER($F41)),
                SUMIF((OFFSET(CÁLCULO!$BC$15:$BU$15,$F41,0,OFFSET(ORÇAMENTO!$D$15,CRONO!$F41,0))),CRONO!AB$12,OFFSET(CÁLCULO!$AJ$15:$BB$15,$F41,0,OFFSET(ORÇAMENTO!$D$15,CRONO!$F41,0)))
                +IF(AND($F43&lt;&gt;"",$F43&lt;&gt;0),
                        SUMIF(CÁLCULO!$BC$15:$BU$131,CRONO!AB$12,CÁLCULO!$AJ$15:$BB$131)/(ORÇAMENTO!$X$15-CÁLCULO.TotalAdmLocal)*CRONO!$F43,
                        0),
                 AB42*$S41),
          SUMIF(OFFSET($S43,1,0,$R41-2),($M41+1)&amp;"$",OFFSET(AB43,1,0,$R41-2)))</f>
        <v>0</v>
      </c>
      <c r="AC43" s="212">
        <f ca="1">IF($R41=2,
         IF(AND(ACOMPANHAMENTO="PLE",ISNUMBER($F41)),
                SUMIF((OFFSET(CÁLCULO!$BC$15:$BU$15,$F41,0,OFFSET(ORÇAMENTO!$D$15,CRONO!$F41,0))),CRONO!AC$12,OFFSET(CÁLCULO!$AJ$15:$BB$15,$F41,0,OFFSET(ORÇAMENTO!$D$15,CRONO!$F41,0)))
                +IF(AND($F43&lt;&gt;"",$F43&lt;&gt;0),
                        SUMIF(CÁLCULO!$BC$15:$BU$131,CRONO!AC$12,CÁLCULO!$AJ$15:$BB$131)/(ORÇAMENTO!$X$15-CÁLCULO.TotalAdmLocal)*CRONO!$F43,
                        0),
                 AC42*$S41),
          SUMIF(OFFSET($S43,1,0,$R41-2),($M41+1)&amp;"$",OFFSET(AC43,1,0,$R41-2)))</f>
        <v>0</v>
      </c>
      <c r="AD43" s="212">
        <f ca="1">IF($R41=2,
         IF(AND(ACOMPANHAMENTO="PLE",ISNUMBER($F41)),
                SUMIF((OFFSET(CÁLCULO!$BC$15:$BU$15,$F41,0,OFFSET(ORÇAMENTO!$D$15,CRONO!$F41,0))),CRONO!AD$12,OFFSET(CÁLCULO!$AJ$15:$BB$15,$F41,0,OFFSET(ORÇAMENTO!$D$15,CRONO!$F41,0)))
                +IF(AND($F43&lt;&gt;"",$F43&lt;&gt;0),
                        SUMIF(CÁLCULO!$BC$15:$BU$131,CRONO!AD$12,CÁLCULO!$AJ$15:$BB$131)/(ORÇAMENTO!$X$15-CÁLCULO.TotalAdmLocal)*CRONO!$F43,
                        0),
                 AD42*$S41),
          SUMIF(OFFSET($S43,1,0,$R41-2),($M41+1)&amp;"$",OFFSET(AD43,1,0,$R41-2)))</f>
        <v>0</v>
      </c>
      <c r="AE43" s="212">
        <f ca="1">IF($R41=2,
         IF(AND(ACOMPANHAMENTO="PLE",ISNUMBER($F41)),
                SUMIF((OFFSET(CÁLCULO!$BC$15:$BU$15,$F41,0,OFFSET(ORÇAMENTO!$D$15,CRONO!$F41,0))),CRONO!AE$12,OFFSET(CÁLCULO!$AJ$15:$BB$15,$F41,0,OFFSET(ORÇAMENTO!$D$15,CRONO!$F41,0)))
                +IF(AND($F43&lt;&gt;"",$F43&lt;&gt;0),
                        SUMIF(CÁLCULO!$BC$15:$BU$131,CRONO!AE$12,CÁLCULO!$AJ$15:$BB$131)/(ORÇAMENTO!$X$15-CÁLCULO.TotalAdmLocal)*CRONO!$F43,
                        0),
                 AE42*$S41),
          SUMIF(OFFSET($S43,1,0,$R41-2),($M41+1)&amp;"$",OFFSET(AE43,1,0,$R41-2)))</f>
        <v>0</v>
      </c>
      <c r="AF43" s="212">
        <f ca="1">IF($R41=2,
         IF(AND(ACOMPANHAMENTO="PLE",ISNUMBER($F41)),
                SUMIF((OFFSET(CÁLCULO!$BC$15:$BU$15,$F41,0,OFFSET(ORÇAMENTO!$D$15,CRONO!$F41,0))),CRONO!AF$12,OFFSET(CÁLCULO!$AJ$15:$BB$15,$F41,0,OFFSET(ORÇAMENTO!$D$15,CRONO!$F41,0)))
                +IF(AND($F43&lt;&gt;"",$F43&lt;&gt;0),
                        SUMIF(CÁLCULO!$BC$15:$BU$131,CRONO!AF$12,CÁLCULO!$AJ$15:$BB$131)/(ORÇAMENTO!$X$15-CÁLCULO.TotalAdmLocal)*CRONO!$F43,
                        0),
                 AF42*$S41),
          SUMIF(OFFSET($S43,1,0,$R41-2),($M41+1)&amp;"$",OFFSET(AF43,1,0,$R41-2)))</f>
        <v>0</v>
      </c>
      <c r="AG43" s="212">
        <f ca="1">IF($R41=2,
         IF(AND(ACOMPANHAMENTO="PLE",ISNUMBER($F41)),
                SUMIF((OFFSET(CÁLCULO!$BC$15:$BU$15,$F41,0,OFFSET(ORÇAMENTO!$D$15,CRONO!$F41,0))),CRONO!AG$12,OFFSET(CÁLCULO!$AJ$15:$BB$15,$F41,0,OFFSET(ORÇAMENTO!$D$15,CRONO!$F41,0)))
                +IF(AND($F43&lt;&gt;"",$F43&lt;&gt;0),
                        SUMIF(CÁLCULO!$BC$15:$BU$131,CRONO!AG$12,CÁLCULO!$AJ$15:$BB$131)/(ORÇAMENTO!$X$15-CÁLCULO.TotalAdmLocal)*CRONO!$F43,
                        0),
                 AG42*$S41),
          SUMIF(OFFSET($S43,1,0,$R41-2),($M41+1)&amp;"$",OFFSET(AG43,1,0,$R41-2)))</f>
        <v>0</v>
      </c>
      <c r="AH43" s="212">
        <f ca="1">IF($R41=2,
         IF(AND(ACOMPANHAMENTO="PLE",ISNUMBER($F41)),
                SUMIF((OFFSET(CÁLCULO!$BC$15:$BU$15,$F41,0,OFFSET(ORÇAMENTO!$D$15,CRONO!$F41,0))),CRONO!AH$12,OFFSET(CÁLCULO!$AJ$15:$BB$15,$F41,0,OFFSET(ORÇAMENTO!$D$15,CRONO!$F41,0)))
                +IF(AND($F43&lt;&gt;"",$F43&lt;&gt;0),
                        SUMIF(CÁLCULO!$BC$15:$BU$131,CRONO!AH$12,CÁLCULO!$AJ$15:$BB$131)/(ORÇAMENTO!$X$15-CÁLCULO.TotalAdmLocal)*CRONO!$F43,
                        0),
                 AH42*$S41),
          SUMIF(OFFSET($S43,1,0,$R41-2),($M41+1)&amp;"$",OFFSET(AH43,1,0,$R41-2)))</f>
        <v>0</v>
      </c>
      <c r="AI43" s="212">
        <f ca="1">IF($R41=2,
         IF(AND(ACOMPANHAMENTO="PLE",ISNUMBER($F41)),
                SUMIF((OFFSET(CÁLCULO!$BC$15:$BU$15,$F41,0,OFFSET(ORÇAMENTO!$D$15,CRONO!$F41,0))),CRONO!AI$12,OFFSET(CÁLCULO!$AJ$15:$BB$15,$F41,0,OFFSET(ORÇAMENTO!$D$15,CRONO!$F41,0)))
                +IF(AND($F43&lt;&gt;"",$F43&lt;&gt;0),
                        SUMIF(CÁLCULO!$BC$15:$BU$131,CRONO!AI$12,CÁLCULO!$AJ$15:$BB$131)/(ORÇAMENTO!$X$15-CÁLCULO.TotalAdmLocal)*CRONO!$F43,
                        0),
                 AI42*$S41),
          SUMIF(OFFSET($S43,1,0,$R41-2),($M41+1)&amp;"$",OFFSET(AI43,1,0,$R41-2)))</f>
        <v>0</v>
      </c>
      <c r="AJ43" s="212">
        <f ca="1">IF($R41=2,
         IF(AND(ACOMPANHAMENTO="PLE",ISNUMBER($F41)),
                SUMIF((OFFSET(CÁLCULO!$BC$15:$BU$15,$F41,0,OFFSET(ORÇAMENTO!$D$15,CRONO!$F41,0))),CRONO!AJ$12,OFFSET(CÁLCULO!$AJ$15:$BB$15,$F41,0,OFFSET(ORÇAMENTO!$D$15,CRONO!$F41,0)))
                +IF(AND($F43&lt;&gt;"",$F43&lt;&gt;0),
                        SUMIF(CÁLCULO!$BC$15:$BU$131,CRONO!AJ$12,CÁLCULO!$AJ$15:$BB$131)/(ORÇAMENTO!$X$15-CÁLCULO.TotalAdmLocal)*CRONO!$F43,
                        0),
                 AJ42*$S41),
          SUMIF(OFFSET($S43,1,0,$R41-2),($M41+1)&amp;"$",OFFSET(AJ43,1,0,$R41-2)))</f>
        <v>0</v>
      </c>
      <c r="AK43" s="212">
        <f ca="1">IF($R41=2,
         IF(AND(ACOMPANHAMENTO="PLE",ISNUMBER($F41)),
                SUMIF((OFFSET(CÁLCULO!$BC$15:$BU$15,$F41,0,OFFSET(ORÇAMENTO!$D$15,CRONO!$F41,0))),CRONO!AK$12,OFFSET(CÁLCULO!$AJ$15:$BB$15,$F41,0,OFFSET(ORÇAMENTO!$D$15,CRONO!$F41,0)))
                +IF(AND($F43&lt;&gt;"",$F43&lt;&gt;0),
                        SUMIF(CÁLCULO!$BC$15:$BU$131,CRONO!AK$12,CÁLCULO!$AJ$15:$BB$131)/(ORÇAMENTO!$X$15-CÁLCULO.TotalAdmLocal)*CRONO!$F43,
                        0),
                 AK42*$S41),
          SUMIF(OFFSET($S43,1,0,$R41-2),($M41+1)&amp;"$",OFFSET(AK43,1,0,$R41-2)))</f>
        <v>0</v>
      </c>
      <c r="AL43" s="212">
        <f ca="1">IF($R41=2,
         IF(AND(ACOMPANHAMENTO="PLE",ISNUMBER($F41)),
                SUMIF((OFFSET(CÁLCULO!$BC$15:$BU$15,$F41,0,OFFSET(ORÇAMENTO!$D$15,CRONO!$F41,0))),CRONO!AL$12,OFFSET(CÁLCULO!$AJ$15:$BB$15,$F41,0,OFFSET(ORÇAMENTO!$D$15,CRONO!$F41,0)))
                +IF(AND($F43&lt;&gt;"",$F43&lt;&gt;0),
                        SUMIF(CÁLCULO!$BC$15:$BU$131,CRONO!AL$12,CÁLCULO!$AJ$15:$BB$131)/(ORÇAMENTO!$X$15-CÁLCULO.TotalAdmLocal)*CRONO!$F43,
                        0),
                 AL42*$S41),
          SUMIF(OFFSET($S43,1,0,$R41-2),($M41+1)&amp;"$",OFFSET(AL43,1,0,$R41-2)))</f>
        <v>0</v>
      </c>
      <c r="AM43" s="212">
        <f ca="1">IF($R41=2,
         IF(AND(ACOMPANHAMENTO="PLE",ISNUMBER($F41)),
                SUMIF((OFFSET(CÁLCULO!$BC$15:$BU$15,$F41,0,OFFSET(ORÇAMENTO!$D$15,CRONO!$F41,0))),CRONO!AM$12,OFFSET(CÁLCULO!$AJ$15:$BB$15,$F41,0,OFFSET(ORÇAMENTO!$D$15,CRONO!$F41,0)))
                +IF(AND($F43&lt;&gt;"",$F43&lt;&gt;0),
                        SUMIF(CÁLCULO!$BC$15:$BU$131,CRONO!AM$12,CÁLCULO!$AJ$15:$BB$131)/(ORÇAMENTO!$X$15-CÁLCULO.TotalAdmLocal)*CRONO!$F43,
                        0),
                 AM42*$S41),
          SUMIF(OFFSET($S43,1,0,$R41-2),($M41+1)&amp;"$",OFFSET(AM43,1,0,$R41-2)))</f>
        <v>0</v>
      </c>
      <c r="AN43" s="212">
        <f ca="1">IF($R41=2,
         IF(AND(ACOMPANHAMENTO="PLE",ISNUMBER($F41)),
                SUMIF((OFFSET(CÁLCULO!$BC$15:$BU$15,$F41,0,OFFSET(ORÇAMENTO!$D$15,CRONO!$F41,0))),CRONO!AN$12,OFFSET(CÁLCULO!$AJ$15:$BB$15,$F41,0,OFFSET(ORÇAMENTO!$D$15,CRONO!$F41,0)))
                +IF(AND($F43&lt;&gt;"",$F43&lt;&gt;0),
                        SUMIF(CÁLCULO!$BC$15:$BU$131,CRONO!AN$12,CÁLCULO!$AJ$15:$BB$131)/(ORÇAMENTO!$X$15-CÁLCULO.TotalAdmLocal)*CRONO!$F43,
                        0),
                 AN42*$S41),
          SUMIF(OFFSET($S43,1,0,$R41-2),($M41+1)&amp;"$",OFFSET(AN43,1,0,$R41-2)))</f>
        <v>0</v>
      </c>
      <c r="AO43" s="212">
        <f ca="1">IF($R41=2,
         IF(AND(ACOMPANHAMENTO="PLE",ISNUMBER($F41)),
                SUMIF((OFFSET(CÁLCULO!$BC$15:$BU$15,$F41,0,OFFSET(ORÇAMENTO!$D$15,CRONO!$F41,0))),CRONO!AO$12,OFFSET(CÁLCULO!$AJ$15:$BB$15,$F41,0,OFFSET(ORÇAMENTO!$D$15,CRONO!$F41,0)))
                +IF(AND($F43&lt;&gt;"",$F43&lt;&gt;0),
                        SUMIF(CÁLCULO!$BC$15:$BU$131,CRONO!AO$12,CÁLCULO!$AJ$15:$BB$131)/(ORÇAMENTO!$X$15-CÁLCULO.TotalAdmLocal)*CRONO!$F43,
                        0),
                 AO42*$S41),
          SUMIF(OFFSET($S43,1,0,$R41-2),($M41+1)&amp;"$",OFFSET(AO43,1,0,$R41-2)))</f>
        <v>0</v>
      </c>
      <c r="AP43" s="212">
        <f ca="1">IF($R41=2,
         IF(AND(ACOMPANHAMENTO="PLE",ISNUMBER($F41)),
                SUMIF((OFFSET(CÁLCULO!$BC$15:$BU$15,$F41,0,OFFSET(ORÇAMENTO!$D$15,CRONO!$F41,0))),CRONO!AP$12,OFFSET(CÁLCULO!$AJ$15:$BB$15,$F41,0,OFFSET(ORÇAMENTO!$D$15,CRONO!$F41,0)))
                +IF(AND($F43&lt;&gt;"",$F43&lt;&gt;0),
                        SUMIF(CÁLCULO!$BC$15:$BU$131,CRONO!AP$12,CÁLCULO!$AJ$15:$BB$131)/(ORÇAMENTO!$X$15-CÁLCULO.TotalAdmLocal)*CRONO!$F43,
                        0),
                 AP42*$S41),
          SUMIF(OFFSET($S43,1,0,$R41-2),($M41+1)&amp;"$",OFFSET(AP43,1,0,$R41-2)))</f>
        <v>0</v>
      </c>
      <c r="AQ43" s="212">
        <f ca="1">IF($R41=2,
         IF(AND(ACOMPANHAMENTO="PLE",ISNUMBER($F41)),
                SUMIF((OFFSET(CÁLCULO!$BC$15:$BU$15,$F41,0,OFFSET(ORÇAMENTO!$D$15,CRONO!$F41,0))),CRONO!AQ$12,OFFSET(CÁLCULO!$AJ$15:$BB$15,$F41,0,OFFSET(ORÇAMENTO!$D$15,CRONO!$F41,0)))
                +IF(AND($F43&lt;&gt;"",$F43&lt;&gt;0),
                        SUMIF(CÁLCULO!$BC$15:$BU$131,CRONO!AQ$12,CÁLCULO!$AJ$15:$BB$131)/(ORÇAMENTO!$X$15-CÁLCULO.TotalAdmLocal)*CRONO!$F43,
                        0),
                 AQ42*$S41),
          SUMIF(OFFSET($S43,1,0,$R41-2),($M41+1)&amp;"$",OFFSET(AQ43,1,0,$R41-2)))</f>
        <v>0</v>
      </c>
      <c r="AR43" s="212">
        <f ca="1">IF($R41=2,
         IF(AND(ACOMPANHAMENTO="PLE",ISNUMBER($F41)),
                SUMIF((OFFSET(CÁLCULO!$BC$15:$BU$15,$F41,0,OFFSET(ORÇAMENTO!$D$15,CRONO!$F41,0))),CRONO!AR$12,OFFSET(CÁLCULO!$AJ$15:$BB$15,$F41,0,OFFSET(ORÇAMENTO!$D$15,CRONO!$F41,0)))
                +IF(AND($F43&lt;&gt;"",$F43&lt;&gt;0),
                        SUMIF(CÁLCULO!$BC$15:$BU$131,CRONO!AR$12,CÁLCULO!$AJ$15:$BB$131)/(ORÇAMENTO!$X$15-CÁLCULO.TotalAdmLocal)*CRONO!$F43,
                        0),
                 AR42*$S41),
          SUMIF(OFFSET($S43,1,0,$R41-2),($M41+1)&amp;"$",OFFSET(AR43,1,0,$R41-2)))</f>
        <v>0</v>
      </c>
      <c r="AS43" s="577"/>
    </row>
    <row r="44" spans="1:45" x14ac:dyDescent="0.2">
      <c r="A44" s="196" t="str">
        <f t="shared" ref="A44" ca="1" si="62">IF($M44&gt;1,CONCATENATE($I44," ",$J44),"")</f>
        <v>1.10. PAISAGISMO</v>
      </c>
      <c r="B44" s="195">
        <f t="shared" ref="B44" ca="1" si="63">OFFSET(B44,-3,0)+1</f>
        <v>11</v>
      </c>
      <c r="C44" s="195">
        <f ca="1">IF($R44&lt;&gt;2,0,IF($S44=0,1,IF(F45&gt;0,OFFSET(QCI!$M$13,SUBSTITUTE(F45,".",""),0),OFFSET(ORÇAMENTO!$AA$15,CRONO!$F44,0))/$S44))</f>
        <v>0.99999999999999989</v>
      </c>
      <c r="D44" s="195">
        <f ca="1">IF($R44&lt;&gt;2,0,IF($S44=0,1,IF(F45&gt;0,OFFSET(QCI!$N$13,SUBSTITUTE(F45,".",""),0),OFFSET(ORÇAMENTO!$AB$15,CRONO!$F44,0))/$S44))</f>
        <v>0</v>
      </c>
      <c r="E44" s="198">
        <f ca="1">IF(AND($R44=2,ACOMPANHAMENTO="BM"),ROUND(E45,4),E46/$S44)</f>
        <v>0</v>
      </c>
      <c r="F44" s="195">
        <f ca="1">IF(B44&lt;=ORÇAMENTO.MáximoListaCrono,MATCH(B44,ORÇAMENTO.ListaCrono,0),NA())</f>
        <v>62</v>
      </c>
      <c r="G44" s="195" t="str">
        <f t="shared" ref="G44" ca="1" si="64">IF(AND($F45&lt;&gt;-1,$S44&gt;0),"F","")</f>
        <v>F</v>
      </c>
      <c r="H44" s="199" t="str">
        <f ca="1">IF(OR(S44=0,S44=""),"Linha",IF(AND(OR(ACOMPANHAMENTO="PLE",$R44&lt;&gt;2),$F45=0),"Linha",ROUND(1-SUM(U44:AS44),4)))</f>
        <v>Linha</v>
      </c>
      <c r="I44" s="200" t="str">
        <f ca="1">IF($F45=0,OFFSET(ORÇAMENTO!O$15,$F44,0),IF($F45&lt;&gt;-1,OFFSET(QCI!$D$13,$F45,0),""))</f>
        <v>1.10.</v>
      </c>
      <c r="J44" s="201" t="str">
        <f ca="1">IF($F45=0,OFFSET(ORÇAMENTO!R$15,$F44,0),IF($F45&lt;&gt;-1,OFFSET(QCI!$G$13,$F45,0),""))</f>
        <v>PAISAGISMO</v>
      </c>
      <c r="K44" s="201"/>
      <c r="L44" s="201"/>
      <c r="M44" s="202">
        <f ca="1">IF($F45=0,OFFSET(ORÇAMENTO!C$15,$F44,0),1)</f>
        <v>2</v>
      </c>
      <c r="N44" s="203">
        <f ca="1">IF($F45=-1,0,IF(N$13&lt;=$M44,IF(ISERROR(MATCH(N$13,OFFSET($M44,1,0,ROW($M$107)-ROW($M44)-1),0)),ROW($M$107)-ROW($M44)-1,MATCH(N$13,OFFSET($M44,1,0,ROW($M$107)-ROW($M44)-1),0)-1),0))</f>
        <v>11</v>
      </c>
      <c r="O44" s="203">
        <f ca="1">IF($F45=-1,0,IF(O$13&lt;=$M44,IF(ISERROR(MATCH(O$13,OFFSET($M44,1,0,ROW($M$107)-ROW($M44)-1),0)),ROW($M$107)-ROW($M44)-1,MATCH(O$13,OFFSET($M44,1,0,ROW($M$107)-ROW($M44)-1),0)-1),0))</f>
        <v>2</v>
      </c>
      <c r="P44" s="203">
        <f ca="1">IF($F45=-1,0,IF(P$13&lt;=$M44,IF(ISERROR(MATCH(P$13,OFFSET($M44,1,0,ROW($M$107)-ROW($M44)-1),0)),ROW($M$107)-ROW($M44)-1,MATCH(P$13,OFFSET($M44,1,0,ROW($M$107)-ROW($M44)-1),0)-1),0))</f>
        <v>0</v>
      </c>
      <c r="Q44" s="203">
        <f ca="1">IF($F45=-1,0,IF(Q$13&lt;=$M44,IF(ISERROR(MATCH(Q$13,OFFSET($M44,1,0,ROW($M$107)-ROW($M44)-1),0)),ROW($M$107)-ROW($M44)-1,MATCH(Q$13,OFFSET($M44,1,0,ROW($M$107)-ROW($M44)-1),0)-1),0))</f>
        <v>0</v>
      </c>
      <c r="R44" s="203">
        <f t="shared" ref="R44" ca="1" si="65">MIN(OFFSET(M44,0,1,,M44))</f>
        <v>2</v>
      </c>
      <c r="S44" s="204">
        <f ca="1">IF($F45=0,OFFSET(ORÇAMENTO!X$15,$F44,0),IF($F45&lt;&gt;-1,OFFSET(QCI!$O$13,$F45,0),""))</f>
        <v>3156.42</v>
      </c>
      <c r="T44" s="205" t="s">
        <v>266</v>
      </c>
      <c r="U44" s="198">
        <f ca="1">IF(AND($R44=2,ACOMPANHAMENTO="BM"),ROUND(U45,4),U46/$S44)</f>
        <v>0</v>
      </c>
      <c r="V44" s="198">
        <f ca="1">IF(AND($R44=2,ACOMPANHAMENTO="BM"),ROUND(V45,4),V46/$S44)</f>
        <v>0</v>
      </c>
      <c r="W44" s="198">
        <f ca="1">IF(AND($R44=2,ACOMPANHAMENTO="BM"),ROUND(W45,4),W46/$S44)</f>
        <v>0</v>
      </c>
      <c r="X44" s="198">
        <f ca="1">IF(AND($R44=2,ACOMPANHAMENTO="BM"),ROUND(X45,4),X46/$S44)</f>
        <v>0</v>
      </c>
      <c r="Y44" s="198">
        <f ca="1">IF(AND($R44=2,ACOMPANHAMENTO="BM"),ROUND(Y45,4),Y46/$S44)</f>
        <v>0.99999999999999989</v>
      </c>
      <c r="Z44" s="198">
        <f ca="1">IF(AND($R44=2,ACOMPANHAMENTO="BM"),ROUND(Z45,4),Z46/$S44)</f>
        <v>0</v>
      </c>
      <c r="AA44" s="198">
        <f ca="1">IF(AND($R44=2,ACOMPANHAMENTO="BM"),ROUND(AA45,4),AA46/$S44)</f>
        <v>0</v>
      </c>
      <c r="AB44" s="198">
        <f ca="1">IF(AND($R44=2,ACOMPANHAMENTO="BM"),ROUND(AB45,4),AB46/$S44)</f>
        <v>0</v>
      </c>
      <c r="AC44" s="198">
        <f ca="1">IF(AND($R44=2,ACOMPANHAMENTO="BM"),ROUND(AC45,4),AC46/$S44)</f>
        <v>0</v>
      </c>
      <c r="AD44" s="198">
        <f ca="1">IF(AND($R44=2,ACOMPANHAMENTO="BM"),ROUND(AD45,4),AD46/$S44)</f>
        <v>0</v>
      </c>
      <c r="AE44" s="198">
        <f ca="1">IF(AND($R44=2,ACOMPANHAMENTO="BM"),ROUND(AE45,4),AE46/$S44)</f>
        <v>0</v>
      </c>
      <c r="AF44" s="198">
        <f ca="1">IF(AND($R44=2,ACOMPANHAMENTO="BM"),ROUND(AF45,4),AF46/$S44)</f>
        <v>0</v>
      </c>
      <c r="AG44" s="198">
        <f ca="1">IF(AND($R44=2,ACOMPANHAMENTO="BM"),ROUND(AG45,4),AG46/$S44)</f>
        <v>0</v>
      </c>
      <c r="AH44" s="198">
        <f ca="1">IF(AND($R44=2,ACOMPANHAMENTO="BM"),ROUND(AH45,4),AH46/$S44)</f>
        <v>0</v>
      </c>
      <c r="AI44" s="198">
        <f ca="1">IF(AND($R44=2,ACOMPANHAMENTO="BM"),ROUND(AI45,4),AI46/$S44)</f>
        <v>0</v>
      </c>
      <c r="AJ44" s="198">
        <f ca="1">IF(AND($R44=2,ACOMPANHAMENTO="BM"),ROUND(AJ45,4),AJ46/$S44)</f>
        <v>0</v>
      </c>
      <c r="AK44" s="198">
        <f ca="1">IF(AND($R44=2,ACOMPANHAMENTO="BM"),ROUND(AK45,4),AK46/$S44)</f>
        <v>0</v>
      </c>
      <c r="AL44" s="198">
        <f ca="1">IF(AND($R44=2,ACOMPANHAMENTO="BM"),ROUND(AL45,4),AL46/$S44)</f>
        <v>0</v>
      </c>
      <c r="AM44" s="198">
        <f ca="1">IF(AND($R44=2,ACOMPANHAMENTO="BM"),ROUND(AM45,4),AM46/$S44)</f>
        <v>0</v>
      </c>
      <c r="AN44" s="198">
        <f ca="1">IF(AND($R44=2,ACOMPANHAMENTO="BM"),ROUND(AN45,4),AN46/$S44)</f>
        <v>0</v>
      </c>
      <c r="AO44" s="198">
        <f ca="1">IF(AND($R44=2,ACOMPANHAMENTO="BM"),ROUND(AO45,4),AO46/$S44)</f>
        <v>0</v>
      </c>
      <c r="AP44" s="198">
        <f ca="1">IF(AND($R44=2,ACOMPANHAMENTO="BM"),ROUND(AP45,4),AP46/$S44)</f>
        <v>0</v>
      </c>
      <c r="AQ44" s="198">
        <f ca="1">IF(AND($R44=2,ACOMPANHAMENTO="BM"),ROUND(AQ45,4),AQ46/$S44)</f>
        <v>0</v>
      </c>
      <c r="AR44" s="198">
        <f ca="1">IF(AND($R44=2,ACOMPANHAMENTO="BM"),ROUND(AR45,4),AR46/$S44)</f>
        <v>0</v>
      </c>
      <c r="AS44" s="577"/>
    </row>
    <row r="45" spans="1:45" ht="12.75" hidden="1" customHeight="1" x14ac:dyDescent="0.2">
      <c r="E45" s="645"/>
      <c r="F45" s="195">
        <f ca="1">IF(ISERROR(F44),IF(1+COUNTIF($M$13:OFFSET(M44,-1,0),1)&lt;=MAX(QCI!$D$13:$D$24),1+COUNTIF($M$13:OFFSET(M44,-1,0),1),-1),0)</f>
        <v>0</v>
      </c>
      <c r="G45" s="195" t="str">
        <f ca="1">IF(ACOMPANHAMENTO="BM",OFFSET(G45,-1,0),"")</f>
        <v/>
      </c>
      <c r="H45" s="206" t="str">
        <f ca="1">IF(OR(S44=0,S44=""),"vazia",IF(AND(OR(ACOMPANHAMENTO="PLE",$R44&lt;&gt;2),$F45=0),"calculada","--&gt;"))</f>
        <v>calculada</v>
      </c>
      <c r="I45" s="207"/>
      <c r="J45" s="208" t="str">
        <f t="shared" ref="J45" ca="1" si="66">IF(AND(H44&lt;&gt;0,ISNUMBER(H44)),"PREENCHA ESTA LINHA --&gt;","")</f>
        <v/>
      </c>
      <c r="K45" s="208"/>
      <c r="L45" s="208"/>
      <c r="M45" s="209"/>
      <c r="N45" s="209"/>
      <c r="O45" s="209"/>
      <c r="P45" s="209"/>
      <c r="Q45" s="209"/>
      <c r="R45" s="209"/>
      <c r="S45" s="210"/>
      <c r="T45" s="211"/>
      <c r="U45" s="645"/>
      <c r="V45" s="645"/>
      <c r="W45" s="645"/>
      <c r="X45" s="645"/>
      <c r="Y45" s="645"/>
      <c r="Z45" s="645"/>
      <c r="AA45" s="645"/>
      <c r="AB45" s="645"/>
      <c r="AC45" s="645"/>
      <c r="AD45" s="645"/>
      <c r="AE45" s="645"/>
      <c r="AF45" s="645"/>
      <c r="AG45" s="645"/>
      <c r="AH45" s="645"/>
      <c r="AI45" s="645"/>
      <c r="AJ45" s="645"/>
      <c r="AK45" s="645"/>
      <c r="AL45" s="645"/>
      <c r="AM45" s="645"/>
      <c r="AN45" s="645"/>
      <c r="AO45" s="645"/>
      <c r="AP45" s="645"/>
      <c r="AQ45" s="645"/>
      <c r="AR45" s="645"/>
      <c r="AS45" s="577"/>
    </row>
    <row r="46" spans="1:45" ht="12.75" hidden="1" customHeight="1" x14ac:dyDescent="0.2">
      <c r="D46" s="576"/>
      <c r="E46" s="212">
        <f ca="1">IF($R44=2,
         IF(AND(ACOMPANHAMENTO="PLE",ISNUMBER($F44)),
                SUMIF((OFFSET(CÁLCULO!$BC$15:$BU$15,$F44,0,OFFSET(ORÇAMENTO!$D$15,CRONO!$F44,0))),CRONO!E$12,OFFSET(CÁLCULO!$AJ$15:$BB$15,$F44,0,OFFSET(ORÇAMENTO!$D$15,CRONO!$F44,0)))
                +IF(AND($F46&lt;&gt;"",$F46&lt;&gt;0),
                        SUMIF(CÁLCULO!$BC$15:$BU$131,CRONO!E$12,CÁLCULO!$AJ$15:$BB$131)/(ORÇAMENTO!$X$15-CÁLCULO.TotalAdmLocal)*CRONO!$F46,
                        0),
                 E45*$S44),
          SUMIF(OFFSET($S46,1,0,$R44-2),($M44+1)&amp;"$",OFFSET(E46,1,0,$R44-2)))</f>
        <v>0</v>
      </c>
      <c r="F46" s="195" t="str">
        <f ca="1">IF(OR($R44&lt;&gt;2,AUTOEVENTO&lt;&gt;"manual",$F45&gt;0),"",
        IF(Import.TipoArredondamento="Tradicional",
              SUMIF(OFFSET(CÁLCULO!$M$15,CRONO!$F44,0,OFFSET(ORÇAMENTO!$D$15,CRONO!$F44,0)),1,OFFSET(ORÇAMENTO!$X$15,CRONO!$F44,0,OFFSET(ORÇAMENTO!$D$15,CRONO!$F44,0))),
              0))</f>
        <v/>
      </c>
      <c r="H46" s="213"/>
      <c r="S46" s="214" t="str">
        <f t="shared" ref="S46" ca="1" si="67">M44&amp;"$"</f>
        <v>2$</v>
      </c>
      <c r="T46" s="215"/>
      <c r="U46" s="212">
        <f ca="1">IF($R44=2,
         IF(AND(ACOMPANHAMENTO="PLE",ISNUMBER($F44)),
                SUMIF((OFFSET(CÁLCULO!$BC$15:$BU$15,$F44,0,OFFSET(ORÇAMENTO!$D$15,CRONO!$F44,0))),CRONO!U$12,OFFSET(CÁLCULO!$AJ$15:$BB$15,$F44,0,OFFSET(ORÇAMENTO!$D$15,CRONO!$F44,0)))
                +IF(AND($F46&lt;&gt;"",$F46&lt;&gt;0),
                        SUMIF(CÁLCULO!$BC$15:$BU$131,CRONO!U$12,CÁLCULO!$AJ$15:$BB$131)/(ORÇAMENTO!$X$15-CÁLCULO.TotalAdmLocal)*CRONO!$F46,
                        0),
                 U45*$S44),
          SUMIF(OFFSET($S46,1,0,$R44-2),($M44+1)&amp;"$",OFFSET(U46,1,0,$R44-2)))</f>
        <v>0</v>
      </c>
      <c r="V46" s="212">
        <f ca="1">IF($R44=2,
         IF(AND(ACOMPANHAMENTO="PLE",ISNUMBER($F44)),
                SUMIF((OFFSET(CÁLCULO!$BC$15:$BU$15,$F44,0,OFFSET(ORÇAMENTO!$D$15,CRONO!$F44,0))),CRONO!V$12,OFFSET(CÁLCULO!$AJ$15:$BB$15,$F44,0,OFFSET(ORÇAMENTO!$D$15,CRONO!$F44,0)))
                +IF(AND($F46&lt;&gt;"",$F46&lt;&gt;0),
                        SUMIF(CÁLCULO!$BC$15:$BU$131,CRONO!V$12,CÁLCULO!$AJ$15:$BB$131)/(ORÇAMENTO!$X$15-CÁLCULO.TotalAdmLocal)*CRONO!$F46,
                        0),
                 V45*$S44),
          SUMIF(OFFSET($S46,1,0,$R44-2),($M44+1)&amp;"$",OFFSET(V46,1,0,$R44-2)))</f>
        <v>0</v>
      </c>
      <c r="W46" s="212">
        <f ca="1">IF($R44=2,
         IF(AND(ACOMPANHAMENTO="PLE",ISNUMBER($F44)),
                SUMIF((OFFSET(CÁLCULO!$BC$15:$BU$15,$F44,0,OFFSET(ORÇAMENTO!$D$15,CRONO!$F44,0))),CRONO!W$12,OFFSET(CÁLCULO!$AJ$15:$BB$15,$F44,0,OFFSET(ORÇAMENTO!$D$15,CRONO!$F44,0)))
                +IF(AND($F46&lt;&gt;"",$F46&lt;&gt;0),
                        SUMIF(CÁLCULO!$BC$15:$BU$131,CRONO!W$12,CÁLCULO!$AJ$15:$BB$131)/(ORÇAMENTO!$X$15-CÁLCULO.TotalAdmLocal)*CRONO!$F46,
                        0),
                 W45*$S44),
          SUMIF(OFFSET($S46,1,0,$R44-2),($M44+1)&amp;"$",OFFSET(W46,1,0,$R44-2)))</f>
        <v>0</v>
      </c>
      <c r="X46" s="212">
        <f ca="1">IF($R44=2,
         IF(AND(ACOMPANHAMENTO="PLE",ISNUMBER($F44)),
                SUMIF((OFFSET(CÁLCULO!$BC$15:$BU$15,$F44,0,OFFSET(ORÇAMENTO!$D$15,CRONO!$F44,0))),CRONO!X$12,OFFSET(CÁLCULO!$AJ$15:$BB$15,$F44,0,OFFSET(ORÇAMENTO!$D$15,CRONO!$F44,0)))
                +IF(AND($F46&lt;&gt;"",$F46&lt;&gt;0),
                        SUMIF(CÁLCULO!$BC$15:$BU$131,CRONO!X$12,CÁLCULO!$AJ$15:$BB$131)/(ORÇAMENTO!$X$15-CÁLCULO.TotalAdmLocal)*CRONO!$F46,
                        0),
                 X45*$S44),
          SUMIF(OFFSET($S46,1,0,$R44-2),($M44+1)&amp;"$",OFFSET(X46,1,0,$R44-2)))</f>
        <v>0</v>
      </c>
      <c r="Y46" s="212">
        <f ca="1">IF($R44=2,
         IF(AND(ACOMPANHAMENTO="PLE",ISNUMBER($F44)),
                SUMIF((OFFSET(CÁLCULO!$BC$15:$BU$15,$F44,0,OFFSET(ORÇAMENTO!$D$15,CRONO!$F44,0))),CRONO!Y$12,OFFSET(CÁLCULO!$AJ$15:$BB$15,$F44,0,OFFSET(ORÇAMENTO!$D$15,CRONO!$F44,0)))
                +IF(AND($F46&lt;&gt;"",$F46&lt;&gt;0),
                        SUMIF(CÁLCULO!$BC$15:$BU$131,CRONO!Y$12,CÁLCULO!$AJ$15:$BB$131)/(ORÇAMENTO!$X$15-CÁLCULO.TotalAdmLocal)*CRONO!$F46,
                        0),
                 Y45*$S44),
          SUMIF(OFFSET($S46,1,0,$R44-2),($M44+1)&amp;"$",OFFSET(Y46,1,0,$R44-2)))</f>
        <v>3156.4199999999996</v>
      </c>
      <c r="Z46" s="212">
        <f ca="1">IF($R44=2,
         IF(AND(ACOMPANHAMENTO="PLE",ISNUMBER($F44)),
                SUMIF((OFFSET(CÁLCULO!$BC$15:$BU$15,$F44,0,OFFSET(ORÇAMENTO!$D$15,CRONO!$F44,0))),CRONO!Z$12,OFFSET(CÁLCULO!$AJ$15:$BB$15,$F44,0,OFFSET(ORÇAMENTO!$D$15,CRONO!$F44,0)))
                +IF(AND($F46&lt;&gt;"",$F46&lt;&gt;0),
                        SUMIF(CÁLCULO!$BC$15:$BU$131,CRONO!Z$12,CÁLCULO!$AJ$15:$BB$131)/(ORÇAMENTO!$X$15-CÁLCULO.TotalAdmLocal)*CRONO!$F46,
                        0),
                 Z45*$S44),
          SUMIF(OFFSET($S46,1,0,$R44-2),($M44+1)&amp;"$",OFFSET(Z46,1,0,$R44-2)))</f>
        <v>0</v>
      </c>
      <c r="AA46" s="212">
        <f ca="1">IF($R44=2,
         IF(AND(ACOMPANHAMENTO="PLE",ISNUMBER($F44)),
                SUMIF((OFFSET(CÁLCULO!$BC$15:$BU$15,$F44,0,OFFSET(ORÇAMENTO!$D$15,CRONO!$F44,0))),CRONO!AA$12,OFFSET(CÁLCULO!$AJ$15:$BB$15,$F44,0,OFFSET(ORÇAMENTO!$D$15,CRONO!$F44,0)))
                +IF(AND($F46&lt;&gt;"",$F46&lt;&gt;0),
                        SUMIF(CÁLCULO!$BC$15:$BU$131,CRONO!AA$12,CÁLCULO!$AJ$15:$BB$131)/(ORÇAMENTO!$X$15-CÁLCULO.TotalAdmLocal)*CRONO!$F46,
                        0),
                 AA45*$S44),
          SUMIF(OFFSET($S46,1,0,$R44-2),($M44+1)&amp;"$",OFFSET(AA46,1,0,$R44-2)))</f>
        <v>0</v>
      </c>
      <c r="AB46" s="212">
        <f ca="1">IF($R44=2,
         IF(AND(ACOMPANHAMENTO="PLE",ISNUMBER($F44)),
                SUMIF((OFFSET(CÁLCULO!$BC$15:$BU$15,$F44,0,OFFSET(ORÇAMENTO!$D$15,CRONO!$F44,0))),CRONO!AB$12,OFFSET(CÁLCULO!$AJ$15:$BB$15,$F44,0,OFFSET(ORÇAMENTO!$D$15,CRONO!$F44,0)))
                +IF(AND($F46&lt;&gt;"",$F46&lt;&gt;0),
                        SUMIF(CÁLCULO!$BC$15:$BU$131,CRONO!AB$12,CÁLCULO!$AJ$15:$BB$131)/(ORÇAMENTO!$X$15-CÁLCULO.TotalAdmLocal)*CRONO!$F46,
                        0),
                 AB45*$S44),
          SUMIF(OFFSET($S46,1,0,$R44-2),($M44+1)&amp;"$",OFFSET(AB46,1,0,$R44-2)))</f>
        <v>0</v>
      </c>
      <c r="AC46" s="212">
        <f ca="1">IF($R44=2,
         IF(AND(ACOMPANHAMENTO="PLE",ISNUMBER($F44)),
                SUMIF((OFFSET(CÁLCULO!$BC$15:$BU$15,$F44,0,OFFSET(ORÇAMENTO!$D$15,CRONO!$F44,0))),CRONO!AC$12,OFFSET(CÁLCULO!$AJ$15:$BB$15,$F44,0,OFFSET(ORÇAMENTO!$D$15,CRONO!$F44,0)))
                +IF(AND($F46&lt;&gt;"",$F46&lt;&gt;0),
                        SUMIF(CÁLCULO!$BC$15:$BU$131,CRONO!AC$12,CÁLCULO!$AJ$15:$BB$131)/(ORÇAMENTO!$X$15-CÁLCULO.TotalAdmLocal)*CRONO!$F46,
                        0),
                 AC45*$S44),
          SUMIF(OFFSET($S46,1,0,$R44-2),($M44+1)&amp;"$",OFFSET(AC46,1,0,$R44-2)))</f>
        <v>0</v>
      </c>
      <c r="AD46" s="212">
        <f ca="1">IF($R44=2,
         IF(AND(ACOMPANHAMENTO="PLE",ISNUMBER($F44)),
                SUMIF((OFFSET(CÁLCULO!$BC$15:$BU$15,$F44,0,OFFSET(ORÇAMENTO!$D$15,CRONO!$F44,0))),CRONO!AD$12,OFFSET(CÁLCULO!$AJ$15:$BB$15,$F44,0,OFFSET(ORÇAMENTO!$D$15,CRONO!$F44,0)))
                +IF(AND($F46&lt;&gt;"",$F46&lt;&gt;0),
                        SUMIF(CÁLCULO!$BC$15:$BU$131,CRONO!AD$12,CÁLCULO!$AJ$15:$BB$131)/(ORÇAMENTO!$X$15-CÁLCULO.TotalAdmLocal)*CRONO!$F46,
                        0),
                 AD45*$S44),
          SUMIF(OFFSET($S46,1,0,$R44-2),($M44+1)&amp;"$",OFFSET(AD46,1,0,$R44-2)))</f>
        <v>0</v>
      </c>
      <c r="AE46" s="212">
        <f ca="1">IF($R44=2,
         IF(AND(ACOMPANHAMENTO="PLE",ISNUMBER($F44)),
                SUMIF((OFFSET(CÁLCULO!$BC$15:$BU$15,$F44,0,OFFSET(ORÇAMENTO!$D$15,CRONO!$F44,0))),CRONO!AE$12,OFFSET(CÁLCULO!$AJ$15:$BB$15,$F44,0,OFFSET(ORÇAMENTO!$D$15,CRONO!$F44,0)))
                +IF(AND($F46&lt;&gt;"",$F46&lt;&gt;0),
                        SUMIF(CÁLCULO!$BC$15:$BU$131,CRONO!AE$12,CÁLCULO!$AJ$15:$BB$131)/(ORÇAMENTO!$X$15-CÁLCULO.TotalAdmLocal)*CRONO!$F46,
                        0),
                 AE45*$S44),
          SUMIF(OFFSET($S46,1,0,$R44-2),($M44+1)&amp;"$",OFFSET(AE46,1,0,$R44-2)))</f>
        <v>0</v>
      </c>
      <c r="AF46" s="212">
        <f ca="1">IF($R44=2,
         IF(AND(ACOMPANHAMENTO="PLE",ISNUMBER($F44)),
                SUMIF((OFFSET(CÁLCULO!$BC$15:$BU$15,$F44,0,OFFSET(ORÇAMENTO!$D$15,CRONO!$F44,0))),CRONO!AF$12,OFFSET(CÁLCULO!$AJ$15:$BB$15,$F44,0,OFFSET(ORÇAMENTO!$D$15,CRONO!$F44,0)))
                +IF(AND($F46&lt;&gt;"",$F46&lt;&gt;0),
                        SUMIF(CÁLCULO!$BC$15:$BU$131,CRONO!AF$12,CÁLCULO!$AJ$15:$BB$131)/(ORÇAMENTO!$X$15-CÁLCULO.TotalAdmLocal)*CRONO!$F46,
                        0),
                 AF45*$S44),
          SUMIF(OFFSET($S46,1,0,$R44-2),($M44+1)&amp;"$",OFFSET(AF46,1,0,$R44-2)))</f>
        <v>0</v>
      </c>
      <c r="AG46" s="212">
        <f ca="1">IF($R44=2,
         IF(AND(ACOMPANHAMENTO="PLE",ISNUMBER($F44)),
                SUMIF((OFFSET(CÁLCULO!$BC$15:$BU$15,$F44,0,OFFSET(ORÇAMENTO!$D$15,CRONO!$F44,0))),CRONO!AG$12,OFFSET(CÁLCULO!$AJ$15:$BB$15,$F44,0,OFFSET(ORÇAMENTO!$D$15,CRONO!$F44,0)))
                +IF(AND($F46&lt;&gt;"",$F46&lt;&gt;0),
                        SUMIF(CÁLCULO!$BC$15:$BU$131,CRONO!AG$12,CÁLCULO!$AJ$15:$BB$131)/(ORÇAMENTO!$X$15-CÁLCULO.TotalAdmLocal)*CRONO!$F46,
                        0),
                 AG45*$S44),
          SUMIF(OFFSET($S46,1,0,$R44-2),($M44+1)&amp;"$",OFFSET(AG46,1,0,$R44-2)))</f>
        <v>0</v>
      </c>
      <c r="AH46" s="212">
        <f ca="1">IF($R44=2,
         IF(AND(ACOMPANHAMENTO="PLE",ISNUMBER($F44)),
                SUMIF((OFFSET(CÁLCULO!$BC$15:$BU$15,$F44,0,OFFSET(ORÇAMENTO!$D$15,CRONO!$F44,0))),CRONO!AH$12,OFFSET(CÁLCULO!$AJ$15:$BB$15,$F44,0,OFFSET(ORÇAMENTO!$D$15,CRONO!$F44,0)))
                +IF(AND($F46&lt;&gt;"",$F46&lt;&gt;0),
                        SUMIF(CÁLCULO!$BC$15:$BU$131,CRONO!AH$12,CÁLCULO!$AJ$15:$BB$131)/(ORÇAMENTO!$X$15-CÁLCULO.TotalAdmLocal)*CRONO!$F46,
                        0),
                 AH45*$S44),
          SUMIF(OFFSET($S46,1,0,$R44-2),($M44+1)&amp;"$",OFFSET(AH46,1,0,$R44-2)))</f>
        <v>0</v>
      </c>
      <c r="AI46" s="212">
        <f ca="1">IF($R44=2,
         IF(AND(ACOMPANHAMENTO="PLE",ISNUMBER($F44)),
                SUMIF((OFFSET(CÁLCULO!$BC$15:$BU$15,$F44,0,OFFSET(ORÇAMENTO!$D$15,CRONO!$F44,0))),CRONO!AI$12,OFFSET(CÁLCULO!$AJ$15:$BB$15,$F44,0,OFFSET(ORÇAMENTO!$D$15,CRONO!$F44,0)))
                +IF(AND($F46&lt;&gt;"",$F46&lt;&gt;0),
                        SUMIF(CÁLCULO!$BC$15:$BU$131,CRONO!AI$12,CÁLCULO!$AJ$15:$BB$131)/(ORÇAMENTO!$X$15-CÁLCULO.TotalAdmLocal)*CRONO!$F46,
                        0),
                 AI45*$S44),
          SUMIF(OFFSET($S46,1,0,$R44-2),($M44+1)&amp;"$",OFFSET(AI46,1,0,$R44-2)))</f>
        <v>0</v>
      </c>
      <c r="AJ46" s="212">
        <f ca="1">IF($R44=2,
         IF(AND(ACOMPANHAMENTO="PLE",ISNUMBER($F44)),
                SUMIF((OFFSET(CÁLCULO!$BC$15:$BU$15,$F44,0,OFFSET(ORÇAMENTO!$D$15,CRONO!$F44,0))),CRONO!AJ$12,OFFSET(CÁLCULO!$AJ$15:$BB$15,$F44,0,OFFSET(ORÇAMENTO!$D$15,CRONO!$F44,0)))
                +IF(AND($F46&lt;&gt;"",$F46&lt;&gt;0),
                        SUMIF(CÁLCULO!$BC$15:$BU$131,CRONO!AJ$12,CÁLCULO!$AJ$15:$BB$131)/(ORÇAMENTO!$X$15-CÁLCULO.TotalAdmLocal)*CRONO!$F46,
                        0),
                 AJ45*$S44),
          SUMIF(OFFSET($S46,1,0,$R44-2),($M44+1)&amp;"$",OFFSET(AJ46,1,0,$R44-2)))</f>
        <v>0</v>
      </c>
      <c r="AK46" s="212">
        <f ca="1">IF($R44=2,
         IF(AND(ACOMPANHAMENTO="PLE",ISNUMBER($F44)),
                SUMIF((OFFSET(CÁLCULO!$BC$15:$BU$15,$F44,0,OFFSET(ORÇAMENTO!$D$15,CRONO!$F44,0))),CRONO!AK$12,OFFSET(CÁLCULO!$AJ$15:$BB$15,$F44,0,OFFSET(ORÇAMENTO!$D$15,CRONO!$F44,0)))
                +IF(AND($F46&lt;&gt;"",$F46&lt;&gt;0),
                        SUMIF(CÁLCULO!$BC$15:$BU$131,CRONO!AK$12,CÁLCULO!$AJ$15:$BB$131)/(ORÇAMENTO!$X$15-CÁLCULO.TotalAdmLocal)*CRONO!$F46,
                        0),
                 AK45*$S44),
          SUMIF(OFFSET($S46,1,0,$R44-2),($M44+1)&amp;"$",OFFSET(AK46,1,0,$R44-2)))</f>
        <v>0</v>
      </c>
      <c r="AL46" s="212">
        <f ca="1">IF($R44=2,
         IF(AND(ACOMPANHAMENTO="PLE",ISNUMBER($F44)),
                SUMIF((OFFSET(CÁLCULO!$BC$15:$BU$15,$F44,0,OFFSET(ORÇAMENTO!$D$15,CRONO!$F44,0))),CRONO!AL$12,OFFSET(CÁLCULO!$AJ$15:$BB$15,$F44,0,OFFSET(ORÇAMENTO!$D$15,CRONO!$F44,0)))
                +IF(AND($F46&lt;&gt;"",$F46&lt;&gt;0),
                        SUMIF(CÁLCULO!$BC$15:$BU$131,CRONO!AL$12,CÁLCULO!$AJ$15:$BB$131)/(ORÇAMENTO!$X$15-CÁLCULO.TotalAdmLocal)*CRONO!$F46,
                        0),
                 AL45*$S44),
          SUMIF(OFFSET($S46,1,0,$R44-2),($M44+1)&amp;"$",OFFSET(AL46,1,0,$R44-2)))</f>
        <v>0</v>
      </c>
      <c r="AM46" s="212">
        <f ca="1">IF($R44=2,
         IF(AND(ACOMPANHAMENTO="PLE",ISNUMBER($F44)),
                SUMIF((OFFSET(CÁLCULO!$BC$15:$BU$15,$F44,0,OFFSET(ORÇAMENTO!$D$15,CRONO!$F44,0))),CRONO!AM$12,OFFSET(CÁLCULO!$AJ$15:$BB$15,$F44,0,OFFSET(ORÇAMENTO!$D$15,CRONO!$F44,0)))
                +IF(AND($F46&lt;&gt;"",$F46&lt;&gt;0),
                        SUMIF(CÁLCULO!$BC$15:$BU$131,CRONO!AM$12,CÁLCULO!$AJ$15:$BB$131)/(ORÇAMENTO!$X$15-CÁLCULO.TotalAdmLocal)*CRONO!$F46,
                        0),
                 AM45*$S44),
          SUMIF(OFFSET($S46,1,0,$R44-2),($M44+1)&amp;"$",OFFSET(AM46,1,0,$R44-2)))</f>
        <v>0</v>
      </c>
      <c r="AN46" s="212">
        <f ca="1">IF($R44=2,
         IF(AND(ACOMPANHAMENTO="PLE",ISNUMBER($F44)),
                SUMIF((OFFSET(CÁLCULO!$BC$15:$BU$15,$F44,0,OFFSET(ORÇAMENTO!$D$15,CRONO!$F44,0))),CRONO!AN$12,OFFSET(CÁLCULO!$AJ$15:$BB$15,$F44,0,OFFSET(ORÇAMENTO!$D$15,CRONO!$F44,0)))
                +IF(AND($F46&lt;&gt;"",$F46&lt;&gt;0),
                        SUMIF(CÁLCULO!$BC$15:$BU$131,CRONO!AN$12,CÁLCULO!$AJ$15:$BB$131)/(ORÇAMENTO!$X$15-CÁLCULO.TotalAdmLocal)*CRONO!$F46,
                        0),
                 AN45*$S44),
          SUMIF(OFFSET($S46,1,0,$R44-2),($M44+1)&amp;"$",OFFSET(AN46,1,0,$R44-2)))</f>
        <v>0</v>
      </c>
      <c r="AO46" s="212">
        <f ca="1">IF($R44=2,
         IF(AND(ACOMPANHAMENTO="PLE",ISNUMBER($F44)),
                SUMIF((OFFSET(CÁLCULO!$BC$15:$BU$15,$F44,0,OFFSET(ORÇAMENTO!$D$15,CRONO!$F44,0))),CRONO!AO$12,OFFSET(CÁLCULO!$AJ$15:$BB$15,$F44,0,OFFSET(ORÇAMENTO!$D$15,CRONO!$F44,0)))
                +IF(AND($F46&lt;&gt;"",$F46&lt;&gt;0),
                        SUMIF(CÁLCULO!$BC$15:$BU$131,CRONO!AO$12,CÁLCULO!$AJ$15:$BB$131)/(ORÇAMENTO!$X$15-CÁLCULO.TotalAdmLocal)*CRONO!$F46,
                        0),
                 AO45*$S44),
          SUMIF(OFFSET($S46,1,0,$R44-2),($M44+1)&amp;"$",OFFSET(AO46,1,0,$R44-2)))</f>
        <v>0</v>
      </c>
      <c r="AP46" s="212">
        <f ca="1">IF($R44=2,
         IF(AND(ACOMPANHAMENTO="PLE",ISNUMBER($F44)),
                SUMIF((OFFSET(CÁLCULO!$BC$15:$BU$15,$F44,0,OFFSET(ORÇAMENTO!$D$15,CRONO!$F44,0))),CRONO!AP$12,OFFSET(CÁLCULO!$AJ$15:$BB$15,$F44,0,OFFSET(ORÇAMENTO!$D$15,CRONO!$F44,0)))
                +IF(AND($F46&lt;&gt;"",$F46&lt;&gt;0),
                        SUMIF(CÁLCULO!$BC$15:$BU$131,CRONO!AP$12,CÁLCULO!$AJ$15:$BB$131)/(ORÇAMENTO!$X$15-CÁLCULO.TotalAdmLocal)*CRONO!$F46,
                        0),
                 AP45*$S44),
          SUMIF(OFFSET($S46,1,0,$R44-2),($M44+1)&amp;"$",OFFSET(AP46,1,0,$R44-2)))</f>
        <v>0</v>
      </c>
      <c r="AQ46" s="212">
        <f ca="1">IF($R44=2,
         IF(AND(ACOMPANHAMENTO="PLE",ISNUMBER($F44)),
                SUMIF((OFFSET(CÁLCULO!$BC$15:$BU$15,$F44,0,OFFSET(ORÇAMENTO!$D$15,CRONO!$F44,0))),CRONO!AQ$12,OFFSET(CÁLCULO!$AJ$15:$BB$15,$F44,0,OFFSET(ORÇAMENTO!$D$15,CRONO!$F44,0)))
                +IF(AND($F46&lt;&gt;"",$F46&lt;&gt;0),
                        SUMIF(CÁLCULO!$BC$15:$BU$131,CRONO!AQ$12,CÁLCULO!$AJ$15:$BB$131)/(ORÇAMENTO!$X$15-CÁLCULO.TotalAdmLocal)*CRONO!$F46,
                        0),
                 AQ45*$S44),
          SUMIF(OFFSET($S46,1,0,$R44-2),($M44+1)&amp;"$",OFFSET(AQ46,1,0,$R44-2)))</f>
        <v>0</v>
      </c>
      <c r="AR46" s="212">
        <f ca="1">IF($R44=2,
         IF(AND(ACOMPANHAMENTO="PLE",ISNUMBER($F44)),
                SUMIF((OFFSET(CÁLCULO!$BC$15:$BU$15,$F44,0,OFFSET(ORÇAMENTO!$D$15,CRONO!$F44,0))),CRONO!AR$12,OFFSET(CÁLCULO!$AJ$15:$BB$15,$F44,0,OFFSET(ORÇAMENTO!$D$15,CRONO!$F44,0)))
                +IF(AND($F46&lt;&gt;"",$F46&lt;&gt;0),
                        SUMIF(CÁLCULO!$BC$15:$BU$131,CRONO!AR$12,CÁLCULO!$AJ$15:$BB$131)/(ORÇAMENTO!$X$15-CÁLCULO.TotalAdmLocal)*CRONO!$F46,
                        0),
                 AR45*$S44),
          SUMIF(OFFSET($S46,1,0,$R44-2),($M44+1)&amp;"$",OFFSET(AR46,1,0,$R44-2)))</f>
        <v>0</v>
      </c>
      <c r="AS46" s="577"/>
    </row>
    <row r="47" spans="1:45" x14ac:dyDescent="0.2">
      <c r="A47" s="196" t="str">
        <f t="shared" ref="A47" ca="1" si="68">IF($M47&gt;1,CONCATENATE($I47," ",$J47),"")</f>
        <v>1.11. ACESSIBILIDADE</v>
      </c>
      <c r="B47" s="195">
        <f t="shared" ref="B47" ca="1" si="69">OFFSET(B47,-3,0)+1</f>
        <v>12</v>
      </c>
      <c r="C47" s="195">
        <f ca="1">IF($R47&lt;&gt;2,0,IF($S47=0,1,IF(F48&gt;0,OFFSET(QCI!$M$13,SUBSTITUTE(F48,".",""),0),OFFSET(ORÇAMENTO!$AA$15,CRONO!$F47,0))/$S47))</f>
        <v>0.99999999999999978</v>
      </c>
      <c r="D47" s="195">
        <f ca="1">IF($R47&lt;&gt;2,0,IF($S47=0,1,IF(F48&gt;0,OFFSET(QCI!$N$13,SUBSTITUTE(F48,".",""),0),OFFSET(ORÇAMENTO!$AB$15,CRONO!$F47,0))/$S47))</f>
        <v>0</v>
      </c>
      <c r="E47" s="198">
        <f ca="1">IF(AND($R47=2,ACOMPANHAMENTO="BM"),ROUND(E48,4),E49/$S47)</f>
        <v>0</v>
      </c>
      <c r="F47" s="195">
        <f ca="1">IF(B47&lt;=ORÇAMENTO.MáximoListaCrono,MATCH(B47,ORÇAMENTO.ListaCrono,0),NA())</f>
        <v>68</v>
      </c>
      <c r="G47" s="195" t="str">
        <f t="shared" ref="G47" ca="1" si="70">IF(AND($F48&lt;&gt;-1,$S47&gt;0),"F","")</f>
        <v>F</v>
      </c>
      <c r="H47" s="199" t="str">
        <f ca="1">IF(OR(S47=0,S47=""),"Linha",IF(AND(OR(ACOMPANHAMENTO="PLE",$R47&lt;&gt;2),$F48=0),"Linha",ROUND(1-SUM(U47:AS47),4)))</f>
        <v>Linha</v>
      </c>
      <c r="I47" s="200" t="str">
        <f ca="1">IF($F48=0,OFFSET(ORÇAMENTO!O$15,$F47,0),IF($F48&lt;&gt;-1,OFFSET(QCI!$D$13,$F48,0),""))</f>
        <v>1.11.</v>
      </c>
      <c r="J47" s="201" t="str">
        <f ca="1">IF($F48=0,OFFSET(ORÇAMENTO!R$15,$F47,0),IF($F48&lt;&gt;-1,OFFSET(QCI!$G$13,$F48,0),""))</f>
        <v>ACESSIBILIDADE</v>
      </c>
      <c r="K47" s="201"/>
      <c r="L47" s="201"/>
      <c r="M47" s="202">
        <f ca="1">IF($F48=0,OFFSET(ORÇAMENTO!C$15,$F47,0),1)</f>
        <v>2</v>
      </c>
      <c r="N47" s="203">
        <f ca="1">IF($F48=-1,0,IF(N$13&lt;=$M47,IF(ISERROR(MATCH(N$13,OFFSET($M47,1,0,ROW($M$107)-ROW($M47)-1),0)),ROW($M$107)-ROW($M47)-1,MATCH(N$13,OFFSET($M47,1,0,ROW($M$107)-ROW($M47)-1),0)-1),0))</f>
        <v>8</v>
      </c>
      <c r="O47" s="203">
        <f ca="1">IF($F48=-1,0,IF(O$13&lt;=$M47,IF(ISERROR(MATCH(O$13,OFFSET($M47,1,0,ROW($M$107)-ROW($M47)-1),0)),ROW($M$107)-ROW($M47)-1,MATCH(O$13,OFFSET($M47,1,0,ROW($M$107)-ROW($M47)-1),0)-1),0))</f>
        <v>2</v>
      </c>
      <c r="P47" s="203">
        <f ca="1">IF($F48=-1,0,IF(P$13&lt;=$M47,IF(ISERROR(MATCH(P$13,OFFSET($M47,1,0,ROW($M$107)-ROW($M47)-1),0)),ROW($M$107)-ROW($M47)-1,MATCH(P$13,OFFSET($M47,1,0,ROW($M$107)-ROW($M47)-1),0)-1),0))</f>
        <v>0</v>
      </c>
      <c r="Q47" s="203">
        <f ca="1">IF($F48=-1,0,IF(Q$13&lt;=$M47,IF(ISERROR(MATCH(Q$13,OFFSET($M47,1,0,ROW($M$107)-ROW($M47)-1),0)),ROW($M$107)-ROW($M47)-1,MATCH(Q$13,OFFSET($M47,1,0,ROW($M$107)-ROW($M47)-1),0)-1),0))</f>
        <v>0</v>
      </c>
      <c r="R47" s="203">
        <f t="shared" ref="R47" ca="1" si="71">MIN(OFFSET(M47,0,1,,M47))</f>
        <v>2</v>
      </c>
      <c r="S47" s="204">
        <f ca="1">IF($F48=0,OFFSET(ORÇAMENTO!X$15,$F47,0),IF($F48&lt;&gt;-1,OFFSET(QCI!$O$13,$F48,0),""))</f>
        <v>18899.990000000002</v>
      </c>
      <c r="T47" s="205" t="s">
        <v>266</v>
      </c>
      <c r="U47" s="198">
        <f ca="1">IF(AND($R47=2,ACOMPANHAMENTO="BM"),ROUND(U48,4),U49/$S47)</f>
        <v>0</v>
      </c>
      <c r="V47" s="198">
        <f ca="1">IF(AND($R47=2,ACOMPANHAMENTO="BM"),ROUND(V48,4),V49/$S47)</f>
        <v>0</v>
      </c>
      <c r="W47" s="198">
        <f ca="1">IF(AND($R47=2,ACOMPANHAMENTO="BM"),ROUND(W48,4),W49/$S47)</f>
        <v>0</v>
      </c>
      <c r="X47" s="198">
        <f ca="1">IF(AND($R47=2,ACOMPANHAMENTO="BM"),ROUND(X48,4),X49/$S47)</f>
        <v>0</v>
      </c>
      <c r="Y47" s="198">
        <f ca="1">IF(AND($R47=2,ACOMPANHAMENTO="BM"),ROUND(Y48,4),Y49/$S47)</f>
        <v>0.99999999999999978</v>
      </c>
      <c r="Z47" s="198">
        <f ca="1">IF(AND($R47=2,ACOMPANHAMENTO="BM"),ROUND(Z48,4),Z49/$S47)</f>
        <v>0</v>
      </c>
      <c r="AA47" s="198">
        <f ca="1">IF(AND($R47=2,ACOMPANHAMENTO="BM"),ROUND(AA48,4),AA49/$S47)</f>
        <v>0</v>
      </c>
      <c r="AB47" s="198">
        <f ca="1">IF(AND($R47=2,ACOMPANHAMENTO="BM"),ROUND(AB48,4),AB49/$S47)</f>
        <v>0</v>
      </c>
      <c r="AC47" s="198">
        <f ca="1">IF(AND($R47=2,ACOMPANHAMENTO="BM"),ROUND(AC48,4),AC49/$S47)</f>
        <v>0</v>
      </c>
      <c r="AD47" s="198">
        <f ca="1">IF(AND($R47=2,ACOMPANHAMENTO="BM"),ROUND(AD48,4),AD49/$S47)</f>
        <v>0</v>
      </c>
      <c r="AE47" s="198">
        <f ca="1">IF(AND($R47=2,ACOMPANHAMENTO="BM"),ROUND(AE48,4),AE49/$S47)</f>
        <v>0</v>
      </c>
      <c r="AF47" s="198">
        <f ca="1">IF(AND($R47=2,ACOMPANHAMENTO="BM"),ROUND(AF48,4),AF49/$S47)</f>
        <v>0</v>
      </c>
      <c r="AG47" s="198">
        <f ca="1">IF(AND($R47=2,ACOMPANHAMENTO="BM"),ROUND(AG48,4),AG49/$S47)</f>
        <v>0</v>
      </c>
      <c r="AH47" s="198">
        <f ca="1">IF(AND($R47=2,ACOMPANHAMENTO="BM"),ROUND(AH48,4),AH49/$S47)</f>
        <v>0</v>
      </c>
      <c r="AI47" s="198">
        <f ca="1">IF(AND($R47=2,ACOMPANHAMENTO="BM"),ROUND(AI48,4),AI49/$S47)</f>
        <v>0</v>
      </c>
      <c r="AJ47" s="198">
        <f ca="1">IF(AND($R47=2,ACOMPANHAMENTO="BM"),ROUND(AJ48,4),AJ49/$S47)</f>
        <v>0</v>
      </c>
      <c r="AK47" s="198">
        <f ca="1">IF(AND($R47=2,ACOMPANHAMENTO="BM"),ROUND(AK48,4),AK49/$S47)</f>
        <v>0</v>
      </c>
      <c r="AL47" s="198">
        <f ca="1">IF(AND($R47=2,ACOMPANHAMENTO="BM"),ROUND(AL48,4),AL49/$S47)</f>
        <v>0</v>
      </c>
      <c r="AM47" s="198">
        <f ca="1">IF(AND($R47=2,ACOMPANHAMENTO="BM"),ROUND(AM48,4),AM49/$S47)</f>
        <v>0</v>
      </c>
      <c r="AN47" s="198">
        <f ca="1">IF(AND($R47=2,ACOMPANHAMENTO="BM"),ROUND(AN48,4),AN49/$S47)</f>
        <v>0</v>
      </c>
      <c r="AO47" s="198">
        <f ca="1">IF(AND($R47=2,ACOMPANHAMENTO="BM"),ROUND(AO48,4),AO49/$S47)</f>
        <v>0</v>
      </c>
      <c r="AP47" s="198">
        <f ca="1">IF(AND($R47=2,ACOMPANHAMENTO="BM"),ROUND(AP48,4),AP49/$S47)</f>
        <v>0</v>
      </c>
      <c r="AQ47" s="198">
        <f ca="1">IF(AND($R47=2,ACOMPANHAMENTO="BM"),ROUND(AQ48,4),AQ49/$S47)</f>
        <v>0</v>
      </c>
      <c r="AR47" s="198">
        <f ca="1">IF(AND($R47=2,ACOMPANHAMENTO="BM"),ROUND(AR48,4),AR49/$S47)</f>
        <v>0</v>
      </c>
      <c r="AS47" s="577"/>
    </row>
    <row r="48" spans="1:45" ht="12.75" hidden="1" customHeight="1" x14ac:dyDescent="0.2">
      <c r="E48" s="645"/>
      <c r="F48" s="195">
        <f ca="1">IF(ISERROR(F47),IF(1+COUNTIF($M$13:OFFSET(M47,-1,0),1)&lt;=MAX(QCI!$D$13:$D$24),1+COUNTIF($M$13:OFFSET(M47,-1,0),1),-1),0)</f>
        <v>0</v>
      </c>
      <c r="G48" s="195" t="str">
        <f ca="1">IF(ACOMPANHAMENTO="BM",OFFSET(G48,-1,0),"")</f>
        <v/>
      </c>
      <c r="H48" s="206" t="str">
        <f ca="1">IF(OR(S47=0,S47=""),"vazia",IF(AND(OR(ACOMPANHAMENTO="PLE",$R47&lt;&gt;2),$F48=0),"calculada","--&gt;"))</f>
        <v>calculada</v>
      </c>
      <c r="I48" s="207"/>
      <c r="J48" s="208" t="str">
        <f t="shared" ref="J48" ca="1" si="72">IF(AND(H47&lt;&gt;0,ISNUMBER(H47)),"PREENCHA ESTA LINHA --&gt;","")</f>
        <v/>
      </c>
      <c r="K48" s="208"/>
      <c r="L48" s="208"/>
      <c r="M48" s="209"/>
      <c r="N48" s="209"/>
      <c r="O48" s="209"/>
      <c r="P48" s="209"/>
      <c r="Q48" s="209"/>
      <c r="R48" s="209"/>
      <c r="S48" s="210"/>
      <c r="T48" s="211"/>
      <c r="U48" s="645"/>
      <c r="V48" s="645"/>
      <c r="W48" s="645"/>
      <c r="X48" s="645"/>
      <c r="Y48" s="645"/>
      <c r="Z48" s="645"/>
      <c r="AA48" s="645"/>
      <c r="AB48" s="645"/>
      <c r="AC48" s="645"/>
      <c r="AD48" s="645"/>
      <c r="AE48" s="645"/>
      <c r="AF48" s="645"/>
      <c r="AG48" s="645"/>
      <c r="AH48" s="645"/>
      <c r="AI48" s="645"/>
      <c r="AJ48" s="645"/>
      <c r="AK48" s="645"/>
      <c r="AL48" s="645"/>
      <c r="AM48" s="645"/>
      <c r="AN48" s="645"/>
      <c r="AO48" s="645"/>
      <c r="AP48" s="645"/>
      <c r="AQ48" s="645"/>
      <c r="AR48" s="645"/>
      <c r="AS48" s="577"/>
    </row>
    <row r="49" spans="1:45" ht="12.75" hidden="1" customHeight="1" x14ac:dyDescent="0.2">
      <c r="D49" s="576"/>
      <c r="E49" s="212">
        <f ca="1">IF($R47=2,
         IF(AND(ACOMPANHAMENTO="PLE",ISNUMBER($F47)),
                SUMIF((OFFSET(CÁLCULO!$BC$15:$BU$15,$F47,0,OFFSET(ORÇAMENTO!$D$15,CRONO!$F47,0))),CRONO!E$12,OFFSET(CÁLCULO!$AJ$15:$BB$15,$F47,0,OFFSET(ORÇAMENTO!$D$15,CRONO!$F47,0)))
                +IF(AND($F49&lt;&gt;"",$F49&lt;&gt;0),
                        SUMIF(CÁLCULO!$BC$15:$BU$131,CRONO!E$12,CÁLCULO!$AJ$15:$BB$131)/(ORÇAMENTO!$X$15-CÁLCULO.TotalAdmLocal)*CRONO!$F49,
                        0),
                 E48*$S47),
          SUMIF(OFFSET($S49,1,0,$R47-2),($M47+1)&amp;"$",OFFSET(E49,1,0,$R47-2)))</f>
        <v>0</v>
      </c>
      <c r="F49" s="195" t="str">
        <f ca="1">IF(OR($R47&lt;&gt;2,AUTOEVENTO&lt;&gt;"manual",$F48&gt;0),"",
        IF(Import.TipoArredondamento="Tradicional",
              SUMIF(OFFSET(CÁLCULO!$M$15,CRONO!$F47,0,OFFSET(ORÇAMENTO!$D$15,CRONO!$F47,0)),1,OFFSET(ORÇAMENTO!$X$15,CRONO!$F47,0,OFFSET(ORÇAMENTO!$D$15,CRONO!$F47,0))),
              0))</f>
        <v/>
      </c>
      <c r="H49" s="213"/>
      <c r="S49" s="214" t="str">
        <f t="shared" ref="S49" ca="1" si="73">M47&amp;"$"</f>
        <v>2$</v>
      </c>
      <c r="T49" s="215"/>
      <c r="U49" s="212">
        <f ca="1">IF($R47=2,
         IF(AND(ACOMPANHAMENTO="PLE",ISNUMBER($F47)),
                SUMIF((OFFSET(CÁLCULO!$BC$15:$BU$15,$F47,0,OFFSET(ORÇAMENTO!$D$15,CRONO!$F47,0))),CRONO!U$12,OFFSET(CÁLCULO!$AJ$15:$BB$15,$F47,0,OFFSET(ORÇAMENTO!$D$15,CRONO!$F47,0)))
                +IF(AND($F49&lt;&gt;"",$F49&lt;&gt;0),
                        SUMIF(CÁLCULO!$BC$15:$BU$131,CRONO!U$12,CÁLCULO!$AJ$15:$BB$131)/(ORÇAMENTO!$X$15-CÁLCULO.TotalAdmLocal)*CRONO!$F49,
                        0),
                 U48*$S47),
          SUMIF(OFFSET($S49,1,0,$R47-2),($M47+1)&amp;"$",OFFSET(U49,1,0,$R47-2)))</f>
        <v>0</v>
      </c>
      <c r="V49" s="212">
        <f ca="1">IF($R47=2,
         IF(AND(ACOMPANHAMENTO="PLE",ISNUMBER($F47)),
                SUMIF((OFFSET(CÁLCULO!$BC$15:$BU$15,$F47,0,OFFSET(ORÇAMENTO!$D$15,CRONO!$F47,0))),CRONO!V$12,OFFSET(CÁLCULO!$AJ$15:$BB$15,$F47,0,OFFSET(ORÇAMENTO!$D$15,CRONO!$F47,0)))
                +IF(AND($F49&lt;&gt;"",$F49&lt;&gt;0),
                        SUMIF(CÁLCULO!$BC$15:$BU$131,CRONO!V$12,CÁLCULO!$AJ$15:$BB$131)/(ORÇAMENTO!$X$15-CÁLCULO.TotalAdmLocal)*CRONO!$F49,
                        0),
                 V48*$S47),
          SUMIF(OFFSET($S49,1,0,$R47-2),($M47+1)&amp;"$",OFFSET(V49,1,0,$R47-2)))</f>
        <v>0</v>
      </c>
      <c r="W49" s="212">
        <f ca="1">IF($R47=2,
         IF(AND(ACOMPANHAMENTO="PLE",ISNUMBER($F47)),
                SUMIF((OFFSET(CÁLCULO!$BC$15:$BU$15,$F47,0,OFFSET(ORÇAMENTO!$D$15,CRONO!$F47,0))),CRONO!W$12,OFFSET(CÁLCULO!$AJ$15:$BB$15,$F47,0,OFFSET(ORÇAMENTO!$D$15,CRONO!$F47,0)))
                +IF(AND($F49&lt;&gt;"",$F49&lt;&gt;0),
                        SUMIF(CÁLCULO!$BC$15:$BU$131,CRONO!W$12,CÁLCULO!$AJ$15:$BB$131)/(ORÇAMENTO!$X$15-CÁLCULO.TotalAdmLocal)*CRONO!$F49,
                        0),
                 W48*$S47),
          SUMIF(OFFSET($S49,1,0,$R47-2),($M47+1)&amp;"$",OFFSET(W49,1,0,$R47-2)))</f>
        <v>0</v>
      </c>
      <c r="X49" s="212">
        <f ca="1">IF($R47=2,
         IF(AND(ACOMPANHAMENTO="PLE",ISNUMBER($F47)),
                SUMIF((OFFSET(CÁLCULO!$BC$15:$BU$15,$F47,0,OFFSET(ORÇAMENTO!$D$15,CRONO!$F47,0))),CRONO!X$12,OFFSET(CÁLCULO!$AJ$15:$BB$15,$F47,0,OFFSET(ORÇAMENTO!$D$15,CRONO!$F47,0)))
                +IF(AND($F49&lt;&gt;"",$F49&lt;&gt;0),
                        SUMIF(CÁLCULO!$BC$15:$BU$131,CRONO!X$12,CÁLCULO!$AJ$15:$BB$131)/(ORÇAMENTO!$X$15-CÁLCULO.TotalAdmLocal)*CRONO!$F49,
                        0),
                 X48*$S47),
          SUMIF(OFFSET($S49,1,0,$R47-2),($M47+1)&amp;"$",OFFSET(X49,1,0,$R47-2)))</f>
        <v>0</v>
      </c>
      <c r="Y49" s="212">
        <f ca="1">IF($R47=2,
         IF(AND(ACOMPANHAMENTO="PLE",ISNUMBER($F47)),
                SUMIF((OFFSET(CÁLCULO!$BC$15:$BU$15,$F47,0,OFFSET(ORÇAMENTO!$D$15,CRONO!$F47,0))),CRONO!Y$12,OFFSET(CÁLCULO!$AJ$15:$BB$15,$F47,0,OFFSET(ORÇAMENTO!$D$15,CRONO!$F47,0)))
                +IF(AND($F49&lt;&gt;"",$F49&lt;&gt;0),
                        SUMIF(CÁLCULO!$BC$15:$BU$131,CRONO!Y$12,CÁLCULO!$AJ$15:$BB$131)/(ORÇAMENTO!$X$15-CÁLCULO.TotalAdmLocal)*CRONO!$F49,
                        0),
                 Y48*$S47),
          SUMIF(OFFSET($S49,1,0,$R47-2),($M47+1)&amp;"$",OFFSET(Y49,1,0,$R47-2)))</f>
        <v>18899.989999999998</v>
      </c>
      <c r="Z49" s="212">
        <f ca="1">IF($R47=2,
         IF(AND(ACOMPANHAMENTO="PLE",ISNUMBER($F47)),
                SUMIF((OFFSET(CÁLCULO!$BC$15:$BU$15,$F47,0,OFFSET(ORÇAMENTO!$D$15,CRONO!$F47,0))),CRONO!Z$12,OFFSET(CÁLCULO!$AJ$15:$BB$15,$F47,0,OFFSET(ORÇAMENTO!$D$15,CRONO!$F47,0)))
                +IF(AND($F49&lt;&gt;"",$F49&lt;&gt;0),
                        SUMIF(CÁLCULO!$BC$15:$BU$131,CRONO!Z$12,CÁLCULO!$AJ$15:$BB$131)/(ORÇAMENTO!$X$15-CÁLCULO.TotalAdmLocal)*CRONO!$F49,
                        0),
                 Z48*$S47),
          SUMIF(OFFSET($S49,1,0,$R47-2),($M47+1)&amp;"$",OFFSET(Z49,1,0,$R47-2)))</f>
        <v>0</v>
      </c>
      <c r="AA49" s="212">
        <f ca="1">IF($R47=2,
         IF(AND(ACOMPANHAMENTO="PLE",ISNUMBER($F47)),
                SUMIF((OFFSET(CÁLCULO!$BC$15:$BU$15,$F47,0,OFFSET(ORÇAMENTO!$D$15,CRONO!$F47,0))),CRONO!AA$12,OFFSET(CÁLCULO!$AJ$15:$BB$15,$F47,0,OFFSET(ORÇAMENTO!$D$15,CRONO!$F47,0)))
                +IF(AND($F49&lt;&gt;"",$F49&lt;&gt;0),
                        SUMIF(CÁLCULO!$BC$15:$BU$131,CRONO!AA$12,CÁLCULO!$AJ$15:$BB$131)/(ORÇAMENTO!$X$15-CÁLCULO.TotalAdmLocal)*CRONO!$F49,
                        0),
                 AA48*$S47),
          SUMIF(OFFSET($S49,1,0,$R47-2),($M47+1)&amp;"$",OFFSET(AA49,1,0,$R47-2)))</f>
        <v>0</v>
      </c>
      <c r="AB49" s="212">
        <f ca="1">IF($R47=2,
         IF(AND(ACOMPANHAMENTO="PLE",ISNUMBER($F47)),
                SUMIF((OFFSET(CÁLCULO!$BC$15:$BU$15,$F47,0,OFFSET(ORÇAMENTO!$D$15,CRONO!$F47,0))),CRONO!AB$12,OFFSET(CÁLCULO!$AJ$15:$BB$15,$F47,0,OFFSET(ORÇAMENTO!$D$15,CRONO!$F47,0)))
                +IF(AND($F49&lt;&gt;"",$F49&lt;&gt;0),
                        SUMIF(CÁLCULO!$BC$15:$BU$131,CRONO!AB$12,CÁLCULO!$AJ$15:$BB$131)/(ORÇAMENTO!$X$15-CÁLCULO.TotalAdmLocal)*CRONO!$F49,
                        0),
                 AB48*$S47),
          SUMIF(OFFSET($S49,1,0,$R47-2),($M47+1)&amp;"$",OFFSET(AB49,1,0,$R47-2)))</f>
        <v>0</v>
      </c>
      <c r="AC49" s="212">
        <f ca="1">IF($R47=2,
         IF(AND(ACOMPANHAMENTO="PLE",ISNUMBER($F47)),
                SUMIF((OFFSET(CÁLCULO!$BC$15:$BU$15,$F47,0,OFFSET(ORÇAMENTO!$D$15,CRONO!$F47,0))),CRONO!AC$12,OFFSET(CÁLCULO!$AJ$15:$BB$15,$F47,0,OFFSET(ORÇAMENTO!$D$15,CRONO!$F47,0)))
                +IF(AND($F49&lt;&gt;"",$F49&lt;&gt;0),
                        SUMIF(CÁLCULO!$BC$15:$BU$131,CRONO!AC$12,CÁLCULO!$AJ$15:$BB$131)/(ORÇAMENTO!$X$15-CÁLCULO.TotalAdmLocal)*CRONO!$F49,
                        0),
                 AC48*$S47),
          SUMIF(OFFSET($S49,1,0,$R47-2),($M47+1)&amp;"$",OFFSET(AC49,1,0,$R47-2)))</f>
        <v>0</v>
      </c>
      <c r="AD49" s="212">
        <f ca="1">IF($R47=2,
         IF(AND(ACOMPANHAMENTO="PLE",ISNUMBER($F47)),
                SUMIF((OFFSET(CÁLCULO!$BC$15:$BU$15,$F47,0,OFFSET(ORÇAMENTO!$D$15,CRONO!$F47,0))),CRONO!AD$12,OFFSET(CÁLCULO!$AJ$15:$BB$15,$F47,0,OFFSET(ORÇAMENTO!$D$15,CRONO!$F47,0)))
                +IF(AND($F49&lt;&gt;"",$F49&lt;&gt;0),
                        SUMIF(CÁLCULO!$BC$15:$BU$131,CRONO!AD$12,CÁLCULO!$AJ$15:$BB$131)/(ORÇAMENTO!$X$15-CÁLCULO.TotalAdmLocal)*CRONO!$F49,
                        0),
                 AD48*$S47),
          SUMIF(OFFSET($S49,1,0,$R47-2),($M47+1)&amp;"$",OFFSET(AD49,1,0,$R47-2)))</f>
        <v>0</v>
      </c>
      <c r="AE49" s="212">
        <f ca="1">IF($R47=2,
         IF(AND(ACOMPANHAMENTO="PLE",ISNUMBER($F47)),
                SUMIF((OFFSET(CÁLCULO!$BC$15:$BU$15,$F47,0,OFFSET(ORÇAMENTO!$D$15,CRONO!$F47,0))),CRONO!AE$12,OFFSET(CÁLCULO!$AJ$15:$BB$15,$F47,0,OFFSET(ORÇAMENTO!$D$15,CRONO!$F47,0)))
                +IF(AND($F49&lt;&gt;"",$F49&lt;&gt;0),
                        SUMIF(CÁLCULO!$BC$15:$BU$131,CRONO!AE$12,CÁLCULO!$AJ$15:$BB$131)/(ORÇAMENTO!$X$15-CÁLCULO.TotalAdmLocal)*CRONO!$F49,
                        0),
                 AE48*$S47),
          SUMIF(OFFSET($S49,1,0,$R47-2),($M47+1)&amp;"$",OFFSET(AE49,1,0,$R47-2)))</f>
        <v>0</v>
      </c>
      <c r="AF49" s="212">
        <f ca="1">IF($R47=2,
         IF(AND(ACOMPANHAMENTO="PLE",ISNUMBER($F47)),
                SUMIF((OFFSET(CÁLCULO!$BC$15:$BU$15,$F47,0,OFFSET(ORÇAMENTO!$D$15,CRONO!$F47,0))),CRONO!AF$12,OFFSET(CÁLCULO!$AJ$15:$BB$15,$F47,0,OFFSET(ORÇAMENTO!$D$15,CRONO!$F47,0)))
                +IF(AND($F49&lt;&gt;"",$F49&lt;&gt;0),
                        SUMIF(CÁLCULO!$BC$15:$BU$131,CRONO!AF$12,CÁLCULO!$AJ$15:$BB$131)/(ORÇAMENTO!$X$15-CÁLCULO.TotalAdmLocal)*CRONO!$F49,
                        0),
                 AF48*$S47),
          SUMIF(OFFSET($S49,1,0,$R47-2),($M47+1)&amp;"$",OFFSET(AF49,1,0,$R47-2)))</f>
        <v>0</v>
      </c>
      <c r="AG49" s="212">
        <f ca="1">IF($R47=2,
         IF(AND(ACOMPANHAMENTO="PLE",ISNUMBER($F47)),
                SUMIF((OFFSET(CÁLCULO!$BC$15:$BU$15,$F47,0,OFFSET(ORÇAMENTO!$D$15,CRONO!$F47,0))),CRONO!AG$12,OFFSET(CÁLCULO!$AJ$15:$BB$15,$F47,0,OFFSET(ORÇAMENTO!$D$15,CRONO!$F47,0)))
                +IF(AND($F49&lt;&gt;"",$F49&lt;&gt;0),
                        SUMIF(CÁLCULO!$BC$15:$BU$131,CRONO!AG$12,CÁLCULO!$AJ$15:$BB$131)/(ORÇAMENTO!$X$15-CÁLCULO.TotalAdmLocal)*CRONO!$F49,
                        0),
                 AG48*$S47),
          SUMIF(OFFSET($S49,1,0,$R47-2),($M47+1)&amp;"$",OFFSET(AG49,1,0,$R47-2)))</f>
        <v>0</v>
      </c>
      <c r="AH49" s="212">
        <f ca="1">IF($R47=2,
         IF(AND(ACOMPANHAMENTO="PLE",ISNUMBER($F47)),
                SUMIF((OFFSET(CÁLCULO!$BC$15:$BU$15,$F47,0,OFFSET(ORÇAMENTO!$D$15,CRONO!$F47,0))),CRONO!AH$12,OFFSET(CÁLCULO!$AJ$15:$BB$15,$F47,0,OFFSET(ORÇAMENTO!$D$15,CRONO!$F47,0)))
                +IF(AND($F49&lt;&gt;"",$F49&lt;&gt;0),
                        SUMIF(CÁLCULO!$BC$15:$BU$131,CRONO!AH$12,CÁLCULO!$AJ$15:$BB$131)/(ORÇAMENTO!$X$15-CÁLCULO.TotalAdmLocal)*CRONO!$F49,
                        0),
                 AH48*$S47),
          SUMIF(OFFSET($S49,1,0,$R47-2),($M47+1)&amp;"$",OFFSET(AH49,1,0,$R47-2)))</f>
        <v>0</v>
      </c>
      <c r="AI49" s="212">
        <f ca="1">IF($R47=2,
         IF(AND(ACOMPANHAMENTO="PLE",ISNUMBER($F47)),
                SUMIF((OFFSET(CÁLCULO!$BC$15:$BU$15,$F47,0,OFFSET(ORÇAMENTO!$D$15,CRONO!$F47,0))),CRONO!AI$12,OFFSET(CÁLCULO!$AJ$15:$BB$15,$F47,0,OFFSET(ORÇAMENTO!$D$15,CRONO!$F47,0)))
                +IF(AND($F49&lt;&gt;"",$F49&lt;&gt;0),
                        SUMIF(CÁLCULO!$BC$15:$BU$131,CRONO!AI$12,CÁLCULO!$AJ$15:$BB$131)/(ORÇAMENTO!$X$15-CÁLCULO.TotalAdmLocal)*CRONO!$F49,
                        0),
                 AI48*$S47),
          SUMIF(OFFSET($S49,1,0,$R47-2),($M47+1)&amp;"$",OFFSET(AI49,1,0,$R47-2)))</f>
        <v>0</v>
      </c>
      <c r="AJ49" s="212">
        <f ca="1">IF($R47=2,
         IF(AND(ACOMPANHAMENTO="PLE",ISNUMBER($F47)),
                SUMIF((OFFSET(CÁLCULO!$BC$15:$BU$15,$F47,0,OFFSET(ORÇAMENTO!$D$15,CRONO!$F47,0))),CRONO!AJ$12,OFFSET(CÁLCULO!$AJ$15:$BB$15,$F47,0,OFFSET(ORÇAMENTO!$D$15,CRONO!$F47,0)))
                +IF(AND($F49&lt;&gt;"",$F49&lt;&gt;0),
                        SUMIF(CÁLCULO!$BC$15:$BU$131,CRONO!AJ$12,CÁLCULO!$AJ$15:$BB$131)/(ORÇAMENTO!$X$15-CÁLCULO.TotalAdmLocal)*CRONO!$F49,
                        0),
                 AJ48*$S47),
          SUMIF(OFFSET($S49,1,0,$R47-2),($M47+1)&amp;"$",OFFSET(AJ49,1,0,$R47-2)))</f>
        <v>0</v>
      </c>
      <c r="AK49" s="212">
        <f ca="1">IF($R47=2,
         IF(AND(ACOMPANHAMENTO="PLE",ISNUMBER($F47)),
                SUMIF((OFFSET(CÁLCULO!$BC$15:$BU$15,$F47,0,OFFSET(ORÇAMENTO!$D$15,CRONO!$F47,0))),CRONO!AK$12,OFFSET(CÁLCULO!$AJ$15:$BB$15,$F47,0,OFFSET(ORÇAMENTO!$D$15,CRONO!$F47,0)))
                +IF(AND($F49&lt;&gt;"",$F49&lt;&gt;0),
                        SUMIF(CÁLCULO!$BC$15:$BU$131,CRONO!AK$12,CÁLCULO!$AJ$15:$BB$131)/(ORÇAMENTO!$X$15-CÁLCULO.TotalAdmLocal)*CRONO!$F49,
                        0),
                 AK48*$S47),
          SUMIF(OFFSET($S49,1,0,$R47-2),($M47+1)&amp;"$",OFFSET(AK49,1,0,$R47-2)))</f>
        <v>0</v>
      </c>
      <c r="AL49" s="212">
        <f ca="1">IF($R47=2,
         IF(AND(ACOMPANHAMENTO="PLE",ISNUMBER($F47)),
                SUMIF((OFFSET(CÁLCULO!$BC$15:$BU$15,$F47,0,OFFSET(ORÇAMENTO!$D$15,CRONO!$F47,0))),CRONO!AL$12,OFFSET(CÁLCULO!$AJ$15:$BB$15,$F47,0,OFFSET(ORÇAMENTO!$D$15,CRONO!$F47,0)))
                +IF(AND($F49&lt;&gt;"",$F49&lt;&gt;0),
                        SUMIF(CÁLCULO!$BC$15:$BU$131,CRONO!AL$12,CÁLCULO!$AJ$15:$BB$131)/(ORÇAMENTO!$X$15-CÁLCULO.TotalAdmLocal)*CRONO!$F49,
                        0),
                 AL48*$S47),
          SUMIF(OFFSET($S49,1,0,$R47-2),($M47+1)&amp;"$",OFFSET(AL49,1,0,$R47-2)))</f>
        <v>0</v>
      </c>
      <c r="AM49" s="212">
        <f ca="1">IF($R47=2,
         IF(AND(ACOMPANHAMENTO="PLE",ISNUMBER($F47)),
                SUMIF((OFFSET(CÁLCULO!$BC$15:$BU$15,$F47,0,OFFSET(ORÇAMENTO!$D$15,CRONO!$F47,0))),CRONO!AM$12,OFFSET(CÁLCULO!$AJ$15:$BB$15,$F47,0,OFFSET(ORÇAMENTO!$D$15,CRONO!$F47,0)))
                +IF(AND($F49&lt;&gt;"",$F49&lt;&gt;0),
                        SUMIF(CÁLCULO!$BC$15:$BU$131,CRONO!AM$12,CÁLCULO!$AJ$15:$BB$131)/(ORÇAMENTO!$X$15-CÁLCULO.TotalAdmLocal)*CRONO!$F49,
                        0),
                 AM48*$S47),
          SUMIF(OFFSET($S49,1,0,$R47-2),($M47+1)&amp;"$",OFFSET(AM49,1,0,$R47-2)))</f>
        <v>0</v>
      </c>
      <c r="AN49" s="212">
        <f ca="1">IF($R47=2,
         IF(AND(ACOMPANHAMENTO="PLE",ISNUMBER($F47)),
                SUMIF((OFFSET(CÁLCULO!$BC$15:$BU$15,$F47,0,OFFSET(ORÇAMENTO!$D$15,CRONO!$F47,0))),CRONO!AN$12,OFFSET(CÁLCULO!$AJ$15:$BB$15,$F47,0,OFFSET(ORÇAMENTO!$D$15,CRONO!$F47,0)))
                +IF(AND($F49&lt;&gt;"",$F49&lt;&gt;0),
                        SUMIF(CÁLCULO!$BC$15:$BU$131,CRONO!AN$12,CÁLCULO!$AJ$15:$BB$131)/(ORÇAMENTO!$X$15-CÁLCULO.TotalAdmLocal)*CRONO!$F49,
                        0),
                 AN48*$S47),
          SUMIF(OFFSET($S49,1,0,$R47-2),($M47+1)&amp;"$",OFFSET(AN49,1,0,$R47-2)))</f>
        <v>0</v>
      </c>
      <c r="AO49" s="212">
        <f ca="1">IF($R47=2,
         IF(AND(ACOMPANHAMENTO="PLE",ISNUMBER($F47)),
                SUMIF((OFFSET(CÁLCULO!$BC$15:$BU$15,$F47,0,OFFSET(ORÇAMENTO!$D$15,CRONO!$F47,0))),CRONO!AO$12,OFFSET(CÁLCULO!$AJ$15:$BB$15,$F47,0,OFFSET(ORÇAMENTO!$D$15,CRONO!$F47,0)))
                +IF(AND($F49&lt;&gt;"",$F49&lt;&gt;0),
                        SUMIF(CÁLCULO!$BC$15:$BU$131,CRONO!AO$12,CÁLCULO!$AJ$15:$BB$131)/(ORÇAMENTO!$X$15-CÁLCULO.TotalAdmLocal)*CRONO!$F49,
                        0),
                 AO48*$S47),
          SUMIF(OFFSET($S49,1,0,$R47-2),($M47+1)&amp;"$",OFFSET(AO49,1,0,$R47-2)))</f>
        <v>0</v>
      </c>
      <c r="AP49" s="212">
        <f ca="1">IF($R47=2,
         IF(AND(ACOMPANHAMENTO="PLE",ISNUMBER($F47)),
                SUMIF((OFFSET(CÁLCULO!$BC$15:$BU$15,$F47,0,OFFSET(ORÇAMENTO!$D$15,CRONO!$F47,0))),CRONO!AP$12,OFFSET(CÁLCULO!$AJ$15:$BB$15,$F47,0,OFFSET(ORÇAMENTO!$D$15,CRONO!$F47,0)))
                +IF(AND($F49&lt;&gt;"",$F49&lt;&gt;0),
                        SUMIF(CÁLCULO!$BC$15:$BU$131,CRONO!AP$12,CÁLCULO!$AJ$15:$BB$131)/(ORÇAMENTO!$X$15-CÁLCULO.TotalAdmLocal)*CRONO!$F49,
                        0),
                 AP48*$S47),
          SUMIF(OFFSET($S49,1,0,$R47-2),($M47+1)&amp;"$",OFFSET(AP49,1,0,$R47-2)))</f>
        <v>0</v>
      </c>
      <c r="AQ49" s="212">
        <f ca="1">IF($R47=2,
         IF(AND(ACOMPANHAMENTO="PLE",ISNUMBER($F47)),
                SUMIF((OFFSET(CÁLCULO!$BC$15:$BU$15,$F47,0,OFFSET(ORÇAMENTO!$D$15,CRONO!$F47,0))),CRONO!AQ$12,OFFSET(CÁLCULO!$AJ$15:$BB$15,$F47,0,OFFSET(ORÇAMENTO!$D$15,CRONO!$F47,0)))
                +IF(AND($F49&lt;&gt;"",$F49&lt;&gt;0),
                        SUMIF(CÁLCULO!$BC$15:$BU$131,CRONO!AQ$12,CÁLCULO!$AJ$15:$BB$131)/(ORÇAMENTO!$X$15-CÁLCULO.TotalAdmLocal)*CRONO!$F49,
                        0),
                 AQ48*$S47),
          SUMIF(OFFSET($S49,1,0,$R47-2),($M47+1)&amp;"$",OFFSET(AQ49,1,0,$R47-2)))</f>
        <v>0</v>
      </c>
      <c r="AR49" s="212">
        <f ca="1">IF($R47=2,
         IF(AND(ACOMPANHAMENTO="PLE",ISNUMBER($F47)),
                SUMIF((OFFSET(CÁLCULO!$BC$15:$BU$15,$F47,0,OFFSET(ORÇAMENTO!$D$15,CRONO!$F47,0))),CRONO!AR$12,OFFSET(CÁLCULO!$AJ$15:$BB$15,$F47,0,OFFSET(ORÇAMENTO!$D$15,CRONO!$F47,0)))
                +IF(AND($F49&lt;&gt;"",$F49&lt;&gt;0),
                        SUMIF(CÁLCULO!$BC$15:$BU$131,CRONO!AR$12,CÁLCULO!$AJ$15:$BB$131)/(ORÇAMENTO!$X$15-CÁLCULO.TotalAdmLocal)*CRONO!$F49,
                        0),
                 AR48*$S47),
          SUMIF(OFFSET($S49,1,0,$R47-2),($M47+1)&amp;"$",OFFSET(AR49,1,0,$R47-2)))</f>
        <v>0</v>
      </c>
      <c r="AS49" s="577"/>
    </row>
    <row r="50" spans="1:45" x14ac:dyDescent="0.2">
      <c r="A50" s="196" t="str">
        <f t="shared" ref="A50" ca="1" si="74">IF($M50&gt;1,CONCATENATE($I50," ",$J50),"")</f>
        <v>1.12. INSTALAÇÕES ELÉTRICAS</v>
      </c>
      <c r="B50" s="195">
        <f t="shared" ref="B50" ca="1" si="75">OFFSET(B50,-3,0)+1</f>
        <v>13</v>
      </c>
      <c r="C50" s="195">
        <f ca="1">IF($R50&lt;&gt;2,0,IF($S50=0,1,IF(F51&gt;0,OFFSET(QCI!$M$13,SUBSTITUTE(F51,".",""),0),OFFSET(ORÇAMENTO!$AA$15,CRONO!$F50,0))/$S50))</f>
        <v>1</v>
      </c>
      <c r="D50" s="195">
        <f ca="1">IF($R50&lt;&gt;2,0,IF($S50=0,1,IF(F51&gt;0,OFFSET(QCI!$N$13,SUBSTITUTE(F51,".",""),0),OFFSET(ORÇAMENTO!$AB$15,CRONO!$F50,0))/$S50))</f>
        <v>0</v>
      </c>
      <c r="E50" s="198">
        <f ca="1">IF(AND($R50=2,ACOMPANHAMENTO="BM"),ROUND(E51,4),E52/$S50)</f>
        <v>0</v>
      </c>
      <c r="F50" s="195">
        <f ca="1">IF(B50&lt;=ORÇAMENTO.MáximoListaCrono,MATCH(B50,ORÇAMENTO.ListaCrono,0),NA())</f>
        <v>71</v>
      </c>
      <c r="G50" s="195" t="str">
        <f t="shared" ref="G50" ca="1" si="76">IF(AND($F51&lt;&gt;-1,$S50&gt;0),"F","")</f>
        <v>F</v>
      </c>
      <c r="H50" s="199" t="str">
        <f ca="1">IF(OR(S50=0,S50=""),"Linha",IF(AND(OR(ACOMPANHAMENTO="PLE",$R50&lt;&gt;2),$F51=0),"Linha",ROUND(1-SUM(U50:AS50),4)))</f>
        <v>Linha</v>
      </c>
      <c r="I50" s="200" t="str">
        <f ca="1">IF($F51=0,OFFSET(ORÇAMENTO!O$15,$F50,0),IF($F51&lt;&gt;-1,OFFSET(QCI!$D$13,$F51,0),""))</f>
        <v>1.12.</v>
      </c>
      <c r="J50" s="201" t="str">
        <f ca="1">IF($F51=0,OFFSET(ORÇAMENTO!R$15,$F50,0),IF($F51&lt;&gt;-1,OFFSET(QCI!$G$13,$F51,0),""))</f>
        <v>INSTALAÇÕES ELÉTRICAS</v>
      </c>
      <c r="K50" s="201"/>
      <c r="L50" s="201"/>
      <c r="M50" s="202">
        <f ca="1">IF($F51=0,OFFSET(ORÇAMENTO!C$15,$F50,0),1)</f>
        <v>2</v>
      </c>
      <c r="N50" s="203">
        <f ca="1">IF($F51=-1,0,IF(N$13&lt;=$M50,IF(ISERROR(MATCH(N$13,OFFSET($M50,1,0,ROW($M$107)-ROW($M50)-1),0)),ROW($M$107)-ROW($M50)-1,MATCH(N$13,OFFSET($M50,1,0,ROW($M$107)-ROW($M50)-1),0)-1),0))</f>
        <v>5</v>
      </c>
      <c r="O50" s="203">
        <f ca="1">IF($F51=-1,0,IF(O$13&lt;=$M50,IF(ISERROR(MATCH(O$13,OFFSET($M50,1,0,ROW($M$107)-ROW($M50)-1),0)),ROW($M$107)-ROW($M50)-1,MATCH(O$13,OFFSET($M50,1,0,ROW($M$107)-ROW($M50)-1),0)-1),0))</f>
        <v>2</v>
      </c>
      <c r="P50" s="203">
        <f ca="1">IF($F51=-1,0,IF(P$13&lt;=$M50,IF(ISERROR(MATCH(P$13,OFFSET($M50,1,0,ROW($M$107)-ROW($M50)-1),0)),ROW($M$107)-ROW($M50)-1,MATCH(P$13,OFFSET($M50,1,0,ROW($M$107)-ROW($M50)-1),0)-1),0))</f>
        <v>0</v>
      </c>
      <c r="Q50" s="203">
        <f ca="1">IF($F51=-1,0,IF(Q$13&lt;=$M50,IF(ISERROR(MATCH(Q$13,OFFSET($M50,1,0,ROW($M$107)-ROW($M50)-1),0)),ROW($M$107)-ROW($M50)-1,MATCH(Q$13,OFFSET($M50,1,0,ROW($M$107)-ROW($M50)-1),0)-1),0))</f>
        <v>0</v>
      </c>
      <c r="R50" s="203">
        <f t="shared" ref="R50" ca="1" si="77">MIN(OFFSET(M50,0,1,,M50))</f>
        <v>2</v>
      </c>
      <c r="S50" s="204">
        <f ca="1">IF($F51=0,OFFSET(ORÇAMENTO!X$15,$F50,0),IF($F51&lt;&gt;-1,OFFSET(QCI!$O$13,$F51,0),""))</f>
        <v>50312.77</v>
      </c>
      <c r="T50" s="205" t="s">
        <v>266</v>
      </c>
      <c r="U50" s="198">
        <f ca="1">IF(AND($R50=2,ACOMPANHAMENTO="BM"),ROUND(U51,4),U52/$S50)</f>
        <v>0</v>
      </c>
      <c r="V50" s="198">
        <f ca="1">IF(AND($R50=2,ACOMPANHAMENTO="BM"),ROUND(V51,4),V52/$S50)</f>
        <v>0</v>
      </c>
      <c r="W50" s="198">
        <f ca="1">IF(AND($R50=2,ACOMPANHAMENTO="BM"),ROUND(W51,4),W52/$S50)</f>
        <v>0</v>
      </c>
      <c r="X50" s="198">
        <f ca="1">IF(AND($R50=2,ACOMPANHAMENTO="BM"),ROUND(X51,4),X52/$S50)</f>
        <v>1</v>
      </c>
      <c r="Y50" s="198">
        <f ca="1">IF(AND($R50=2,ACOMPANHAMENTO="BM"),ROUND(Y51,4),Y52/$S50)</f>
        <v>0</v>
      </c>
      <c r="Z50" s="198">
        <f ca="1">IF(AND($R50=2,ACOMPANHAMENTO="BM"),ROUND(Z51,4),Z52/$S50)</f>
        <v>0</v>
      </c>
      <c r="AA50" s="198">
        <f ca="1">IF(AND($R50=2,ACOMPANHAMENTO="BM"),ROUND(AA51,4),AA52/$S50)</f>
        <v>0</v>
      </c>
      <c r="AB50" s="198">
        <f ca="1">IF(AND($R50=2,ACOMPANHAMENTO="BM"),ROUND(AB51,4),AB52/$S50)</f>
        <v>0</v>
      </c>
      <c r="AC50" s="198">
        <f ca="1">IF(AND($R50=2,ACOMPANHAMENTO="BM"),ROUND(AC51,4),AC52/$S50)</f>
        <v>0</v>
      </c>
      <c r="AD50" s="198">
        <f ca="1">IF(AND($R50=2,ACOMPANHAMENTO="BM"),ROUND(AD51,4),AD52/$S50)</f>
        <v>0</v>
      </c>
      <c r="AE50" s="198">
        <f ca="1">IF(AND($R50=2,ACOMPANHAMENTO="BM"),ROUND(AE51,4),AE52/$S50)</f>
        <v>0</v>
      </c>
      <c r="AF50" s="198">
        <f ca="1">IF(AND($R50=2,ACOMPANHAMENTO="BM"),ROUND(AF51,4),AF52/$S50)</f>
        <v>0</v>
      </c>
      <c r="AG50" s="198">
        <f ca="1">IF(AND($R50=2,ACOMPANHAMENTO="BM"),ROUND(AG51,4),AG52/$S50)</f>
        <v>0</v>
      </c>
      <c r="AH50" s="198">
        <f ca="1">IF(AND($R50=2,ACOMPANHAMENTO="BM"),ROUND(AH51,4),AH52/$S50)</f>
        <v>0</v>
      </c>
      <c r="AI50" s="198">
        <f ca="1">IF(AND($R50=2,ACOMPANHAMENTO="BM"),ROUND(AI51,4),AI52/$S50)</f>
        <v>0</v>
      </c>
      <c r="AJ50" s="198">
        <f ca="1">IF(AND($R50=2,ACOMPANHAMENTO="BM"),ROUND(AJ51,4),AJ52/$S50)</f>
        <v>0</v>
      </c>
      <c r="AK50" s="198">
        <f ca="1">IF(AND($R50=2,ACOMPANHAMENTO="BM"),ROUND(AK51,4),AK52/$S50)</f>
        <v>0</v>
      </c>
      <c r="AL50" s="198">
        <f ca="1">IF(AND($R50=2,ACOMPANHAMENTO="BM"),ROUND(AL51,4),AL52/$S50)</f>
        <v>0</v>
      </c>
      <c r="AM50" s="198">
        <f ca="1">IF(AND($R50=2,ACOMPANHAMENTO="BM"),ROUND(AM51,4),AM52/$S50)</f>
        <v>0</v>
      </c>
      <c r="AN50" s="198">
        <f ca="1">IF(AND($R50=2,ACOMPANHAMENTO="BM"),ROUND(AN51,4),AN52/$S50)</f>
        <v>0</v>
      </c>
      <c r="AO50" s="198">
        <f ca="1">IF(AND($R50=2,ACOMPANHAMENTO="BM"),ROUND(AO51,4),AO52/$S50)</f>
        <v>0</v>
      </c>
      <c r="AP50" s="198">
        <f ca="1">IF(AND($R50=2,ACOMPANHAMENTO="BM"),ROUND(AP51,4),AP52/$S50)</f>
        <v>0</v>
      </c>
      <c r="AQ50" s="198">
        <f ca="1">IF(AND($R50=2,ACOMPANHAMENTO="BM"),ROUND(AQ51,4),AQ52/$S50)</f>
        <v>0</v>
      </c>
      <c r="AR50" s="198">
        <f ca="1">IF(AND($R50=2,ACOMPANHAMENTO="BM"),ROUND(AR51,4),AR52/$S50)</f>
        <v>0</v>
      </c>
      <c r="AS50" s="577"/>
    </row>
    <row r="51" spans="1:45" ht="12.75" hidden="1" customHeight="1" x14ac:dyDescent="0.2">
      <c r="E51" s="645"/>
      <c r="F51" s="195">
        <f ca="1">IF(ISERROR(F50),IF(1+COUNTIF($M$13:OFFSET(M50,-1,0),1)&lt;=MAX(QCI!$D$13:$D$24),1+COUNTIF($M$13:OFFSET(M50,-1,0),1),-1),0)</f>
        <v>0</v>
      </c>
      <c r="G51" s="195" t="str">
        <f ca="1">IF(ACOMPANHAMENTO="BM",OFFSET(G51,-1,0),"")</f>
        <v/>
      </c>
      <c r="H51" s="206" t="str">
        <f ca="1">IF(OR(S50=0,S50=""),"vazia",IF(AND(OR(ACOMPANHAMENTO="PLE",$R50&lt;&gt;2),$F51=0),"calculada","--&gt;"))</f>
        <v>calculada</v>
      </c>
      <c r="I51" s="207"/>
      <c r="J51" s="208" t="str">
        <f t="shared" ref="J51" ca="1" si="78">IF(AND(H50&lt;&gt;0,ISNUMBER(H50)),"PREENCHA ESTA LINHA --&gt;","")</f>
        <v/>
      </c>
      <c r="K51" s="208"/>
      <c r="L51" s="208"/>
      <c r="M51" s="209"/>
      <c r="N51" s="209"/>
      <c r="O51" s="209"/>
      <c r="P51" s="209"/>
      <c r="Q51" s="209"/>
      <c r="R51" s="209"/>
      <c r="S51" s="210"/>
      <c r="T51" s="211"/>
      <c r="U51" s="645"/>
      <c r="V51" s="645"/>
      <c r="W51" s="645"/>
      <c r="X51" s="645"/>
      <c r="Y51" s="645"/>
      <c r="Z51" s="645"/>
      <c r="AA51" s="645"/>
      <c r="AB51" s="645"/>
      <c r="AC51" s="645"/>
      <c r="AD51" s="645"/>
      <c r="AE51" s="645"/>
      <c r="AF51" s="645"/>
      <c r="AG51" s="645"/>
      <c r="AH51" s="645"/>
      <c r="AI51" s="645"/>
      <c r="AJ51" s="645"/>
      <c r="AK51" s="645"/>
      <c r="AL51" s="645"/>
      <c r="AM51" s="645"/>
      <c r="AN51" s="645"/>
      <c r="AO51" s="645"/>
      <c r="AP51" s="645"/>
      <c r="AQ51" s="645"/>
      <c r="AR51" s="645"/>
      <c r="AS51" s="577"/>
    </row>
    <row r="52" spans="1:45" ht="12.75" hidden="1" customHeight="1" x14ac:dyDescent="0.2">
      <c r="D52" s="576"/>
      <c r="E52" s="212">
        <f ca="1">IF($R50=2,
         IF(AND(ACOMPANHAMENTO="PLE",ISNUMBER($F50)),
                SUMIF((OFFSET(CÁLCULO!$BC$15:$BU$15,$F50,0,OFFSET(ORÇAMENTO!$D$15,CRONO!$F50,0))),CRONO!E$12,OFFSET(CÁLCULO!$AJ$15:$BB$15,$F50,0,OFFSET(ORÇAMENTO!$D$15,CRONO!$F50,0)))
                +IF(AND($F52&lt;&gt;"",$F52&lt;&gt;0),
                        SUMIF(CÁLCULO!$BC$15:$BU$131,CRONO!E$12,CÁLCULO!$AJ$15:$BB$131)/(ORÇAMENTO!$X$15-CÁLCULO.TotalAdmLocal)*CRONO!$F52,
                        0),
                 E51*$S50),
          SUMIF(OFFSET($S52,1,0,$R50-2),($M50+1)&amp;"$",OFFSET(E52,1,0,$R50-2)))</f>
        <v>0</v>
      </c>
      <c r="F52" s="195" t="str">
        <f ca="1">IF(OR($R50&lt;&gt;2,AUTOEVENTO&lt;&gt;"manual",$F51&gt;0),"",
        IF(Import.TipoArredondamento="Tradicional",
              SUMIF(OFFSET(CÁLCULO!$M$15,CRONO!$F50,0,OFFSET(ORÇAMENTO!$D$15,CRONO!$F50,0)),1,OFFSET(ORÇAMENTO!$X$15,CRONO!$F50,0,OFFSET(ORÇAMENTO!$D$15,CRONO!$F50,0))),
              0))</f>
        <v/>
      </c>
      <c r="H52" s="213"/>
      <c r="S52" s="214" t="str">
        <f t="shared" ref="S52" ca="1" si="79">M50&amp;"$"</f>
        <v>2$</v>
      </c>
      <c r="T52" s="215"/>
      <c r="U52" s="212">
        <f ca="1">IF($R50=2,
         IF(AND(ACOMPANHAMENTO="PLE",ISNUMBER($F50)),
                SUMIF((OFFSET(CÁLCULO!$BC$15:$BU$15,$F50,0,OFFSET(ORÇAMENTO!$D$15,CRONO!$F50,0))),CRONO!U$12,OFFSET(CÁLCULO!$AJ$15:$BB$15,$F50,0,OFFSET(ORÇAMENTO!$D$15,CRONO!$F50,0)))
                +IF(AND($F52&lt;&gt;"",$F52&lt;&gt;0),
                        SUMIF(CÁLCULO!$BC$15:$BU$131,CRONO!U$12,CÁLCULO!$AJ$15:$BB$131)/(ORÇAMENTO!$X$15-CÁLCULO.TotalAdmLocal)*CRONO!$F52,
                        0),
                 U51*$S50),
          SUMIF(OFFSET($S52,1,0,$R50-2),($M50+1)&amp;"$",OFFSET(U52,1,0,$R50-2)))</f>
        <v>0</v>
      </c>
      <c r="V52" s="212">
        <f ca="1">IF($R50=2,
         IF(AND(ACOMPANHAMENTO="PLE",ISNUMBER($F50)),
                SUMIF((OFFSET(CÁLCULO!$BC$15:$BU$15,$F50,0,OFFSET(ORÇAMENTO!$D$15,CRONO!$F50,0))),CRONO!V$12,OFFSET(CÁLCULO!$AJ$15:$BB$15,$F50,0,OFFSET(ORÇAMENTO!$D$15,CRONO!$F50,0)))
                +IF(AND($F52&lt;&gt;"",$F52&lt;&gt;0),
                        SUMIF(CÁLCULO!$BC$15:$BU$131,CRONO!V$12,CÁLCULO!$AJ$15:$BB$131)/(ORÇAMENTO!$X$15-CÁLCULO.TotalAdmLocal)*CRONO!$F52,
                        0),
                 V51*$S50),
          SUMIF(OFFSET($S52,1,0,$R50-2),($M50+1)&amp;"$",OFFSET(V52,1,0,$R50-2)))</f>
        <v>0</v>
      </c>
      <c r="W52" s="212">
        <f ca="1">IF($R50=2,
         IF(AND(ACOMPANHAMENTO="PLE",ISNUMBER($F50)),
                SUMIF((OFFSET(CÁLCULO!$BC$15:$BU$15,$F50,0,OFFSET(ORÇAMENTO!$D$15,CRONO!$F50,0))),CRONO!W$12,OFFSET(CÁLCULO!$AJ$15:$BB$15,$F50,0,OFFSET(ORÇAMENTO!$D$15,CRONO!$F50,0)))
                +IF(AND($F52&lt;&gt;"",$F52&lt;&gt;0),
                        SUMIF(CÁLCULO!$BC$15:$BU$131,CRONO!W$12,CÁLCULO!$AJ$15:$BB$131)/(ORÇAMENTO!$X$15-CÁLCULO.TotalAdmLocal)*CRONO!$F52,
                        0),
                 W51*$S50),
          SUMIF(OFFSET($S52,1,0,$R50-2),($M50+1)&amp;"$",OFFSET(W52,1,0,$R50-2)))</f>
        <v>0</v>
      </c>
      <c r="X52" s="212">
        <f ca="1">IF($R50=2,
         IF(AND(ACOMPANHAMENTO="PLE",ISNUMBER($F50)),
                SUMIF((OFFSET(CÁLCULO!$BC$15:$BU$15,$F50,0,OFFSET(ORÇAMENTO!$D$15,CRONO!$F50,0))),CRONO!X$12,OFFSET(CÁLCULO!$AJ$15:$BB$15,$F50,0,OFFSET(ORÇAMENTO!$D$15,CRONO!$F50,0)))
                +IF(AND($F52&lt;&gt;"",$F52&lt;&gt;0),
                        SUMIF(CÁLCULO!$BC$15:$BU$131,CRONO!X$12,CÁLCULO!$AJ$15:$BB$131)/(ORÇAMENTO!$X$15-CÁLCULO.TotalAdmLocal)*CRONO!$F52,
                        0),
                 X51*$S50),
          SUMIF(OFFSET($S52,1,0,$R50-2),($M50+1)&amp;"$",OFFSET(X52,1,0,$R50-2)))</f>
        <v>50312.77</v>
      </c>
      <c r="Y52" s="212">
        <f ca="1">IF($R50=2,
         IF(AND(ACOMPANHAMENTO="PLE",ISNUMBER($F50)),
                SUMIF((OFFSET(CÁLCULO!$BC$15:$BU$15,$F50,0,OFFSET(ORÇAMENTO!$D$15,CRONO!$F50,0))),CRONO!Y$12,OFFSET(CÁLCULO!$AJ$15:$BB$15,$F50,0,OFFSET(ORÇAMENTO!$D$15,CRONO!$F50,0)))
                +IF(AND($F52&lt;&gt;"",$F52&lt;&gt;0),
                        SUMIF(CÁLCULO!$BC$15:$BU$131,CRONO!Y$12,CÁLCULO!$AJ$15:$BB$131)/(ORÇAMENTO!$X$15-CÁLCULO.TotalAdmLocal)*CRONO!$F52,
                        0),
                 Y51*$S50),
          SUMIF(OFFSET($S52,1,0,$R50-2),($M50+1)&amp;"$",OFFSET(Y52,1,0,$R50-2)))</f>
        <v>0</v>
      </c>
      <c r="Z52" s="212">
        <f ca="1">IF($R50=2,
         IF(AND(ACOMPANHAMENTO="PLE",ISNUMBER($F50)),
                SUMIF((OFFSET(CÁLCULO!$BC$15:$BU$15,$F50,0,OFFSET(ORÇAMENTO!$D$15,CRONO!$F50,0))),CRONO!Z$12,OFFSET(CÁLCULO!$AJ$15:$BB$15,$F50,0,OFFSET(ORÇAMENTO!$D$15,CRONO!$F50,0)))
                +IF(AND($F52&lt;&gt;"",$F52&lt;&gt;0),
                        SUMIF(CÁLCULO!$BC$15:$BU$131,CRONO!Z$12,CÁLCULO!$AJ$15:$BB$131)/(ORÇAMENTO!$X$15-CÁLCULO.TotalAdmLocal)*CRONO!$F52,
                        0),
                 Z51*$S50),
          SUMIF(OFFSET($S52,1,0,$R50-2),($M50+1)&amp;"$",OFFSET(Z52,1,0,$R50-2)))</f>
        <v>0</v>
      </c>
      <c r="AA52" s="212">
        <f ca="1">IF($R50=2,
         IF(AND(ACOMPANHAMENTO="PLE",ISNUMBER($F50)),
                SUMIF((OFFSET(CÁLCULO!$BC$15:$BU$15,$F50,0,OFFSET(ORÇAMENTO!$D$15,CRONO!$F50,0))),CRONO!AA$12,OFFSET(CÁLCULO!$AJ$15:$BB$15,$F50,0,OFFSET(ORÇAMENTO!$D$15,CRONO!$F50,0)))
                +IF(AND($F52&lt;&gt;"",$F52&lt;&gt;0),
                        SUMIF(CÁLCULO!$BC$15:$BU$131,CRONO!AA$12,CÁLCULO!$AJ$15:$BB$131)/(ORÇAMENTO!$X$15-CÁLCULO.TotalAdmLocal)*CRONO!$F52,
                        0),
                 AA51*$S50),
          SUMIF(OFFSET($S52,1,0,$R50-2),($M50+1)&amp;"$",OFFSET(AA52,1,0,$R50-2)))</f>
        <v>0</v>
      </c>
      <c r="AB52" s="212">
        <f ca="1">IF($R50=2,
         IF(AND(ACOMPANHAMENTO="PLE",ISNUMBER($F50)),
                SUMIF((OFFSET(CÁLCULO!$BC$15:$BU$15,$F50,0,OFFSET(ORÇAMENTO!$D$15,CRONO!$F50,0))),CRONO!AB$12,OFFSET(CÁLCULO!$AJ$15:$BB$15,$F50,0,OFFSET(ORÇAMENTO!$D$15,CRONO!$F50,0)))
                +IF(AND($F52&lt;&gt;"",$F52&lt;&gt;0),
                        SUMIF(CÁLCULO!$BC$15:$BU$131,CRONO!AB$12,CÁLCULO!$AJ$15:$BB$131)/(ORÇAMENTO!$X$15-CÁLCULO.TotalAdmLocal)*CRONO!$F52,
                        0),
                 AB51*$S50),
          SUMIF(OFFSET($S52,1,0,$R50-2),($M50+1)&amp;"$",OFFSET(AB52,1,0,$R50-2)))</f>
        <v>0</v>
      </c>
      <c r="AC52" s="212">
        <f ca="1">IF($R50=2,
         IF(AND(ACOMPANHAMENTO="PLE",ISNUMBER($F50)),
                SUMIF((OFFSET(CÁLCULO!$BC$15:$BU$15,$F50,0,OFFSET(ORÇAMENTO!$D$15,CRONO!$F50,0))),CRONO!AC$12,OFFSET(CÁLCULO!$AJ$15:$BB$15,$F50,0,OFFSET(ORÇAMENTO!$D$15,CRONO!$F50,0)))
                +IF(AND($F52&lt;&gt;"",$F52&lt;&gt;0),
                        SUMIF(CÁLCULO!$BC$15:$BU$131,CRONO!AC$12,CÁLCULO!$AJ$15:$BB$131)/(ORÇAMENTO!$X$15-CÁLCULO.TotalAdmLocal)*CRONO!$F52,
                        0),
                 AC51*$S50),
          SUMIF(OFFSET($S52,1,0,$R50-2),($M50+1)&amp;"$",OFFSET(AC52,1,0,$R50-2)))</f>
        <v>0</v>
      </c>
      <c r="AD52" s="212">
        <f ca="1">IF($R50=2,
         IF(AND(ACOMPANHAMENTO="PLE",ISNUMBER($F50)),
                SUMIF((OFFSET(CÁLCULO!$BC$15:$BU$15,$F50,0,OFFSET(ORÇAMENTO!$D$15,CRONO!$F50,0))),CRONO!AD$12,OFFSET(CÁLCULO!$AJ$15:$BB$15,$F50,0,OFFSET(ORÇAMENTO!$D$15,CRONO!$F50,0)))
                +IF(AND($F52&lt;&gt;"",$F52&lt;&gt;0),
                        SUMIF(CÁLCULO!$BC$15:$BU$131,CRONO!AD$12,CÁLCULO!$AJ$15:$BB$131)/(ORÇAMENTO!$X$15-CÁLCULO.TotalAdmLocal)*CRONO!$F52,
                        0),
                 AD51*$S50),
          SUMIF(OFFSET($S52,1,0,$R50-2),($M50+1)&amp;"$",OFFSET(AD52,1,0,$R50-2)))</f>
        <v>0</v>
      </c>
      <c r="AE52" s="212">
        <f ca="1">IF($R50=2,
         IF(AND(ACOMPANHAMENTO="PLE",ISNUMBER($F50)),
                SUMIF((OFFSET(CÁLCULO!$BC$15:$BU$15,$F50,0,OFFSET(ORÇAMENTO!$D$15,CRONO!$F50,0))),CRONO!AE$12,OFFSET(CÁLCULO!$AJ$15:$BB$15,$F50,0,OFFSET(ORÇAMENTO!$D$15,CRONO!$F50,0)))
                +IF(AND($F52&lt;&gt;"",$F52&lt;&gt;0),
                        SUMIF(CÁLCULO!$BC$15:$BU$131,CRONO!AE$12,CÁLCULO!$AJ$15:$BB$131)/(ORÇAMENTO!$X$15-CÁLCULO.TotalAdmLocal)*CRONO!$F52,
                        0),
                 AE51*$S50),
          SUMIF(OFFSET($S52,1,0,$R50-2),($M50+1)&amp;"$",OFFSET(AE52,1,0,$R50-2)))</f>
        <v>0</v>
      </c>
      <c r="AF52" s="212">
        <f ca="1">IF($R50=2,
         IF(AND(ACOMPANHAMENTO="PLE",ISNUMBER($F50)),
                SUMIF((OFFSET(CÁLCULO!$BC$15:$BU$15,$F50,0,OFFSET(ORÇAMENTO!$D$15,CRONO!$F50,0))),CRONO!AF$12,OFFSET(CÁLCULO!$AJ$15:$BB$15,$F50,0,OFFSET(ORÇAMENTO!$D$15,CRONO!$F50,0)))
                +IF(AND($F52&lt;&gt;"",$F52&lt;&gt;0),
                        SUMIF(CÁLCULO!$BC$15:$BU$131,CRONO!AF$12,CÁLCULO!$AJ$15:$BB$131)/(ORÇAMENTO!$X$15-CÁLCULO.TotalAdmLocal)*CRONO!$F52,
                        0),
                 AF51*$S50),
          SUMIF(OFFSET($S52,1,0,$R50-2),($M50+1)&amp;"$",OFFSET(AF52,1,0,$R50-2)))</f>
        <v>0</v>
      </c>
      <c r="AG52" s="212">
        <f ca="1">IF($R50=2,
         IF(AND(ACOMPANHAMENTO="PLE",ISNUMBER($F50)),
                SUMIF((OFFSET(CÁLCULO!$BC$15:$BU$15,$F50,0,OFFSET(ORÇAMENTO!$D$15,CRONO!$F50,0))),CRONO!AG$12,OFFSET(CÁLCULO!$AJ$15:$BB$15,$F50,0,OFFSET(ORÇAMENTO!$D$15,CRONO!$F50,0)))
                +IF(AND($F52&lt;&gt;"",$F52&lt;&gt;0),
                        SUMIF(CÁLCULO!$BC$15:$BU$131,CRONO!AG$12,CÁLCULO!$AJ$15:$BB$131)/(ORÇAMENTO!$X$15-CÁLCULO.TotalAdmLocal)*CRONO!$F52,
                        0),
                 AG51*$S50),
          SUMIF(OFFSET($S52,1,0,$R50-2),($M50+1)&amp;"$",OFFSET(AG52,1,0,$R50-2)))</f>
        <v>0</v>
      </c>
      <c r="AH52" s="212">
        <f ca="1">IF($R50=2,
         IF(AND(ACOMPANHAMENTO="PLE",ISNUMBER($F50)),
                SUMIF((OFFSET(CÁLCULO!$BC$15:$BU$15,$F50,0,OFFSET(ORÇAMENTO!$D$15,CRONO!$F50,0))),CRONO!AH$12,OFFSET(CÁLCULO!$AJ$15:$BB$15,$F50,0,OFFSET(ORÇAMENTO!$D$15,CRONO!$F50,0)))
                +IF(AND($F52&lt;&gt;"",$F52&lt;&gt;0),
                        SUMIF(CÁLCULO!$BC$15:$BU$131,CRONO!AH$12,CÁLCULO!$AJ$15:$BB$131)/(ORÇAMENTO!$X$15-CÁLCULO.TotalAdmLocal)*CRONO!$F52,
                        0),
                 AH51*$S50),
          SUMIF(OFFSET($S52,1,0,$R50-2),($M50+1)&amp;"$",OFFSET(AH52,1,0,$R50-2)))</f>
        <v>0</v>
      </c>
      <c r="AI52" s="212">
        <f ca="1">IF($R50=2,
         IF(AND(ACOMPANHAMENTO="PLE",ISNUMBER($F50)),
                SUMIF((OFFSET(CÁLCULO!$BC$15:$BU$15,$F50,0,OFFSET(ORÇAMENTO!$D$15,CRONO!$F50,0))),CRONO!AI$12,OFFSET(CÁLCULO!$AJ$15:$BB$15,$F50,0,OFFSET(ORÇAMENTO!$D$15,CRONO!$F50,0)))
                +IF(AND($F52&lt;&gt;"",$F52&lt;&gt;0),
                        SUMIF(CÁLCULO!$BC$15:$BU$131,CRONO!AI$12,CÁLCULO!$AJ$15:$BB$131)/(ORÇAMENTO!$X$15-CÁLCULO.TotalAdmLocal)*CRONO!$F52,
                        0),
                 AI51*$S50),
          SUMIF(OFFSET($S52,1,0,$R50-2),($M50+1)&amp;"$",OFFSET(AI52,1,0,$R50-2)))</f>
        <v>0</v>
      </c>
      <c r="AJ52" s="212">
        <f ca="1">IF($R50=2,
         IF(AND(ACOMPANHAMENTO="PLE",ISNUMBER($F50)),
                SUMIF((OFFSET(CÁLCULO!$BC$15:$BU$15,$F50,0,OFFSET(ORÇAMENTO!$D$15,CRONO!$F50,0))),CRONO!AJ$12,OFFSET(CÁLCULO!$AJ$15:$BB$15,$F50,0,OFFSET(ORÇAMENTO!$D$15,CRONO!$F50,0)))
                +IF(AND($F52&lt;&gt;"",$F52&lt;&gt;0),
                        SUMIF(CÁLCULO!$BC$15:$BU$131,CRONO!AJ$12,CÁLCULO!$AJ$15:$BB$131)/(ORÇAMENTO!$X$15-CÁLCULO.TotalAdmLocal)*CRONO!$F52,
                        0),
                 AJ51*$S50),
          SUMIF(OFFSET($S52,1,0,$R50-2),($M50+1)&amp;"$",OFFSET(AJ52,1,0,$R50-2)))</f>
        <v>0</v>
      </c>
      <c r="AK52" s="212">
        <f ca="1">IF($R50=2,
         IF(AND(ACOMPANHAMENTO="PLE",ISNUMBER($F50)),
                SUMIF((OFFSET(CÁLCULO!$BC$15:$BU$15,$F50,0,OFFSET(ORÇAMENTO!$D$15,CRONO!$F50,0))),CRONO!AK$12,OFFSET(CÁLCULO!$AJ$15:$BB$15,$F50,0,OFFSET(ORÇAMENTO!$D$15,CRONO!$F50,0)))
                +IF(AND($F52&lt;&gt;"",$F52&lt;&gt;0),
                        SUMIF(CÁLCULO!$BC$15:$BU$131,CRONO!AK$12,CÁLCULO!$AJ$15:$BB$131)/(ORÇAMENTO!$X$15-CÁLCULO.TotalAdmLocal)*CRONO!$F52,
                        0),
                 AK51*$S50),
          SUMIF(OFFSET($S52,1,0,$R50-2),($M50+1)&amp;"$",OFFSET(AK52,1,0,$R50-2)))</f>
        <v>0</v>
      </c>
      <c r="AL52" s="212">
        <f ca="1">IF($R50=2,
         IF(AND(ACOMPANHAMENTO="PLE",ISNUMBER($F50)),
                SUMIF((OFFSET(CÁLCULO!$BC$15:$BU$15,$F50,0,OFFSET(ORÇAMENTO!$D$15,CRONO!$F50,0))),CRONO!AL$12,OFFSET(CÁLCULO!$AJ$15:$BB$15,$F50,0,OFFSET(ORÇAMENTO!$D$15,CRONO!$F50,0)))
                +IF(AND($F52&lt;&gt;"",$F52&lt;&gt;0),
                        SUMIF(CÁLCULO!$BC$15:$BU$131,CRONO!AL$12,CÁLCULO!$AJ$15:$BB$131)/(ORÇAMENTO!$X$15-CÁLCULO.TotalAdmLocal)*CRONO!$F52,
                        0),
                 AL51*$S50),
          SUMIF(OFFSET($S52,1,0,$R50-2),($M50+1)&amp;"$",OFFSET(AL52,1,0,$R50-2)))</f>
        <v>0</v>
      </c>
      <c r="AM52" s="212">
        <f ca="1">IF($R50=2,
         IF(AND(ACOMPANHAMENTO="PLE",ISNUMBER($F50)),
                SUMIF((OFFSET(CÁLCULO!$BC$15:$BU$15,$F50,0,OFFSET(ORÇAMENTO!$D$15,CRONO!$F50,0))),CRONO!AM$12,OFFSET(CÁLCULO!$AJ$15:$BB$15,$F50,0,OFFSET(ORÇAMENTO!$D$15,CRONO!$F50,0)))
                +IF(AND($F52&lt;&gt;"",$F52&lt;&gt;0),
                        SUMIF(CÁLCULO!$BC$15:$BU$131,CRONO!AM$12,CÁLCULO!$AJ$15:$BB$131)/(ORÇAMENTO!$X$15-CÁLCULO.TotalAdmLocal)*CRONO!$F52,
                        0),
                 AM51*$S50),
          SUMIF(OFFSET($S52,1,0,$R50-2),($M50+1)&amp;"$",OFFSET(AM52,1,0,$R50-2)))</f>
        <v>0</v>
      </c>
      <c r="AN52" s="212">
        <f ca="1">IF($R50=2,
         IF(AND(ACOMPANHAMENTO="PLE",ISNUMBER($F50)),
                SUMIF((OFFSET(CÁLCULO!$BC$15:$BU$15,$F50,0,OFFSET(ORÇAMENTO!$D$15,CRONO!$F50,0))),CRONO!AN$12,OFFSET(CÁLCULO!$AJ$15:$BB$15,$F50,0,OFFSET(ORÇAMENTO!$D$15,CRONO!$F50,0)))
                +IF(AND($F52&lt;&gt;"",$F52&lt;&gt;0),
                        SUMIF(CÁLCULO!$BC$15:$BU$131,CRONO!AN$12,CÁLCULO!$AJ$15:$BB$131)/(ORÇAMENTO!$X$15-CÁLCULO.TotalAdmLocal)*CRONO!$F52,
                        0),
                 AN51*$S50),
          SUMIF(OFFSET($S52,1,0,$R50-2),($M50+1)&amp;"$",OFFSET(AN52,1,0,$R50-2)))</f>
        <v>0</v>
      </c>
      <c r="AO52" s="212">
        <f ca="1">IF($R50=2,
         IF(AND(ACOMPANHAMENTO="PLE",ISNUMBER($F50)),
                SUMIF((OFFSET(CÁLCULO!$BC$15:$BU$15,$F50,0,OFFSET(ORÇAMENTO!$D$15,CRONO!$F50,0))),CRONO!AO$12,OFFSET(CÁLCULO!$AJ$15:$BB$15,$F50,0,OFFSET(ORÇAMENTO!$D$15,CRONO!$F50,0)))
                +IF(AND($F52&lt;&gt;"",$F52&lt;&gt;0),
                        SUMIF(CÁLCULO!$BC$15:$BU$131,CRONO!AO$12,CÁLCULO!$AJ$15:$BB$131)/(ORÇAMENTO!$X$15-CÁLCULO.TotalAdmLocal)*CRONO!$F52,
                        0),
                 AO51*$S50),
          SUMIF(OFFSET($S52,1,0,$R50-2),($M50+1)&amp;"$",OFFSET(AO52,1,0,$R50-2)))</f>
        <v>0</v>
      </c>
      <c r="AP52" s="212">
        <f ca="1">IF($R50=2,
         IF(AND(ACOMPANHAMENTO="PLE",ISNUMBER($F50)),
                SUMIF((OFFSET(CÁLCULO!$BC$15:$BU$15,$F50,0,OFFSET(ORÇAMENTO!$D$15,CRONO!$F50,0))),CRONO!AP$12,OFFSET(CÁLCULO!$AJ$15:$BB$15,$F50,0,OFFSET(ORÇAMENTO!$D$15,CRONO!$F50,0)))
                +IF(AND($F52&lt;&gt;"",$F52&lt;&gt;0),
                        SUMIF(CÁLCULO!$BC$15:$BU$131,CRONO!AP$12,CÁLCULO!$AJ$15:$BB$131)/(ORÇAMENTO!$X$15-CÁLCULO.TotalAdmLocal)*CRONO!$F52,
                        0),
                 AP51*$S50),
          SUMIF(OFFSET($S52,1,0,$R50-2),($M50+1)&amp;"$",OFFSET(AP52,1,0,$R50-2)))</f>
        <v>0</v>
      </c>
      <c r="AQ52" s="212">
        <f ca="1">IF($R50=2,
         IF(AND(ACOMPANHAMENTO="PLE",ISNUMBER($F50)),
                SUMIF((OFFSET(CÁLCULO!$BC$15:$BU$15,$F50,0,OFFSET(ORÇAMENTO!$D$15,CRONO!$F50,0))),CRONO!AQ$12,OFFSET(CÁLCULO!$AJ$15:$BB$15,$F50,0,OFFSET(ORÇAMENTO!$D$15,CRONO!$F50,0)))
                +IF(AND($F52&lt;&gt;"",$F52&lt;&gt;0),
                        SUMIF(CÁLCULO!$BC$15:$BU$131,CRONO!AQ$12,CÁLCULO!$AJ$15:$BB$131)/(ORÇAMENTO!$X$15-CÁLCULO.TotalAdmLocal)*CRONO!$F52,
                        0),
                 AQ51*$S50),
          SUMIF(OFFSET($S52,1,0,$R50-2),($M50+1)&amp;"$",OFFSET(AQ52,1,0,$R50-2)))</f>
        <v>0</v>
      </c>
      <c r="AR52" s="212">
        <f ca="1">IF($R50=2,
         IF(AND(ACOMPANHAMENTO="PLE",ISNUMBER($F50)),
                SUMIF((OFFSET(CÁLCULO!$BC$15:$BU$15,$F50,0,OFFSET(ORÇAMENTO!$D$15,CRONO!$F50,0))),CRONO!AR$12,OFFSET(CÁLCULO!$AJ$15:$BB$15,$F50,0,OFFSET(ORÇAMENTO!$D$15,CRONO!$F50,0)))
                +IF(AND($F52&lt;&gt;"",$F52&lt;&gt;0),
                        SUMIF(CÁLCULO!$BC$15:$BU$131,CRONO!AR$12,CÁLCULO!$AJ$15:$BB$131)/(ORÇAMENTO!$X$15-CÁLCULO.TotalAdmLocal)*CRONO!$F52,
                        0),
                 AR51*$S50),
          SUMIF(OFFSET($S52,1,0,$R50-2),($M50+1)&amp;"$",OFFSET(AR52,1,0,$R50-2)))</f>
        <v>0</v>
      </c>
      <c r="AS52" s="577"/>
    </row>
    <row r="53" spans="1:45" x14ac:dyDescent="0.2">
      <c r="A53" s="196" t="str">
        <f t="shared" ref="A53" ca="1" si="80">IF($M53&gt;1,CONCATENATE($I53," ",$J53),"")</f>
        <v>1.13. SERVIÇOS FINAIS</v>
      </c>
      <c r="B53" s="195">
        <f t="shared" ref="B53" ca="1" si="81">OFFSET(B53,-3,0)+1</f>
        <v>14</v>
      </c>
      <c r="C53" s="195">
        <f ca="1">IF($R53&lt;&gt;2,0,IF($S53=0,1,IF(F54&gt;0,OFFSET(QCI!$M$13,SUBSTITUTE(F54,".",""),0),OFFSET(ORÇAMENTO!$AA$15,CRONO!$F53,0))/$S53))</f>
        <v>0.99999999999999978</v>
      </c>
      <c r="D53" s="195">
        <f ca="1">IF($R53&lt;&gt;2,0,IF($S53=0,1,IF(F54&gt;0,OFFSET(QCI!$N$13,SUBSTITUTE(F54,".",""),0),OFFSET(ORÇAMENTO!$AB$15,CRONO!$F53,0))/$S53))</f>
        <v>0</v>
      </c>
      <c r="E53" s="198">
        <f ca="1">IF(AND($R53=2,ACOMPANHAMENTO="BM"),ROUND(E54,4),E55/$S53)</f>
        <v>0</v>
      </c>
      <c r="F53" s="195">
        <f ca="1">IF(B53&lt;=ORÇAMENTO.MáximoListaCrono,MATCH(B53,ORÇAMENTO.ListaCrono,0),NA())</f>
        <v>113</v>
      </c>
      <c r="G53" s="195" t="str">
        <f t="shared" ref="G53" ca="1" si="82">IF(AND($F54&lt;&gt;-1,$S53&gt;0),"F","")</f>
        <v>F</v>
      </c>
      <c r="H53" s="199" t="str">
        <f ca="1">IF(OR(S53=0,S53=""),"Linha",IF(AND(OR(ACOMPANHAMENTO="PLE",$R53&lt;&gt;2),$F54=0),"Linha",ROUND(1-SUM(U53:AS53),4)))</f>
        <v>Linha</v>
      </c>
      <c r="I53" s="200" t="str">
        <f ca="1">IF($F54=0,OFFSET(ORÇAMENTO!O$15,$F53,0),IF($F54&lt;&gt;-1,OFFSET(QCI!$D$13,$F54,0),""))</f>
        <v>1.13.</v>
      </c>
      <c r="J53" s="201" t="str">
        <f ca="1">IF($F54=0,OFFSET(ORÇAMENTO!R$15,$F53,0),IF($F54&lt;&gt;-1,OFFSET(QCI!$G$13,$F54,0),""))</f>
        <v>SERVIÇOS FINAIS</v>
      </c>
      <c r="K53" s="201"/>
      <c r="L53" s="201"/>
      <c r="M53" s="202">
        <f ca="1">IF($F54=0,OFFSET(ORÇAMENTO!C$15,$F53,0),1)</f>
        <v>2</v>
      </c>
      <c r="N53" s="203">
        <f ca="1">IF($F54=-1,0,IF(N$13&lt;=$M53,IF(ISERROR(MATCH(N$13,OFFSET($M53,1,0,ROW($M$107)-ROW($M53)-1),0)),ROW($M$107)-ROW($M53)-1,MATCH(N$13,OFFSET($M53,1,0,ROW($M$107)-ROW($M53)-1),0)-1),0))</f>
        <v>2</v>
      </c>
      <c r="O53" s="203">
        <f ca="1">IF($F54=-1,0,IF(O$13&lt;=$M53,IF(ISERROR(MATCH(O$13,OFFSET($M53,1,0,ROW($M$107)-ROW($M53)-1),0)),ROW($M$107)-ROW($M53)-1,MATCH(O$13,OFFSET($M53,1,0,ROW($M$107)-ROW($M53)-1),0)-1),0))</f>
        <v>53</v>
      </c>
      <c r="P53" s="203">
        <f ca="1">IF($F54=-1,0,IF(P$13&lt;=$M53,IF(ISERROR(MATCH(P$13,OFFSET($M53,1,0,ROW($M$107)-ROW($M53)-1),0)),ROW($M$107)-ROW($M53)-1,MATCH(P$13,OFFSET($M53,1,0,ROW($M$107)-ROW($M53)-1),0)-1),0))</f>
        <v>0</v>
      </c>
      <c r="Q53" s="203">
        <f ca="1">IF($F54=-1,0,IF(Q$13&lt;=$M53,IF(ISERROR(MATCH(Q$13,OFFSET($M53,1,0,ROW($M$107)-ROW($M53)-1),0)),ROW($M$107)-ROW($M53)-1,MATCH(Q$13,OFFSET($M53,1,0,ROW($M$107)-ROW($M53)-1),0)-1),0))</f>
        <v>0</v>
      </c>
      <c r="R53" s="203">
        <f t="shared" ref="R53" ca="1" si="83">MIN(OFFSET(M53,0,1,,M53))</f>
        <v>2</v>
      </c>
      <c r="S53" s="204">
        <f ca="1">IF($F54=0,OFFSET(ORÇAMENTO!X$15,$F53,0),IF($F54&lt;&gt;-1,OFFSET(QCI!$O$13,$F54,0),""))</f>
        <v>1244.8900000000001</v>
      </c>
      <c r="T53" s="205" t="s">
        <v>266</v>
      </c>
      <c r="U53" s="198">
        <f ca="1">IF(AND($R53=2,ACOMPANHAMENTO="BM"),ROUND(U54,4),U55/$S53)</f>
        <v>0</v>
      </c>
      <c r="V53" s="198">
        <f ca="1">IF(AND($R53=2,ACOMPANHAMENTO="BM"),ROUND(V54,4),V55/$S53)</f>
        <v>0</v>
      </c>
      <c r="W53" s="198">
        <f ca="1">IF(AND($R53=2,ACOMPANHAMENTO="BM"),ROUND(W54,4),W55/$S53)</f>
        <v>0</v>
      </c>
      <c r="X53" s="198">
        <f ca="1">IF(AND($R53=2,ACOMPANHAMENTO="BM"),ROUND(X54,4),X55/$S53)</f>
        <v>0</v>
      </c>
      <c r="Y53" s="198">
        <f ca="1">IF(AND($R53=2,ACOMPANHAMENTO="BM"),ROUND(Y54,4),Y55/$S53)</f>
        <v>0.99999999999999978</v>
      </c>
      <c r="Z53" s="198">
        <f ca="1">IF(AND($R53=2,ACOMPANHAMENTO="BM"),ROUND(Z54,4),Z55/$S53)</f>
        <v>0</v>
      </c>
      <c r="AA53" s="198">
        <f ca="1">IF(AND($R53=2,ACOMPANHAMENTO="BM"),ROUND(AA54,4),AA55/$S53)</f>
        <v>0</v>
      </c>
      <c r="AB53" s="198">
        <f ca="1">IF(AND($R53=2,ACOMPANHAMENTO="BM"),ROUND(AB54,4),AB55/$S53)</f>
        <v>0</v>
      </c>
      <c r="AC53" s="198">
        <f ca="1">IF(AND($R53=2,ACOMPANHAMENTO="BM"),ROUND(AC54,4),AC55/$S53)</f>
        <v>0</v>
      </c>
      <c r="AD53" s="198">
        <f ca="1">IF(AND($R53=2,ACOMPANHAMENTO="BM"),ROUND(AD54,4),AD55/$S53)</f>
        <v>0</v>
      </c>
      <c r="AE53" s="198">
        <f ca="1">IF(AND($R53=2,ACOMPANHAMENTO="BM"),ROUND(AE54,4),AE55/$S53)</f>
        <v>0</v>
      </c>
      <c r="AF53" s="198">
        <f ca="1">IF(AND($R53=2,ACOMPANHAMENTO="BM"),ROUND(AF54,4),AF55/$S53)</f>
        <v>0</v>
      </c>
      <c r="AG53" s="198">
        <f ca="1">IF(AND($R53=2,ACOMPANHAMENTO="BM"),ROUND(AG54,4),AG55/$S53)</f>
        <v>0</v>
      </c>
      <c r="AH53" s="198">
        <f ca="1">IF(AND($R53=2,ACOMPANHAMENTO="BM"),ROUND(AH54,4),AH55/$S53)</f>
        <v>0</v>
      </c>
      <c r="AI53" s="198">
        <f ca="1">IF(AND($R53=2,ACOMPANHAMENTO="BM"),ROUND(AI54,4),AI55/$S53)</f>
        <v>0</v>
      </c>
      <c r="AJ53" s="198">
        <f ca="1">IF(AND($R53=2,ACOMPANHAMENTO="BM"),ROUND(AJ54,4),AJ55/$S53)</f>
        <v>0</v>
      </c>
      <c r="AK53" s="198">
        <f ca="1">IF(AND($R53=2,ACOMPANHAMENTO="BM"),ROUND(AK54,4),AK55/$S53)</f>
        <v>0</v>
      </c>
      <c r="AL53" s="198">
        <f ca="1">IF(AND($R53=2,ACOMPANHAMENTO="BM"),ROUND(AL54,4),AL55/$S53)</f>
        <v>0</v>
      </c>
      <c r="AM53" s="198">
        <f ca="1">IF(AND($R53=2,ACOMPANHAMENTO="BM"),ROUND(AM54,4),AM55/$S53)</f>
        <v>0</v>
      </c>
      <c r="AN53" s="198">
        <f ca="1">IF(AND($R53=2,ACOMPANHAMENTO="BM"),ROUND(AN54,4),AN55/$S53)</f>
        <v>0</v>
      </c>
      <c r="AO53" s="198">
        <f ca="1">IF(AND($R53=2,ACOMPANHAMENTO="BM"),ROUND(AO54,4),AO55/$S53)</f>
        <v>0</v>
      </c>
      <c r="AP53" s="198">
        <f ca="1">IF(AND($R53=2,ACOMPANHAMENTO="BM"),ROUND(AP54,4),AP55/$S53)</f>
        <v>0</v>
      </c>
      <c r="AQ53" s="198">
        <f ca="1">IF(AND($R53=2,ACOMPANHAMENTO="BM"),ROUND(AQ54,4),AQ55/$S53)</f>
        <v>0</v>
      </c>
      <c r="AR53" s="198">
        <f ca="1">IF(AND($R53=2,ACOMPANHAMENTO="BM"),ROUND(AR54,4),AR55/$S53)</f>
        <v>0</v>
      </c>
      <c r="AS53" s="577"/>
    </row>
    <row r="54" spans="1:45" ht="12.75" hidden="1" customHeight="1" x14ac:dyDescent="0.2">
      <c r="E54" s="645"/>
      <c r="F54" s="195">
        <f ca="1">IF(ISERROR(F53),IF(1+COUNTIF($M$13:OFFSET(M53,-1,0),1)&lt;=MAX(QCI!$D$13:$D$24),1+COUNTIF($M$13:OFFSET(M53,-1,0),1),-1),0)</f>
        <v>0</v>
      </c>
      <c r="G54" s="195" t="str">
        <f ca="1">IF(ACOMPANHAMENTO="BM",OFFSET(G54,-1,0),"")</f>
        <v/>
      </c>
      <c r="H54" s="206" t="str">
        <f ca="1">IF(OR(S53=0,S53=""),"vazia",IF(AND(OR(ACOMPANHAMENTO="PLE",$R53&lt;&gt;2),$F54=0),"calculada","--&gt;"))</f>
        <v>calculada</v>
      </c>
      <c r="I54" s="207"/>
      <c r="J54" s="208" t="str">
        <f t="shared" ref="J54" ca="1" si="84">IF(AND(H53&lt;&gt;0,ISNUMBER(H53)),"PREENCHA ESTA LINHA --&gt;","")</f>
        <v/>
      </c>
      <c r="K54" s="208"/>
      <c r="L54" s="208"/>
      <c r="M54" s="209"/>
      <c r="N54" s="209"/>
      <c r="O54" s="209"/>
      <c r="P54" s="209"/>
      <c r="Q54" s="209"/>
      <c r="R54" s="209"/>
      <c r="S54" s="210"/>
      <c r="T54" s="211"/>
      <c r="U54" s="645"/>
      <c r="V54" s="645"/>
      <c r="W54" s="645"/>
      <c r="X54" s="645"/>
      <c r="Y54" s="645"/>
      <c r="Z54" s="645"/>
      <c r="AA54" s="645"/>
      <c r="AB54" s="645"/>
      <c r="AC54" s="645"/>
      <c r="AD54" s="645"/>
      <c r="AE54" s="645"/>
      <c r="AF54" s="645"/>
      <c r="AG54" s="645"/>
      <c r="AH54" s="645"/>
      <c r="AI54" s="645"/>
      <c r="AJ54" s="645"/>
      <c r="AK54" s="645"/>
      <c r="AL54" s="645"/>
      <c r="AM54" s="645"/>
      <c r="AN54" s="645"/>
      <c r="AO54" s="645"/>
      <c r="AP54" s="645"/>
      <c r="AQ54" s="645"/>
      <c r="AR54" s="645"/>
      <c r="AS54" s="577"/>
    </row>
    <row r="55" spans="1:45" ht="12.75" hidden="1" customHeight="1" x14ac:dyDescent="0.2">
      <c r="D55" s="576"/>
      <c r="E55" s="212">
        <f ca="1">IF($R53=2,
         IF(AND(ACOMPANHAMENTO="PLE",ISNUMBER($F53)),
                SUMIF((OFFSET(CÁLCULO!$BC$15:$BU$15,$F53,0,OFFSET(ORÇAMENTO!$D$15,CRONO!$F53,0))),CRONO!E$12,OFFSET(CÁLCULO!$AJ$15:$BB$15,$F53,0,OFFSET(ORÇAMENTO!$D$15,CRONO!$F53,0)))
                +IF(AND($F55&lt;&gt;"",$F55&lt;&gt;0),
                        SUMIF(CÁLCULO!$BC$15:$BU$131,CRONO!E$12,CÁLCULO!$AJ$15:$BB$131)/(ORÇAMENTO!$X$15-CÁLCULO.TotalAdmLocal)*CRONO!$F55,
                        0),
                 E54*$S53),
          SUMIF(OFFSET($S55,1,0,$R53-2),($M53+1)&amp;"$",OFFSET(E55,1,0,$R53-2)))</f>
        <v>0</v>
      </c>
      <c r="F55" s="195" t="str">
        <f ca="1">IF(OR($R53&lt;&gt;2,AUTOEVENTO&lt;&gt;"manual",$F54&gt;0),"",
        IF(Import.TipoArredondamento="Tradicional",
              SUMIF(OFFSET(CÁLCULO!$M$15,CRONO!$F53,0,OFFSET(ORÇAMENTO!$D$15,CRONO!$F53,0)),1,OFFSET(ORÇAMENTO!$X$15,CRONO!$F53,0,OFFSET(ORÇAMENTO!$D$15,CRONO!$F53,0))),
              0))</f>
        <v/>
      </c>
      <c r="H55" s="213"/>
      <c r="S55" s="214" t="str">
        <f t="shared" ref="S55" ca="1" si="85">M53&amp;"$"</f>
        <v>2$</v>
      </c>
      <c r="T55" s="215"/>
      <c r="U55" s="212">
        <f ca="1">IF($R53=2,
         IF(AND(ACOMPANHAMENTO="PLE",ISNUMBER($F53)),
                SUMIF((OFFSET(CÁLCULO!$BC$15:$BU$15,$F53,0,OFFSET(ORÇAMENTO!$D$15,CRONO!$F53,0))),CRONO!U$12,OFFSET(CÁLCULO!$AJ$15:$BB$15,$F53,0,OFFSET(ORÇAMENTO!$D$15,CRONO!$F53,0)))
                +IF(AND($F55&lt;&gt;"",$F55&lt;&gt;0),
                        SUMIF(CÁLCULO!$BC$15:$BU$131,CRONO!U$12,CÁLCULO!$AJ$15:$BB$131)/(ORÇAMENTO!$X$15-CÁLCULO.TotalAdmLocal)*CRONO!$F55,
                        0),
                 U54*$S53),
          SUMIF(OFFSET($S55,1,0,$R53-2),($M53+1)&amp;"$",OFFSET(U55,1,0,$R53-2)))</f>
        <v>0</v>
      </c>
      <c r="V55" s="212">
        <f ca="1">IF($R53=2,
         IF(AND(ACOMPANHAMENTO="PLE",ISNUMBER($F53)),
                SUMIF((OFFSET(CÁLCULO!$BC$15:$BU$15,$F53,0,OFFSET(ORÇAMENTO!$D$15,CRONO!$F53,0))),CRONO!V$12,OFFSET(CÁLCULO!$AJ$15:$BB$15,$F53,0,OFFSET(ORÇAMENTO!$D$15,CRONO!$F53,0)))
                +IF(AND($F55&lt;&gt;"",$F55&lt;&gt;0),
                        SUMIF(CÁLCULO!$BC$15:$BU$131,CRONO!V$12,CÁLCULO!$AJ$15:$BB$131)/(ORÇAMENTO!$X$15-CÁLCULO.TotalAdmLocal)*CRONO!$F55,
                        0),
                 V54*$S53),
          SUMIF(OFFSET($S55,1,0,$R53-2),($M53+1)&amp;"$",OFFSET(V55,1,0,$R53-2)))</f>
        <v>0</v>
      </c>
      <c r="W55" s="212">
        <f ca="1">IF($R53=2,
         IF(AND(ACOMPANHAMENTO="PLE",ISNUMBER($F53)),
                SUMIF((OFFSET(CÁLCULO!$BC$15:$BU$15,$F53,0,OFFSET(ORÇAMENTO!$D$15,CRONO!$F53,0))),CRONO!W$12,OFFSET(CÁLCULO!$AJ$15:$BB$15,$F53,0,OFFSET(ORÇAMENTO!$D$15,CRONO!$F53,0)))
                +IF(AND($F55&lt;&gt;"",$F55&lt;&gt;0),
                        SUMIF(CÁLCULO!$BC$15:$BU$131,CRONO!W$12,CÁLCULO!$AJ$15:$BB$131)/(ORÇAMENTO!$X$15-CÁLCULO.TotalAdmLocal)*CRONO!$F55,
                        0),
                 W54*$S53),
          SUMIF(OFFSET($S55,1,0,$R53-2),($M53+1)&amp;"$",OFFSET(W55,1,0,$R53-2)))</f>
        <v>0</v>
      </c>
      <c r="X55" s="212">
        <f ca="1">IF($R53=2,
         IF(AND(ACOMPANHAMENTO="PLE",ISNUMBER($F53)),
                SUMIF((OFFSET(CÁLCULO!$BC$15:$BU$15,$F53,0,OFFSET(ORÇAMENTO!$D$15,CRONO!$F53,0))),CRONO!X$12,OFFSET(CÁLCULO!$AJ$15:$BB$15,$F53,0,OFFSET(ORÇAMENTO!$D$15,CRONO!$F53,0)))
                +IF(AND($F55&lt;&gt;"",$F55&lt;&gt;0),
                        SUMIF(CÁLCULO!$BC$15:$BU$131,CRONO!X$12,CÁLCULO!$AJ$15:$BB$131)/(ORÇAMENTO!$X$15-CÁLCULO.TotalAdmLocal)*CRONO!$F55,
                        0),
                 X54*$S53),
          SUMIF(OFFSET($S55,1,0,$R53-2),($M53+1)&amp;"$",OFFSET(X55,1,0,$R53-2)))</f>
        <v>0</v>
      </c>
      <c r="Y55" s="212">
        <f ca="1">IF($R53=2,
         IF(AND(ACOMPANHAMENTO="PLE",ISNUMBER($F53)),
                SUMIF((OFFSET(CÁLCULO!$BC$15:$BU$15,$F53,0,OFFSET(ORÇAMENTO!$D$15,CRONO!$F53,0))),CRONO!Y$12,OFFSET(CÁLCULO!$AJ$15:$BB$15,$F53,0,OFFSET(ORÇAMENTO!$D$15,CRONO!$F53,0)))
                +IF(AND($F55&lt;&gt;"",$F55&lt;&gt;0),
                        SUMIF(CÁLCULO!$BC$15:$BU$131,CRONO!Y$12,CÁLCULO!$AJ$15:$BB$131)/(ORÇAMENTO!$X$15-CÁLCULO.TotalAdmLocal)*CRONO!$F55,
                        0),
                 Y54*$S53),
          SUMIF(OFFSET($S55,1,0,$R53-2),($M53+1)&amp;"$",OFFSET(Y55,1,0,$R53-2)))</f>
        <v>1244.8899999999999</v>
      </c>
      <c r="Z55" s="212">
        <f ca="1">IF($R53=2,
         IF(AND(ACOMPANHAMENTO="PLE",ISNUMBER($F53)),
                SUMIF((OFFSET(CÁLCULO!$BC$15:$BU$15,$F53,0,OFFSET(ORÇAMENTO!$D$15,CRONO!$F53,0))),CRONO!Z$12,OFFSET(CÁLCULO!$AJ$15:$BB$15,$F53,0,OFFSET(ORÇAMENTO!$D$15,CRONO!$F53,0)))
                +IF(AND($F55&lt;&gt;"",$F55&lt;&gt;0),
                        SUMIF(CÁLCULO!$BC$15:$BU$131,CRONO!Z$12,CÁLCULO!$AJ$15:$BB$131)/(ORÇAMENTO!$X$15-CÁLCULO.TotalAdmLocal)*CRONO!$F55,
                        0),
                 Z54*$S53),
          SUMIF(OFFSET($S55,1,0,$R53-2),($M53+1)&amp;"$",OFFSET(Z55,1,0,$R53-2)))</f>
        <v>0</v>
      </c>
      <c r="AA55" s="212">
        <f ca="1">IF($R53=2,
         IF(AND(ACOMPANHAMENTO="PLE",ISNUMBER($F53)),
                SUMIF((OFFSET(CÁLCULO!$BC$15:$BU$15,$F53,0,OFFSET(ORÇAMENTO!$D$15,CRONO!$F53,0))),CRONO!AA$12,OFFSET(CÁLCULO!$AJ$15:$BB$15,$F53,0,OFFSET(ORÇAMENTO!$D$15,CRONO!$F53,0)))
                +IF(AND($F55&lt;&gt;"",$F55&lt;&gt;0),
                        SUMIF(CÁLCULO!$BC$15:$BU$131,CRONO!AA$12,CÁLCULO!$AJ$15:$BB$131)/(ORÇAMENTO!$X$15-CÁLCULO.TotalAdmLocal)*CRONO!$F55,
                        0),
                 AA54*$S53),
          SUMIF(OFFSET($S55,1,0,$R53-2),($M53+1)&amp;"$",OFFSET(AA55,1,0,$R53-2)))</f>
        <v>0</v>
      </c>
      <c r="AB55" s="212">
        <f ca="1">IF($R53=2,
         IF(AND(ACOMPANHAMENTO="PLE",ISNUMBER($F53)),
                SUMIF((OFFSET(CÁLCULO!$BC$15:$BU$15,$F53,0,OFFSET(ORÇAMENTO!$D$15,CRONO!$F53,0))),CRONO!AB$12,OFFSET(CÁLCULO!$AJ$15:$BB$15,$F53,0,OFFSET(ORÇAMENTO!$D$15,CRONO!$F53,0)))
                +IF(AND($F55&lt;&gt;"",$F55&lt;&gt;0),
                        SUMIF(CÁLCULO!$BC$15:$BU$131,CRONO!AB$12,CÁLCULO!$AJ$15:$BB$131)/(ORÇAMENTO!$X$15-CÁLCULO.TotalAdmLocal)*CRONO!$F55,
                        0),
                 AB54*$S53),
          SUMIF(OFFSET($S55,1,0,$R53-2),($M53+1)&amp;"$",OFFSET(AB55,1,0,$R53-2)))</f>
        <v>0</v>
      </c>
      <c r="AC55" s="212">
        <f ca="1">IF($R53=2,
         IF(AND(ACOMPANHAMENTO="PLE",ISNUMBER($F53)),
                SUMIF((OFFSET(CÁLCULO!$BC$15:$BU$15,$F53,0,OFFSET(ORÇAMENTO!$D$15,CRONO!$F53,0))),CRONO!AC$12,OFFSET(CÁLCULO!$AJ$15:$BB$15,$F53,0,OFFSET(ORÇAMENTO!$D$15,CRONO!$F53,0)))
                +IF(AND($F55&lt;&gt;"",$F55&lt;&gt;0),
                        SUMIF(CÁLCULO!$BC$15:$BU$131,CRONO!AC$12,CÁLCULO!$AJ$15:$BB$131)/(ORÇAMENTO!$X$15-CÁLCULO.TotalAdmLocal)*CRONO!$F55,
                        0),
                 AC54*$S53),
          SUMIF(OFFSET($S55,1,0,$R53-2),($M53+1)&amp;"$",OFFSET(AC55,1,0,$R53-2)))</f>
        <v>0</v>
      </c>
      <c r="AD55" s="212">
        <f ca="1">IF($R53=2,
         IF(AND(ACOMPANHAMENTO="PLE",ISNUMBER($F53)),
                SUMIF((OFFSET(CÁLCULO!$BC$15:$BU$15,$F53,0,OFFSET(ORÇAMENTO!$D$15,CRONO!$F53,0))),CRONO!AD$12,OFFSET(CÁLCULO!$AJ$15:$BB$15,$F53,0,OFFSET(ORÇAMENTO!$D$15,CRONO!$F53,0)))
                +IF(AND($F55&lt;&gt;"",$F55&lt;&gt;0),
                        SUMIF(CÁLCULO!$BC$15:$BU$131,CRONO!AD$12,CÁLCULO!$AJ$15:$BB$131)/(ORÇAMENTO!$X$15-CÁLCULO.TotalAdmLocal)*CRONO!$F55,
                        0),
                 AD54*$S53),
          SUMIF(OFFSET($S55,1,0,$R53-2),($M53+1)&amp;"$",OFFSET(AD55,1,0,$R53-2)))</f>
        <v>0</v>
      </c>
      <c r="AE55" s="212">
        <f ca="1">IF($R53=2,
         IF(AND(ACOMPANHAMENTO="PLE",ISNUMBER($F53)),
                SUMIF((OFFSET(CÁLCULO!$BC$15:$BU$15,$F53,0,OFFSET(ORÇAMENTO!$D$15,CRONO!$F53,0))),CRONO!AE$12,OFFSET(CÁLCULO!$AJ$15:$BB$15,$F53,0,OFFSET(ORÇAMENTO!$D$15,CRONO!$F53,0)))
                +IF(AND($F55&lt;&gt;"",$F55&lt;&gt;0),
                        SUMIF(CÁLCULO!$BC$15:$BU$131,CRONO!AE$12,CÁLCULO!$AJ$15:$BB$131)/(ORÇAMENTO!$X$15-CÁLCULO.TotalAdmLocal)*CRONO!$F55,
                        0),
                 AE54*$S53),
          SUMIF(OFFSET($S55,1,0,$R53-2),($M53+1)&amp;"$",OFFSET(AE55,1,0,$R53-2)))</f>
        <v>0</v>
      </c>
      <c r="AF55" s="212">
        <f ca="1">IF($R53=2,
         IF(AND(ACOMPANHAMENTO="PLE",ISNUMBER($F53)),
                SUMIF((OFFSET(CÁLCULO!$BC$15:$BU$15,$F53,0,OFFSET(ORÇAMENTO!$D$15,CRONO!$F53,0))),CRONO!AF$12,OFFSET(CÁLCULO!$AJ$15:$BB$15,$F53,0,OFFSET(ORÇAMENTO!$D$15,CRONO!$F53,0)))
                +IF(AND($F55&lt;&gt;"",$F55&lt;&gt;0),
                        SUMIF(CÁLCULO!$BC$15:$BU$131,CRONO!AF$12,CÁLCULO!$AJ$15:$BB$131)/(ORÇAMENTO!$X$15-CÁLCULO.TotalAdmLocal)*CRONO!$F55,
                        0),
                 AF54*$S53),
          SUMIF(OFFSET($S55,1,0,$R53-2),($M53+1)&amp;"$",OFFSET(AF55,1,0,$R53-2)))</f>
        <v>0</v>
      </c>
      <c r="AG55" s="212">
        <f ca="1">IF($R53=2,
         IF(AND(ACOMPANHAMENTO="PLE",ISNUMBER($F53)),
                SUMIF((OFFSET(CÁLCULO!$BC$15:$BU$15,$F53,0,OFFSET(ORÇAMENTO!$D$15,CRONO!$F53,0))),CRONO!AG$12,OFFSET(CÁLCULO!$AJ$15:$BB$15,$F53,0,OFFSET(ORÇAMENTO!$D$15,CRONO!$F53,0)))
                +IF(AND($F55&lt;&gt;"",$F55&lt;&gt;0),
                        SUMIF(CÁLCULO!$BC$15:$BU$131,CRONO!AG$12,CÁLCULO!$AJ$15:$BB$131)/(ORÇAMENTO!$X$15-CÁLCULO.TotalAdmLocal)*CRONO!$F55,
                        0),
                 AG54*$S53),
          SUMIF(OFFSET($S55,1,0,$R53-2),($M53+1)&amp;"$",OFFSET(AG55,1,0,$R53-2)))</f>
        <v>0</v>
      </c>
      <c r="AH55" s="212">
        <f ca="1">IF($R53=2,
         IF(AND(ACOMPANHAMENTO="PLE",ISNUMBER($F53)),
                SUMIF((OFFSET(CÁLCULO!$BC$15:$BU$15,$F53,0,OFFSET(ORÇAMENTO!$D$15,CRONO!$F53,0))),CRONO!AH$12,OFFSET(CÁLCULO!$AJ$15:$BB$15,$F53,0,OFFSET(ORÇAMENTO!$D$15,CRONO!$F53,0)))
                +IF(AND($F55&lt;&gt;"",$F55&lt;&gt;0),
                        SUMIF(CÁLCULO!$BC$15:$BU$131,CRONO!AH$12,CÁLCULO!$AJ$15:$BB$131)/(ORÇAMENTO!$X$15-CÁLCULO.TotalAdmLocal)*CRONO!$F55,
                        0),
                 AH54*$S53),
          SUMIF(OFFSET($S55,1,0,$R53-2),($M53+1)&amp;"$",OFFSET(AH55,1,0,$R53-2)))</f>
        <v>0</v>
      </c>
      <c r="AI55" s="212">
        <f ca="1">IF($R53=2,
         IF(AND(ACOMPANHAMENTO="PLE",ISNUMBER($F53)),
                SUMIF((OFFSET(CÁLCULO!$BC$15:$BU$15,$F53,0,OFFSET(ORÇAMENTO!$D$15,CRONO!$F53,0))),CRONO!AI$12,OFFSET(CÁLCULO!$AJ$15:$BB$15,$F53,0,OFFSET(ORÇAMENTO!$D$15,CRONO!$F53,0)))
                +IF(AND($F55&lt;&gt;"",$F55&lt;&gt;0),
                        SUMIF(CÁLCULO!$BC$15:$BU$131,CRONO!AI$12,CÁLCULO!$AJ$15:$BB$131)/(ORÇAMENTO!$X$15-CÁLCULO.TotalAdmLocal)*CRONO!$F55,
                        0),
                 AI54*$S53),
          SUMIF(OFFSET($S55,1,0,$R53-2),($M53+1)&amp;"$",OFFSET(AI55,1,0,$R53-2)))</f>
        <v>0</v>
      </c>
      <c r="AJ55" s="212">
        <f ca="1">IF($R53=2,
         IF(AND(ACOMPANHAMENTO="PLE",ISNUMBER($F53)),
                SUMIF((OFFSET(CÁLCULO!$BC$15:$BU$15,$F53,0,OFFSET(ORÇAMENTO!$D$15,CRONO!$F53,0))),CRONO!AJ$12,OFFSET(CÁLCULO!$AJ$15:$BB$15,$F53,0,OFFSET(ORÇAMENTO!$D$15,CRONO!$F53,0)))
                +IF(AND($F55&lt;&gt;"",$F55&lt;&gt;0),
                        SUMIF(CÁLCULO!$BC$15:$BU$131,CRONO!AJ$12,CÁLCULO!$AJ$15:$BB$131)/(ORÇAMENTO!$X$15-CÁLCULO.TotalAdmLocal)*CRONO!$F55,
                        0),
                 AJ54*$S53),
          SUMIF(OFFSET($S55,1,0,$R53-2),($M53+1)&amp;"$",OFFSET(AJ55,1,0,$R53-2)))</f>
        <v>0</v>
      </c>
      <c r="AK55" s="212">
        <f ca="1">IF($R53=2,
         IF(AND(ACOMPANHAMENTO="PLE",ISNUMBER($F53)),
                SUMIF((OFFSET(CÁLCULO!$BC$15:$BU$15,$F53,0,OFFSET(ORÇAMENTO!$D$15,CRONO!$F53,0))),CRONO!AK$12,OFFSET(CÁLCULO!$AJ$15:$BB$15,$F53,0,OFFSET(ORÇAMENTO!$D$15,CRONO!$F53,0)))
                +IF(AND($F55&lt;&gt;"",$F55&lt;&gt;0),
                        SUMIF(CÁLCULO!$BC$15:$BU$131,CRONO!AK$12,CÁLCULO!$AJ$15:$BB$131)/(ORÇAMENTO!$X$15-CÁLCULO.TotalAdmLocal)*CRONO!$F55,
                        0),
                 AK54*$S53),
          SUMIF(OFFSET($S55,1,0,$R53-2),($M53+1)&amp;"$",OFFSET(AK55,1,0,$R53-2)))</f>
        <v>0</v>
      </c>
      <c r="AL55" s="212">
        <f ca="1">IF($R53=2,
         IF(AND(ACOMPANHAMENTO="PLE",ISNUMBER($F53)),
                SUMIF((OFFSET(CÁLCULO!$BC$15:$BU$15,$F53,0,OFFSET(ORÇAMENTO!$D$15,CRONO!$F53,0))),CRONO!AL$12,OFFSET(CÁLCULO!$AJ$15:$BB$15,$F53,0,OFFSET(ORÇAMENTO!$D$15,CRONO!$F53,0)))
                +IF(AND($F55&lt;&gt;"",$F55&lt;&gt;0),
                        SUMIF(CÁLCULO!$BC$15:$BU$131,CRONO!AL$12,CÁLCULO!$AJ$15:$BB$131)/(ORÇAMENTO!$X$15-CÁLCULO.TotalAdmLocal)*CRONO!$F55,
                        0),
                 AL54*$S53),
          SUMIF(OFFSET($S55,1,0,$R53-2),($M53+1)&amp;"$",OFFSET(AL55,1,0,$R53-2)))</f>
        <v>0</v>
      </c>
      <c r="AM55" s="212">
        <f ca="1">IF($R53=2,
         IF(AND(ACOMPANHAMENTO="PLE",ISNUMBER($F53)),
                SUMIF((OFFSET(CÁLCULO!$BC$15:$BU$15,$F53,0,OFFSET(ORÇAMENTO!$D$15,CRONO!$F53,0))),CRONO!AM$12,OFFSET(CÁLCULO!$AJ$15:$BB$15,$F53,0,OFFSET(ORÇAMENTO!$D$15,CRONO!$F53,0)))
                +IF(AND($F55&lt;&gt;"",$F55&lt;&gt;0),
                        SUMIF(CÁLCULO!$BC$15:$BU$131,CRONO!AM$12,CÁLCULO!$AJ$15:$BB$131)/(ORÇAMENTO!$X$15-CÁLCULO.TotalAdmLocal)*CRONO!$F55,
                        0),
                 AM54*$S53),
          SUMIF(OFFSET($S55,1,0,$R53-2),($M53+1)&amp;"$",OFFSET(AM55,1,0,$R53-2)))</f>
        <v>0</v>
      </c>
      <c r="AN55" s="212">
        <f ca="1">IF($R53=2,
         IF(AND(ACOMPANHAMENTO="PLE",ISNUMBER($F53)),
                SUMIF((OFFSET(CÁLCULO!$BC$15:$BU$15,$F53,0,OFFSET(ORÇAMENTO!$D$15,CRONO!$F53,0))),CRONO!AN$12,OFFSET(CÁLCULO!$AJ$15:$BB$15,$F53,0,OFFSET(ORÇAMENTO!$D$15,CRONO!$F53,0)))
                +IF(AND($F55&lt;&gt;"",$F55&lt;&gt;0),
                        SUMIF(CÁLCULO!$BC$15:$BU$131,CRONO!AN$12,CÁLCULO!$AJ$15:$BB$131)/(ORÇAMENTO!$X$15-CÁLCULO.TotalAdmLocal)*CRONO!$F55,
                        0),
                 AN54*$S53),
          SUMIF(OFFSET($S55,1,0,$R53-2),($M53+1)&amp;"$",OFFSET(AN55,1,0,$R53-2)))</f>
        <v>0</v>
      </c>
      <c r="AO55" s="212">
        <f ca="1">IF($R53=2,
         IF(AND(ACOMPANHAMENTO="PLE",ISNUMBER($F53)),
                SUMIF((OFFSET(CÁLCULO!$BC$15:$BU$15,$F53,0,OFFSET(ORÇAMENTO!$D$15,CRONO!$F53,0))),CRONO!AO$12,OFFSET(CÁLCULO!$AJ$15:$BB$15,$F53,0,OFFSET(ORÇAMENTO!$D$15,CRONO!$F53,0)))
                +IF(AND($F55&lt;&gt;"",$F55&lt;&gt;0),
                        SUMIF(CÁLCULO!$BC$15:$BU$131,CRONO!AO$12,CÁLCULO!$AJ$15:$BB$131)/(ORÇAMENTO!$X$15-CÁLCULO.TotalAdmLocal)*CRONO!$F55,
                        0),
                 AO54*$S53),
          SUMIF(OFFSET($S55,1,0,$R53-2),($M53+1)&amp;"$",OFFSET(AO55,1,0,$R53-2)))</f>
        <v>0</v>
      </c>
      <c r="AP55" s="212">
        <f ca="1">IF($R53=2,
         IF(AND(ACOMPANHAMENTO="PLE",ISNUMBER($F53)),
                SUMIF((OFFSET(CÁLCULO!$BC$15:$BU$15,$F53,0,OFFSET(ORÇAMENTO!$D$15,CRONO!$F53,0))),CRONO!AP$12,OFFSET(CÁLCULO!$AJ$15:$BB$15,$F53,0,OFFSET(ORÇAMENTO!$D$15,CRONO!$F53,0)))
                +IF(AND($F55&lt;&gt;"",$F55&lt;&gt;0),
                        SUMIF(CÁLCULO!$BC$15:$BU$131,CRONO!AP$12,CÁLCULO!$AJ$15:$BB$131)/(ORÇAMENTO!$X$15-CÁLCULO.TotalAdmLocal)*CRONO!$F55,
                        0),
                 AP54*$S53),
          SUMIF(OFFSET($S55,1,0,$R53-2),($M53+1)&amp;"$",OFFSET(AP55,1,0,$R53-2)))</f>
        <v>0</v>
      </c>
      <c r="AQ55" s="212">
        <f ca="1">IF($R53=2,
         IF(AND(ACOMPANHAMENTO="PLE",ISNUMBER($F53)),
                SUMIF((OFFSET(CÁLCULO!$BC$15:$BU$15,$F53,0,OFFSET(ORÇAMENTO!$D$15,CRONO!$F53,0))),CRONO!AQ$12,OFFSET(CÁLCULO!$AJ$15:$BB$15,$F53,0,OFFSET(ORÇAMENTO!$D$15,CRONO!$F53,0)))
                +IF(AND($F55&lt;&gt;"",$F55&lt;&gt;0),
                        SUMIF(CÁLCULO!$BC$15:$BU$131,CRONO!AQ$12,CÁLCULO!$AJ$15:$BB$131)/(ORÇAMENTO!$X$15-CÁLCULO.TotalAdmLocal)*CRONO!$F55,
                        0),
                 AQ54*$S53),
          SUMIF(OFFSET($S55,1,0,$R53-2),($M53+1)&amp;"$",OFFSET(AQ55,1,0,$R53-2)))</f>
        <v>0</v>
      </c>
      <c r="AR55" s="212">
        <f ca="1">IF($R53=2,
         IF(AND(ACOMPANHAMENTO="PLE",ISNUMBER($F53)),
                SUMIF((OFFSET(CÁLCULO!$BC$15:$BU$15,$F53,0,OFFSET(ORÇAMENTO!$D$15,CRONO!$F53,0))),CRONO!AR$12,OFFSET(CÁLCULO!$AJ$15:$BB$15,$F53,0,OFFSET(ORÇAMENTO!$D$15,CRONO!$F53,0)))
                +IF(AND($F55&lt;&gt;"",$F55&lt;&gt;0),
                        SUMIF(CÁLCULO!$BC$15:$BU$131,CRONO!AR$12,CÁLCULO!$AJ$15:$BB$131)/(ORÇAMENTO!$X$15-CÁLCULO.TotalAdmLocal)*CRONO!$F55,
                        0),
                 AR54*$S53),
          SUMIF(OFFSET($S55,1,0,$R53-2),($M53+1)&amp;"$",OFFSET(AR55,1,0,$R53-2)))</f>
        <v>0</v>
      </c>
      <c r="AS55" s="577"/>
    </row>
    <row r="56" spans="1:45" x14ac:dyDescent="0.2">
      <c r="A56" s="196" t="str">
        <f t="shared" ref="A56" ca="1" si="86">IF($M56&gt;1,CONCATENATE($I56," ",$J56),"")</f>
        <v/>
      </c>
      <c r="B56" s="195">
        <f t="shared" ref="B56" ca="1" si="87">OFFSET(B56,-3,0)+1</f>
        <v>15</v>
      </c>
      <c r="C56" s="195">
        <f ca="1">IF($R56&lt;&gt;2,0,IF($S56=0,1,IF(F57&gt;0,OFFSET(QCI!$M$13,SUBSTITUTE(F57,".",""),0),OFFSET(ORÇAMENTO!$AA$15,CRONO!$F56,0))/$S56))</f>
        <v>1</v>
      </c>
      <c r="D56" s="195">
        <f ca="1">IF($R56&lt;&gt;2,0,IF($S56=0,1,IF(F57&gt;0,OFFSET(QCI!$N$13,SUBSTITUTE(F57,".",""),0),OFFSET(ORÇAMENTO!$AB$15,CRONO!$F56,0))/$S56))</f>
        <v>1</v>
      </c>
      <c r="E56" s="198" t="e">
        <f ca="1">IF(AND($R56=2,ACOMPANHAMENTO="BM"),ROUND(E57,4),E58/$S56)</f>
        <v>#DIV/0!</v>
      </c>
      <c r="F56" s="195" t="e">
        <f ca="1">IF(B56&lt;=ORÇAMENTO.MáximoListaCrono,MATCH(B56,ORÇAMENTO.ListaCrono,0),NA())</f>
        <v>#N/A</v>
      </c>
      <c r="G56" s="195" t="str">
        <f t="shared" ref="G56" ca="1" si="88">IF(AND($F57&lt;&gt;-1,$S56&gt;0),"F","")</f>
        <v/>
      </c>
      <c r="H56" s="199" t="str">
        <f ca="1">IF(OR(S56=0,S56=""),"Linha",IF(AND(OR(ACOMPANHAMENTO="PLE",$R56&lt;&gt;2),$F57=0),"Linha",ROUND(1-SUM(U56:AS56),4)))</f>
        <v>Linha</v>
      </c>
      <c r="I56" s="200">
        <f ca="1">IF($F57=0,OFFSET(ORÇAMENTO!O$15,$F56,0),IF($F57&lt;&gt;-1,OFFSET(QCI!$D$13,$F57,0),""))</f>
        <v>2</v>
      </c>
      <c r="J56" s="201" t="str">
        <f ca="1">IF($F57=0,OFFSET(ORÇAMENTO!R$15,$F56,0),IF($F57&lt;&gt;-1,OFFSET(QCI!$G$13,$F57,0),""))</f>
        <v/>
      </c>
      <c r="K56" s="201"/>
      <c r="L56" s="201"/>
      <c r="M56" s="202">
        <f ca="1">IF($F57=0,OFFSET(ORÇAMENTO!C$15,$F56,0),1)</f>
        <v>1</v>
      </c>
      <c r="N56" s="203">
        <f ca="1">IF($F57=-1,0,IF(N$13&lt;=$M56,IF(ISERROR(MATCH(N$13,OFFSET($M56,1,0,ROW($M$107)-ROW($M56)-1),0)),ROW($M$107)-ROW($M56)-1,MATCH(N$13,OFFSET($M56,1,0,ROW($M$107)-ROW($M56)-1),0)-1),0))</f>
        <v>2</v>
      </c>
      <c r="O56" s="203">
        <f ca="1">IF($F57=-1,0,IF(O$13&lt;=$M56,IF(ISERROR(MATCH(O$13,OFFSET($M56,1,0,ROW($M$107)-ROW($M56)-1),0)),ROW($M$107)-ROW($M56)-1,MATCH(O$13,OFFSET($M56,1,0,ROW($M$107)-ROW($M56)-1),0)-1),0))</f>
        <v>0</v>
      </c>
      <c r="P56" s="203">
        <f ca="1">IF($F57=-1,0,IF(P$13&lt;=$M56,IF(ISERROR(MATCH(P$13,OFFSET($M56,1,0,ROW($M$107)-ROW($M56)-1),0)),ROW($M$107)-ROW($M56)-1,MATCH(P$13,OFFSET($M56,1,0,ROW($M$107)-ROW($M56)-1),0)-1),0))</f>
        <v>0</v>
      </c>
      <c r="Q56" s="203">
        <f ca="1">IF($F57=-1,0,IF(Q$13&lt;=$M56,IF(ISERROR(MATCH(Q$13,OFFSET($M56,1,0,ROW($M$107)-ROW($M56)-1),0)),ROW($M$107)-ROW($M56)-1,MATCH(Q$13,OFFSET($M56,1,0,ROW($M$107)-ROW($M56)-1),0)-1),0))</f>
        <v>0</v>
      </c>
      <c r="R56" s="203">
        <f t="shared" ref="R56" ca="1" si="89">MIN(OFFSET(M56,0,1,,M56))</f>
        <v>2</v>
      </c>
      <c r="S56" s="204">
        <f ca="1">IF($F57=0,OFFSET(ORÇAMENTO!X$15,$F56,0),IF($F57&lt;&gt;-1,OFFSET(QCI!$O$13,$F57,0),""))</f>
        <v>0</v>
      </c>
      <c r="T56" s="205" t="s">
        <v>266</v>
      </c>
      <c r="U56" s="198" t="e">
        <f ca="1">IF(AND($R56=2,ACOMPANHAMENTO="BM"),ROUND(U57,4),U58/$S56)</f>
        <v>#DIV/0!</v>
      </c>
      <c r="V56" s="198" t="e">
        <f ca="1">IF(AND($R56=2,ACOMPANHAMENTO="BM"),ROUND(V57,4),V58/$S56)</f>
        <v>#DIV/0!</v>
      </c>
      <c r="W56" s="198" t="e">
        <f ca="1">IF(AND($R56=2,ACOMPANHAMENTO="BM"),ROUND(W57,4),W58/$S56)</f>
        <v>#DIV/0!</v>
      </c>
      <c r="X56" s="198" t="e">
        <f ca="1">IF(AND($R56=2,ACOMPANHAMENTO="BM"),ROUND(X57,4),X58/$S56)</f>
        <v>#DIV/0!</v>
      </c>
      <c r="Y56" s="198" t="e">
        <f ca="1">IF(AND($R56=2,ACOMPANHAMENTO="BM"),ROUND(Y57,4),Y58/$S56)</f>
        <v>#DIV/0!</v>
      </c>
      <c r="Z56" s="198" t="e">
        <f ca="1">IF(AND($R56=2,ACOMPANHAMENTO="BM"),ROUND(Z57,4),Z58/$S56)</f>
        <v>#DIV/0!</v>
      </c>
      <c r="AA56" s="198" t="e">
        <f ca="1">IF(AND($R56=2,ACOMPANHAMENTO="BM"),ROUND(AA57,4),AA58/$S56)</f>
        <v>#DIV/0!</v>
      </c>
      <c r="AB56" s="198" t="e">
        <f ca="1">IF(AND($R56=2,ACOMPANHAMENTO="BM"),ROUND(AB57,4),AB58/$S56)</f>
        <v>#DIV/0!</v>
      </c>
      <c r="AC56" s="198" t="e">
        <f ca="1">IF(AND($R56=2,ACOMPANHAMENTO="BM"),ROUND(AC57,4),AC58/$S56)</f>
        <v>#DIV/0!</v>
      </c>
      <c r="AD56" s="198" t="e">
        <f ca="1">IF(AND($R56=2,ACOMPANHAMENTO="BM"),ROUND(AD57,4),AD58/$S56)</f>
        <v>#DIV/0!</v>
      </c>
      <c r="AE56" s="198" t="e">
        <f ca="1">IF(AND($R56=2,ACOMPANHAMENTO="BM"),ROUND(AE57,4),AE58/$S56)</f>
        <v>#DIV/0!</v>
      </c>
      <c r="AF56" s="198" t="e">
        <f ca="1">IF(AND($R56=2,ACOMPANHAMENTO="BM"),ROUND(AF57,4),AF58/$S56)</f>
        <v>#DIV/0!</v>
      </c>
      <c r="AG56" s="198" t="e">
        <f ca="1">IF(AND($R56=2,ACOMPANHAMENTO="BM"),ROUND(AG57,4),AG58/$S56)</f>
        <v>#DIV/0!</v>
      </c>
      <c r="AH56" s="198" t="e">
        <f ca="1">IF(AND($R56=2,ACOMPANHAMENTO="BM"),ROUND(AH57,4),AH58/$S56)</f>
        <v>#DIV/0!</v>
      </c>
      <c r="AI56" s="198" t="e">
        <f ca="1">IF(AND($R56=2,ACOMPANHAMENTO="BM"),ROUND(AI57,4),AI58/$S56)</f>
        <v>#DIV/0!</v>
      </c>
      <c r="AJ56" s="198" t="e">
        <f ca="1">IF(AND($R56=2,ACOMPANHAMENTO="BM"),ROUND(AJ57,4),AJ58/$S56)</f>
        <v>#DIV/0!</v>
      </c>
      <c r="AK56" s="198" t="e">
        <f ca="1">IF(AND($R56=2,ACOMPANHAMENTO="BM"),ROUND(AK57,4),AK58/$S56)</f>
        <v>#DIV/0!</v>
      </c>
      <c r="AL56" s="198" t="e">
        <f ca="1">IF(AND($R56=2,ACOMPANHAMENTO="BM"),ROUND(AL57,4),AL58/$S56)</f>
        <v>#DIV/0!</v>
      </c>
      <c r="AM56" s="198" t="e">
        <f ca="1">IF(AND($R56=2,ACOMPANHAMENTO="BM"),ROUND(AM57,4),AM58/$S56)</f>
        <v>#DIV/0!</v>
      </c>
      <c r="AN56" s="198" t="e">
        <f ca="1">IF(AND($R56=2,ACOMPANHAMENTO="BM"),ROUND(AN57,4),AN58/$S56)</f>
        <v>#DIV/0!</v>
      </c>
      <c r="AO56" s="198" t="e">
        <f ca="1">IF(AND($R56=2,ACOMPANHAMENTO="BM"),ROUND(AO57,4),AO58/$S56)</f>
        <v>#DIV/0!</v>
      </c>
      <c r="AP56" s="198" t="e">
        <f ca="1">IF(AND($R56=2,ACOMPANHAMENTO="BM"),ROUND(AP57,4),AP58/$S56)</f>
        <v>#DIV/0!</v>
      </c>
      <c r="AQ56" s="198" t="e">
        <f ca="1">IF(AND($R56=2,ACOMPANHAMENTO="BM"),ROUND(AQ57,4),AQ58/$S56)</f>
        <v>#DIV/0!</v>
      </c>
      <c r="AR56" s="198" t="e">
        <f ca="1">IF(AND($R56=2,ACOMPANHAMENTO="BM"),ROUND(AR57,4),AR58/$S56)</f>
        <v>#DIV/0!</v>
      </c>
      <c r="AS56" s="577"/>
    </row>
    <row r="57" spans="1:45" ht="12.75" hidden="1" customHeight="1" x14ac:dyDescent="0.2">
      <c r="E57" s="645"/>
      <c r="F57" s="195">
        <f ca="1">IF(ISERROR(F56),IF(1+COUNTIF($M$13:OFFSET(M56,-1,0),1)&lt;=MAX(QCI!$D$13:$D$24),1+COUNTIF($M$13:OFFSET(M56,-1,0),1),-1),0)</f>
        <v>2</v>
      </c>
      <c r="G57" s="195" t="str">
        <f ca="1">IF(ACOMPANHAMENTO="BM",OFFSET(G57,-1,0),"")</f>
        <v/>
      </c>
      <c r="H57" s="206" t="str">
        <f ca="1">IF(OR(S56=0,S56=""),"vazia",IF(AND(OR(ACOMPANHAMENTO="PLE",$R56&lt;&gt;2),$F57=0),"calculada","--&gt;"))</f>
        <v>vazia</v>
      </c>
      <c r="I57" s="207"/>
      <c r="J57" s="208" t="str">
        <f t="shared" ref="J57" ca="1" si="90">IF(AND(H56&lt;&gt;0,ISNUMBER(H56)),"PREENCHA ESTA LINHA --&gt;","")</f>
        <v/>
      </c>
      <c r="K57" s="208"/>
      <c r="L57" s="208"/>
      <c r="M57" s="209"/>
      <c r="N57" s="209"/>
      <c r="O57" s="209"/>
      <c r="P57" s="209"/>
      <c r="Q57" s="209"/>
      <c r="R57" s="209"/>
      <c r="S57" s="210"/>
      <c r="T57" s="211"/>
      <c r="U57" s="645"/>
      <c r="V57" s="645"/>
      <c r="W57" s="645"/>
      <c r="X57" s="645"/>
      <c r="Y57" s="645"/>
      <c r="Z57" s="645"/>
      <c r="AA57" s="645"/>
      <c r="AB57" s="645"/>
      <c r="AC57" s="645"/>
      <c r="AD57" s="645"/>
      <c r="AE57" s="645"/>
      <c r="AF57" s="645"/>
      <c r="AG57" s="645"/>
      <c r="AH57" s="645"/>
      <c r="AI57" s="645"/>
      <c r="AJ57" s="645"/>
      <c r="AK57" s="645"/>
      <c r="AL57" s="645"/>
      <c r="AM57" s="645"/>
      <c r="AN57" s="645"/>
      <c r="AO57" s="645"/>
      <c r="AP57" s="645"/>
      <c r="AQ57" s="645"/>
      <c r="AR57" s="645"/>
      <c r="AS57" s="577"/>
    </row>
    <row r="58" spans="1:45" ht="12.75" hidden="1" customHeight="1" x14ac:dyDescent="0.2">
      <c r="D58" s="576"/>
      <c r="E58" s="212">
        <f ca="1">IF($R56=2,
         IF(AND(ACOMPANHAMENTO="PLE",ISNUMBER($F56)),
                SUMIF((OFFSET(CÁLCULO!$BC$15:$BU$15,$F56,0,OFFSET(ORÇAMENTO!$D$15,CRONO!$F56,0))),CRONO!E$12,OFFSET(CÁLCULO!$AJ$15:$BB$15,$F56,0,OFFSET(ORÇAMENTO!$D$15,CRONO!$F56,0)))
                +IF(AND($F58&lt;&gt;"",$F58&lt;&gt;0),
                        SUMIF(CÁLCULO!$BC$15:$BU$131,CRONO!E$12,CÁLCULO!$AJ$15:$BB$131)/(ORÇAMENTO!$X$15-CÁLCULO.TotalAdmLocal)*CRONO!$F58,
                        0),
                 E57*$S56),
          SUMIF(OFFSET($S58,1,0,$R56-2),($M56+1)&amp;"$",OFFSET(E58,1,0,$R56-2)))</f>
        <v>0</v>
      </c>
      <c r="F58" s="195" t="str">
        <f ca="1">IF(OR($R56&lt;&gt;2,AUTOEVENTO&lt;&gt;"manual",$F57&gt;0),"",
        IF(Import.TipoArredondamento="Tradicional",
              SUMIF(OFFSET(CÁLCULO!$M$15,CRONO!$F56,0,OFFSET(ORÇAMENTO!$D$15,CRONO!$F56,0)),1,OFFSET(ORÇAMENTO!$X$15,CRONO!$F56,0,OFFSET(ORÇAMENTO!$D$15,CRONO!$F56,0))),
              0))</f>
        <v/>
      </c>
      <c r="H58" s="213"/>
      <c r="S58" s="214" t="str">
        <f t="shared" ref="S58" ca="1" si="91">M56&amp;"$"</f>
        <v>1$</v>
      </c>
      <c r="T58" s="215"/>
      <c r="U58" s="212">
        <f ca="1">IF($R56=2,
         IF(AND(ACOMPANHAMENTO="PLE",ISNUMBER($F56)),
                SUMIF((OFFSET(CÁLCULO!$BC$15:$BU$15,$F56,0,OFFSET(ORÇAMENTO!$D$15,CRONO!$F56,0))),CRONO!U$12,OFFSET(CÁLCULO!$AJ$15:$BB$15,$F56,0,OFFSET(ORÇAMENTO!$D$15,CRONO!$F56,0)))
                +IF(AND($F58&lt;&gt;"",$F58&lt;&gt;0),
                        SUMIF(CÁLCULO!$BC$15:$BU$131,CRONO!U$12,CÁLCULO!$AJ$15:$BB$131)/(ORÇAMENTO!$X$15-CÁLCULO.TotalAdmLocal)*CRONO!$F58,
                        0),
                 U57*$S56),
          SUMIF(OFFSET($S58,1,0,$R56-2),($M56+1)&amp;"$",OFFSET(U58,1,0,$R56-2)))</f>
        <v>0</v>
      </c>
      <c r="V58" s="212">
        <f ca="1">IF($R56=2,
         IF(AND(ACOMPANHAMENTO="PLE",ISNUMBER($F56)),
                SUMIF((OFFSET(CÁLCULO!$BC$15:$BU$15,$F56,0,OFFSET(ORÇAMENTO!$D$15,CRONO!$F56,0))),CRONO!V$12,OFFSET(CÁLCULO!$AJ$15:$BB$15,$F56,0,OFFSET(ORÇAMENTO!$D$15,CRONO!$F56,0)))
                +IF(AND($F58&lt;&gt;"",$F58&lt;&gt;0),
                        SUMIF(CÁLCULO!$BC$15:$BU$131,CRONO!V$12,CÁLCULO!$AJ$15:$BB$131)/(ORÇAMENTO!$X$15-CÁLCULO.TotalAdmLocal)*CRONO!$F58,
                        0),
                 V57*$S56),
          SUMIF(OFFSET($S58,1,0,$R56-2),($M56+1)&amp;"$",OFFSET(V58,1,0,$R56-2)))</f>
        <v>0</v>
      </c>
      <c r="W58" s="212">
        <f ca="1">IF($R56=2,
         IF(AND(ACOMPANHAMENTO="PLE",ISNUMBER($F56)),
                SUMIF((OFFSET(CÁLCULO!$BC$15:$BU$15,$F56,0,OFFSET(ORÇAMENTO!$D$15,CRONO!$F56,0))),CRONO!W$12,OFFSET(CÁLCULO!$AJ$15:$BB$15,$F56,0,OFFSET(ORÇAMENTO!$D$15,CRONO!$F56,0)))
                +IF(AND($F58&lt;&gt;"",$F58&lt;&gt;0),
                        SUMIF(CÁLCULO!$BC$15:$BU$131,CRONO!W$12,CÁLCULO!$AJ$15:$BB$131)/(ORÇAMENTO!$X$15-CÁLCULO.TotalAdmLocal)*CRONO!$F58,
                        0),
                 W57*$S56),
          SUMIF(OFFSET($S58,1,0,$R56-2),($M56+1)&amp;"$",OFFSET(W58,1,0,$R56-2)))</f>
        <v>0</v>
      </c>
      <c r="X58" s="212">
        <f ca="1">IF($R56=2,
         IF(AND(ACOMPANHAMENTO="PLE",ISNUMBER($F56)),
                SUMIF((OFFSET(CÁLCULO!$BC$15:$BU$15,$F56,0,OFFSET(ORÇAMENTO!$D$15,CRONO!$F56,0))),CRONO!X$12,OFFSET(CÁLCULO!$AJ$15:$BB$15,$F56,0,OFFSET(ORÇAMENTO!$D$15,CRONO!$F56,0)))
                +IF(AND($F58&lt;&gt;"",$F58&lt;&gt;0),
                        SUMIF(CÁLCULO!$BC$15:$BU$131,CRONO!X$12,CÁLCULO!$AJ$15:$BB$131)/(ORÇAMENTO!$X$15-CÁLCULO.TotalAdmLocal)*CRONO!$F58,
                        0),
                 X57*$S56),
          SUMIF(OFFSET($S58,1,0,$R56-2),($M56+1)&amp;"$",OFFSET(X58,1,0,$R56-2)))</f>
        <v>0</v>
      </c>
      <c r="Y58" s="212">
        <f ca="1">IF($R56=2,
         IF(AND(ACOMPANHAMENTO="PLE",ISNUMBER($F56)),
                SUMIF((OFFSET(CÁLCULO!$BC$15:$BU$15,$F56,0,OFFSET(ORÇAMENTO!$D$15,CRONO!$F56,0))),CRONO!Y$12,OFFSET(CÁLCULO!$AJ$15:$BB$15,$F56,0,OFFSET(ORÇAMENTO!$D$15,CRONO!$F56,0)))
                +IF(AND($F58&lt;&gt;"",$F58&lt;&gt;0),
                        SUMIF(CÁLCULO!$BC$15:$BU$131,CRONO!Y$12,CÁLCULO!$AJ$15:$BB$131)/(ORÇAMENTO!$X$15-CÁLCULO.TotalAdmLocal)*CRONO!$F58,
                        0),
                 Y57*$S56),
          SUMIF(OFFSET($S58,1,0,$R56-2),($M56+1)&amp;"$",OFFSET(Y58,1,0,$R56-2)))</f>
        <v>0</v>
      </c>
      <c r="Z58" s="212">
        <f ca="1">IF($R56=2,
         IF(AND(ACOMPANHAMENTO="PLE",ISNUMBER($F56)),
                SUMIF((OFFSET(CÁLCULO!$BC$15:$BU$15,$F56,0,OFFSET(ORÇAMENTO!$D$15,CRONO!$F56,0))),CRONO!Z$12,OFFSET(CÁLCULO!$AJ$15:$BB$15,$F56,0,OFFSET(ORÇAMENTO!$D$15,CRONO!$F56,0)))
                +IF(AND($F58&lt;&gt;"",$F58&lt;&gt;0),
                        SUMIF(CÁLCULO!$BC$15:$BU$131,CRONO!Z$12,CÁLCULO!$AJ$15:$BB$131)/(ORÇAMENTO!$X$15-CÁLCULO.TotalAdmLocal)*CRONO!$F58,
                        0),
                 Z57*$S56),
          SUMIF(OFFSET($S58,1,0,$R56-2),($M56+1)&amp;"$",OFFSET(Z58,1,0,$R56-2)))</f>
        <v>0</v>
      </c>
      <c r="AA58" s="212">
        <f ca="1">IF($R56=2,
         IF(AND(ACOMPANHAMENTO="PLE",ISNUMBER($F56)),
                SUMIF((OFFSET(CÁLCULO!$BC$15:$BU$15,$F56,0,OFFSET(ORÇAMENTO!$D$15,CRONO!$F56,0))),CRONO!AA$12,OFFSET(CÁLCULO!$AJ$15:$BB$15,$F56,0,OFFSET(ORÇAMENTO!$D$15,CRONO!$F56,0)))
                +IF(AND($F58&lt;&gt;"",$F58&lt;&gt;0),
                        SUMIF(CÁLCULO!$BC$15:$BU$131,CRONO!AA$12,CÁLCULO!$AJ$15:$BB$131)/(ORÇAMENTO!$X$15-CÁLCULO.TotalAdmLocal)*CRONO!$F58,
                        0),
                 AA57*$S56),
          SUMIF(OFFSET($S58,1,0,$R56-2),($M56+1)&amp;"$",OFFSET(AA58,1,0,$R56-2)))</f>
        <v>0</v>
      </c>
      <c r="AB58" s="212">
        <f ca="1">IF($R56=2,
         IF(AND(ACOMPANHAMENTO="PLE",ISNUMBER($F56)),
                SUMIF((OFFSET(CÁLCULO!$BC$15:$BU$15,$F56,0,OFFSET(ORÇAMENTO!$D$15,CRONO!$F56,0))),CRONO!AB$12,OFFSET(CÁLCULO!$AJ$15:$BB$15,$F56,0,OFFSET(ORÇAMENTO!$D$15,CRONO!$F56,0)))
                +IF(AND($F58&lt;&gt;"",$F58&lt;&gt;0),
                        SUMIF(CÁLCULO!$BC$15:$BU$131,CRONO!AB$12,CÁLCULO!$AJ$15:$BB$131)/(ORÇAMENTO!$X$15-CÁLCULO.TotalAdmLocal)*CRONO!$F58,
                        0),
                 AB57*$S56),
          SUMIF(OFFSET($S58,1,0,$R56-2),($M56+1)&amp;"$",OFFSET(AB58,1,0,$R56-2)))</f>
        <v>0</v>
      </c>
      <c r="AC58" s="212">
        <f ca="1">IF($R56=2,
         IF(AND(ACOMPANHAMENTO="PLE",ISNUMBER($F56)),
                SUMIF((OFFSET(CÁLCULO!$BC$15:$BU$15,$F56,0,OFFSET(ORÇAMENTO!$D$15,CRONO!$F56,0))),CRONO!AC$12,OFFSET(CÁLCULO!$AJ$15:$BB$15,$F56,0,OFFSET(ORÇAMENTO!$D$15,CRONO!$F56,0)))
                +IF(AND($F58&lt;&gt;"",$F58&lt;&gt;0),
                        SUMIF(CÁLCULO!$BC$15:$BU$131,CRONO!AC$12,CÁLCULO!$AJ$15:$BB$131)/(ORÇAMENTO!$X$15-CÁLCULO.TotalAdmLocal)*CRONO!$F58,
                        0),
                 AC57*$S56),
          SUMIF(OFFSET($S58,1,0,$R56-2),($M56+1)&amp;"$",OFFSET(AC58,1,0,$R56-2)))</f>
        <v>0</v>
      </c>
      <c r="AD58" s="212">
        <f ca="1">IF($R56=2,
         IF(AND(ACOMPANHAMENTO="PLE",ISNUMBER($F56)),
                SUMIF((OFFSET(CÁLCULO!$BC$15:$BU$15,$F56,0,OFFSET(ORÇAMENTO!$D$15,CRONO!$F56,0))),CRONO!AD$12,OFFSET(CÁLCULO!$AJ$15:$BB$15,$F56,0,OFFSET(ORÇAMENTO!$D$15,CRONO!$F56,0)))
                +IF(AND($F58&lt;&gt;"",$F58&lt;&gt;0),
                        SUMIF(CÁLCULO!$BC$15:$BU$131,CRONO!AD$12,CÁLCULO!$AJ$15:$BB$131)/(ORÇAMENTO!$X$15-CÁLCULO.TotalAdmLocal)*CRONO!$F58,
                        0),
                 AD57*$S56),
          SUMIF(OFFSET($S58,1,0,$R56-2),($M56+1)&amp;"$",OFFSET(AD58,1,0,$R56-2)))</f>
        <v>0</v>
      </c>
      <c r="AE58" s="212">
        <f ca="1">IF($R56=2,
         IF(AND(ACOMPANHAMENTO="PLE",ISNUMBER($F56)),
                SUMIF((OFFSET(CÁLCULO!$BC$15:$BU$15,$F56,0,OFFSET(ORÇAMENTO!$D$15,CRONO!$F56,0))),CRONO!AE$12,OFFSET(CÁLCULO!$AJ$15:$BB$15,$F56,0,OFFSET(ORÇAMENTO!$D$15,CRONO!$F56,0)))
                +IF(AND($F58&lt;&gt;"",$F58&lt;&gt;0),
                        SUMIF(CÁLCULO!$BC$15:$BU$131,CRONO!AE$12,CÁLCULO!$AJ$15:$BB$131)/(ORÇAMENTO!$X$15-CÁLCULO.TotalAdmLocal)*CRONO!$F58,
                        0),
                 AE57*$S56),
          SUMIF(OFFSET($S58,1,0,$R56-2),($M56+1)&amp;"$",OFFSET(AE58,1,0,$R56-2)))</f>
        <v>0</v>
      </c>
      <c r="AF58" s="212">
        <f ca="1">IF($R56=2,
         IF(AND(ACOMPANHAMENTO="PLE",ISNUMBER($F56)),
                SUMIF((OFFSET(CÁLCULO!$BC$15:$BU$15,$F56,0,OFFSET(ORÇAMENTO!$D$15,CRONO!$F56,0))),CRONO!AF$12,OFFSET(CÁLCULO!$AJ$15:$BB$15,$F56,0,OFFSET(ORÇAMENTO!$D$15,CRONO!$F56,0)))
                +IF(AND($F58&lt;&gt;"",$F58&lt;&gt;0),
                        SUMIF(CÁLCULO!$BC$15:$BU$131,CRONO!AF$12,CÁLCULO!$AJ$15:$BB$131)/(ORÇAMENTO!$X$15-CÁLCULO.TotalAdmLocal)*CRONO!$F58,
                        0),
                 AF57*$S56),
          SUMIF(OFFSET($S58,1,0,$R56-2),($M56+1)&amp;"$",OFFSET(AF58,1,0,$R56-2)))</f>
        <v>0</v>
      </c>
      <c r="AG58" s="212">
        <f ca="1">IF($R56=2,
         IF(AND(ACOMPANHAMENTO="PLE",ISNUMBER($F56)),
                SUMIF((OFFSET(CÁLCULO!$BC$15:$BU$15,$F56,0,OFFSET(ORÇAMENTO!$D$15,CRONO!$F56,0))),CRONO!AG$12,OFFSET(CÁLCULO!$AJ$15:$BB$15,$F56,0,OFFSET(ORÇAMENTO!$D$15,CRONO!$F56,0)))
                +IF(AND($F58&lt;&gt;"",$F58&lt;&gt;0),
                        SUMIF(CÁLCULO!$BC$15:$BU$131,CRONO!AG$12,CÁLCULO!$AJ$15:$BB$131)/(ORÇAMENTO!$X$15-CÁLCULO.TotalAdmLocal)*CRONO!$F58,
                        0),
                 AG57*$S56),
          SUMIF(OFFSET($S58,1,0,$R56-2),($M56+1)&amp;"$",OFFSET(AG58,1,0,$R56-2)))</f>
        <v>0</v>
      </c>
      <c r="AH58" s="212">
        <f ca="1">IF($R56=2,
         IF(AND(ACOMPANHAMENTO="PLE",ISNUMBER($F56)),
                SUMIF((OFFSET(CÁLCULO!$BC$15:$BU$15,$F56,0,OFFSET(ORÇAMENTO!$D$15,CRONO!$F56,0))),CRONO!AH$12,OFFSET(CÁLCULO!$AJ$15:$BB$15,$F56,0,OFFSET(ORÇAMENTO!$D$15,CRONO!$F56,0)))
                +IF(AND($F58&lt;&gt;"",$F58&lt;&gt;0),
                        SUMIF(CÁLCULO!$BC$15:$BU$131,CRONO!AH$12,CÁLCULO!$AJ$15:$BB$131)/(ORÇAMENTO!$X$15-CÁLCULO.TotalAdmLocal)*CRONO!$F58,
                        0),
                 AH57*$S56),
          SUMIF(OFFSET($S58,1,0,$R56-2),($M56+1)&amp;"$",OFFSET(AH58,1,0,$R56-2)))</f>
        <v>0</v>
      </c>
      <c r="AI58" s="212">
        <f ca="1">IF($R56=2,
         IF(AND(ACOMPANHAMENTO="PLE",ISNUMBER($F56)),
                SUMIF((OFFSET(CÁLCULO!$BC$15:$BU$15,$F56,0,OFFSET(ORÇAMENTO!$D$15,CRONO!$F56,0))),CRONO!AI$12,OFFSET(CÁLCULO!$AJ$15:$BB$15,$F56,0,OFFSET(ORÇAMENTO!$D$15,CRONO!$F56,0)))
                +IF(AND($F58&lt;&gt;"",$F58&lt;&gt;0),
                        SUMIF(CÁLCULO!$BC$15:$BU$131,CRONO!AI$12,CÁLCULO!$AJ$15:$BB$131)/(ORÇAMENTO!$X$15-CÁLCULO.TotalAdmLocal)*CRONO!$F58,
                        0),
                 AI57*$S56),
          SUMIF(OFFSET($S58,1,0,$R56-2),($M56+1)&amp;"$",OFFSET(AI58,1,0,$R56-2)))</f>
        <v>0</v>
      </c>
      <c r="AJ58" s="212">
        <f ca="1">IF($R56=2,
         IF(AND(ACOMPANHAMENTO="PLE",ISNUMBER($F56)),
                SUMIF((OFFSET(CÁLCULO!$BC$15:$BU$15,$F56,0,OFFSET(ORÇAMENTO!$D$15,CRONO!$F56,0))),CRONO!AJ$12,OFFSET(CÁLCULO!$AJ$15:$BB$15,$F56,0,OFFSET(ORÇAMENTO!$D$15,CRONO!$F56,0)))
                +IF(AND($F58&lt;&gt;"",$F58&lt;&gt;0),
                        SUMIF(CÁLCULO!$BC$15:$BU$131,CRONO!AJ$12,CÁLCULO!$AJ$15:$BB$131)/(ORÇAMENTO!$X$15-CÁLCULO.TotalAdmLocal)*CRONO!$F58,
                        0),
                 AJ57*$S56),
          SUMIF(OFFSET($S58,1,0,$R56-2),($M56+1)&amp;"$",OFFSET(AJ58,1,0,$R56-2)))</f>
        <v>0</v>
      </c>
      <c r="AK58" s="212">
        <f ca="1">IF($R56=2,
         IF(AND(ACOMPANHAMENTO="PLE",ISNUMBER($F56)),
                SUMIF((OFFSET(CÁLCULO!$BC$15:$BU$15,$F56,0,OFFSET(ORÇAMENTO!$D$15,CRONO!$F56,0))),CRONO!AK$12,OFFSET(CÁLCULO!$AJ$15:$BB$15,$F56,0,OFFSET(ORÇAMENTO!$D$15,CRONO!$F56,0)))
                +IF(AND($F58&lt;&gt;"",$F58&lt;&gt;0),
                        SUMIF(CÁLCULO!$BC$15:$BU$131,CRONO!AK$12,CÁLCULO!$AJ$15:$BB$131)/(ORÇAMENTO!$X$15-CÁLCULO.TotalAdmLocal)*CRONO!$F58,
                        0),
                 AK57*$S56),
          SUMIF(OFFSET($S58,1,0,$R56-2),($M56+1)&amp;"$",OFFSET(AK58,1,0,$R56-2)))</f>
        <v>0</v>
      </c>
      <c r="AL58" s="212">
        <f ca="1">IF($R56=2,
         IF(AND(ACOMPANHAMENTO="PLE",ISNUMBER($F56)),
                SUMIF((OFFSET(CÁLCULO!$BC$15:$BU$15,$F56,0,OFFSET(ORÇAMENTO!$D$15,CRONO!$F56,0))),CRONO!AL$12,OFFSET(CÁLCULO!$AJ$15:$BB$15,$F56,0,OFFSET(ORÇAMENTO!$D$15,CRONO!$F56,0)))
                +IF(AND($F58&lt;&gt;"",$F58&lt;&gt;0),
                        SUMIF(CÁLCULO!$BC$15:$BU$131,CRONO!AL$12,CÁLCULO!$AJ$15:$BB$131)/(ORÇAMENTO!$X$15-CÁLCULO.TotalAdmLocal)*CRONO!$F58,
                        0),
                 AL57*$S56),
          SUMIF(OFFSET($S58,1,0,$R56-2),($M56+1)&amp;"$",OFFSET(AL58,1,0,$R56-2)))</f>
        <v>0</v>
      </c>
      <c r="AM58" s="212">
        <f ca="1">IF($R56=2,
         IF(AND(ACOMPANHAMENTO="PLE",ISNUMBER($F56)),
                SUMIF((OFFSET(CÁLCULO!$BC$15:$BU$15,$F56,0,OFFSET(ORÇAMENTO!$D$15,CRONO!$F56,0))),CRONO!AM$12,OFFSET(CÁLCULO!$AJ$15:$BB$15,$F56,0,OFFSET(ORÇAMENTO!$D$15,CRONO!$F56,0)))
                +IF(AND($F58&lt;&gt;"",$F58&lt;&gt;0),
                        SUMIF(CÁLCULO!$BC$15:$BU$131,CRONO!AM$12,CÁLCULO!$AJ$15:$BB$131)/(ORÇAMENTO!$X$15-CÁLCULO.TotalAdmLocal)*CRONO!$F58,
                        0),
                 AM57*$S56),
          SUMIF(OFFSET($S58,1,0,$R56-2),($M56+1)&amp;"$",OFFSET(AM58,1,0,$R56-2)))</f>
        <v>0</v>
      </c>
      <c r="AN58" s="212">
        <f ca="1">IF($R56=2,
         IF(AND(ACOMPANHAMENTO="PLE",ISNUMBER($F56)),
                SUMIF((OFFSET(CÁLCULO!$BC$15:$BU$15,$F56,0,OFFSET(ORÇAMENTO!$D$15,CRONO!$F56,0))),CRONO!AN$12,OFFSET(CÁLCULO!$AJ$15:$BB$15,$F56,0,OFFSET(ORÇAMENTO!$D$15,CRONO!$F56,0)))
                +IF(AND($F58&lt;&gt;"",$F58&lt;&gt;0),
                        SUMIF(CÁLCULO!$BC$15:$BU$131,CRONO!AN$12,CÁLCULO!$AJ$15:$BB$131)/(ORÇAMENTO!$X$15-CÁLCULO.TotalAdmLocal)*CRONO!$F58,
                        0),
                 AN57*$S56),
          SUMIF(OFFSET($S58,1,0,$R56-2),($M56+1)&amp;"$",OFFSET(AN58,1,0,$R56-2)))</f>
        <v>0</v>
      </c>
      <c r="AO58" s="212">
        <f ca="1">IF($R56=2,
         IF(AND(ACOMPANHAMENTO="PLE",ISNUMBER($F56)),
                SUMIF((OFFSET(CÁLCULO!$BC$15:$BU$15,$F56,0,OFFSET(ORÇAMENTO!$D$15,CRONO!$F56,0))),CRONO!AO$12,OFFSET(CÁLCULO!$AJ$15:$BB$15,$F56,0,OFFSET(ORÇAMENTO!$D$15,CRONO!$F56,0)))
                +IF(AND($F58&lt;&gt;"",$F58&lt;&gt;0),
                        SUMIF(CÁLCULO!$BC$15:$BU$131,CRONO!AO$12,CÁLCULO!$AJ$15:$BB$131)/(ORÇAMENTO!$X$15-CÁLCULO.TotalAdmLocal)*CRONO!$F58,
                        0),
                 AO57*$S56),
          SUMIF(OFFSET($S58,1,0,$R56-2),($M56+1)&amp;"$",OFFSET(AO58,1,0,$R56-2)))</f>
        <v>0</v>
      </c>
      <c r="AP58" s="212">
        <f ca="1">IF($R56=2,
         IF(AND(ACOMPANHAMENTO="PLE",ISNUMBER($F56)),
                SUMIF((OFFSET(CÁLCULO!$BC$15:$BU$15,$F56,0,OFFSET(ORÇAMENTO!$D$15,CRONO!$F56,0))),CRONO!AP$12,OFFSET(CÁLCULO!$AJ$15:$BB$15,$F56,0,OFFSET(ORÇAMENTO!$D$15,CRONO!$F56,0)))
                +IF(AND($F58&lt;&gt;"",$F58&lt;&gt;0),
                        SUMIF(CÁLCULO!$BC$15:$BU$131,CRONO!AP$12,CÁLCULO!$AJ$15:$BB$131)/(ORÇAMENTO!$X$15-CÁLCULO.TotalAdmLocal)*CRONO!$F58,
                        0),
                 AP57*$S56),
          SUMIF(OFFSET($S58,1,0,$R56-2),($M56+1)&amp;"$",OFFSET(AP58,1,0,$R56-2)))</f>
        <v>0</v>
      </c>
      <c r="AQ58" s="212">
        <f ca="1">IF($R56=2,
         IF(AND(ACOMPANHAMENTO="PLE",ISNUMBER($F56)),
                SUMIF((OFFSET(CÁLCULO!$BC$15:$BU$15,$F56,0,OFFSET(ORÇAMENTO!$D$15,CRONO!$F56,0))),CRONO!AQ$12,OFFSET(CÁLCULO!$AJ$15:$BB$15,$F56,0,OFFSET(ORÇAMENTO!$D$15,CRONO!$F56,0)))
                +IF(AND($F58&lt;&gt;"",$F58&lt;&gt;0),
                        SUMIF(CÁLCULO!$BC$15:$BU$131,CRONO!AQ$12,CÁLCULO!$AJ$15:$BB$131)/(ORÇAMENTO!$X$15-CÁLCULO.TotalAdmLocal)*CRONO!$F58,
                        0),
                 AQ57*$S56),
          SUMIF(OFFSET($S58,1,0,$R56-2),($M56+1)&amp;"$",OFFSET(AQ58,1,0,$R56-2)))</f>
        <v>0</v>
      </c>
      <c r="AR58" s="212">
        <f ca="1">IF($R56=2,
         IF(AND(ACOMPANHAMENTO="PLE",ISNUMBER($F56)),
                SUMIF((OFFSET(CÁLCULO!$BC$15:$BU$15,$F56,0,OFFSET(ORÇAMENTO!$D$15,CRONO!$F56,0))),CRONO!AR$12,OFFSET(CÁLCULO!$AJ$15:$BB$15,$F56,0,OFFSET(ORÇAMENTO!$D$15,CRONO!$F56,0)))
                +IF(AND($F58&lt;&gt;"",$F58&lt;&gt;0),
                        SUMIF(CÁLCULO!$BC$15:$BU$131,CRONO!AR$12,CÁLCULO!$AJ$15:$BB$131)/(ORÇAMENTO!$X$15-CÁLCULO.TotalAdmLocal)*CRONO!$F58,
                        0),
                 AR57*$S56),
          SUMIF(OFFSET($S58,1,0,$R56-2),($M56+1)&amp;"$",OFFSET(AR58,1,0,$R56-2)))</f>
        <v>0</v>
      </c>
      <c r="AS58" s="577"/>
    </row>
    <row r="59" spans="1:45" x14ac:dyDescent="0.2">
      <c r="A59" s="196" t="str">
        <f t="shared" ref="A59" ca="1" si="92">IF($M59&gt;1,CONCATENATE($I59," ",$J59),"")</f>
        <v/>
      </c>
      <c r="B59" s="195">
        <f t="shared" ref="B59" ca="1" si="93">OFFSET(B59,-3,0)+1</f>
        <v>16</v>
      </c>
      <c r="C59" s="195">
        <f ca="1">IF($R59&lt;&gt;2,0,IF($S59=0,1,IF(F60&gt;0,OFFSET(QCI!$M$13,SUBSTITUTE(F60,".",""),0),OFFSET(ORÇAMENTO!$AA$15,CRONO!$F59,0))/$S59))</f>
        <v>1</v>
      </c>
      <c r="D59" s="195">
        <f ca="1">IF($R59&lt;&gt;2,0,IF($S59=0,1,IF(F60&gt;0,OFFSET(QCI!$N$13,SUBSTITUTE(F60,".",""),0),OFFSET(ORÇAMENTO!$AB$15,CRONO!$F59,0))/$S59))</f>
        <v>1</v>
      </c>
      <c r="E59" s="198" t="e">
        <f ca="1">IF(AND($R59=2,ACOMPANHAMENTO="BM"),ROUND(E60,4),E61/$S59)</f>
        <v>#DIV/0!</v>
      </c>
      <c r="F59" s="195" t="e">
        <f ca="1">IF(B59&lt;=ORÇAMENTO.MáximoListaCrono,MATCH(B59,ORÇAMENTO.ListaCrono,0),NA())</f>
        <v>#N/A</v>
      </c>
      <c r="G59" s="195" t="str">
        <f t="shared" ref="G59" ca="1" si="94">IF(AND($F60&lt;&gt;-1,$S59&gt;0),"F","")</f>
        <v/>
      </c>
      <c r="H59" s="199" t="str">
        <f ca="1">IF(OR(S59=0,S59=""),"Linha",IF(AND(OR(ACOMPANHAMENTO="PLE",$R59&lt;&gt;2),$F60=0),"Linha",ROUND(1-SUM(U59:AS59),4)))</f>
        <v>Linha</v>
      </c>
      <c r="I59" s="200">
        <f ca="1">IF($F60=0,OFFSET(ORÇAMENTO!O$15,$F59,0),IF($F60&lt;&gt;-1,OFFSET(QCI!$D$13,$F60,0),""))</f>
        <v>3</v>
      </c>
      <c r="J59" s="201" t="str">
        <f ca="1">IF($F60=0,OFFSET(ORÇAMENTO!R$15,$F59,0),IF($F60&lt;&gt;-1,OFFSET(QCI!$G$13,$F60,0),""))</f>
        <v/>
      </c>
      <c r="K59" s="201"/>
      <c r="L59" s="201"/>
      <c r="M59" s="202">
        <f ca="1">IF($F60=0,OFFSET(ORÇAMENTO!C$15,$F59,0),1)</f>
        <v>1</v>
      </c>
      <c r="N59" s="203">
        <f ca="1">IF($F60=-1,0,IF(N$13&lt;=$M59,IF(ISERROR(MATCH(N$13,OFFSET($M59,1,0,ROW($M$107)-ROW($M59)-1),0)),ROW($M$107)-ROW($M59)-1,MATCH(N$13,OFFSET($M59,1,0,ROW($M$107)-ROW($M59)-1),0)-1),0))</f>
        <v>2</v>
      </c>
      <c r="O59" s="203">
        <f ca="1">IF($F60=-1,0,IF(O$13&lt;=$M59,IF(ISERROR(MATCH(O$13,OFFSET($M59,1,0,ROW($M$107)-ROW($M59)-1),0)),ROW($M$107)-ROW($M59)-1,MATCH(O$13,OFFSET($M59,1,0,ROW($M$107)-ROW($M59)-1),0)-1),0))</f>
        <v>0</v>
      </c>
      <c r="P59" s="203">
        <f ca="1">IF($F60=-1,0,IF(P$13&lt;=$M59,IF(ISERROR(MATCH(P$13,OFFSET($M59,1,0,ROW($M$107)-ROW($M59)-1),0)),ROW($M$107)-ROW($M59)-1,MATCH(P$13,OFFSET($M59,1,0,ROW($M$107)-ROW($M59)-1),0)-1),0))</f>
        <v>0</v>
      </c>
      <c r="Q59" s="203">
        <f ca="1">IF($F60=-1,0,IF(Q$13&lt;=$M59,IF(ISERROR(MATCH(Q$13,OFFSET($M59,1,0,ROW($M$107)-ROW($M59)-1),0)),ROW($M$107)-ROW($M59)-1,MATCH(Q$13,OFFSET($M59,1,0,ROW($M$107)-ROW($M59)-1),0)-1),0))</f>
        <v>0</v>
      </c>
      <c r="R59" s="203">
        <f t="shared" ref="R59" ca="1" si="95">MIN(OFFSET(M59,0,1,,M59))</f>
        <v>2</v>
      </c>
      <c r="S59" s="204">
        <f ca="1">IF($F60=0,OFFSET(ORÇAMENTO!X$15,$F59,0),IF($F60&lt;&gt;-1,OFFSET(QCI!$O$13,$F60,0),""))</f>
        <v>0</v>
      </c>
      <c r="T59" s="205" t="s">
        <v>266</v>
      </c>
      <c r="U59" s="198" t="e">
        <f ca="1">IF(AND($R59=2,ACOMPANHAMENTO="BM"),ROUND(U60,4),U61/$S59)</f>
        <v>#DIV/0!</v>
      </c>
      <c r="V59" s="198" t="e">
        <f ca="1">IF(AND($R59=2,ACOMPANHAMENTO="BM"),ROUND(V60,4),V61/$S59)</f>
        <v>#DIV/0!</v>
      </c>
      <c r="W59" s="198" t="e">
        <f ca="1">IF(AND($R59=2,ACOMPANHAMENTO="BM"),ROUND(W60,4),W61/$S59)</f>
        <v>#DIV/0!</v>
      </c>
      <c r="X59" s="198" t="e">
        <f ca="1">IF(AND($R59=2,ACOMPANHAMENTO="BM"),ROUND(X60,4),X61/$S59)</f>
        <v>#DIV/0!</v>
      </c>
      <c r="Y59" s="198" t="e">
        <f ca="1">IF(AND($R59=2,ACOMPANHAMENTO="BM"),ROUND(Y60,4),Y61/$S59)</f>
        <v>#DIV/0!</v>
      </c>
      <c r="Z59" s="198" t="e">
        <f ca="1">IF(AND($R59=2,ACOMPANHAMENTO="BM"),ROUND(Z60,4),Z61/$S59)</f>
        <v>#DIV/0!</v>
      </c>
      <c r="AA59" s="198" t="e">
        <f ca="1">IF(AND($R59=2,ACOMPANHAMENTO="BM"),ROUND(AA60,4),AA61/$S59)</f>
        <v>#DIV/0!</v>
      </c>
      <c r="AB59" s="198" t="e">
        <f ca="1">IF(AND($R59=2,ACOMPANHAMENTO="BM"),ROUND(AB60,4),AB61/$S59)</f>
        <v>#DIV/0!</v>
      </c>
      <c r="AC59" s="198" t="e">
        <f ca="1">IF(AND($R59=2,ACOMPANHAMENTO="BM"),ROUND(AC60,4),AC61/$S59)</f>
        <v>#DIV/0!</v>
      </c>
      <c r="AD59" s="198" t="e">
        <f ca="1">IF(AND($R59=2,ACOMPANHAMENTO="BM"),ROUND(AD60,4),AD61/$S59)</f>
        <v>#DIV/0!</v>
      </c>
      <c r="AE59" s="198" t="e">
        <f ca="1">IF(AND($R59=2,ACOMPANHAMENTO="BM"),ROUND(AE60,4),AE61/$S59)</f>
        <v>#DIV/0!</v>
      </c>
      <c r="AF59" s="198" t="e">
        <f ca="1">IF(AND($R59=2,ACOMPANHAMENTO="BM"),ROUND(AF60,4),AF61/$S59)</f>
        <v>#DIV/0!</v>
      </c>
      <c r="AG59" s="198" t="e">
        <f ca="1">IF(AND($R59=2,ACOMPANHAMENTO="BM"),ROUND(AG60,4),AG61/$S59)</f>
        <v>#DIV/0!</v>
      </c>
      <c r="AH59" s="198" t="e">
        <f ca="1">IF(AND($R59=2,ACOMPANHAMENTO="BM"),ROUND(AH60,4),AH61/$S59)</f>
        <v>#DIV/0!</v>
      </c>
      <c r="AI59" s="198" t="e">
        <f ca="1">IF(AND($R59=2,ACOMPANHAMENTO="BM"),ROUND(AI60,4),AI61/$S59)</f>
        <v>#DIV/0!</v>
      </c>
      <c r="AJ59" s="198" t="e">
        <f ca="1">IF(AND($R59=2,ACOMPANHAMENTO="BM"),ROUND(AJ60,4),AJ61/$S59)</f>
        <v>#DIV/0!</v>
      </c>
      <c r="AK59" s="198" t="e">
        <f ca="1">IF(AND($R59=2,ACOMPANHAMENTO="BM"),ROUND(AK60,4),AK61/$S59)</f>
        <v>#DIV/0!</v>
      </c>
      <c r="AL59" s="198" t="e">
        <f ca="1">IF(AND($R59=2,ACOMPANHAMENTO="BM"),ROUND(AL60,4),AL61/$S59)</f>
        <v>#DIV/0!</v>
      </c>
      <c r="AM59" s="198" t="e">
        <f ca="1">IF(AND($R59=2,ACOMPANHAMENTO="BM"),ROUND(AM60,4),AM61/$S59)</f>
        <v>#DIV/0!</v>
      </c>
      <c r="AN59" s="198" t="e">
        <f ca="1">IF(AND($R59=2,ACOMPANHAMENTO="BM"),ROUND(AN60,4),AN61/$S59)</f>
        <v>#DIV/0!</v>
      </c>
      <c r="AO59" s="198" t="e">
        <f ca="1">IF(AND($R59=2,ACOMPANHAMENTO="BM"),ROUND(AO60,4),AO61/$S59)</f>
        <v>#DIV/0!</v>
      </c>
      <c r="AP59" s="198" t="e">
        <f ca="1">IF(AND($R59=2,ACOMPANHAMENTO="BM"),ROUND(AP60,4),AP61/$S59)</f>
        <v>#DIV/0!</v>
      </c>
      <c r="AQ59" s="198" t="e">
        <f ca="1">IF(AND($R59=2,ACOMPANHAMENTO="BM"),ROUND(AQ60,4),AQ61/$S59)</f>
        <v>#DIV/0!</v>
      </c>
      <c r="AR59" s="198" t="e">
        <f ca="1">IF(AND($R59=2,ACOMPANHAMENTO="BM"),ROUND(AR60,4),AR61/$S59)</f>
        <v>#DIV/0!</v>
      </c>
      <c r="AS59" s="577"/>
    </row>
    <row r="60" spans="1:45" ht="12.75" hidden="1" customHeight="1" x14ac:dyDescent="0.2">
      <c r="E60" s="645"/>
      <c r="F60" s="195">
        <f ca="1">IF(ISERROR(F59),IF(1+COUNTIF($M$13:OFFSET(M59,-1,0),1)&lt;=MAX(QCI!$D$13:$D$24),1+COUNTIF($M$13:OFFSET(M59,-1,0),1),-1),0)</f>
        <v>3</v>
      </c>
      <c r="G60" s="195" t="str">
        <f ca="1">IF(ACOMPANHAMENTO="BM",OFFSET(G60,-1,0),"")</f>
        <v/>
      </c>
      <c r="H60" s="206" t="str">
        <f ca="1">IF(OR(S59=0,S59=""),"vazia",IF(AND(OR(ACOMPANHAMENTO="PLE",$R59&lt;&gt;2),$F60=0),"calculada","--&gt;"))</f>
        <v>vazia</v>
      </c>
      <c r="I60" s="207"/>
      <c r="J60" s="208" t="str">
        <f t="shared" ref="J60" ca="1" si="96">IF(AND(H59&lt;&gt;0,ISNUMBER(H59)),"PREENCHA ESTA LINHA --&gt;","")</f>
        <v/>
      </c>
      <c r="K60" s="208"/>
      <c r="L60" s="208"/>
      <c r="M60" s="209"/>
      <c r="N60" s="209"/>
      <c r="O60" s="209"/>
      <c r="P60" s="209"/>
      <c r="Q60" s="209"/>
      <c r="R60" s="209"/>
      <c r="S60" s="210"/>
      <c r="T60" s="211"/>
      <c r="U60" s="645"/>
      <c r="V60" s="645"/>
      <c r="W60" s="645"/>
      <c r="X60" s="645"/>
      <c r="Y60" s="645"/>
      <c r="Z60" s="645"/>
      <c r="AA60" s="645"/>
      <c r="AB60" s="645"/>
      <c r="AC60" s="645"/>
      <c r="AD60" s="645"/>
      <c r="AE60" s="645"/>
      <c r="AF60" s="645"/>
      <c r="AG60" s="645"/>
      <c r="AH60" s="645"/>
      <c r="AI60" s="645"/>
      <c r="AJ60" s="645"/>
      <c r="AK60" s="645"/>
      <c r="AL60" s="645"/>
      <c r="AM60" s="645"/>
      <c r="AN60" s="645"/>
      <c r="AO60" s="645"/>
      <c r="AP60" s="645"/>
      <c r="AQ60" s="645"/>
      <c r="AR60" s="645"/>
      <c r="AS60" s="577"/>
    </row>
    <row r="61" spans="1:45" ht="12.75" hidden="1" customHeight="1" x14ac:dyDescent="0.2">
      <c r="D61" s="576"/>
      <c r="E61" s="212">
        <f ca="1">IF($R59=2,
         IF(AND(ACOMPANHAMENTO="PLE",ISNUMBER($F59)),
                SUMIF((OFFSET(CÁLCULO!$BC$15:$BU$15,$F59,0,OFFSET(ORÇAMENTO!$D$15,CRONO!$F59,0))),CRONO!E$12,OFFSET(CÁLCULO!$AJ$15:$BB$15,$F59,0,OFFSET(ORÇAMENTO!$D$15,CRONO!$F59,0)))
                +IF(AND($F61&lt;&gt;"",$F61&lt;&gt;0),
                        SUMIF(CÁLCULO!$BC$15:$BU$131,CRONO!E$12,CÁLCULO!$AJ$15:$BB$131)/(ORÇAMENTO!$X$15-CÁLCULO.TotalAdmLocal)*CRONO!$F61,
                        0),
                 E60*$S59),
          SUMIF(OFFSET($S61,1,0,$R59-2),($M59+1)&amp;"$",OFFSET(E61,1,0,$R59-2)))</f>
        <v>0</v>
      </c>
      <c r="F61" s="195" t="str">
        <f ca="1">IF(OR($R59&lt;&gt;2,AUTOEVENTO&lt;&gt;"manual",$F60&gt;0),"",
        IF(Import.TipoArredondamento="Tradicional",
              SUMIF(OFFSET(CÁLCULO!$M$15,CRONO!$F59,0,OFFSET(ORÇAMENTO!$D$15,CRONO!$F59,0)),1,OFFSET(ORÇAMENTO!$X$15,CRONO!$F59,0,OFFSET(ORÇAMENTO!$D$15,CRONO!$F59,0))),
              0))</f>
        <v/>
      </c>
      <c r="H61" s="213"/>
      <c r="S61" s="214" t="str">
        <f t="shared" ref="S61" ca="1" si="97">M59&amp;"$"</f>
        <v>1$</v>
      </c>
      <c r="T61" s="215"/>
      <c r="U61" s="212">
        <f ca="1">IF($R59=2,
         IF(AND(ACOMPANHAMENTO="PLE",ISNUMBER($F59)),
                SUMIF((OFFSET(CÁLCULO!$BC$15:$BU$15,$F59,0,OFFSET(ORÇAMENTO!$D$15,CRONO!$F59,0))),CRONO!U$12,OFFSET(CÁLCULO!$AJ$15:$BB$15,$F59,0,OFFSET(ORÇAMENTO!$D$15,CRONO!$F59,0)))
                +IF(AND($F61&lt;&gt;"",$F61&lt;&gt;0),
                        SUMIF(CÁLCULO!$BC$15:$BU$131,CRONO!U$12,CÁLCULO!$AJ$15:$BB$131)/(ORÇAMENTO!$X$15-CÁLCULO.TotalAdmLocal)*CRONO!$F61,
                        0),
                 U60*$S59),
          SUMIF(OFFSET($S61,1,0,$R59-2),($M59+1)&amp;"$",OFFSET(U61,1,0,$R59-2)))</f>
        <v>0</v>
      </c>
      <c r="V61" s="212">
        <f ca="1">IF($R59=2,
         IF(AND(ACOMPANHAMENTO="PLE",ISNUMBER($F59)),
                SUMIF((OFFSET(CÁLCULO!$BC$15:$BU$15,$F59,0,OFFSET(ORÇAMENTO!$D$15,CRONO!$F59,0))),CRONO!V$12,OFFSET(CÁLCULO!$AJ$15:$BB$15,$F59,0,OFFSET(ORÇAMENTO!$D$15,CRONO!$F59,0)))
                +IF(AND($F61&lt;&gt;"",$F61&lt;&gt;0),
                        SUMIF(CÁLCULO!$BC$15:$BU$131,CRONO!V$12,CÁLCULO!$AJ$15:$BB$131)/(ORÇAMENTO!$X$15-CÁLCULO.TotalAdmLocal)*CRONO!$F61,
                        0),
                 V60*$S59),
          SUMIF(OFFSET($S61,1,0,$R59-2),($M59+1)&amp;"$",OFFSET(V61,1,0,$R59-2)))</f>
        <v>0</v>
      </c>
      <c r="W61" s="212">
        <f ca="1">IF($R59=2,
         IF(AND(ACOMPANHAMENTO="PLE",ISNUMBER($F59)),
                SUMIF((OFFSET(CÁLCULO!$BC$15:$BU$15,$F59,0,OFFSET(ORÇAMENTO!$D$15,CRONO!$F59,0))),CRONO!W$12,OFFSET(CÁLCULO!$AJ$15:$BB$15,$F59,0,OFFSET(ORÇAMENTO!$D$15,CRONO!$F59,0)))
                +IF(AND($F61&lt;&gt;"",$F61&lt;&gt;0),
                        SUMIF(CÁLCULO!$BC$15:$BU$131,CRONO!W$12,CÁLCULO!$AJ$15:$BB$131)/(ORÇAMENTO!$X$15-CÁLCULO.TotalAdmLocal)*CRONO!$F61,
                        0),
                 W60*$S59),
          SUMIF(OFFSET($S61,1,0,$R59-2),($M59+1)&amp;"$",OFFSET(W61,1,0,$R59-2)))</f>
        <v>0</v>
      </c>
      <c r="X61" s="212">
        <f ca="1">IF($R59=2,
         IF(AND(ACOMPANHAMENTO="PLE",ISNUMBER($F59)),
                SUMIF((OFFSET(CÁLCULO!$BC$15:$BU$15,$F59,0,OFFSET(ORÇAMENTO!$D$15,CRONO!$F59,0))),CRONO!X$12,OFFSET(CÁLCULO!$AJ$15:$BB$15,$F59,0,OFFSET(ORÇAMENTO!$D$15,CRONO!$F59,0)))
                +IF(AND($F61&lt;&gt;"",$F61&lt;&gt;0),
                        SUMIF(CÁLCULO!$BC$15:$BU$131,CRONO!X$12,CÁLCULO!$AJ$15:$BB$131)/(ORÇAMENTO!$X$15-CÁLCULO.TotalAdmLocal)*CRONO!$F61,
                        0),
                 X60*$S59),
          SUMIF(OFFSET($S61,1,0,$R59-2),($M59+1)&amp;"$",OFFSET(X61,1,0,$R59-2)))</f>
        <v>0</v>
      </c>
      <c r="Y61" s="212">
        <f ca="1">IF($R59=2,
         IF(AND(ACOMPANHAMENTO="PLE",ISNUMBER($F59)),
                SUMIF((OFFSET(CÁLCULO!$BC$15:$BU$15,$F59,0,OFFSET(ORÇAMENTO!$D$15,CRONO!$F59,0))),CRONO!Y$12,OFFSET(CÁLCULO!$AJ$15:$BB$15,$F59,0,OFFSET(ORÇAMENTO!$D$15,CRONO!$F59,0)))
                +IF(AND($F61&lt;&gt;"",$F61&lt;&gt;0),
                        SUMIF(CÁLCULO!$BC$15:$BU$131,CRONO!Y$12,CÁLCULO!$AJ$15:$BB$131)/(ORÇAMENTO!$X$15-CÁLCULO.TotalAdmLocal)*CRONO!$F61,
                        0),
                 Y60*$S59),
          SUMIF(OFFSET($S61,1,0,$R59-2),($M59+1)&amp;"$",OFFSET(Y61,1,0,$R59-2)))</f>
        <v>0</v>
      </c>
      <c r="Z61" s="212">
        <f ca="1">IF($R59=2,
         IF(AND(ACOMPANHAMENTO="PLE",ISNUMBER($F59)),
                SUMIF((OFFSET(CÁLCULO!$BC$15:$BU$15,$F59,0,OFFSET(ORÇAMENTO!$D$15,CRONO!$F59,0))),CRONO!Z$12,OFFSET(CÁLCULO!$AJ$15:$BB$15,$F59,0,OFFSET(ORÇAMENTO!$D$15,CRONO!$F59,0)))
                +IF(AND($F61&lt;&gt;"",$F61&lt;&gt;0),
                        SUMIF(CÁLCULO!$BC$15:$BU$131,CRONO!Z$12,CÁLCULO!$AJ$15:$BB$131)/(ORÇAMENTO!$X$15-CÁLCULO.TotalAdmLocal)*CRONO!$F61,
                        0),
                 Z60*$S59),
          SUMIF(OFFSET($S61,1,0,$R59-2),($M59+1)&amp;"$",OFFSET(Z61,1,0,$R59-2)))</f>
        <v>0</v>
      </c>
      <c r="AA61" s="212">
        <f ca="1">IF($R59=2,
         IF(AND(ACOMPANHAMENTO="PLE",ISNUMBER($F59)),
                SUMIF((OFFSET(CÁLCULO!$BC$15:$BU$15,$F59,0,OFFSET(ORÇAMENTO!$D$15,CRONO!$F59,0))),CRONO!AA$12,OFFSET(CÁLCULO!$AJ$15:$BB$15,$F59,0,OFFSET(ORÇAMENTO!$D$15,CRONO!$F59,0)))
                +IF(AND($F61&lt;&gt;"",$F61&lt;&gt;0),
                        SUMIF(CÁLCULO!$BC$15:$BU$131,CRONO!AA$12,CÁLCULO!$AJ$15:$BB$131)/(ORÇAMENTO!$X$15-CÁLCULO.TotalAdmLocal)*CRONO!$F61,
                        0),
                 AA60*$S59),
          SUMIF(OFFSET($S61,1,0,$R59-2),($M59+1)&amp;"$",OFFSET(AA61,1,0,$R59-2)))</f>
        <v>0</v>
      </c>
      <c r="AB61" s="212">
        <f ca="1">IF($R59=2,
         IF(AND(ACOMPANHAMENTO="PLE",ISNUMBER($F59)),
                SUMIF((OFFSET(CÁLCULO!$BC$15:$BU$15,$F59,0,OFFSET(ORÇAMENTO!$D$15,CRONO!$F59,0))),CRONO!AB$12,OFFSET(CÁLCULO!$AJ$15:$BB$15,$F59,0,OFFSET(ORÇAMENTO!$D$15,CRONO!$F59,0)))
                +IF(AND($F61&lt;&gt;"",$F61&lt;&gt;0),
                        SUMIF(CÁLCULO!$BC$15:$BU$131,CRONO!AB$12,CÁLCULO!$AJ$15:$BB$131)/(ORÇAMENTO!$X$15-CÁLCULO.TotalAdmLocal)*CRONO!$F61,
                        0),
                 AB60*$S59),
          SUMIF(OFFSET($S61,1,0,$R59-2),($M59+1)&amp;"$",OFFSET(AB61,1,0,$R59-2)))</f>
        <v>0</v>
      </c>
      <c r="AC61" s="212">
        <f ca="1">IF($R59=2,
         IF(AND(ACOMPANHAMENTO="PLE",ISNUMBER($F59)),
                SUMIF((OFFSET(CÁLCULO!$BC$15:$BU$15,$F59,0,OFFSET(ORÇAMENTO!$D$15,CRONO!$F59,0))),CRONO!AC$12,OFFSET(CÁLCULO!$AJ$15:$BB$15,$F59,0,OFFSET(ORÇAMENTO!$D$15,CRONO!$F59,0)))
                +IF(AND($F61&lt;&gt;"",$F61&lt;&gt;0),
                        SUMIF(CÁLCULO!$BC$15:$BU$131,CRONO!AC$12,CÁLCULO!$AJ$15:$BB$131)/(ORÇAMENTO!$X$15-CÁLCULO.TotalAdmLocal)*CRONO!$F61,
                        0),
                 AC60*$S59),
          SUMIF(OFFSET($S61,1,0,$R59-2),($M59+1)&amp;"$",OFFSET(AC61,1,0,$R59-2)))</f>
        <v>0</v>
      </c>
      <c r="AD61" s="212">
        <f ca="1">IF($R59=2,
         IF(AND(ACOMPANHAMENTO="PLE",ISNUMBER($F59)),
                SUMIF((OFFSET(CÁLCULO!$BC$15:$BU$15,$F59,0,OFFSET(ORÇAMENTO!$D$15,CRONO!$F59,0))),CRONO!AD$12,OFFSET(CÁLCULO!$AJ$15:$BB$15,$F59,0,OFFSET(ORÇAMENTO!$D$15,CRONO!$F59,0)))
                +IF(AND($F61&lt;&gt;"",$F61&lt;&gt;0),
                        SUMIF(CÁLCULO!$BC$15:$BU$131,CRONO!AD$12,CÁLCULO!$AJ$15:$BB$131)/(ORÇAMENTO!$X$15-CÁLCULO.TotalAdmLocal)*CRONO!$F61,
                        0),
                 AD60*$S59),
          SUMIF(OFFSET($S61,1,0,$R59-2),($M59+1)&amp;"$",OFFSET(AD61,1,0,$R59-2)))</f>
        <v>0</v>
      </c>
      <c r="AE61" s="212">
        <f ca="1">IF($R59=2,
         IF(AND(ACOMPANHAMENTO="PLE",ISNUMBER($F59)),
                SUMIF((OFFSET(CÁLCULO!$BC$15:$BU$15,$F59,0,OFFSET(ORÇAMENTO!$D$15,CRONO!$F59,0))),CRONO!AE$12,OFFSET(CÁLCULO!$AJ$15:$BB$15,$F59,0,OFFSET(ORÇAMENTO!$D$15,CRONO!$F59,0)))
                +IF(AND($F61&lt;&gt;"",$F61&lt;&gt;0),
                        SUMIF(CÁLCULO!$BC$15:$BU$131,CRONO!AE$12,CÁLCULO!$AJ$15:$BB$131)/(ORÇAMENTO!$X$15-CÁLCULO.TotalAdmLocal)*CRONO!$F61,
                        0),
                 AE60*$S59),
          SUMIF(OFFSET($S61,1,0,$R59-2),($M59+1)&amp;"$",OFFSET(AE61,1,0,$R59-2)))</f>
        <v>0</v>
      </c>
      <c r="AF61" s="212">
        <f ca="1">IF($R59=2,
         IF(AND(ACOMPANHAMENTO="PLE",ISNUMBER($F59)),
                SUMIF((OFFSET(CÁLCULO!$BC$15:$BU$15,$F59,0,OFFSET(ORÇAMENTO!$D$15,CRONO!$F59,0))),CRONO!AF$12,OFFSET(CÁLCULO!$AJ$15:$BB$15,$F59,0,OFFSET(ORÇAMENTO!$D$15,CRONO!$F59,0)))
                +IF(AND($F61&lt;&gt;"",$F61&lt;&gt;0),
                        SUMIF(CÁLCULO!$BC$15:$BU$131,CRONO!AF$12,CÁLCULO!$AJ$15:$BB$131)/(ORÇAMENTO!$X$15-CÁLCULO.TotalAdmLocal)*CRONO!$F61,
                        0),
                 AF60*$S59),
          SUMIF(OFFSET($S61,1,0,$R59-2),($M59+1)&amp;"$",OFFSET(AF61,1,0,$R59-2)))</f>
        <v>0</v>
      </c>
      <c r="AG61" s="212">
        <f ca="1">IF($R59=2,
         IF(AND(ACOMPANHAMENTO="PLE",ISNUMBER($F59)),
                SUMIF((OFFSET(CÁLCULO!$BC$15:$BU$15,$F59,0,OFFSET(ORÇAMENTO!$D$15,CRONO!$F59,0))),CRONO!AG$12,OFFSET(CÁLCULO!$AJ$15:$BB$15,$F59,0,OFFSET(ORÇAMENTO!$D$15,CRONO!$F59,0)))
                +IF(AND($F61&lt;&gt;"",$F61&lt;&gt;0),
                        SUMIF(CÁLCULO!$BC$15:$BU$131,CRONO!AG$12,CÁLCULO!$AJ$15:$BB$131)/(ORÇAMENTO!$X$15-CÁLCULO.TotalAdmLocal)*CRONO!$F61,
                        0),
                 AG60*$S59),
          SUMIF(OFFSET($S61,1,0,$R59-2),($M59+1)&amp;"$",OFFSET(AG61,1,0,$R59-2)))</f>
        <v>0</v>
      </c>
      <c r="AH61" s="212">
        <f ca="1">IF($R59=2,
         IF(AND(ACOMPANHAMENTO="PLE",ISNUMBER($F59)),
                SUMIF((OFFSET(CÁLCULO!$BC$15:$BU$15,$F59,0,OFFSET(ORÇAMENTO!$D$15,CRONO!$F59,0))),CRONO!AH$12,OFFSET(CÁLCULO!$AJ$15:$BB$15,$F59,0,OFFSET(ORÇAMENTO!$D$15,CRONO!$F59,0)))
                +IF(AND($F61&lt;&gt;"",$F61&lt;&gt;0),
                        SUMIF(CÁLCULO!$BC$15:$BU$131,CRONO!AH$12,CÁLCULO!$AJ$15:$BB$131)/(ORÇAMENTO!$X$15-CÁLCULO.TotalAdmLocal)*CRONO!$F61,
                        0),
                 AH60*$S59),
          SUMIF(OFFSET($S61,1,0,$R59-2),($M59+1)&amp;"$",OFFSET(AH61,1,0,$R59-2)))</f>
        <v>0</v>
      </c>
      <c r="AI61" s="212">
        <f ca="1">IF($R59=2,
         IF(AND(ACOMPANHAMENTO="PLE",ISNUMBER($F59)),
                SUMIF((OFFSET(CÁLCULO!$BC$15:$BU$15,$F59,0,OFFSET(ORÇAMENTO!$D$15,CRONO!$F59,0))),CRONO!AI$12,OFFSET(CÁLCULO!$AJ$15:$BB$15,$F59,0,OFFSET(ORÇAMENTO!$D$15,CRONO!$F59,0)))
                +IF(AND($F61&lt;&gt;"",$F61&lt;&gt;0),
                        SUMIF(CÁLCULO!$BC$15:$BU$131,CRONO!AI$12,CÁLCULO!$AJ$15:$BB$131)/(ORÇAMENTO!$X$15-CÁLCULO.TotalAdmLocal)*CRONO!$F61,
                        0),
                 AI60*$S59),
          SUMIF(OFFSET($S61,1,0,$R59-2),($M59+1)&amp;"$",OFFSET(AI61,1,0,$R59-2)))</f>
        <v>0</v>
      </c>
      <c r="AJ61" s="212">
        <f ca="1">IF($R59=2,
         IF(AND(ACOMPANHAMENTO="PLE",ISNUMBER($F59)),
                SUMIF((OFFSET(CÁLCULO!$BC$15:$BU$15,$F59,0,OFFSET(ORÇAMENTO!$D$15,CRONO!$F59,0))),CRONO!AJ$12,OFFSET(CÁLCULO!$AJ$15:$BB$15,$F59,0,OFFSET(ORÇAMENTO!$D$15,CRONO!$F59,0)))
                +IF(AND($F61&lt;&gt;"",$F61&lt;&gt;0),
                        SUMIF(CÁLCULO!$BC$15:$BU$131,CRONO!AJ$12,CÁLCULO!$AJ$15:$BB$131)/(ORÇAMENTO!$X$15-CÁLCULO.TotalAdmLocal)*CRONO!$F61,
                        0),
                 AJ60*$S59),
          SUMIF(OFFSET($S61,1,0,$R59-2),($M59+1)&amp;"$",OFFSET(AJ61,1,0,$R59-2)))</f>
        <v>0</v>
      </c>
      <c r="AK61" s="212">
        <f ca="1">IF($R59=2,
         IF(AND(ACOMPANHAMENTO="PLE",ISNUMBER($F59)),
                SUMIF((OFFSET(CÁLCULO!$BC$15:$BU$15,$F59,0,OFFSET(ORÇAMENTO!$D$15,CRONO!$F59,0))),CRONO!AK$12,OFFSET(CÁLCULO!$AJ$15:$BB$15,$F59,0,OFFSET(ORÇAMENTO!$D$15,CRONO!$F59,0)))
                +IF(AND($F61&lt;&gt;"",$F61&lt;&gt;0),
                        SUMIF(CÁLCULO!$BC$15:$BU$131,CRONO!AK$12,CÁLCULO!$AJ$15:$BB$131)/(ORÇAMENTO!$X$15-CÁLCULO.TotalAdmLocal)*CRONO!$F61,
                        0),
                 AK60*$S59),
          SUMIF(OFFSET($S61,1,0,$R59-2),($M59+1)&amp;"$",OFFSET(AK61,1,0,$R59-2)))</f>
        <v>0</v>
      </c>
      <c r="AL61" s="212">
        <f ca="1">IF($R59=2,
         IF(AND(ACOMPANHAMENTO="PLE",ISNUMBER($F59)),
                SUMIF((OFFSET(CÁLCULO!$BC$15:$BU$15,$F59,0,OFFSET(ORÇAMENTO!$D$15,CRONO!$F59,0))),CRONO!AL$12,OFFSET(CÁLCULO!$AJ$15:$BB$15,$F59,0,OFFSET(ORÇAMENTO!$D$15,CRONO!$F59,0)))
                +IF(AND($F61&lt;&gt;"",$F61&lt;&gt;0),
                        SUMIF(CÁLCULO!$BC$15:$BU$131,CRONO!AL$12,CÁLCULO!$AJ$15:$BB$131)/(ORÇAMENTO!$X$15-CÁLCULO.TotalAdmLocal)*CRONO!$F61,
                        0),
                 AL60*$S59),
          SUMIF(OFFSET($S61,1,0,$R59-2),($M59+1)&amp;"$",OFFSET(AL61,1,0,$R59-2)))</f>
        <v>0</v>
      </c>
      <c r="AM61" s="212">
        <f ca="1">IF($R59=2,
         IF(AND(ACOMPANHAMENTO="PLE",ISNUMBER($F59)),
                SUMIF((OFFSET(CÁLCULO!$BC$15:$BU$15,$F59,0,OFFSET(ORÇAMENTO!$D$15,CRONO!$F59,0))),CRONO!AM$12,OFFSET(CÁLCULO!$AJ$15:$BB$15,$F59,0,OFFSET(ORÇAMENTO!$D$15,CRONO!$F59,0)))
                +IF(AND($F61&lt;&gt;"",$F61&lt;&gt;0),
                        SUMIF(CÁLCULO!$BC$15:$BU$131,CRONO!AM$12,CÁLCULO!$AJ$15:$BB$131)/(ORÇAMENTO!$X$15-CÁLCULO.TotalAdmLocal)*CRONO!$F61,
                        0),
                 AM60*$S59),
          SUMIF(OFFSET($S61,1,0,$R59-2),($M59+1)&amp;"$",OFFSET(AM61,1,0,$R59-2)))</f>
        <v>0</v>
      </c>
      <c r="AN61" s="212">
        <f ca="1">IF($R59=2,
         IF(AND(ACOMPANHAMENTO="PLE",ISNUMBER($F59)),
                SUMIF((OFFSET(CÁLCULO!$BC$15:$BU$15,$F59,0,OFFSET(ORÇAMENTO!$D$15,CRONO!$F59,0))),CRONO!AN$12,OFFSET(CÁLCULO!$AJ$15:$BB$15,$F59,0,OFFSET(ORÇAMENTO!$D$15,CRONO!$F59,0)))
                +IF(AND($F61&lt;&gt;"",$F61&lt;&gt;0),
                        SUMIF(CÁLCULO!$BC$15:$BU$131,CRONO!AN$12,CÁLCULO!$AJ$15:$BB$131)/(ORÇAMENTO!$X$15-CÁLCULO.TotalAdmLocal)*CRONO!$F61,
                        0),
                 AN60*$S59),
          SUMIF(OFFSET($S61,1,0,$R59-2),($M59+1)&amp;"$",OFFSET(AN61,1,0,$R59-2)))</f>
        <v>0</v>
      </c>
      <c r="AO61" s="212">
        <f ca="1">IF($R59=2,
         IF(AND(ACOMPANHAMENTO="PLE",ISNUMBER($F59)),
                SUMIF((OFFSET(CÁLCULO!$BC$15:$BU$15,$F59,0,OFFSET(ORÇAMENTO!$D$15,CRONO!$F59,0))),CRONO!AO$12,OFFSET(CÁLCULO!$AJ$15:$BB$15,$F59,0,OFFSET(ORÇAMENTO!$D$15,CRONO!$F59,0)))
                +IF(AND($F61&lt;&gt;"",$F61&lt;&gt;0),
                        SUMIF(CÁLCULO!$BC$15:$BU$131,CRONO!AO$12,CÁLCULO!$AJ$15:$BB$131)/(ORÇAMENTO!$X$15-CÁLCULO.TotalAdmLocal)*CRONO!$F61,
                        0),
                 AO60*$S59),
          SUMIF(OFFSET($S61,1,0,$R59-2),($M59+1)&amp;"$",OFFSET(AO61,1,0,$R59-2)))</f>
        <v>0</v>
      </c>
      <c r="AP61" s="212">
        <f ca="1">IF($R59=2,
         IF(AND(ACOMPANHAMENTO="PLE",ISNUMBER($F59)),
                SUMIF((OFFSET(CÁLCULO!$BC$15:$BU$15,$F59,0,OFFSET(ORÇAMENTO!$D$15,CRONO!$F59,0))),CRONO!AP$12,OFFSET(CÁLCULO!$AJ$15:$BB$15,$F59,0,OFFSET(ORÇAMENTO!$D$15,CRONO!$F59,0)))
                +IF(AND($F61&lt;&gt;"",$F61&lt;&gt;0),
                        SUMIF(CÁLCULO!$BC$15:$BU$131,CRONO!AP$12,CÁLCULO!$AJ$15:$BB$131)/(ORÇAMENTO!$X$15-CÁLCULO.TotalAdmLocal)*CRONO!$F61,
                        0),
                 AP60*$S59),
          SUMIF(OFFSET($S61,1,0,$R59-2),($M59+1)&amp;"$",OFFSET(AP61,1,0,$R59-2)))</f>
        <v>0</v>
      </c>
      <c r="AQ61" s="212">
        <f ca="1">IF($R59=2,
         IF(AND(ACOMPANHAMENTO="PLE",ISNUMBER($F59)),
                SUMIF((OFFSET(CÁLCULO!$BC$15:$BU$15,$F59,0,OFFSET(ORÇAMENTO!$D$15,CRONO!$F59,0))),CRONO!AQ$12,OFFSET(CÁLCULO!$AJ$15:$BB$15,$F59,0,OFFSET(ORÇAMENTO!$D$15,CRONO!$F59,0)))
                +IF(AND($F61&lt;&gt;"",$F61&lt;&gt;0),
                        SUMIF(CÁLCULO!$BC$15:$BU$131,CRONO!AQ$12,CÁLCULO!$AJ$15:$BB$131)/(ORÇAMENTO!$X$15-CÁLCULO.TotalAdmLocal)*CRONO!$F61,
                        0),
                 AQ60*$S59),
          SUMIF(OFFSET($S61,1,0,$R59-2),($M59+1)&amp;"$",OFFSET(AQ61,1,0,$R59-2)))</f>
        <v>0</v>
      </c>
      <c r="AR61" s="212">
        <f ca="1">IF($R59=2,
         IF(AND(ACOMPANHAMENTO="PLE",ISNUMBER($F59)),
                SUMIF((OFFSET(CÁLCULO!$BC$15:$BU$15,$F59,0,OFFSET(ORÇAMENTO!$D$15,CRONO!$F59,0))),CRONO!AR$12,OFFSET(CÁLCULO!$AJ$15:$BB$15,$F59,0,OFFSET(ORÇAMENTO!$D$15,CRONO!$F59,0)))
                +IF(AND($F61&lt;&gt;"",$F61&lt;&gt;0),
                        SUMIF(CÁLCULO!$BC$15:$BU$131,CRONO!AR$12,CÁLCULO!$AJ$15:$BB$131)/(ORÇAMENTO!$X$15-CÁLCULO.TotalAdmLocal)*CRONO!$F61,
                        0),
                 AR60*$S59),
          SUMIF(OFFSET($S61,1,0,$R59-2),($M59+1)&amp;"$",OFFSET(AR61,1,0,$R59-2)))</f>
        <v>0</v>
      </c>
      <c r="AS61" s="577"/>
    </row>
    <row r="62" spans="1:45" x14ac:dyDescent="0.2">
      <c r="A62" s="196" t="str">
        <f t="shared" ref="A62" ca="1" si="98">IF($M62&gt;1,CONCATENATE($I62," ",$J62),"")</f>
        <v/>
      </c>
      <c r="B62" s="195">
        <f t="shared" ref="B62" ca="1" si="99">OFFSET(B62,-3,0)+1</f>
        <v>17</v>
      </c>
      <c r="C62" s="195">
        <f ca="1">IF($R62&lt;&gt;2,0,IF($S62=0,1,IF(F63&gt;0,OFFSET(QCI!$M$13,SUBSTITUTE(F63,".",""),0),OFFSET(ORÇAMENTO!$AA$15,CRONO!$F62,0))/$S62))</f>
        <v>1</v>
      </c>
      <c r="D62" s="195">
        <f ca="1">IF($R62&lt;&gt;2,0,IF($S62=0,1,IF(F63&gt;0,OFFSET(QCI!$N$13,SUBSTITUTE(F63,".",""),0),OFFSET(ORÇAMENTO!$AB$15,CRONO!$F62,0))/$S62))</f>
        <v>1</v>
      </c>
      <c r="E62" s="198" t="e">
        <f ca="1">IF(AND($R62=2,ACOMPANHAMENTO="BM"),ROUND(E63,4),E64/$S62)</f>
        <v>#DIV/0!</v>
      </c>
      <c r="F62" s="195" t="e">
        <f ca="1">IF(B62&lt;=ORÇAMENTO.MáximoListaCrono,MATCH(B62,ORÇAMENTO.ListaCrono,0),NA())</f>
        <v>#N/A</v>
      </c>
      <c r="G62" s="195" t="str">
        <f t="shared" ref="G62" ca="1" si="100">IF(AND($F63&lt;&gt;-1,$S62&gt;0),"F","")</f>
        <v/>
      </c>
      <c r="H62" s="199" t="str">
        <f ca="1">IF(OR(S62=0,S62=""),"Linha",IF(AND(OR(ACOMPANHAMENTO="PLE",$R62&lt;&gt;2),$F63=0),"Linha",ROUND(1-SUM(U62:AS62),4)))</f>
        <v>Linha</v>
      </c>
      <c r="I62" s="200">
        <f ca="1">IF($F63=0,OFFSET(ORÇAMENTO!O$15,$F62,0),IF($F63&lt;&gt;-1,OFFSET(QCI!$D$13,$F63,0),""))</f>
        <v>4</v>
      </c>
      <c r="J62" s="201" t="str">
        <f ca="1">IF($F63=0,OFFSET(ORÇAMENTO!R$15,$F62,0),IF($F63&lt;&gt;-1,OFFSET(QCI!$G$13,$F63,0),""))</f>
        <v/>
      </c>
      <c r="K62" s="201"/>
      <c r="L62" s="201"/>
      <c r="M62" s="202">
        <f ca="1">IF($F63=0,OFFSET(ORÇAMENTO!C$15,$F62,0),1)</f>
        <v>1</v>
      </c>
      <c r="N62" s="203">
        <f ca="1">IF($F63=-1,0,IF(N$13&lt;=$M62,IF(ISERROR(MATCH(N$13,OFFSET($M62,1,0,ROW($M$107)-ROW($M62)-1),0)),ROW($M$107)-ROW($M62)-1,MATCH(N$13,OFFSET($M62,1,0,ROW($M$107)-ROW($M62)-1),0)-1),0))</f>
        <v>2</v>
      </c>
      <c r="O62" s="203">
        <f ca="1">IF($F63=-1,0,IF(O$13&lt;=$M62,IF(ISERROR(MATCH(O$13,OFFSET($M62,1,0,ROW($M$107)-ROW($M62)-1),0)),ROW($M$107)-ROW($M62)-1,MATCH(O$13,OFFSET($M62,1,0,ROW($M$107)-ROW($M62)-1),0)-1),0))</f>
        <v>0</v>
      </c>
      <c r="P62" s="203">
        <f ca="1">IF($F63=-1,0,IF(P$13&lt;=$M62,IF(ISERROR(MATCH(P$13,OFFSET($M62,1,0,ROW($M$107)-ROW($M62)-1),0)),ROW($M$107)-ROW($M62)-1,MATCH(P$13,OFFSET($M62,1,0,ROW($M$107)-ROW($M62)-1),0)-1),0))</f>
        <v>0</v>
      </c>
      <c r="Q62" s="203">
        <f ca="1">IF($F63=-1,0,IF(Q$13&lt;=$M62,IF(ISERROR(MATCH(Q$13,OFFSET($M62,1,0,ROW($M$107)-ROW($M62)-1),0)),ROW($M$107)-ROW($M62)-1,MATCH(Q$13,OFFSET($M62,1,0,ROW($M$107)-ROW($M62)-1),0)-1),0))</f>
        <v>0</v>
      </c>
      <c r="R62" s="203">
        <f t="shared" ref="R62" ca="1" si="101">MIN(OFFSET(M62,0,1,,M62))</f>
        <v>2</v>
      </c>
      <c r="S62" s="204">
        <f ca="1">IF($F63=0,OFFSET(ORÇAMENTO!X$15,$F62,0),IF($F63&lt;&gt;-1,OFFSET(QCI!$O$13,$F63,0),""))</f>
        <v>0</v>
      </c>
      <c r="T62" s="205" t="s">
        <v>266</v>
      </c>
      <c r="U62" s="198" t="e">
        <f ca="1">IF(AND($R62=2,ACOMPANHAMENTO="BM"),ROUND(U63,4),U64/$S62)</f>
        <v>#DIV/0!</v>
      </c>
      <c r="V62" s="198" t="e">
        <f ca="1">IF(AND($R62=2,ACOMPANHAMENTO="BM"),ROUND(V63,4),V64/$S62)</f>
        <v>#DIV/0!</v>
      </c>
      <c r="W62" s="198" t="e">
        <f ca="1">IF(AND($R62=2,ACOMPANHAMENTO="BM"),ROUND(W63,4),W64/$S62)</f>
        <v>#DIV/0!</v>
      </c>
      <c r="X62" s="198" t="e">
        <f ca="1">IF(AND($R62=2,ACOMPANHAMENTO="BM"),ROUND(X63,4),X64/$S62)</f>
        <v>#DIV/0!</v>
      </c>
      <c r="Y62" s="198" t="e">
        <f ca="1">IF(AND($R62=2,ACOMPANHAMENTO="BM"),ROUND(Y63,4),Y64/$S62)</f>
        <v>#DIV/0!</v>
      </c>
      <c r="Z62" s="198" t="e">
        <f ca="1">IF(AND($R62=2,ACOMPANHAMENTO="BM"),ROUND(Z63,4),Z64/$S62)</f>
        <v>#DIV/0!</v>
      </c>
      <c r="AA62" s="198" t="e">
        <f ca="1">IF(AND($R62=2,ACOMPANHAMENTO="BM"),ROUND(AA63,4),AA64/$S62)</f>
        <v>#DIV/0!</v>
      </c>
      <c r="AB62" s="198" t="e">
        <f ca="1">IF(AND($R62=2,ACOMPANHAMENTO="BM"),ROUND(AB63,4),AB64/$S62)</f>
        <v>#DIV/0!</v>
      </c>
      <c r="AC62" s="198" t="e">
        <f ca="1">IF(AND($R62=2,ACOMPANHAMENTO="BM"),ROUND(AC63,4),AC64/$S62)</f>
        <v>#DIV/0!</v>
      </c>
      <c r="AD62" s="198" t="e">
        <f ca="1">IF(AND($R62=2,ACOMPANHAMENTO="BM"),ROUND(AD63,4),AD64/$S62)</f>
        <v>#DIV/0!</v>
      </c>
      <c r="AE62" s="198" t="e">
        <f ca="1">IF(AND($R62=2,ACOMPANHAMENTO="BM"),ROUND(AE63,4),AE64/$S62)</f>
        <v>#DIV/0!</v>
      </c>
      <c r="AF62" s="198" t="e">
        <f ca="1">IF(AND($R62=2,ACOMPANHAMENTO="BM"),ROUND(AF63,4),AF64/$S62)</f>
        <v>#DIV/0!</v>
      </c>
      <c r="AG62" s="198" t="e">
        <f ca="1">IF(AND($R62=2,ACOMPANHAMENTO="BM"),ROUND(AG63,4),AG64/$S62)</f>
        <v>#DIV/0!</v>
      </c>
      <c r="AH62" s="198" t="e">
        <f ca="1">IF(AND($R62=2,ACOMPANHAMENTO="BM"),ROUND(AH63,4),AH64/$S62)</f>
        <v>#DIV/0!</v>
      </c>
      <c r="AI62" s="198" t="e">
        <f ca="1">IF(AND($R62=2,ACOMPANHAMENTO="BM"),ROUND(AI63,4),AI64/$S62)</f>
        <v>#DIV/0!</v>
      </c>
      <c r="AJ62" s="198" t="e">
        <f ca="1">IF(AND($R62=2,ACOMPANHAMENTO="BM"),ROUND(AJ63,4),AJ64/$S62)</f>
        <v>#DIV/0!</v>
      </c>
      <c r="AK62" s="198" t="e">
        <f ca="1">IF(AND($R62=2,ACOMPANHAMENTO="BM"),ROUND(AK63,4),AK64/$S62)</f>
        <v>#DIV/0!</v>
      </c>
      <c r="AL62" s="198" t="e">
        <f ca="1">IF(AND($R62=2,ACOMPANHAMENTO="BM"),ROUND(AL63,4),AL64/$S62)</f>
        <v>#DIV/0!</v>
      </c>
      <c r="AM62" s="198" t="e">
        <f ca="1">IF(AND($R62=2,ACOMPANHAMENTO="BM"),ROUND(AM63,4),AM64/$S62)</f>
        <v>#DIV/0!</v>
      </c>
      <c r="AN62" s="198" t="e">
        <f ca="1">IF(AND($R62=2,ACOMPANHAMENTO="BM"),ROUND(AN63,4),AN64/$S62)</f>
        <v>#DIV/0!</v>
      </c>
      <c r="AO62" s="198" t="e">
        <f ca="1">IF(AND($R62=2,ACOMPANHAMENTO="BM"),ROUND(AO63,4),AO64/$S62)</f>
        <v>#DIV/0!</v>
      </c>
      <c r="AP62" s="198" t="e">
        <f ca="1">IF(AND($R62=2,ACOMPANHAMENTO="BM"),ROUND(AP63,4),AP64/$S62)</f>
        <v>#DIV/0!</v>
      </c>
      <c r="AQ62" s="198" t="e">
        <f ca="1">IF(AND($R62=2,ACOMPANHAMENTO="BM"),ROUND(AQ63,4),AQ64/$S62)</f>
        <v>#DIV/0!</v>
      </c>
      <c r="AR62" s="198" t="e">
        <f ca="1">IF(AND($R62=2,ACOMPANHAMENTO="BM"),ROUND(AR63,4),AR64/$S62)</f>
        <v>#DIV/0!</v>
      </c>
      <c r="AS62" s="577"/>
    </row>
    <row r="63" spans="1:45" ht="12.75" hidden="1" customHeight="1" x14ac:dyDescent="0.2">
      <c r="E63" s="645"/>
      <c r="F63" s="195">
        <f ca="1">IF(ISERROR(F62),IF(1+COUNTIF($M$13:OFFSET(M62,-1,0),1)&lt;=MAX(QCI!$D$13:$D$24),1+COUNTIF($M$13:OFFSET(M62,-1,0),1),-1),0)</f>
        <v>4</v>
      </c>
      <c r="G63" s="195" t="str">
        <f ca="1">IF(ACOMPANHAMENTO="BM",OFFSET(G63,-1,0),"")</f>
        <v/>
      </c>
      <c r="H63" s="206" t="str">
        <f ca="1">IF(OR(S62=0,S62=""),"vazia",IF(AND(OR(ACOMPANHAMENTO="PLE",$R62&lt;&gt;2),$F63=0),"calculada","--&gt;"))</f>
        <v>vazia</v>
      </c>
      <c r="I63" s="207"/>
      <c r="J63" s="208" t="str">
        <f t="shared" ref="J63" ca="1" si="102">IF(AND(H62&lt;&gt;0,ISNUMBER(H62)),"PREENCHA ESTA LINHA --&gt;","")</f>
        <v/>
      </c>
      <c r="K63" s="208"/>
      <c r="L63" s="208"/>
      <c r="M63" s="209"/>
      <c r="N63" s="209"/>
      <c r="O63" s="209"/>
      <c r="P63" s="209"/>
      <c r="Q63" s="209"/>
      <c r="R63" s="209"/>
      <c r="S63" s="210"/>
      <c r="T63" s="211"/>
      <c r="U63" s="645"/>
      <c r="V63" s="645"/>
      <c r="W63" s="645"/>
      <c r="X63" s="645"/>
      <c r="Y63" s="645"/>
      <c r="Z63" s="645"/>
      <c r="AA63" s="645"/>
      <c r="AB63" s="645"/>
      <c r="AC63" s="645"/>
      <c r="AD63" s="645"/>
      <c r="AE63" s="645"/>
      <c r="AF63" s="645"/>
      <c r="AG63" s="645"/>
      <c r="AH63" s="645"/>
      <c r="AI63" s="645"/>
      <c r="AJ63" s="645"/>
      <c r="AK63" s="645"/>
      <c r="AL63" s="645"/>
      <c r="AM63" s="645"/>
      <c r="AN63" s="645"/>
      <c r="AO63" s="645"/>
      <c r="AP63" s="645"/>
      <c r="AQ63" s="645"/>
      <c r="AR63" s="645"/>
      <c r="AS63" s="577"/>
    </row>
    <row r="64" spans="1:45" ht="12.75" hidden="1" customHeight="1" x14ac:dyDescent="0.2">
      <c r="D64" s="576"/>
      <c r="E64" s="212">
        <f ca="1">IF($R62=2,
         IF(AND(ACOMPANHAMENTO="PLE",ISNUMBER($F62)),
                SUMIF((OFFSET(CÁLCULO!$BC$15:$BU$15,$F62,0,OFFSET(ORÇAMENTO!$D$15,CRONO!$F62,0))),CRONO!E$12,OFFSET(CÁLCULO!$AJ$15:$BB$15,$F62,0,OFFSET(ORÇAMENTO!$D$15,CRONO!$F62,0)))
                +IF(AND($F64&lt;&gt;"",$F64&lt;&gt;0),
                        SUMIF(CÁLCULO!$BC$15:$BU$131,CRONO!E$12,CÁLCULO!$AJ$15:$BB$131)/(ORÇAMENTO!$X$15-CÁLCULO.TotalAdmLocal)*CRONO!$F64,
                        0),
                 E63*$S62),
          SUMIF(OFFSET($S64,1,0,$R62-2),($M62+1)&amp;"$",OFFSET(E64,1,0,$R62-2)))</f>
        <v>0</v>
      </c>
      <c r="F64" s="195" t="str">
        <f ca="1">IF(OR($R62&lt;&gt;2,AUTOEVENTO&lt;&gt;"manual",$F63&gt;0),"",
        IF(Import.TipoArredondamento="Tradicional",
              SUMIF(OFFSET(CÁLCULO!$M$15,CRONO!$F62,0,OFFSET(ORÇAMENTO!$D$15,CRONO!$F62,0)),1,OFFSET(ORÇAMENTO!$X$15,CRONO!$F62,0,OFFSET(ORÇAMENTO!$D$15,CRONO!$F62,0))),
              0))</f>
        <v/>
      </c>
      <c r="H64" s="213"/>
      <c r="S64" s="214" t="str">
        <f t="shared" ref="S64" ca="1" si="103">M62&amp;"$"</f>
        <v>1$</v>
      </c>
      <c r="T64" s="215"/>
      <c r="U64" s="212">
        <f ca="1">IF($R62=2,
         IF(AND(ACOMPANHAMENTO="PLE",ISNUMBER($F62)),
                SUMIF((OFFSET(CÁLCULO!$BC$15:$BU$15,$F62,0,OFFSET(ORÇAMENTO!$D$15,CRONO!$F62,0))),CRONO!U$12,OFFSET(CÁLCULO!$AJ$15:$BB$15,$F62,0,OFFSET(ORÇAMENTO!$D$15,CRONO!$F62,0)))
                +IF(AND($F64&lt;&gt;"",$F64&lt;&gt;0),
                        SUMIF(CÁLCULO!$BC$15:$BU$131,CRONO!U$12,CÁLCULO!$AJ$15:$BB$131)/(ORÇAMENTO!$X$15-CÁLCULO.TotalAdmLocal)*CRONO!$F64,
                        0),
                 U63*$S62),
          SUMIF(OFFSET($S64,1,0,$R62-2),($M62+1)&amp;"$",OFFSET(U64,1,0,$R62-2)))</f>
        <v>0</v>
      </c>
      <c r="V64" s="212">
        <f ca="1">IF($R62=2,
         IF(AND(ACOMPANHAMENTO="PLE",ISNUMBER($F62)),
                SUMIF((OFFSET(CÁLCULO!$BC$15:$BU$15,$F62,0,OFFSET(ORÇAMENTO!$D$15,CRONO!$F62,0))),CRONO!V$12,OFFSET(CÁLCULO!$AJ$15:$BB$15,$F62,0,OFFSET(ORÇAMENTO!$D$15,CRONO!$F62,0)))
                +IF(AND($F64&lt;&gt;"",$F64&lt;&gt;0),
                        SUMIF(CÁLCULO!$BC$15:$BU$131,CRONO!V$12,CÁLCULO!$AJ$15:$BB$131)/(ORÇAMENTO!$X$15-CÁLCULO.TotalAdmLocal)*CRONO!$F64,
                        0),
                 V63*$S62),
          SUMIF(OFFSET($S64,1,0,$R62-2),($M62+1)&amp;"$",OFFSET(V64,1,0,$R62-2)))</f>
        <v>0</v>
      </c>
      <c r="W64" s="212">
        <f ca="1">IF($R62=2,
         IF(AND(ACOMPANHAMENTO="PLE",ISNUMBER($F62)),
                SUMIF((OFFSET(CÁLCULO!$BC$15:$BU$15,$F62,0,OFFSET(ORÇAMENTO!$D$15,CRONO!$F62,0))),CRONO!W$12,OFFSET(CÁLCULO!$AJ$15:$BB$15,$F62,0,OFFSET(ORÇAMENTO!$D$15,CRONO!$F62,0)))
                +IF(AND($F64&lt;&gt;"",$F64&lt;&gt;0),
                        SUMIF(CÁLCULO!$BC$15:$BU$131,CRONO!W$12,CÁLCULO!$AJ$15:$BB$131)/(ORÇAMENTO!$X$15-CÁLCULO.TotalAdmLocal)*CRONO!$F64,
                        0),
                 W63*$S62),
          SUMIF(OFFSET($S64,1,0,$R62-2),($M62+1)&amp;"$",OFFSET(W64,1,0,$R62-2)))</f>
        <v>0</v>
      </c>
      <c r="X64" s="212">
        <f ca="1">IF($R62=2,
         IF(AND(ACOMPANHAMENTO="PLE",ISNUMBER($F62)),
                SUMIF((OFFSET(CÁLCULO!$BC$15:$BU$15,$F62,0,OFFSET(ORÇAMENTO!$D$15,CRONO!$F62,0))),CRONO!X$12,OFFSET(CÁLCULO!$AJ$15:$BB$15,$F62,0,OFFSET(ORÇAMENTO!$D$15,CRONO!$F62,0)))
                +IF(AND($F64&lt;&gt;"",$F64&lt;&gt;0),
                        SUMIF(CÁLCULO!$BC$15:$BU$131,CRONO!X$12,CÁLCULO!$AJ$15:$BB$131)/(ORÇAMENTO!$X$15-CÁLCULO.TotalAdmLocal)*CRONO!$F64,
                        0),
                 X63*$S62),
          SUMIF(OFFSET($S64,1,0,$R62-2),($M62+1)&amp;"$",OFFSET(X64,1,0,$R62-2)))</f>
        <v>0</v>
      </c>
      <c r="Y64" s="212">
        <f ca="1">IF($R62=2,
         IF(AND(ACOMPANHAMENTO="PLE",ISNUMBER($F62)),
                SUMIF((OFFSET(CÁLCULO!$BC$15:$BU$15,$F62,0,OFFSET(ORÇAMENTO!$D$15,CRONO!$F62,0))),CRONO!Y$12,OFFSET(CÁLCULO!$AJ$15:$BB$15,$F62,0,OFFSET(ORÇAMENTO!$D$15,CRONO!$F62,0)))
                +IF(AND($F64&lt;&gt;"",$F64&lt;&gt;0),
                        SUMIF(CÁLCULO!$BC$15:$BU$131,CRONO!Y$12,CÁLCULO!$AJ$15:$BB$131)/(ORÇAMENTO!$X$15-CÁLCULO.TotalAdmLocal)*CRONO!$F64,
                        0),
                 Y63*$S62),
          SUMIF(OFFSET($S64,1,0,$R62-2),($M62+1)&amp;"$",OFFSET(Y64,1,0,$R62-2)))</f>
        <v>0</v>
      </c>
      <c r="Z64" s="212">
        <f ca="1">IF($R62=2,
         IF(AND(ACOMPANHAMENTO="PLE",ISNUMBER($F62)),
                SUMIF((OFFSET(CÁLCULO!$BC$15:$BU$15,$F62,0,OFFSET(ORÇAMENTO!$D$15,CRONO!$F62,0))),CRONO!Z$12,OFFSET(CÁLCULO!$AJ$15:$BB$15,$F62,0,OFFSET(ORÇAMENTO!$D$15,CRONO!$F62,0)))
                +IF(AND($F64&lt;&gt;"",$F64&lt;&gt;0),
                        SUMIF(CÁLCULO!$BC$15:$BU$131,CRONO!Z$12,CÁLCULO!$AJ$15:$BB$131)/(ORÇAMENTO!$X$15-CÁLCULO.TotalAdmLocal)*CRONO!$F64,
                        0),
                 Z63*$S62),
          SUMIF(OFFSET($S64,1,0,$R62-2),($M62+1)&amp;"$",OFFSET(Z64,1,0,$R62-2)))</f>
        <v>0</v>
      </c>
      <c r="AA64" s="212">
        <f ca="1">IF($R62=2,
         IF(AND(ACOMPANHAMENTO="PLE",ISNUMBER($F62)),
                SUMIF((OFFSET(CÁLCULO!$BC$15:$BU$15,$F62,0,OFFSET(ORÇAMENTO!$D$15,CRONO!$F62,0))),CRONO!AA$12,OFFSET(CÁLCULO!$AJ$15:$BB$15,$F62,0,OFFSET(ORÇAMENTO!$D$15,CRONO!$F62,0)))
                +IF(AND($F64&lt;&gt;"",$F64&lt;&gt;0),
                        SUMIF(CÁLCULO!$BC$15:$BU$131,CRONO!AA$12,CÁLCULO!$AJ$15:$BB$131)/(ORÇAMENTO!$X$15-CÁLCULO.TotalAdmLocal)*CRONO!$F64,
                        0),
                 AA63*$S62),
          SUMIF(OFFSET($S64,1,0,$R62-2),($M62+1)&amp;"$",OFFSET(AA64,1,0,$R62-2)))</f>
        <v>0</v>
      </c>
      <c r="AB64" s="212">
        <f ca="1">IF($R62=2,
         IF(AND(ACOMPANHAMENTO="PLE",ISNUMBER($F62)),
                SUMIF((OFFSET(CÁLCULO!$BC$15:$BU$15,$F62,0,OFFSET(ORÇAMENTO!$D$15,CRONO!$F62,0))),CRONO!AB$12,OFFSET(CÁLCULO!$AJ$15:$BB$15,$F62,0,OFFSET(ORÇAMENTO!$D$15,CRONO!$F62,0)))
                +IF(AND($F64&lt;&gt;"",$F64&lt;&gt;0),
                        SUMIF(CÁLCULO!$BC$15:$BU$131,CRONO!AB$12,CÁLCULO!$AJ$15:$BB$131)/(ORÇAMENTO!$X$15-CÁLCULO.TotalAdmLocal)*CRONO!$F64,
                        0),
                 AB63*$S62),
          SUMIF(OFFSET($S64,1,0,$R62-2),($M62+1)&amp;"$",OFFSET(AB64,1,0,$R62-2)))</f>
        <v>0</v>
      </c>
      <c r="AC64" s="212">
        <f ca="1">IF($R62=2,
         IF(AND(ACOMPANHAMENTO="PLE",ISNUMBER($F62)),
                SUMIF((OFFSET(CÁLCULO!$BC$15:$BU$15,$F62,0,OFFSET(ORÇAMENTO!$D$15,CRONO!$F62,0))),CRONO!AC$12,OFFSET(CÁLCULO!$AJ$15:$BB$15,$F62,0,OFFSET(ORÇAMENTO!$D$15,CRONO!$F62,0)))
                +IF(AND($F64&lt;&gt;"",$F64&lt;&gt;0),
                        SUMIF(CÁLCULO!$BC$15:$BU$131,CRONO!AC$12,CÁLCULO!$AJ$15:$BB$131)/(ORÇAMENTO!$X$15-CÁLCULO.TotalAdmLocal)*CRONO!$F64,
                        0),
                 AC63*$S62),
          SUMIF(OFFSET($S64,1,0,$R62-2),($M62+1)&amp;"$",OFFSET(AC64,1,0,$R62-2)))</f>
        <v>0</v>
      </c>
      <c r="AD64" s="212">
        <f ca="1">IF($R62=2,
         IF(AND(ACOMPANHAMENTO="PLE",ISNUMBER($F62)),
                SUMIF((OFFSET(CÁLCULO!$BC$15:$BU$15,$F62,0,OFFSET(ORÇAMENTO!$D$15,CRONO!$F62,0))),CRONO!AD$12,OFFSET(CÁLCULO!$AJ$15:$BB$15,$F62,0,OFFSET(ORÇAMENTO!$D$15,CRONO!$F62,0)))
                +IF(AND($F64&lt;&gt;"",$F64&lt;&gt;0),
                        SUMIF(CÁLCULO!$BC$15:$BU$131,CRONO!AD$12,CÁLCULO!$AJ$15:$BB$131)/(ORÇAMENTO!$X$15-CÁLCULO.TotalAdmLocal)*CRONO!$F64,
                        0),
                 AD63*$S62),
          SUMIF(OFFSET($S64,1,0,$R62-2),($M62+1)&amp;"$",OFFSET(AD64,1,0,$R62-2)))</f>
        <v>0</v>
      </c>
      <c r="AE64" s="212">
        <f ca="1">IF($R62=2,
         IF(AND(ACOMPANHAMENTO="PLE",ISNUMBER($F62)),
                SUMIF((OFFSET(CÁLCULO!$BC$15:$BU$15,$F62,0,OFFSET(ORÇAMENTO!$D$15,CRONO!$F62,0))),CRONO!AE$12,OFFSET(CÁLCULO!$AJ$15:$BB$15,$F62,0,OFFSET(ORÇAMENTO!$D$15,CRONO!$F62,0)))
                +IF(AND($F64&lt;&gt;"",$F64&lt;&gt;0),
                        SUMIF(CÁLCULO!$BC$15:$BU$131,CRONO!AE$12,CÁLCULO!$AJ$15:$BB$131)/(ORÇAMENTO!$X$15-CÁLCULO.TotalAdmLocal)*CRONO!$F64,
                        0),
                 AE63*$S62),
          SUMIF(OFFSET($S64,1,0,$R62-2),($M62+1)&amp;"$",OFFSET(AE64,1,0,$R62-2)))</f>
        <v>0</v>
      </c>
      <c r="AF64" s="212">
        <f ca="1">IF($R62=2,
         IF(AND(ACOMPANHAMENTO="PLE",ISNUMBER($F62)),
                SUMIF((OFFSET(CÁLCULO!$BC$15:$BU$15,$F62,0,OFFSET(ORÇAMENTO!$D$15,CRONO!$F62,0))),CRONO!AF$12,OFFSET(CÁLCULO!$AJ$15:$BB$15,$F62,0,OFFSET(ORÇAMENTO!$D$15,CRONO!$F62,0)))
                +IF(AND($F64&lt;&gt;"",$F64&lt;&gt;0),
                        SUMIF(CÁLCULO!$BC$15:$BU$131,CRONO!AF$12,CÁLCULO!$AJ$15:$BB$131)/(ORÇAMENTO!$X$15-CÁLCULO.TotalAdmLocal)*CRONO!$F64,
                        0),
                 AF63*$S62),
          SUMIF(OFFSET($S64,1,0,$R62-2),($M62+1)&amp;"$",OFFSET(AF64,1,0,$R62-2)))</f>
        <v>0</v>
      </c>
      <c r="AG64" s="212">
        <f ca="1">IF($R62=2,
         IF(AND(ACOMPANHAMENTO="PLE",ISNUMBER($F62)),
                SUMIF((OFFSET(CÁLCULO!$BC$15:$BU$15,$F62,0,OFFSET(ORÇAMENTO!$D$15,CRONO!$F62,0))),CRONO!AG$12,OFFSET(CÁLCULO!$AJ$15:$BB$15,$F62,0,OFFSET(ORÇAMENTO!$D$15,CRONO!$F62,0)))
                +IF(AND($F64&lt;&gt;"",$F64&lt;&gt;0),
                        SUMIF(CÁLCULO!$BC$15:$BU$131,CRONO!AG$12,CÁLCULO!$AJ$15:$BB$131)/(ORÇAMENTO!$X$15-CÁLCULO.TotalAdmLocal)*CRONO!$F64,
                        0),
                 AG63*$S62),
          SUMIF(OFFSET($S64,1,0,$R62-2),($M62+1)&amp;"$",OFFSET(AG64,1,0,$R62-2)))</f>
        <v>0</v>
      </c>
      <c r="AH64" s="212">
        <f ca="1">IF($R62=2,
         IF(AND(ACOMPANHAMENTO="PLE",ISNUMBER($F62)),
                SUMIF((OFFSET(CÁLCULO!$BC$15:$BU$15,$F62,0,OFFSET(ORÇAMENTO!$D$15,CRONO!$F62,0))),CRONO!AH$12,OFFSET(CÁLCULO!$AJ$15:$BB$15,$F62,0,OFFSET(ORÇAMENTO!$D$15,CRONO!$F62,0)))
                +IF(AND($F64&lt;&gt;"",$F64&lt;&gt;0),
                        SUMIF(CÁLCULO!$BC$15:$BU$131,CRONO!AH$12,CÁLCULO!$AJ$15:$BB$131)/(ORÇAMENTO!$X$15-CÁLCULO.TotalAdmLocal)*CRONO!$F64,
                        0),
                 AH63*$S62),
          SUMIF(OFFSET($S64,1,0,$R62-2),($M62+1)&amp;"$",OFFSET(AH64,1,0,$R62-2)))</f>
        <v>0</v>
      </c>
      <c r="AI64" s="212">
        <f ca="1">IF($R62=2,
         IF(AND(ACOMPANHAMENTO="PLE",ISNUMBER($F62)),
                SUMIF((OFFSET(CÁLCULO!$BC$15:$BU$15,$F62,0,OFFSET(ORÇAMENTO!$D$15,CRONO!$F62,0))),CRONO!AI$12,OFFSET(CÁLCULO!$AJ$15:$BB$15,$F62,0,OFFSET(ORÇAMENTO!$D$15,CRONO!$F62,0)))
                +IF(AND($F64&lt;&gt;"",$F64&lt;&gt;0),
                        SUMIF(CÁLCULO!$BC$15:$BU$131,CRONO!AI$12,CÁLCULO!$AJ$15:$BB$131)/(ORÇAMENTO!$X$15-CÁLCULO.TotalAdmLocal)*CRONO!$F64,
                        0),
                 AI63*$S62),
          SUMIF(OFFSET($S64,1,0,$R62-2),($M62+1)&amp;"$",OFFSET(AI64,1,0,$R62-2)))</f>
        <v>0</v>
      </c>
      <c r="AJ64" s="212">
        <f ca="1">IF($R62=2,
         IF(AND(ACOMPANHAMENTO="PLE",ISNUMBER($F62)),
                SUMIF((OFFSET(CÁLCULO!$BC$15:$BU$15,$F62,0,OFFSET(ORÇAMENTO!$D$15,CRONO!$F62,0))),CRONO!AJ$12,OFFSET(CÁLCULO!$AJ$15:$BB$15,$F62,0,OFFSET(ORÇAMENTO!$D$15,CRONO!$F62,0)))
                +IF(AND($F64&lt;&gt;"",$F64&lt;&gt;0),
                        SUMIF(CÁLCULO!$BC$15:$BU$131,CRONO!AJ$12,CÁLCULO!$AJ$15:$BB$131)/(ORÇAMENTO!$X$15-CÁLCULO.TotalAdmLocal)*CRONO!$F64,
                        0),
                 AJ63*$S62),
          SUMIF(OFFSET($S64,1,0,$R62-2),($M62+1)&amp;"$",OFFSET(AJ64,1,0,$R62-2)))</f>
        <v>0</v>
      </c>
      <c r="AK64" s="212">
        <f ca="1">IF($R62=2,
         IF(AND(ACOMPANHAMENTO="PLE",ISNUMBER($F62)),
                SUMIF((OFFSET(CÁLCULO!$BC$15:$BU$15,$F62,0,OFFSET(ORÇAMENTO!$D$15,CRONO!$F62,0))),CRONO!AK$12,OFFSET(CÁLCULO!$AJ$15:$BB$15,$F62,0,OFFSET(ORÇAMENTO!$D$15,CRONO!$F62,0)))
                +IF(AND($F64&lt;&gt;"",$F64&lt;&gt;0),
                        SUMIF(CÁLCULO!$BC$15:$BU$131,CRONO!AK$12,CÁLCULO!$AJ$15:$BB$131)/(ORÇAMENTO!$X$15-CÁLCULO.TotalAdmLocal)*CRONO!$F64,
                        0),
                 AK63*$S62),
          SUMIF(OFFSET($S64,1,0,$R62-2),($M62+1)&amp;"$",OFFSET(AK64,1,0,$R62-2)))</f>
        <v>0</v>
      </c>
      <c r="AL64" s="212">
        <f ca="1">IF($R62=2,
         IF(AND(ACOMPANHAMENTO="PLE",ISNUMBER($F62)),
                SUMIF((OFFSET(CÁLCULO!$BC$15:$BU$15,$F62,0,OFFSET(ORÇAMENTO!$D$15,CRONO!$F62,0))),CRONO!AL$12,OFFSET(CÁLCULO!$AJ$15:$BB$15,$F62,0,OFFSET(ORÇAMENTO!$D$15,CRONO!$F62,0)))
                +IF(AND($F64&lt;&gt;"",$F64&lt;&gt;0),
                        SUMIF(CÁLCULO!$BC$15:$BU$131,CRONO!AL$12,CÁLCULO!$AJ$15:$BB$131)/(ORÇAMENTO!$X$15-CÁLCULO.TotalAdmLocal)*CRONO!$F64,
                        0),
                 AL63*$S62),
          SUMIF(OFFSET($S64,1,0,$R62-2),($M62+1)&amp;"$",OFFSET(AL64,1,0,$R62-2)))</f>
        <v>0</v>
      </c>
      <c r="AM64" s="212">
        <f ca="1">IF($R62=2,
         IF(AND(ACOMPANHAMENTO="PLE",ISNUMBER($F62)),
                SUMIF((OFFSET(CÁLCULO!$BC$15:$BU$15,$F62,0,OFFSET(ORÇAMENTO!$D$15,CRONO!$F62,0))),CRONO!AM$12,OFFSET(CÁLCULO!$AJ$15:$BB$15,$F62,0,OFFSET(ORÇAMENTO!$D$15,CRONO!$F62,0)))
                +IF(AND($F64&lt;&gt;"",$F64&lt;&gt;0),
                        SUMIF(CÁLCULO!$BC$15:$BU$131,CRONO!AM$12,CÁLCULO!$AJ$15:$BB$131)/(ORÇAMENTO!$X$15-CÁLCULO.TotalAdmLocal)*CRONO!$F64,
                        0),
                 AM63*$S62),
          SUMIF(OFFSET($S64,1,0,$R62-2),($M62+1)&amp;"$",OFFSET(AM64,1,0,$R62-2)))</f>
        <v>0</v>
      </c>
      <c r="AN64" s="212">
        <f ca="1">IF($R62=2,
         IF(AND(ACOMPANHAMENTO="PLE",ISNUMBER($F62)),
                SUMIF((OFFSET(CÁLCULO!$BC$15:$BU$15,$F62,0,OFFSET(ORÇAMENTO!$D$15,CRONO!$F62,0))),CRONO!AN$12,OFFSET(CÁLCULO!$AJ$15:$BB$15,$F62,0,OFFSET(ORÇAMENTO!$D$15,CRONO!$F62,0)))
                +IF(AND($F64&lt;&gt;"",$F64&lt;&gt;0),
                        SUMIF(CÁLCULO!$BC$15:$BU$131,CRONO!AN$12,CÁLCULO!$AJ$15:$BB$131)/(ORÇAMENTO!$X$15-CÁLCULO.TotalAdmLocal)*CRONO!$F64,
                        0),
                 AN63*$S62),
          SUMIF(OFFSET($S64,1,0,$R62-2),($M62+1)&amp;"$",OFFSET(AN64,1,0,$R62-2)))</f>
        <v>0</v>
      </c>
      <c r="AO64" s="212">
        <f ca="1">IF($R62=2,
         IF(AND(ACOMPANHAMENTO="PLE",ISNUMBER($F62)),
                SUMIF((OFFSET(CÁLCULO!$BC$15:$BU$15,$F62,0,OFFSET(ORÇAMENTO!$D$15,CRONO!$F62,0))),CRONO!AO$12,OFFSET(CÁLCULO!$AJ$15:$BB$15,$F62,0,OFFSET(ORÇAMENTO!$D$15,CRONO!$F62,0)))
                +IF(AND($F64&lt;&gt;"",$F64&lt;&gt;0),
                        SUMIF(CÁLCULO!$BC$15:$BU$131,CRONO!AO$12,CÁLCULO!$AJ$15:$BB$131)/(ORÇAMENTO!$X$15-CÁLCULO.TotalAdmLocal)*CRONO!$F64,
                        0),
                 AO63*$S62),
          SUMIF(OFFSET($S64,1,0,$R62-2),($M62+1)&amp;"$",OFFSET(AO64,1,0,$R62-2)))</f>
        <v>0</v>
      </c>
      <c r="AP64" s="212">
        <f ca="1">IF($R62=2,
         IF(AND(ACOMPANHAMENTO="PLE",ISNUMBER($F62)),
                SUMIF((OFFSET(CÁLCULO!$BC$15:$BU$15,$F62,0,OFFSET(ORÇAMENTO!$D$15,CRONO!$F62,0))),CRONO!AP$12,OFFSET(CÁLCULO!$AJ$15:$BB$15,$F62,0,OFFSET(ORÇAMENTO!$D$15,CRONO!$F62,0)))
                +IF(AND($F64&lt;&gt;"",$F64&lt;&gt;0),
                        SUMIF(CÁLCULO!$BC$15:$BU$131,CRONO!AP$12,CÁLCULO!$AJ$15:$BB$131)/(ORÇAMENTO!$X$15-CÁLCULO.TotalAdmLocal)*CRONO!$F64,
                        0),
                 AP63*$S62),
          SUMIF(OFFSET($S64,1,0,$R62-2),($M62+1)&amp;"$",OFFSET(AP64,1,0,$R62-2)))</f>
        <v>0</v>
      </c>
      <c r="AQ64" s="212">
        <f ca="1">IF($R62=2,
         IF(AND(ACOMPANHAMENTO="PLE",ISNUMBER($F62)),
                SUMIF((OFFSET(CÁLCULO!$BC$15:$BU$15,$F62,0,OFFSET(ORÇAMENTO!$D$15,CRONO!$F62,0))),CRONO!AQ$12,OFFSET(CÁLCULO!$AJ$15:$BB$15,$F62,0,OFFSET(ORÇAMENTO!$D$15,CRONO!$F62,0)))
                +IF(AND($F64&lt;&gt;"",$F64&lt;&gt;0),
                        SUMIF(CÁLCULO!$BC$15:$BU$131,CRONO!AQ$12,CÁLCULO!$AJ$15:$BB$131)/(ORÇAMENTO!$X$15-CÁLCULO.TotalAdmLocal)*CRONO!$F64,
                        0),
                 AQ63*$S62),
          SUMIF(OFFSET($S64,1,0,$R62-2),($M62+1)&amp;"$",OFFSET(AQ64,1,0,$R62-2)))</f>
        <v>0</v>
      </c>
      <c r="AR64" s="212">
        <f ca="1">IF($R62=2,
         IF(AND(ACOMPANHAMENTO="PLE",ISNUMBER($F62)),
                SUMIF((OFFSET(CÁLCULO!$BC$15:$BU$15,$F62,0,OFFSET(ORÇAMENTO!$D$15,CRONO!$F62,0))),CRONO!AR$12,OFFSET(CÁLCULO!$AJ$15:$BB$15,$F62,0,OFFSET(ORÇAMENTO!$D$15,CRONO!$F62,0)))
                +IF(AND($F64&lt;&gt;"",$F64&lt;&gt;0),
                        SUMIF(CÁLCULO!$BC$15:$BU$131,CRONO!AR$12,CÁLCULO!$AJ$15:$BB$131)/(ORÇAMENTO!$X$15-CÁLCULO.TotalAdmLocal)*CRONO!$F64,
                        0),
                 AR63*$S62),
          SUMIF(OFFSET($S64,1,0,$R62-2),($M62+1)&amp;"$",OFFSET(AR64,1,0,$R62-2)))</f>
        <v>0</v>
      </c>
      <c r="AS64" s="577"/>
    </row>
    <row r="65" spans="1:45" x14ac:dyDescent="0.2">
      <c r="A65" s="196" t="str">
        <f t="shared" ref="A65" ca="1" si="104">IF($M65&gt;1,CONCATENATE($I65," ",$J65),"")</f>
        <v/>
      </c>
      <c r="B65" s="195">
        <f t="shared" ref="B65" ca="1" si="105">OFFSET(B65,-3,0)+1</f>
        <v>18</v>
      </c>
      <c r="C65" s="195">
        <f ca="1">IF($R65&lt;&gt;2,0,IF($S65=0,1,IF(F66&gt;0,OFFSET(QCI!$M$13,SUBSTITUTE(F66,".",""),0),OFFSET(ORÇAMENTO!$AA$15,CRONO!$F65,0))/$S65))</f>
        <v>1</v>
      </c>
      <c r="D65" s="195">
        <f ca="1">IF($R65&lt;&gt;2,0,IF($S65=0,1,IF(F66&gt;0,OFFSET(QCI!$N$13,SUBSTITUTE(F66,".",""),0),OFFSET(ORÇAMENTO!$AB$15,CRONO!$F65,0))/$S65))</f>
        <v>1</v>
      </c>
      <c r="E65" s="198" t="e">
        <f ca="1">IF(AND($R65=2,ACOMPANHAMENTO="BM"),ROUND(E66,4),E67/$S65)</f>
        <v>#DIV/0!</v>
      </c>
      <c r="F65" s="195" t="e">
        <f ca="1">IF(B65&lt;=ORÇAMENTO.MáximoListaCrono,MATCH(B65,ORÇAMENTO.ListaCrono,0),NA())</f>
        <v>#N/A</v>
      </c>
      <c r="G65" s="195" t="str">
        <f t="shared" ref="G65" ca="1" si="106">IF(AND($F66&lt;&gt;-1,$S65&gt;0),"F","")</f>
        <v/>
      </c>
      <c r="H65" s="199" t="str">
        <f ca="1">IF(OR(S65=0,S65=""),"Linha",IF(AND(OR(ACOMPANHAMENTO="PLE",$R65&lt;&gt;2),$F66=0),"Linha",ROUND(1-SUM(U65:AS65),4)))</f>
        <v>Linha</v>
      </c>
      <c r="I65" s="200">
        <f ca="1">IF($F66=0,OFFSET(ORÇAMENTO!O$15,$F65,0),IF($F66&lt;&gt;-1,OFFSET(QCI!$D$13,$F66,0),""))</f>
        <v>5</v>
      </c>
      <c r="J65" s="201" t="str">
        <f ca="1">IF($F66=0,OFFSET(ORÇAMENTO!R$15,$F65,0),IF($F66&lt;&gt;-1,OFFSET(QCI!$G$13,$F66,0),""))</f>
        <v/>
      </c>
      <c r="K65" s="201"/>
      <c r="L65" s="201"/>
      <c r="M65" s="202">
        <f ca="1">IF($F66=0,OFFSET(ORÇAMENTO!C$15,$F65,0),1)</f>
        <v>1</v>
      </c>
      <c r="N65" s="203">
        <f ca="1">IF($F66=-1,0,IF(N$13&lt;=$M65,IF(ISERROR(MATCH(N$13,OFFSET($M65,1,0,ROW($M$107)-ROW($M65)-1),0)),ROW($M$107)-ROW($M65)-1,MATCH(N$13,OFFSET($M65,1,0,ROW($M$107)-ROW($M65)-1),0)-1),0))</f>
        <v>2</v>
      </c>
      <c r="O65" s="203">
        <f ca="1">IF($F66=-1,0,IF(O$13&lt;=$M65,IF(ISERROR(MATCH(O$13,OFFSET($M65,1,0,ROW($M$107)-ROW($M65)-1),0)),ROW($M$107)-ROW($M65)-1,MATCH(O$13,OFFSET($M65,1,0,ROW($M$107)-ROW($M65)-1),0)-1),0))</f>
        <v>0</v>
      </c>
      <c r="P65" s="203">
        <f ca="1">IF($F66=-1,0,IF(P$13&lt;=$M65,IF(ISERROR(MATCH(P$13,OFFSET($M65,1,0,ROW($M$107)-ROW($M65)-1),0)),ROW($M$107)-ROW($M65)-1,MATCH(P$13,OFFSET($M65,1,0,ROW($M$107)-ROW($M65)-1),0)-1),0))</f>
        <v>0</v>
      </c>
      <c r="Q65" s="203">
        <f ca="1">IF($F66=-1,0,IF(Q$13&lt;=$M65,IF(ISERROR(MATCH(Q$13,OFFSET($M65,1,0,ROW($M$107)-ROW($M65)-1),0)),ROW($M$107)-ROW($M65)-1,MATCH(Q$13,OFFSET($M65,1,0,ROW($M$107)-ROW($M65)-1),0)-1),0))</f>
        <v>0</v>
      </c>
      <c r="R65" s="203">
        <f t="shared" ref="R65" ca="1" si="107">MIN(OFFSET(M65,0,1,,M65))</f>
        <v>2</v>
      </c>
      <c r="S65" s="204">
        <f ca="1">IF($F66=0,OFFSET(ORÇAMENTO!X$15,$F65,0),IF($F66&lt;&gt;-1,OFFSET(QCI!$O$13,$F66,0),""))</f>
        <v>0</v>
      </c>
      <c r="T65" s="205" t="s">
        <v>266</v>
      </c>
      <c r="U65" s="198" t="e">
        <f ca="1">IF(AND($R65=2,ACOMPANHAMENTO="BM"),ROUND(U66,4),U67/$S65)</f>
        <v>#DIV/0!</v>
      </c>
      <c r="V65" s="198" t="e">
        <f ca="1">IF(AND($R65=2,ACOMPANHAMENTO="BM"),ROUND(V66,4),V67/$S65)</f>
        <v>#DIV/0!</v>
      </c>
      <c r="W65" s="198" t="e">
        <f ca="1">IF(AND($R65=2,ACOMPANHAMENTO="BM"),ROUND(W66,4),W67/$S65)</f>
        <v>#DIV/0!</v>
      </c>
      <c r="X65" s="198" t="e">
        <f ca="1">IF(AND($R65=2,ACOMPANHAMENTO="BM"),ROUND(X66,4),X67/$S65)</f>
        <v>#DIV/0!</v>
      </c>
      <c r="Y65" s="198" t="e">
        <f ca="1">IF(AND($R65=2,ACOMPANHAMENTO="BM"),ROUND(Y66,4),Y67/$S65)</f>
        <v>#DIV/0!</v>
      </c>
      <c r="Z65" s="198" t="e">
        <f ca="1">IF(AND($R65=2,ACOMPANHAMENTO="BM"),ROUND(Z66,4),Z67/$S65)</f>
        <v>#DIV/0!</v>
      </c>
      <c r="AA65" s="198" t="e">
        <f ca="1">IF(AND($R65=2,ACOMPANHAMENTO="BM"),ROUND(AA66,4),AA67/$S65)</f>
        <v>#DIV/0!</v>
      </c>
      <c r="AB65" s="198" t="e">
        <f ca="1">IF(AND($R65=2,ACOMPANHAMENTO="BM"),ROUND(AB66,4),AB67/$S65)</f>
        <v>#DIV/0!</v>
      </c>
      <c r="AC65" s="198" t="e">
        <f ca="1">IF(AND($R65=2,ACOMPANHAMENTO="BM"),ROUND(AC66,4),AC67/$S65)</f>
        <v>#DIV/0!</v>
      </c>
      <c r="AD65" s="198" t="e">
        <f ca="1">IF(AND($R65=2,ACOMPANHAMENTO="BM"),ROUND(AD66,4),AD67/$S65)</f>
        <v>#DIV/0!</v>
      </c>
      <c r="AE65" s="198" t="e">
        <f ca="1">IF(AND($R65=2,ACOMPANHAMENTO="BM"),ROUND(AE66,4),AE67/$S65)</f>
        <v>#DIV/0!</v>
      </c>
      <c r="AF65" s="198" t="e">
        <f ca="1">IF(AND($R65=2,ACOMPANHAMENTO="BM"),ROUND(AF66,4),AF67/$S65)</f>
        <v>#DIV/0!</v>
      </c>
      <c r="AG65" s="198" t="e">
        <f ca="1">IF(AND($R65=2,ACOMPANHAMENTO="BM"),ROUND(AG66,4),AG67/$S65)</f>
        <v>#DIV/0!</v>
      </c>
      <c r="AH65" s="198" t="e">
        <f ca="1">IF(AND($R65=2,ACOMPANHAMENTO="BM"),ROUND(AH66,4),AH67/$S65)</f>
        <v>#DIV/0!</v>
      </c>
      <c r="AI65" s="198" t="e">
        <f ca="1">IF(AND($R65=2,ACOMPANHAMENTO="BM"),ROUND(AI66,4),AI67/$S65)</f>
        <v>#DIV/0!</v>
      </c>
      <c r="AJ65" s="198" t="e">
        <f ca="1">IF(AND($R65=2,ACOMPANHAMENTO="BM"),ROUND(AJ66,4),AJ67/$S65)</f>
        <v>#DIV/0!</v>
      </c>
      <c r="AK65" s="198" t="e">
        <f ca="1">IF(AND($R65=2,ACOMPANHAMENTO="BM"),ROUND(AK66,4),AK67/$S65)</f>
        <v>#DIV/0!</v>
      </c>
      <c r="AL65" s="198" t="e">
        <f ca="1">IF(AND($R65=2,ACOMPANHAMENTO="BM"),ROUND(AL66,4),AL67/$S65)</f>
        <v>#DIV/0!</v>
      </c>
      <c r="AM65" s="198" t="e">
        <f ca="1">IF(AND($R65=2,ACOMPANHAMENTO="BM"),ROUND(AM66,4),AM67/$S65)</f>
        <v>#DIV/0!</v>
      </c>
      <c r="AN65" s="198" t="e">
        <f ca="1">IF(AND($R65=2,ACOMPANHAMENTO="BM"),ROUND(AN66,4),AN67/$S65)</f>
        <v>#DIV/0!</v>
      </c>
      <c r="AO65" s="198" t="e">
        <f ca="1">IF(AND($R65=2,ACOMPANHAMENTO="BM"),ROUND(AO66,4),AO67/$S65)</f>
        <v>#DIV/0!</v>
      </c>
      <c r="AP65" s="198" t="e">
        <f ca="1">IF(AND($R65=2,ACOMPANHAMENTO="BM"),ROUND(AP66,4),AP67/$S65)</f>
        <v>#DIV/0!</v>
      </c>
      <c r="AQ65" s="198" t="e">
        <f ca="1">IF(AND($R65=2,ACOMPANHAMENTO="BM"),ROUND(AQ66,4),AQ67/$S65)</f>
        <v>#DIV/0!</v>
      </c>
      <c r="AR65" s="198" t="e">
        <f ca="1">IF(AND($R65=2,ACOMPANHAMENTO="BM"),ROUND(AR66,4),AR67/$S65)</f>
        <v>#DIV/0!</v>
      </c>
      <c r="AS65" s="577"/>
    </row>
    <row r="66" spans="1:45" ht="12.75" hidden="1" customHeight="1" x14ac:dyDescent="0.2">
      <c r="E66" s="645"/>
      <c r="F66" s="195">
        <f ca="1">IF(ISERROR(F65),IF(1+COUNTIF($M$13:OFFSET(M65,-1,0),1)&lt;=MAX(QCI!$D$13:$D$24),1+COUNTIF($M$13:OFFSET(M65,-1,0),1),-1),0)</f>
        <v>5</v>
      </c>
      <c r="G66" s="195" t="str">
        <f ca="1">IF(ACOMPANHAMENTO="BM",OFFSET(G66,-1,0),"")</f>
        <v/>
      </c>
      <c r="H66" s="206" t="str">
        <f ca="1">IF(OR(S65=0,S65=""),"vazia",IF(AND(OR(ACOMPANHAMENTO="PLE",$R65&lt;&gt;2),$F66=0),"calculada","--&gt;"))</f>
        <v>vazia</v>
      </c>
      <c r="I66" s="207"/>
      <c r="J66" s="208" t="str">
        <f t="shared" ref="J66" ca="1" si="108">IF(AND(H65&lt;&gt;0,ISNUMBER(H65)),"PREENCHA ESTA LINHA --&gt;","")</f>
        <v/>
      </c>
      <c r="K66" s="208"/>
      <c r="L66" s="208"/>
      <c r="M66" s="209"/>
      <c r="N66" s="209"/>
      <c r="O66" s="209"/>
      <c r="P66" s="209"/>
      <c r="Q66" s="209"/>
      <c r="R66" s="209"/>
      <c r="S66" s="210"/>
      <c r="T66" s="211"/>
      <c r="U66" s="645"/>
      <c r="V66" s="645"/>
      <c r="W66" s="645"/>
      <c r="X66" s="645"/>
      <c r="Y66" s="645"/>
      <c r="Z66" s="645"/>
      <c r="AA66" s="645"/>
      <c r="AB66" s="645"/>
      <c r="AC66" s="645"/>
      <c r="AD66" s="645"/>
      <c r="AE66" s="645"/>
      <c r="AF66" s="645"/>
      <c r="AG66" s="645"/>
      <c r="AH66" s="645"/>
      <c r="AI66" s="645"/>
      <c r="AJ66" s="645"/>
      <c r="AK66" s="645"/>
      <c r="AL66" s="645"/>
      <c r="AM66" s="645"/>
      <c r="AN66" s="645"/>
      <c r="AO66" s="645"/>
      <c r="AP66" s="645"/>
      <c r="AQ66" s="645"/>
      <c r="AR66" s="645"/>
      <c r="AS66" s="577"/>
    </row>
    <row r="67" spans="1:45" ht="12.75" hidden="1" customHeight="1" x14ac:dyDescent="0.2">
      <c r="D67" s="576"/>
      <c r="E67" s="212">
        <f ca="1">IF($R65=2,
         IF(AND(ACOMPANHAMENTO="PLE",ISNUMBER($F65)),
                SUMIF((OFFSET(CÁLCULO!$BC$15:$BU$15,$F65,0,OFFSET(ORÇAMENTO!$D$15,CRONO!$F65,0))),CRONO!E$12,OFFSET(CÁLCULO!$AJ$15:$BB$15,$F65,0,OFFSET(ORÇAMENTO!$D$15,CRONO!$F65,0)))
                +IF(AND($F67&lt;&gt;"",$F67&lt;&gt;0),
                        SUMIF(CÁLCULO!$BC$15:$BU$131,CRONO!E$12,CÁLCULO!$AJ$15:$BB$131)/(ORÇAMENTO!$X$15-CÁLCULO.TotalAdmLocal)*CRONO!$F67,
                        0),
                 E66*$S65),
          SUMIF(OFFSET($S67,1,0,$R65-2),($M65+1)&amp;"$",OFFSET(E67,1,0,$R65-2)))</f>
        <v>0</v>
      </c>
      <c r="F67" s="195" t="str">
        <f ca="1">IF(OR($R65&lt;&gt;2,AUTOEVENTO&lt;&gt;"manual",$F66&gt;0),"",
        IF(Import.TipoArredondamento="Tradicional",
              SUMIF(OFFSET(CÁLCULO!$M$15,CRONO!$F65,0,OFFSET(ORÇAMENTO!$D$15,CRONO!$F65,0)),1,OFFSET(ORÇAMENTO!$X$15,CRONO!$F65,0,OFFSET(ORÇAMENTO!$D$15,CRONO!$F65,0))),
              0))</f>
        <v/>
      </c>
      <c r="H67" s="213"/>
      <c r="S67" s="214" t="str">
        <f t="shared" ref="S67" ca="1" si="109">M65&amp;"$"</f>
        <v>1$</v>
      </c>
      <c r="T67" s="215"/>
      <c r="U67" s="212">
        <f ca="1">IF($R65=2,
         IF(AND(ACOMPANHAMENTO="PLE",ISNUMBER($F65)),
                SUMIF((OFFSET(CÁLCULO!$BC$15:$BU$15,$F65,0,OFFSET(ORÇAMENTO!$D$15,CRONO!$F65,0))),CRONO!U$12,OFFSET(CÁLCULO!$AJ$15:$BB$15,$F65,0,OFFSET(ORÇAMENTO!$D$15,CRONO!$F65,0)))
                +IF(AND($F67&lt;&gt;"",$F67&lt;&gt;0),
                        SUMIF(CÁLCULO!$BC$15:$BU$131,CRONO!U$12,CÁLCULO!$AJ$15:$BB$131)/(ORÇAMENTO!$X$15-CÁLCULO.TotalAdmLocal)*CRONO!$F67,
                        0),
                 U66*$S65),
          SUMIF(OFFSET($S67,1,0,$R65-2),($M65+1)&amp;"$",OFFSET(U67,1,0,$R65-2)))</f>
        <v>0</v>
      </c>
      <c r="V67" s="212">
        <f ca="1">IF($R65=2,
         IF(AND(ACOMPANHAMENTO="PLE",ISNUMBER($F65)),
                SUMIF((OFFSET(CÁLCULO!$BC$15:$BU$15,$F65,0,OFFSET(ORÇAMENTO!$D$15,CRONO!$F65,0))),CRONO!V$12,OFFSET(CÁLCULO!$AJ$15:$BB$15,$F65,0,OFFSET(ORÇAMENTO!$D$15,CRONO!$F65,0)))
                +IF(AND($F67&lt;&gt;"",$F67&lt;&gt;0),
                        SUMIF(CÁLCULO!$BC$15:$BU$131,CRONO!V$12,CÁLCULO!$AJ$15:$BB$131)/(ORÇAMENTO!$X$15-CÁLCULO.TotalAdmLocal)*CRONO!$F67,
                        0),
                 V66*$S65),
          SUMIF(OFFSET($S67,1,0,$R65-2),($M65+1)&amp;"$",OFFSET(V67,1,0,$R65-2)))</f>
        <v>0</v>
      </c>
      <c r="W67" s="212">
        <f ca="1">IF($R65=2,
         IF(AND(ACOMPANHAMENTO="PLE",ISNUMBER($F65)),
                SUMIF((OFFSET(CÁLCULO!$BC$15:$BU$15,$F65,0,OFFSET(ORÇAMENTO!$D$15,CRONO!$F65,0))),CRONO!W$12,OFFSET(CÁLCULO!$AJ$15:$BB$15,$F65,0,OFFSET(ORÇAMENTO!$D$15,CRONO!$F65,0)))
                +IF(AND($F67&lt;&gt;"",$F67&lt;&gt;0),
                        SUMIF(CÁLCULO!$BC$15:$BU$131,CRONO!W$12,CÁLCULO!$AJ$15:$BB$131)/(ORÇAMENTO!$X$15-CÁLCULO.TotalAdmLocal)*CRONO!$F67,
                        0),
                 W66*$S65),
          SUMIF(OFFSET($S67,1,0,$R65-2),($M65+1)&amp;"$",OFFSET(W67,1,0,$R65-2)))</f>
        <v>0</v>
      </c>
      <c r="X67" s="212">
        <f ca="1">IF($R65=2,
         IF(AND(ACOMPANHAMENTO="PLE",ISNUMBER($F65)),
                SUMIF((OFFSET(CÁLCULO!$BC$15:$BU$15,$F65,0,OFFSET(ORÇAMENTO!$D$15,CRONO!$F65,0))),CRONO!X$12,OFFSET(CÁLCULO!$AJ$15:$BB$15,$F65,0,OFFSET(ORÇAMENTO!$D$15,CRONO!$F65,0)))
                +IF(AND($F67&lt;&gt;"",$F67&lt;&gt;0),
                        SUMIF(CÁLCULO!$BC$15:$BU$131,CRONO!X$12,CÁLCULO!$AJ$15:$BB$131)/(ORÇAMENTO!$X$15-CÁLCULO.TotalAdmLocal)*CRONO!$F67,
                        0),
                 X66*$S65),
          SUMIF(OFFSET($S67,1,0,$R65-2),($M65+1)&amp;"$",OFFSET(X67,1,0,$R65-2)))</f>
        <v>0</v>
      </c>
      <c r="Y67" s="212">
        <f ca="1">IF($R65=2,
         IF(AND(ACOMPANHAMENTO="PLE",ISNUMBER($F65)),
                SUMIF((OFFSET(CÁLCULO!$BC$15:$BU$15,$F65,0,OFFSET(ORÇAMENTO!$D$15,CRONO!$F65,0))),CRONO!Y$12,OFFSET(CÁLCULO!$AJ$15:$BB$15,$F65,0,OFFSET(ORÇAMENTO!$D$15,CRONO!$F65,0)))
                +IF(AND($F67&lt;&gt;"",$F67&lt;&gt;0),
                        SUMIF(CÁLCULO!$BC$15:$BU$131,CRONO!Y$12,CÁLCULO!$AJ$15:$BB$131)/(ORÇAMENTO!$X$15-CÁLCULO.TotalAdmLocal)*CRONO!$F67,
                        0),
                 Y66*$S65),
          SUMIF(OFFSET($S67,1,0,$R65-2),($M65+1)&amp;"$",OFFSET(Y67,1,0,$R65-2)))</f>
        <v>0</v>
      </c>
      <c r="Z67" s="212">
        <f ca="1">IF($R65=2,
         IF(AND(ACOMPANHAMENTO="PLE",ISNUMBER($F65)),
                SUMIF((OFFSET(CÁLCULO!$BC$15:$BU$15,$F65,0,OFFSET(ORÇAMENTO!$D$15,CRONO!$F65,0))),CRONO!Z$12,OFFSET(CÁLCULO!$AJ$15:$BB$15,$F65,0,OFFSET(ORÇAMENTO!$D$15,CRONO!$F65,0)))
                +IF(AND($F67&lt;&gt;"",$F67&lt;&gt;0),
                        SUMIF(CÁLCULO!$BC$15:$BU$131,CRONO!Z$12,CÁLCULO!$AJ$15:$BB$131)/(ORÇAMENTO!$X$15-CÁLCULO.TotalAdmLocal)*CRONO!$F67,
                        0),
                 Z66*$S65),
          SUMIF(OFFSET($S67,1,0,$R65-2),($M65+1)&amp;"$",OFFSET(Z67,1,0,$R65-2)))</f>
        <v>0</v>
      </c>
      <c r="AA67" s="212">
        <f ca="1">IF($R65=2,
         IF(AND(ACOMPANHAMENTO="PLE",ISNUMBER($F65)),
                SUMIF((OFFSET(CÁLCULO!$BC$15:$BU$15,$F65,0,OFFSET(ORÇAMENTO!$D$15,CRONO!$F65,0))),CRONO!AA$12,OFFSET(CÁLCULO!$AJ$15:$BB$15,$F65,0,OFFSET(ORÇAMENTO!$D$15,CRONO!$F65,0)))
                +IF(AND($F67&lt;&gt;"",$F67&lt;&gt;0),
                        SUMIF(CÁLCULO!$BC$15:$BU$131,CRONO!AA$12,CÁLCULO!$AJ$15:$BB$131)/(ORÇAMENTO!$X$15-CÁLCULO.TotalAdmLocal)*CRONO!$F67,
                        0),
                 AA66*$S65),
          SUMIF(OFFSET($S67,1,0,$R65-2),($M65+1)&amp;"$",OFFSET(AA67,1,0,$R65-2)))</f>
        <v>0</v>
      </c>
      <c r="AB67" s="212">
        <f ca="1">IF($R65=2,
         IF(AND(ACOMPANHAMENTO="PLE",ISNUMBER($F65)),
                SUMIF((OFFSET(CÁLCULO!$BC$15:$BU$15,$F65,0,OFFSET(ORÇAMENTO!$D$15,CRONO!$F65,0))),CRONO!AB$12,OFFSET(CÁLCULO!$AJ$15:$BB$15,$F65,0,OFFSET(ORÇAMENTO!$D$15,CRONO!$F65,0)))
                +IF(AND($F67&lt;&gt;"",$F67&lt;&gt;0),
                        SUMIF(CÁLCULO!$BC$15:$BU$131,CRONO!AB$12,CÁLCULO!$AJ$15:$BB$131)/(ORÇAMENTO!$X$15-CÁLCULO.TotalAdmLocal)*CRONO!$F67,
                        0),
                 AB66*$S65),
          SUMIF(OFFSET($S67,1,0,$R65-2),($M65+1)&amp;"$",OFFSET(AB67,1,0,$R65-2)))</f>
        <v>0</v>
      </c>
      <c r="AC67" s="212">
        <f ca="1">IF($R65=2,
         IF(AND(ACOMPANHAMENTO="PLE",ISNUMBER($F65)),
                SUMIF((OFFSET(CÁLCULO!$BC$15:$BU$15,$F65,0,OFFSET(ORÇAMENTO!$D$15,CRONO!$F65,0))),CRONO!AC$12,OFFSET(CÁLCULO!$AJ$15:$BB$15,$F65,0,OFFSET(ORÇAMENTO!$D$15,CRONO!$F65,0)))
                +IF(AND($F67&lt;&gt;"",$F67&lt;&gt;0),
                        SUMIF(CÁLCULO!$BC$15:$BU$131,CRONO!AC$12,CÁLCULO!$AJ$15:$BB$131)/(ORÇAMENTO!$X$15-CÁLCULO.TotalAdmLocal)*CRONO!$F67,
                        0),
                 AC66*$S65),
          SUMIF(OFFSET($S67,1,0,$R65-2),($M65+1)&amp;"$",OFFSET(AC67,1,0,$R65-2)))</f>
        <v>0</v>
      </c>
      <c r="AD67" s="212">
        <f ca="1">IF($R65=2,
         IF(AND(ACOMPANHAMENTO="PLE",ISNUMBER($F65)),
                SUMIF((OFFSET(CÁLCULO!$BC$15:$BU$15,$F65,0,OFFSET(ORÇAMENTO!$D$15,CRONO!$F65,0))),CRONO!AD$12,OFFSET(CÁLCULO!$AJ$15:$BB$15,$F65,0,OFFSET(ORÇAMENTO!$D$15,CRONO!$F65,0)))
                +IF(AND($F67&lt;&gt;"",$F67&lt;&gt;0),
                        SUMIF(CÁLCULO!$BC$15:$BU$131,CRONO!AD$12,CÁLCULO!$AJ$15:$BB$131)/(ORÇAMENTO!$X$15-CÁLCULO.TotalAdmLocal)*CRONO!$F67,
                        0),
                 AD66*$S65),
          SUMIF(OFFSET($S67,1,0,$R65-2),($M65+1)&amp;"$",OFFSET(AD67,1,0,$R65-2)))</f>
        <v>0</v>
      </c>
      <c r="AE67" s="212">
        <f ca="1">IF($R65=2,
         IF(AND(ACOMPANHAMENTO="PLE",ISNUMBER($F65)),
                SUMIF((OFFSET(CÁLCULO!$BC$15:$BU$15,$F65,0,OFFSET(ORÇAMENTO!$D$15,CRONO!$F65,0))),CRONO!AE$12,OFFSET(CÁLCULO!$AJ$15:$BB$15,$F65,0,OFFSET(ORÇAMENTO!$D$15,CRONO!$F65,0)))
                +IF(AND($F67&lt;&gt;"",$F67&lt;&gt;0),
                        SUMIF(CÁLCULO!$BC$15:$BU$131,CRONO!AE$12,CÁLCULO!$AJ$15:$BB$131)/(ORÇAMENTO!$X$15-CÁLCULO.TotalAdmLocal)*CRONO!$F67,
                        0),
                 AE66*$S65),
          SUMIF(OFFSET($S67,1,0,$R65-2),($M65+1)&amp;"$",OFFSET(AE67,1,0,$R65-2)))</f>
        <v>0</v>
      </c>
      <c r="AF67" s="212">
        <f ca="1">IF($R65=2,
         IF(AND(ACOMPANHAMENTO="PLE",ISNUMBER($F65)),
                SUMIF((OFFSET(CÁLCULO!$BC$15:$BU$15,$F65,0,OFFSET(ORÇAMENTO!$D$15,CRONO!$F65,0))),CRONO!AF$12,OFFSET(CÁLCULO!$AJ$15:$BB$15,$F65,0,OFFSET(ORÇAMENTO!$D$15,CRONO!$F65,0)))
                +IF(AND($F67&lt;&gt;"",$F67&lt;&gt;0),
                        SUMIF(CÁLCULO!$BC$15:$BU$131,CRONO!AF$12,CÁLCULO!$AJ$15:$BB$131)/(ORÇAMENTO!$X$15-CÁLCULO.TotalAdmLocal)*CRONO!$F67,
                        0),
                 AF66*$S65),
          SUMIF(OFFSET($S67,1,0,$R65-2),($M65+1)&amp;"$",OFFSET(AF67,1,0,$R65-2)))</f>
        <v>0</v>
      </c>
      <c r="AG67" s="212">
        <f ca="1">IF($R65=2,
         IF(AND(ACOMPANHAMENTO="PLE",ISNUMBER($F65)),
                SUMIF((OFFSET(CÁLCULO!$BC$15:$BU$15,$F65,0,OFFSET(ORÇAMENTO!$D$15,CRONO!$F65,0))),CRONO!AG$12,OFFSET(CÁLCULO!$AJ$15:$BB$15,$F65,0,OFFSET(ORÇAMENTO!$D$15,CRONO!$F65,0)))
                +IF(AND($F67&lt;&gt;"",$F67&lt;&gt;0),
                        SUMIF(CÁLCULO!$BC$15:$BU$131,CRONO!AG$12,CÁLCULO!$AJ$15:$BB$131)/(ORÇAMENTO!$X$15-CÁLCULO.TotalAdmLocal)*CRONO!$F67,
                        0),
                 AG66*$S65),
          SUMIF(OFFSET($S67,1,0,$R65-2),($M65+1)&amp;"$",OFFSET(AG67,1,0,$R65-2)))</f>
        <v>0</v>
      </c>
      <c r="AH67" s="212">
        <f ca="1">IF($R65=2,
         IF(AND(ACOMPANHAMENTO="PLE",ISNUMBER($F65)),
                SUMIF((OFFSET(CÁLCULO!$BC$15:$BU$15,$F65,0,OFFSET(ORÇAMENTO!$D$15,CRONO!$F65,0))),CRONO!AH$12,OFFSET(CÁLCULO!$AJ$15:$BB$15,$F65,0,OFFSET(ORÇAMENTO!$D$15,CRONO!$F65,0)))
                +IF(AND($F67&lt;&gt;"",$F67&lt;&gt;0),
                        SUMIF(CÁLCULO!$BC$15:$BU$131,CRONO!AH$12,CÁLCULO!$AJ$15:$BB$131)/(ORÇAMENTO!$X$15-CÁLCULO.TotalAdmLocal)*CRONO!$F67,
                        0),
                 AH66*$S65),
          SUMIF(OFFSET($S67,1,0,$R65-2),($M65+1)&amp;"$",OFFSET(AH67,1,0,$R65-2)))</f>
        <v>0</v>
      </c>
      <c r="AI67" s="212">
        <f ca="1">IF($R65=2,
         IF(AND(ACOMPANHAMENTO="PLE",ISNUMBER($F65)),
                SUMIF((OFFSET(CÁLCULO!$BC$15:$BU$15,$F65,0,OFFSET(ORÇAMENTO!$D$15,CRONO!$F65,0))),CRONO!AI$12,OFFSET(CÁLCULO!$AJ$15:$BB$15,$F65,0,OFFSET(ORÇAMENTO!$D$15,CRONO!$F65,0)))
                +IF(AND($F67&lt;&gt;"",$F67&lt;&gt;0),
                        SUMIF(CÁLCULO!$BC$15:$BU$131,CRONO!AI$12,CÁLCULO!$AJ$15:$BB$131)/(ORÇAMENTO!$X$15-CÁLCULO.TotalAdmLocal)*CRONO!$F67,
                        0),
                 AI66*$S65),
          SUMIF(OFFSET($S67,1,0,$R65-2),($M65+1)&amp;"$",OFFSET(AI67,1,0,$R65-2)))</f>
        <v>0</v>
      </c>
      <c r="AJ67" s="212">
        <f ca="1">IF($R65=2,
         IF(AND(ACOMPANHAMENTO="PLE",ISNUMBER($F65)),
                SUMIF((OFFSET(CÁLCULO!$BC$15:$BU$15,$F65,0,OFFSET(ORÇAMENTO!$D$15,CRONO!$F65,0))),CRONO!AJ$12,OFFSET(CÁLCULO!$AJ$15:$BB$15,$F65,0,OFFSET(ORÇAMENTO!$D$15,CRONO!$F65,0)))
                +IF(AND($F67&lt;&gt;"",$F67&lt;&gt;0),
                        SUMIF(CÁLCULO!$BC$15:$BU$131,CRONO!AJ$12,CÁLCULO!$AJ$15:$BB$131)/(ORÇAMENTO!$X$15-CÁLCULO.TotalAdmLocal)*CRONO!$F67,
                        0),
                 AJ66*$S65),
          SUMIF(OFFSET($S67,1,0,$R65-2),($M65+1)&amp;"$",OFFSET(AJ67,1,0,$R65-2)))</f>
        <v>0</v>
      </c>
      <c r="AK67" s="212">
        <f ca="1">IF($R65=2,
         IF(AND(ACOMPANHAMENTO="PLE",ISNUMBER($F65)),
                SUMIF((OFFSET(CÁLCULO!$BC$15:$BU$15,$F65,0,OFFSET(ORÇAMENTO!$D$15,CRONO!$F65,0))),CRONO!AK$12,OFFSET(CÁLCULO!$AJ$15:$BB$15,$F65,0,OFFSET(ORÇAMENTO!$D$15,CRONO!$F65,0)))
                +IF(AND($F67&lt;&gt;"",$F67&lt;&gt;0),
                        SUMIF(CÁLCULO!$BC$15:$BU$131,CRONO!AK$12,CÁLCULO!$AJ$15:$BB$131)/(ORÇAMENTO!$X$15-CÁLCULO.TotalAdmLocal)*CRONO!$F67,
                        0),
                 AK66*$S65),
          SUMIF(OFFSET($S67,1,0,$R65-2),($M65+1)&amp;"$",OFFSET(AK67,1,0,$R65-2)))</f>
        <v>0</v>
      </c>
      <c r="AL67" s="212">
        <f ca="1">IF($R65=2,
         IF(AND(ACOMPANHAMENTO="PLE",ISNUMBER($F65)),
                SUMIF((OFFSET(CÁLCULO!$BC$15:$BU$15,$F65,0,OFFSET(ORÇAMENTO!$D$15,CRONO!$F65,0))),CRONO!AL$12,OFFSET(CÁLCULO!$AJ$15:$BB$15,$F65,0,OFFSET(ORÇAMENTO!$D$15,CRONO!$F65,0)))
                +IF(AND($F67&lt;&gt;"",$F67&lt;&gt;0),
                        SUMIF(CÁLCULO!$BC$15:$BU$131,CRONO!AL$12,CÁLCULO!$AJ$15:$BB$131)/(ORÇAMENTO!$X$15-CÁLCULO.TotalAdmLocal)*CRONO!$F67,
                        0),
                 AL66*$S65),
          SUMIF(OFFSET($S67,1,0,$R65-2),($M65+1)&amp;"$",OFFSET(AL67,1,0,$R65-2)))</f>
        <v>0</v>
      </c>
      <c r="AM67" s="212">
        <f ca="1">IF($R65=2,
         IF(AND(ACOMPANHAMENTO="PLE",ISNUMBER($F65)),
                SUMIF((OFFSET(CÁLCULO!$BC$15:$BU$15,$F65,0,OFFSET(ORÇAMENTO!$D$15,CRONO!$F65,0))),CRONO!AM$12,OFFSET(CÁLCULO!$AJ$15:$BB$15,$F65,0,OFFSET(ORÇAMENTO!$D$15,CRONO!$F65,0)))
                +IF(AND($F67&lt;&gt;"",$F67&lt;&gt;0),
                        SUMIF(CÁLCULO!$BC$15:$BU$131,CRONO!AM$12,CÁLCULO!$AJ$15:$BB$131)/(ORÇAMENTO!$X$15-CÁLCULO.TotalAdmLocal)*CRONO!$F67,
                        0),
                 AM66*$S65),
          SUMIF(OFFSET($S67,1,0,$R65-2),($M65+1)&amp;"$",OFFSET(AM67,1,0,$R65-2)))</f>
        <v>0</v>
      </c>
      <c r="AN67" s="212">
        <f ca="1">IF($R65=2,
         IF(AND(ACOMPANHAMENTO="PLE",ISNUMBER($F65)),
                SUMIF((OFFSET(CÁLCULO!$BC$15:$BU$15,$F65,0,OFFSET(ORÇAMENTO!$D$15,CRONO!$F65,0))),CRONO!AN$12,OFFSET(CÁLCULO!$AJ$15:$BB$15,$F65,0,OFFSET(ORÇAMENTO!$D$15,CRONO!$F65,0)))
                +IF(AND($F67&lt;&gt;"",$F67&lt;&gt;0),
                        SUMIF(CÁLCULO!$BC$15:$BU$131,CRONO!AN$12,CÁLCULO!$AJ$15:$BB$131)/(ORÇAMENTO!$X$15-CÁLCULO.TotalAdmLocal)*CRONO!$F67,
                        0),
                 AN66*$S65),
          SUMIF(OFFSET($S67,1,0,$R65-2),($M65+1)&amp;"$",OFFSET(AN67,1,0,$R65-2)))</f>
        <v>0</v>
      </c>
      <c r="AO67" s="212">
        <f ca="1">IF($R65=2,
         IF(AND(ACOMPANHAMENTO="PLE",ISNUMBER($F65)),
                SUMIF((OFFSET(CÁLCULO!$BC$15:$BU$15,$F65,0,OFFSET(ORÇAMENTO!$D$15,CRONO!$F65,0))),CRONO!AO$12,OFFSET(CÁLCULO!$AJ$15:$BB$15,$F65,0,OFFSET(ORÇAMENTO!$D$15,CRONO!$F65,0)))
                +IF(AND($F67&lt;&gt;"",$F67&lt;&gt;0),
                        SUMIF(CÁLCULO!$BC$15:$BU$131,CRONO!AO$12,CÁLCULO!$AJ$15:$BB$131)/(ORÇAMENTO!$X$15-CÁLCULO.TotalAdmLocal)*CRONO!$F67,
                        0),
                 AO66*$S65),
          SUMIF(OFFSET($S67,1,0,$R65-2),($M65+1)&amp;"$",OFFSET(AO67,1,0,$R65-2)))</f>
        <v>0</v>
      </c>
      <c r="AP67" s="212">
        <f ca="1">IF($R65=2,
         IF(AND(ACOMPANHAMENTO="PLE",ISNUMBER($F65)),
                SUMIF((OFFSET(CÁLCULO!$BC$15:$BU$15,$F65,0,OFFSET(ORÇAMENTO!$D$15,CRONO!$F65,0))),CRONO!AP$12,OFFSET(CÁLCULO!$AJ$15:$BB$15,$F65,0,OFFSET(ORÇAMENTO!$D$15,CRONO!$F65,0)))
                +IF(AND($F67&lt;&gt;"",$F67&lt;&gt;0),
                        SUMIF(CÁLCULO!$BC$15:$BU$131,CRONO!AP$12,CÁLCULO!$AJ$15:$BB$131)/(ORÇAMENTO!$X$15-CÁLCULO.TotalAdmLocal)*CRONO!$F67,
                        0),
                 AP66*$S65),
          SUMIF(OFFSET($S67,1,0,$R65-2),($M65+1)&amp;"$",OFFSET(AP67,1,0,$R65-2)))</f>
        <v>0</v>
      </c>
      <c r="AQ67" s="212">
        <f ca="1">IF($R65=2,
         IF(AND(ACOMPANHAMENTO="PLE",ISNUMBER($F65)),
                SUMIF((OFFSET(CÁLCULO!$BC$15:$BU$15,$F65,0,OFFSET(ORÇAMENTO!$D$15,CRONO!$F65,0))),CRONO!AQ$12,OFFSET(CÁLCULO!$AJ$15:$BB$15,$F65,0,OFFSET(ORÇAMENTO!$D$15,CRONO!$F65,0)))
                +IF(AND($F67&lt;&gt;"",$F67&lt;&gt;0),
                        SUMIF(CÁLCULO!$BC$15:$BU$131,CRONO!AQ$12,CÁLCULO!$AJ$15:$BB$131)/(ORÇAMENTO!$X$15-CÁLCULO.TotalAdmLocal)*CRONO!$F67,
                        0),
                 AQ66*$S65),
          SUMIF(OFFSET($S67,1,0,$R65-2),($M65+1)&amp;"$",OFFSET(AQ67,1,0,$R65-2)))</f>
        <v>0</v>
      </c>
      <c r="AR67" s="212">
        <f ca="1">IF($R65=2,
         IF(AND(ACOMPANHAMENTO="PLE",ISNUMBER($F65)),
                SUMIF((OFFSET(CÁLCULO!$BC$15:$BU$15,$F65,0,OFFSET(ORÇAMENTO!$D$15,CRONO!$F65,0))),CRONO!AR$12,OFFSET(CÁLCULO!$AJ$15:$BB$15,$F65,0,OFFSET(ORÇAMENTO!$D$15,CRONO!$F65,0)))
                +IF(AND($F67&lt;&gt;"",$F67&lt;&gt;0),
                        SUMIF(CÁLCULO!$BC$15:$BU$131,CRONO!AR$12,CÁLCULO!$AJ$15:$BB$131)/(ORÇAMENTO!$X$15-CÁLCULO.TotalAdmLocal)*CRONO!$F67,
                        0),
                 AR66*$S65),
          SUMIF(OFFSET($S67,1,0,$R65-2),($M65+1)&amp;"$",OFFSET(AR67,1,0,$R65-2)))</f>
        <v>0</v>
      </c>
      <c r="AS67" s="577"/>
    </row>
    <row r="68" spans="1:45" x14ac:dyDescent="0.2">
      <c r="A68" s="196" t="str">
        <f t="shared" ref="A68" ca="1" si="110">IF($M68&gt;1,CONCATENATE($I68," ",$J68),"")</f>
        <v/>
      </c>
      <c r="B68" s="195">
        <f t="shared" ref="B68" ca="1" si="111">OFFSET(B68,-3,0)+1</f>
        <v>19</v>
      </c>
      <c r="C68" s="195">
        <f ca="1">IF($R68&lt;&gt;2,0,IF($S68=0,1,IF(F69&gt;0,OFFSET(QCI!$M$13,SUBSTITUTE(F69,".",""),0),OFFSET(ORÇAMENTO!$AA$15,CRONO!$F68,0))/$S68))</f>
        <v>1</v>
      </c>
      <c r="D68" s="195">
        <f ca="1">IF($R68&lt;&gt;2,0,IF($S68=0,1,IF(F69&gt;0,OFFSET(QCI!$N$13,SUBSTITUTE(F69,".",""),0),OFFSET(ORÇAMENTO!$AB$15,CRONO!$F68,0))/$S68))</f>
        <v>1</v>
      </c>
      <c r="E68" s="198" t="e">
        <f ca="1">IF(AND($R68=2,ACOMPANHAMENTO="BM"),ROUND(E69,4),E70/$S68)</f>
        <v>#DIV/0!</v>
      </c>
      <c r="F68" s="195" t="e">
        <f ca="1">IF(B68&lt;=ORÇAMENTO.MáximoListaCrono,MATCH(B68,ORÇAMENTO.ListaCrono,0),NA())</f>
        <v>#N/A</v>
      </c>
      <c r="G68" s="195" t="str">
        <f t="shared" ref="G68" ca="1" si="112">IF(AND($F69&lt;&gt;-1,$S68&gt;0),"F","")</f>
        <v/>
      </c>
      <c r="H68" s="199" t="str">
        <f ca="1">IF(OR(S68=0,S68=""),"Linha",IF(AND(OR(ACOMPANHAMENTO="PLE",$R68&lt;&gt;2),$F69=0),"Linha",ROUND(1-SUM(U68:AS68),4)))</f>
        <v>Linha</v>
      </c>
      <c r="I68" s="200">
        <f ca="1">IF($F69=0,OFFSET(ORÇAMENTO!O$15,$F68,0),IF($F69&lt;&gt;-1,OFFSET(QCI!$D$13,$F69,0),""))</f>
        <v>6</v>
      </c>
      <c r="J68" s="201" t="str">
        <f ca="1">IF($F69=0,OFFSET(ORÇAMENTO!R$15,$F68,0),IF($F69&lt;&gt;-1,OFFSET(QCI!$G$13,$F69,0),""))</f>
        <v/>
      </c>
      <c r="K68" s="201"/>
      <c r="L68" s="201"/>
      <c r="M68" s="202">
        <f ca="1">IF($F69=0,OFFSET(ORÇAMENTO!C$15,$F68,0),1)</f>
        <v>1</v>
      </c>
      <c r="N68" s="203">
        <f ca="1">IF($F69=-1,0,IF(N$13&lt;=$M68,IF(ISERROR(MATCH(N$13,OFFSET($M68,1,0,ROW($M$107)-ROW($M68)-1),0)),ROW($M$107)-ROW($M68)-1,MATCH(N$13,OFFSET($M68,1,0,ROW($M$107)-ROW($M68)-1),0)-1),0))</f>
        <v>2</v>
      </c>
      <c r="O68" s="203">
        <f ca="1">IF($F69=-1,0,IF(O$13&lt;=$M68,IF(ISERROR(MATCH(O$13,OFFSET($M68,1,0,ROW($M$107)-ROW($M68)-1),0)),ROW($M$107)-ROW($M68)-1,MATCH(O$13,OFFSET($M68,1,0,ROW($M$107)-ROW($M68)-1),0)-1),0))</f>
        <v>0</v>
      </c>
      <c r="P68" s="203">
        <f ca="1">IF($F69=-1,0,IF(P$13&lt;=$M68,IF(ISERROR(MATCH(P$13,OFFSET($M68,1,0,ROW($M$107)-ROW($M68)-1),0)),ROW($M$107)-ROW($M68)-1,MATCH(P$13,OFFSET($M68,1,0,ROW($M$107)-ROW($M68)-1),0)-1),0))</f>
        <v>0</v>
      </c>
      <c r="Q68" s="203">
        <f ca="1">IF($F69=-1,0,IF(Q$13&lt;=$M68,IF(ISERROR(MATCH(Q$13,OFFSET($M68,1,0,ROW($M$107)-ROW($M68)-1),0)),ROW($M$107)-ROW($M68)-1,MATCH(Q$13,OFFSET($M68,1,0,ROW($M$107)-ROW($M68)-1),0)-1),0))</f>
        <v>0</v>
      </c>
      <c r="R68" s="203">
        <f t="shared" ref="R68" ca="1" si="113">MIN(OFFSET(M68,0,1,,M68))</f>
        <v>2</v>
      </c>
      <c r="S68" s="204">
        <f ca="1">IF($F69=0,OFFSET(ORÇAMENTO!X$15,$F68,0),IF($F69&lt;&gt;-1,OFFSET(QCI!$O$13,$F69,0),""))</f>
        <v>0</v>
      </c>
      <c r="T68" s="205" t="s">
        <v>266</v>
      </c>
      <c r="U68" s="198" t="e">
        <f ca="1">IF(AND($R68=2,ACOMPANHAMENTO="BM"),ROUND(U69,4),U70/$S68)</f>
        <v>#DIV/0!</v>
      </c>
      <c r="V68" s="198" t="e">
        <f ca="1">IF(AND($R68=2,ACOMPANHAMENTO="BM"),ROUND(V69,4),V70/$S68)</f>
        <v>#DIV/0!</v>
      </c>
      <c r="W68" s="198" t="e">
        <f ca="1">IF(AND($R68=2,ACOMPANHAMENTO="BM"),ROUND(W69,4),W70/$S68)</f>
        <v>#DIV/0!</v>
      </c>
      <c r="X68" s="198" t="e">
        <f ca="1">IF(AND($R68=2,ACOMPANHAMENTO="BM"),ROUND(X69,4),X70/$S68)</f>
        <v>#DIV/0!</v>
      </c>
      <c r="Y68" s="198" t="e">
        <f ca="1">IF(AND($R68=2,ACOMPANHAMENTO="BM"),ROUND(Y69,4),Y70/$S68)</f>
        <v>#DIV/0!</v>
      </c>
      <c r="Z68" s="198" t="e">
        <f ca="1">IF(AND($R68=2,ACOMPANHAMENTO="BM"),ROUND(Z69,4),Z70/$S68)</f>
        <v>#DIV/0!</v>
      </c>
      <c r="AA68" s="198" t="e">
        <f ca="1">IF(AND($R68=2,ACOMPANHAMENTO="BM"),ROUND(AA69,4),AA70/$S68)</f>
        <v>#DIV/0!</v>
      </c>
      <c r="AB68" s="198" t="e">
        <f ca="1">IF(AND($R68=2,ACOMPANHAMENTO="BM"),ROUND(AB69,4),AB70/$S68)</f>
        <v>#DIV/0!</v>
      </c>
      <c r="AC68" s="198" t="e">
        <f ca="1">IF(AND($R68=2,ACOMPANHAMENTO="BM"),ROUND(AC69,4),AC70/$S68)</f>
        <v>#DIV/0!</v>
      </c>
      <c r="AD68" s="198" t="e">
        <f ca="1">IF(AND($R68=2,ACOMPANHAMENTO="BM"),ROUND(AD69,4),AD70/$S68)</f>
        <v>#DIV/0!</v>
      </c>
      <c r="AE68" s="198" t="e">
        <f ca="1">IF(AND($R68=2,ACOMPANHAMENTO="BM"),ROUND(AE69,4),AE70/$S68)</f>
        <v>#DIV/0!</v>
      </c>
      <c r="AF68" s="198" t="e">
        <f ca="1">IF(AND($R68=2,ACOMPANHAMENTO="BM"),ROUND(AF69,4),AF70/$S68)</f>
        <v>#DIV/0!</v>
      </c>
      <c r="AG68" s="198" t="e">
        <f ca="1">IF(AND($R68=2,ACOMPANHAMENTO="BM"),ROUND(AG69,4),AG70/$S68)</f>
        <v>#DIV/0!</v>
      </c>
      <c r="AH68" s="198" t="e">
        <f ca="1">IF(AND($R68=2,ACOMPANHAMENTO="BM"),ROUND(AH69,4),AH70/$S68)</f>
        <v>#DIV/0!</v>
      </c>
      <c r="AI68" s="198" t="e">
        <f ca="1">IF(AND($R68=2,ACOMPANHAMENTO="BM"),ROUND(AI69,4),AI70/$S68)</f>
        <v>#DIV/0!</v>
      </c>
      <c r="AJ68" s="198" t="e">
        <f ca="1">IF(AND($R68=2,ACOMPANHAMENTO="BM"),ROUND(AJ69,4),AJ70/$S68)</f>
        <v>#DIV/0!</v>
      </c>
      <c r="AK68" s="198" t="e">
        <f ca="1">IF(AND($R68=2,ACOMPANHAMENTO="BM"),ROUND(AK69,4),AK70/$S68)</f>
        <v>#DIV/0!</v>
      </c>
      <c r="AL68" s="198" t="e">
        <f ca="1">IF(AND($R68=2,ACOMPANHAMENTO="BM"),ROUND(AL69,4),AL70/$S68)</f>
        <v>#DIV/0!</v>
      </c>
      <c r="AM68" s="198" t="e">
        <f ca="1">IF(AND($R68=2,ACOMPANHAMENTO="BM"),ROUND(AM69,4),AM70/$S68)</f>
        <v>#DIV/0!</v>
      </c>
      <c r="AN68" s="198" t="e">
        <f ca="1">IF(AND($R68=2,ACOMPANHAMENTO="BM"),ROUND(AN69,4),AN70/$S68)</f>
        <v>#DIV/0!</v>
      </c>
      <c r="AO68" s="198" t="e">
        <f ca="1">IF(AND($R68=2,ACOMPANHAMENTO="BM"),ROUND(AO69,4),AO70/$S68)</f>
        <v>#DIV/0!</v>
      </c>
      <c r="AP68" s="198" t="e">
        <f ca="1">IF(AND($R68=2,ACOMPANHAMENTO="BM"),ROUND(AP69,4),AP70/$S68)</f>
        <v>#DIV/0!</v>
      </c>
      <c r="AQ68" s="198" t="e">
        <f ca="1">IF(AND($R68=2,ACOMPANHAMENTO="BM"),ROUND(AQ69,4),AQ70/$S68)</f>
        <v>#DIV/0!</v>
      </c>
      <c r="AR68" s="198" t="e">
        <f ca="1">IF(AND($R68=2,ACOMPANHAMENTO="BM"),ROUND(AR69,4),AR70/$S68)</f>
        <v>#DIV/0!</v>
      </c>
      <c r="AS68" s="577"/>
    </row>
    <row r="69" spans="1:45" ht="12.75" hidden="1" customHeight="1" x14ac:dyDescent="0.2">
      <c r="E69" s="645"/>
      <c r="F69" s="195">
        <f ca="1">IF(ISERROR(F68),IF(1+COUNTIF($M$13:OFFSET(M68,-1,0),1)&lt;=MAX(QCI!$D$13:$D$24),1+COUNTIF($M$13:OFFSET(M68,-1,0),1),-1),0)</f>
        <v>6</v>
      </c>
      <c r="G69" s="195" t="str">
        <f ca="1">IF(ACOMPANHAMENTO="BM",OFFSET(G69,-1,0),"")</f>
        <v/>
      </c>
      <c r="H69" s="206" t="str">
        <f ca="1">IF(OR(S68=0,S68=""),"vazia",IF(AND(OR(ACOMPANHAMENTO="PLE",$R68&lt;&gt;2),$F69=0),"calculada","--&gt;"))</f>
        <v>vazia</v>
      </c>
      <c r="I69" s="207"/>
      <c r="J69" s="208" t="str">
        <f t="shared" ref="J69" ca="1" si="114">IF(AND(H68&lt;&gt;0,ISNUMBER(H68)),"PREENCHA ESTA LINHA --&gt;","")</f>
        <v/>
      </c>
      <c r="K69" s="208"/>
      <c r="L69" s="208"/>
      <c r="M69" s="209"/>
      <c r="N69" s="209"/>
      <c r="O69" s="209"/>
      <c r="P69" s="209"/>
      <c r="Q69" s="209"/>
      <c r="R69" s="209"/>
      <c r="S69" s="210"/>
      <c r="T69" s="211"/>
      <c r="U69" s="645"/>
      <c r="V69" s="645"/>
      <c r="W69" s="645"/>
      <c r="X69" s="645"/>
      <c r="Y69" s="645"/>
      <c r="Z69" s="645"/>
      <c r="AA69" s="645"/>
      <c r="AB69" s="645"/>
      <c r="AC69" s="645"/>
      <c r="AD69" s="645"/>
      <c r="AE69" s="645"/>
      <c r="AF69" s="645"/>
      <c r="AG69" s="645"/>
      <c r="AH69" s="645"/>
      <c r="AI69" s="645"/>
      <c r="AJ69" s="645"/>
      <c r="AK69" s="645"/>
      <c r="AL69" s="645"/>
      <c r="AM69" s="645"/>
      <c r="AN69" s="645"/>
      <c r="AO69" s="645"/>
      <c r="AP69" s="645"/>
      <c r="AQ69" s="645"/>
      <c r="AR69" s="645"/>
      <c r="AS69" s="577"/>
    </row>
    <row r="70" spans="1:45" ht="12.75" hidden="1" customHeight="1" x14ac:dyDescent="0.2">
      <c r="D70" s="576"/>
      <c r="E70" s="212">
        <f ca="1">IF($R68=2,
         IF(AND(ACOMPANHAMENTO="PLE",ISNUMBER($F68)),
                SUMIF((OFFSET(CÁLCULO!$BC$15:$BU$15,$F68,0,OFFSET(ORÇAMENTO!$D$15,CRONO!$F68,0))),CRONO!E$12,OFFSET(CÁLCULO!$AJ$15:$BB$15,$F68,0,OFFSET(ORÇAMENTO!$D$15,CRONO!$F68,0)))
                +IF(AND($F70&lt;&gt;"",$F70&lt;&gt;0),
                        SUMIF(CÁLCULO!$BC$15:$BU$131,CRONO!E$12,CÁLCULO!$AJ$15:$BB$131)/(ORÇAMENTO!$X$15-CÁLCULO.TotalAdmLocal)*CRONO!$F70,
                        0),
                 E69*$S68),
          SUMIF(OFFSET($S70,1,0,$R68-2),($M68+1)&amp;"$",OFFSET(E70,1,0,$R68-2)))</f>
        <v>0</v>
      </c>
      <c r="F70" s="195" t="str">
        <f ca="1">IF(OR($R68&lt;&gt;2,AUTOEVENTO&lt;&gt;"manual",$F69&gt;0),"",
        IF(Import.TipoArredondamento="Tradicional",
              SUMIF(OFFSET(CÁLCULO!$M$15,CRONO!$F68,0,OFFSET(ORÇAMENTO!$D$15,CRONO!$F68,0)),1,OFFSET(ORÇAMENTO!$X$15,CRONO!$F68,0,OFFSET(ORÇAMENTO!$D$15,CRONO!$F68,0))),
              0))</f>
        <v/>
      </c>
      <c r="H70" s="213"/>
      <c r="S70" s="214" t="str">
        <f t="shared" ref="S70" ca="1" si="115">M68&amp;"$"</f>
        <v>1$</v>
      </c>
      <c r="T70" s="215"/>
      <c r="U70" s="212">
        <f ca="1">IF($R68=2,
         IF(AND(ACOMPANHAMENTO="PLE",ISNUMBER($F68)),
                SUMIF((OFFSET(CÁLCULO!$BC$15:$BU$15,$F68,0,OFFSET(ORÇAMENTO!$D$15,CRONO!$F68,0))),CRONO!U$12,OFFSET(CÁLCULO!$AJ$15:$BB$15,$F68,0,OFFSET(ORÇAMENTO!$D$15,CRONO!$F68,0)))
                +IF(AND($F70&lt;&gt;"",$F70&lt;&gt;0),
                        SUMIF(CÁLCULO!$BC$15:$BU$131,CRONO!U$12,CÁLCULO!$AJ$15:$BB$131)/(ORÇAMENTO!$X$15-CÁLCULO.TotalAdmLocal)*CRONO!$F70,
                        0),
                 U69*$S68),
          SUMIF(OFFSET($S70,1,0,$R68-2),($M68+1)&amp;"$",OFFSET(U70,1,0,$R68-2)))</f>
        <v>0</v>
      </c>
      <c r="V70" s="212">
        <f ca="1">IF($R68=2,
         IF(AND(ACOMPANHAMENTO="PLE",ISNUMBER($F68)),
                SUMIF((OFFSET(CÁLCULO!$BC$15:$BU$15,$F68,0,OFFSET(ORÇAMENTO!$D$15,CRONO!$F68,0))),CRONO!V$12,OFFSET(CÁLCULO!$AJ$15:$BB$15,$F68,0,OFFSET(ORÇAMENTO!$D$15,CRONO!$F68,0)))
                +IF(AND($F70&lt;&gt;"",$F70&lt;&gt;0),
                        SUMIF(CÁLCULO!$BC$15:$BU$131,CRONO!V$12,CÁLCULO!$AJ$15:$BB$131)/(ORÇAMENTO!$X$15-CÁLCULO.TotalAdmLocal)*CRONO!$F70,
                        0),
                 V69*$S68),
          SUMIF(OFFSET($S70,1,0,$R68-2),($M68+1)&amp;"$",OFFSET(V70,1,0,$R68-2)))</f>
        <v>0</v>
      </c>
      <c r="W70" s="212">
        <f ca="1">IF($R68=2,
         IF(AND(ACOMPANHAMENTO="PLE",ISNUMBER($F68)),
                SUMIF((OFFSET(CÁLCULO!$BC$15:$BU$15,$F68,0,OFFSET(ORÇAMENTO!$D$15,CRONO!$F68,0))),CRONO!W$12,OFFSET(CÁLCULO!$AJ$15:$BB$15,$F68,0,OFFSET(ORÇAMENTO!$D$15,CRONO!$F68,0)))
                +IF(AND($F70&lt;&gt;"",$F70&lt;&gt;0),
                        SUMIF(CÁLCULO!$BC$15:$BU$131,CRONO!W$12,CÁLCULO!$AJ$15:$BB$131)/(ORÇAMENTO!$X$15-CÁLCULO.TotalAdmLocal)*CRONO!$F70,
                        0),
                 W69*$S68),
          SUMIF(OFFSET($S70,1,0,$R68-2),($M68+1)&amp;"$",OFFSET(W70,1,0,$R68-2)))</f>
        <v>0</v>
      </c>
      <c r="X70" s="212">
        <f ca="1">IF($R68=2,
         IF(AND(ACOMPANHAMENTO="PLE",ISNUMBER($F68)),
                SUMIF((OFFSET(CÁLCULO!$BC$15:$BU$15,$F68,0,OFFSET(ORÇAMENTO!$D$15,CRONO!$F68,0))),CRONO!X$12,OFFSET(CÁLCULO!$AJ$15:$BB$15,$F68,0,OFFSET(ORÇAMENTO!$D$15,CRONO!$F68,0)))
                +IF(AND($F70&lt;&gt;"",$F70&lt;&gt;0),
                        SUMIF(CÁLCULO!$BC$15:$BU$131,CRONO!X$12,CÁLCULO!$AJ$15:$BB$131)/(ORÇAMENTO!$X$15-CÁLCULO.TotalAdmLocal)*CRONO!$F70,
                        0),
                 X69*$S68),
          SUMIF(OFFSET($S70,1,0,$R68-2),($M68+1)&amp;"$",OFFSET(X70,1,0,$R68-2)))</f>
        <v>0</v>
      </c>
      <c r="Y70" s="212">
        <f ca="1">IF($R68=2,
         IF(AND(ACOMPANHAMENTO="PLE",ISNUMBER($F68)),
                SUMIF((OFFSET(CÁLCULO!$BC$15:$BU$15,$F68,0,OFFSET(ORÇAMENTO!$D$15,CRONO!$F68,0))),CRONO!Y$12,OFFSET(CÁLCULO!$AJ$15:$BB$15,$F68,0,OFFSET(ORÇAMENTO!$D$15,CRONO!$F68,0)))
                +IF(AND($F70&lt;&gt;"",$F70&lt;&gt;0),
                        SUMIF(CÁLCULO!$BC$15:$BU$131,CRONO!Y$12,CÁLCULO!$AJ$15:$BB$131)/(ORÇAMENTO!$X$15-CÁLCULO.TotalAdmLocal)*CRONO!$F70,
                        0),
                 Y69*$S68),
          SUMIF(OFFSET($S70,1,0,$R68-2),($M68+1)&amp;"$",OFFSET(Y70,1,0,$R68-2)))</f>
        <v>0</v>
      </c>
      <c r="Z70" s="212">
        <f ca="1">IF($R68=2,
         IF(AND(ACOMPANHAMENTO="PLE",ISNUMBER($F68)),
                SUMIF((OFFSET(CÁLCULO!$BC$15:$BU$15,$F68,0,OFFSET(ORÇAMENTO!$D$15,CRONO!$F68,0))),CRONO!Z$12,OFFSET(CÁLCULO!$AJ$15:$BB$15,$F68,0,OFFSET(ORÇAMENTO!$D$15,CRONO!$F68,0)))
                +IF(AND($F70&lt;&gt;"",$F70&lt;&gt;0),
                        SUMIF(CÁLCULO!$BC$15:$BU$131,CRONO!Z$12,CÁLCULO!$AJ$15:$BB$131)/(ORÇAMENTO!$X$15-CÁLCULO.TotalAdmLocal)*CRONO!$F70,
                        0),
                 Z69*$S68),
          SUMIF(OFFSET($S70,1,0,$R68-2),($M68+1)&amp;"$",OFFSET(Z70,1,0,$R68-2)))</f>
        <v>0</v>
      </c>
      <c r="AA70" s="212">
        <f ca="1">IF($R68=2,
         IF(AND(ACOMPANHAMENTO="PLE",ISNUMBER($F68)),
                SUMIF((OFFSET(CÁLCULO!$BC$15:$BU$15,$F68,0,OFFSET(ORÇAMENTO!$D$15,CRONO!$F68,0))),CRONO!AA$12,OFFSET(CÁLCULO!$AJ$15:$BB$15,$F68,0,OFFSET(ORÇAMENTO!$D$15,CRONO!$F68,0)))
                +IF(AND($F70&lt;&gt;"",$F70&lt;&gt;0),
                        SUMIF(CÁLCULO!$BC$15:$BU$131,CRONO!AA$12,CÁLCULO!$AJ$15:$BB$131)/(ORÇAMENTO!$X$15-CÁLCULO.TotalAdmLocal)*CRONO!$F70,
                        0),
                 AA69*$S68),
          SUMIF(OFFSET($S70,1,0,$R68-2),($M68+1)&amp;"$",OFFSET(AA70,1,0,$R68-2)))</f>
        <v>0</v>
      </c>
      <c r="AB70" s="212">
        <f ca="1">IF($R68=2,
         IF(AND(ACOMPANHAMENTO="PLE",ISNUMBER($F68)),
                SUMIF((OFFSET(CÁLCULO!$BC$15:$BU$15,$F68,0,OFFSET(ORÇAMENTO!$D$15,CRONO!$F68,0))),CRONO!AB$12,OFFSET(CÁLCULO!$AJ$15:$BB$15,$F68,0,OFFSET(ORÇAMENTO!$D$15,CRONO!$F68,0)))
                +IF(AND($F70&lt;&gt;"",$F70&lt;&gt;0),
                        SUMIF(CÁLCULO!$BC$15:$BU$131,CRONO!AB$12,CÁLCULO!$AJ$15:$BB$131)/(ORÇAMENTO!$X$15-CÁLCULO.TotalAdmLocal)*CRONO!$F70,
                        0),
                 AB69*$S68),
          SUMIF(OFFSET($S70,1,0,$R68-2),($M68+1)&amp;"$",OFFSET(AB70,1,0,$R68-2)))</f>
        <v>0</v>
      </c>
      <c r="AC70" s="212">
        <f ca="1">IF($R68=2,
         IF(AND(ACOMPANHAMENTO="PLE",ISNUMBER($F68)),
                SUMIF((OFFSET(CÁLCULO!$BC$15:$BU$15,$F68,0,OFFSET(ORÇAMENTO!$D$15,CRONO!$F68,0))),CRONO!AC$12,OFFSET(CÁLCULO!$AJ$15:$BB$15,$F68,0,OFFSET(ORÇAMENTO!$D$15,CRONO!$F68,0)))
                +IF(AND($F70&lt;&gt;"",$F70&lt;&gt;0),
                        SUMIF(CÁLCULO!$BC$15:$BU$131,CRONO!AC$12,CÁLCULO!$AJ$15:$BB$131)/(ORÇAMENTO!$X$15-CÁLCULO.TotalAdmLocal)*CRONO!$F70,
                        0),
                 AC69*$S68),
          SUMIF(OFFSET($S70,1,0,$R68-2),($M68+1)&amp;"$",OFFSET(AC70,1,0,$R68-2)))</f>
        <v>0</v>
      </c>
      <c r="AD70" s="212">
        <f ca="1">IF($R68=2,
         IF(AND(ACOMPANHAMENTO="PLE",ISNUMBER($F68)),
                SUMIF((OFFSET(CÁLCULO!$BC$15:$BU$15,$F68,0,OFFSET(ORÇAMENTO!$D$15,CRONO!$F68,0))),CRONO!AD$12,OFFSET(CÁLCULO!$AJ$15:$BB$15,$F68,0,OFFSET(ORÇAMENTO!$D$15,CRONO!$F68,0)))
                +IF(AND($F70&lt;&gt;"",$F70&lt;&gt;0),
                        SUMIF(CÁLCULO!$BC$15:$BU$131,CRONO!AD$12,CÁLCULO!$AJ$15:$BB$131)/(ORÇAMENTO!$X$15-CÁLCULO.TotalAdmLocal)*CRONO!$F70,
                        0),
                 AD69*$S68),
          SUMIF(OFFSET($S70,1,0,$R68-2),($M68+1)&amp;"$",OFFSET(AD70,1,0,$R68-2)))</f>
        <v>0</v>
      </c>
      <c r="AE70" s="212">
        <f ca="1">IF($R68=2,
         IF(AND(ACOMPANHAMENTO="PLE",ISNUMBER($F68)),
                SUMIF((OFFSET(CÁLCULO!$BC$15:$BU$15,$F68,0,OFFSET(ORÇAMENTO!$D$15,CRONO!$F68,0))),CRONO!AE$12,OFFSET(CÁLCULO!$AJ$15:$BB$15,$F68,0,OFFSET(ORÇAMENTO!$D$15,CRONO!$F68,0)))
                +IF(AND($F70&lt;&gt;"",$F70&lt;&gt;0),
                        SUMIF(CÁLCULO!$BC$15:$BU$131,CRONO!AE$12,CÁLCULO!$AJ$15:$BB$131)/(ORÇAMENTO!$X$15-CÁLCULO.TotalAdmLocal)*CRONO!$F70,
                        0),
                 AE69*$S68),
          SUMIF(OFFSET($S70,1,0,$R68-2),($M68+1)&amp;"$",OFFSET(AE70,1,0,$R68-2)))</f>
        <v>0</v>
      </c>
      <c r="AF70" s="212">
        <f ca="1">IF($R68=2,
         IF(AND(ACOMPANHAMENTO="PLE",ISNUMBER($F68)),
                SUMIF((OFFSET(CÁLCULO!$BC$15:$BU$15,$F68,0,OFFSET(ORÇAMENTO!$D$15,CRONO!$F68,0))),CRONO!AF$12,OFFSET(CÁLCULO!$AJ$15:$BB$15,$F68,0,OFFSET(ORÇAMENTO!$D$15,CRONO!$F68,0)))
                +IF(AND($F70&lt;&gt;"",$F70&lt;&gt;0),
                        SUMIF(CÁLCULO!$BC$15:$BU$131,CRONO!AF$12,CÁLCULO!$AJ$15:$BB$131)/(ORÇAMENTO!$X$15-CÁLCULO.TotalAdmLocal)*CRONO!$F70,
                        0),
                 AF69*$S68),
          SUMIF(OFFSET($S70,1,0,$R68-2),($M68+1)&amp;"$",OFFSET(AF70,1,0,$R68-2)))</f>
        <v>0</v>
      </c>
      <c r="AG70" s="212">
        <f ca="1">IF($R68=2,
         IF(AND(ACOMPANHAMENTO="PLE",ISNUMBER($F68)),
                SUMIF((OFFSET(CÁLCULO!$BC$15:$BU$15,$F68,0,OFFSET(ORÇAMENTO!$D$15,CRONO!$F68,0))),CRONO!AG$12,OFFSET(CÁLCULO!$AJ$15:$BB$15,$F68,0,OFFSET(ORÇAMENTO!$D$15,CRONO!$F68,0)))
                +IF(AND($F70&lt;&gt;"",$F70&lt;&gt;0),
                        SUMIF(CÁLCULO!$BC$15:$BU$131,CRONO!AG$12,CÁLCULO!$AJ$15:$BB$131)/(ORÇAMENTO!$X$15-CÁLCULO.TotalAdmLocal)*CRONO!$F70,
                        0),
                 AG69*$S68),
          SUMIF(OFFSET($S70,1,0,$R68-2),($M68+1)&amp;"$",OFFSET(AG70,1,0,$R68-2)))</f>
        <v>0</v>
      </c>
      <c r="AH70" s="212">
        <f ca="1">IF($R68=2,
         IF(AND(ACOMPANHAMENTO="PLE",ISNUMBER($F68)),
                SUMIF((OFFSET(CÁLCULO!$BC$15:$BU$15,$F68,0,OFFSET(ORÇAMENTO!$D$15,CRONO!$F68,0))),CRONO!AH$12,OFFSET(CÁLCULO!$AJ$15:$BB$15,$F68,0,OFFSET(ORÇAMENTO!$D$15,CRONO!$F68,0)))
                +IF(AND($F70&lt;&gt;"",$F70&lt;&gt;0),
                        SUMIF(CÁLCULO!$BC$15:$BU$131,CRONO!AH$12,CÁLCULO!$AJ$15:$BB$131)/(ORÇAMENTO!$X$15-CÁLCULO.TotalAdmLocal)*CRONO!$F70,
                        0),
                 AH69*$S68),
          SUMIF(OFFSET($S70,1,0,$R68-2),($M68+1)&amp;"$",OFFSET(AH70,1,0,$R68-2)))</f>
        <v>0</v>
      </c>
      <c r="AI70" s="212">
        <f ca="1">IF($R68=2,
         IF(AND(ACOMPANHAMENTO="PLE",ISNUMBER($F68)),
                SUMIF((OFFSET(CÁLCULO!$BC$15:$BU$15,$F68,0,OFFSET(ORÇAMENTO!$D$15,CRONO!$F68,0))),CRONO!AI$12,OFFSET(CÁLCULO!$AJ$15:$BB$15,$F68,0,OFFSET(ORÇAMENTO!$D$15,CRONO!$F68,0)))
                +IF(AND($F70&lt;&gt;"",$F70&lt;&gt;0),
                        SUMIF(CÁLCULO!$BC$15:$BU$131,CRONO!AI$12,CÁLCULO!$AJ$15:$BB$131)/(ORÇAMENTO!$X$15-CÁLCULO.TotalAdmLocal)*CRONO!$F70,
                        0),
                 AI69*$S68),
          SUMIF(OFFSET($S70,1,0,$R68-2),($M68+1)&amp;"$",OFFSET(AI70,1,0,$R68-2)))</f>
        <v>0</v>
      </c>
      <c r="AJ70" s="212">
        <f ca="1">IF($R68=2,
         IF(AND(ACOMPANHAMENTO="PLE",ISNUMBER($F68)),
                SUMIF((OFFSET(CÁLCULO!$BC$15:$BU$15,$F68,0,OFFSET(ORÇAMENTO!$D$15,CRONO!$F68,0))),CRONO!AJ$12,OFFSET(CÁLCULO!$AJ$15:$BB$15,$F68,0,OFFSET(ORÇAMENTO!$D$15,CRONO!$F68,0)))
                +IF(AND($F70&lt;&gt;"",$F70&lt;&gt;0),
                        SUMIF(CÁLCULO!$BC$15:$BU$131,CRONO!AJ$12,CÁLCULO!$AJ$15:$BB$131)/(ORÇAMENTO!$X$15-CÁLCULO.TotalAdmLocal)*CRONO!$F70,
                        0),
                 AJ69*$S68),
          SUMIF(OFFSET($S70,1,0,$R68-2),($M68+1)&amp;"$",OFFSET(AJ70,1,0,$R68-2)))</f>
        <v>0</v>
      </c>
      <c r="AK70" s="212">
        <f ca="1">IF($R68=2,
         IF(AND(ACOMPANHAMENTO="PLE",ISNUMBER($F68)),
                SUMIF((OFFSET(CÁLCULO!$BC$15:$BU$15,$F68,0,OFFSET(ORÇAMENTO!$D$15,CRONO!$F68,0))),CRONO!AK$12,OFFSET(CÁLCULO!$AJ$15:$BB$15,$F68,0,OFFSET(ORÇAMENTO!$D$15,CRONO!$F68,0)))
                +IF(AND($F70&lt;&gt;"",$F70&lt;&gt;0),
                        SUMIF(CÁLCULO!$BC$15:$BU$131,CRONO!AK$12,CÁLCULO!$AJ$15:$BB$131)/(ORÇAMENTO!$X$15-CÁLCULO.TotalAdmLocal)*CRONO!$F70,
                        0),
                 AK69*$S68),
          SUMIF(OFFSET($S70,1,0,$R68-2),($M68+1)&amp;"$",OFFSET(AK70,1,0,$R68-2)))</f>
        <v>0</v>
      </c>
      <c r="AL70" s="212">
        <f ca="1">IF($R68=2,
         IF(AND(ACOMPANHAMENTO="PLE",ISNUMBER($F68)),
                SUMIF((OFFSET(CÁLCULO!$BC$15:$BU$15,$F68,0,OFFSET(ORÇAMENTO!$D$15,CRONO!$F68,0))),CRONO!AL$12,OFFSET(CÁLCULO!$AJ$15:$BB$15,$F68,0,OFFSET(ORÇAMENTO!$D$15,CRONO!$F68,0)))
                +IF(AND($F70&lt;&gt;"",$F70&lt;&gt;0),
                        SUMIF(CÁLCULO!$BC$15:$BU$131,CRONO!AL$12,CÁLCULO!$AJ$15:$BB$131)/(ORÇAMENTO!$X$15-CÁLCULO.TotalAdmLocal)*CRONO!$F70,
                        0),
                 AL69*$S68),
          SUMIF(OFFSET($S70,1,0,$R68-2),($M68+1)&amp;"$",OFFSET(AL70,1,0,$R68-2)))</f>
        <v>0</v>
      </c>
      <c r="AM70" s="212">
        <f ca="1">IF($R68=2,
         IF(AND(ACOMPANHAMENTO="PLE",ISNUMBER($F68)),
                SUMIF((OFFSET(CÁLCULO!$BC$15:$BU$15,$F68,0,OFFSET(ORÇAMENTO!$D$15,CRONO!$F68,0))),CRONO!AM$12,OFFSET(CÁLCULO!$AJ$15:$BB$15,$F68,0,OFFSET(ORÇAMENTO!$D$15,CRONO!$F68,0)))
                +IF(AND($F70&lt;&gt;"",$F70&lt;&gt;0),
                        SUMIF(CÁLCULO!$BC$15:$BU$131,CRONO!AM$12,CÁLCULO!$AJ$15:$BB$131)/(ORÇAMENTO!$X$15-CÁLCULO.TotalAdmLocal)*CRONO!$F70,
                        0),
                 AM69*$S68),
          SUMIF(OFFSET($S70,1,0,$R68-2),($M68+1)&amp;"$",OFFSET(AM70,1,0,$R68-2)))</f>
        <v>0</v>
      </c>
      <c r="AN70" s="212">
        <f ca="1">IF($R68=2,
         IF(AND(ACOMPANHAMENTO="PLE",ISNUMBER($F68)),
                SUMIF((OFFSET(CÁLCULO!$BC$15:$BU$15,$F68,0,OFFSET(ORÇAMENTO!$D$15,CRONO!$F68,0))),CRONO!AN$12,OFFSET(CÁLCULO!$AJ$15:$BB$15,$F68,0,OFFSET(ORÇAMENTO!$D$15,CRONO!$F68,0)))
                +IF(AND($F70&lt;&gt;"",$F70&lt;&gt;0),
                        SUMIF(CÁLCULO!$BC$15:$BU$131,CRONO!AN$12,CÁLCULO!$AJ$15:$BB$131)/(ORÇAMENTO!$X$15-CÁLCULO.TotalAdmLocal)*CRONO!$F70,
                        0),
                 AN69*$S68),
          SUMIF(OFFSET($S70,1,0,$R68-2),($M68+1)&amp;"$",OFFSET(AN70,1,0,$R68-2)))</f>
        <v>0</v>
      </c>
      <c r="AO70" s="212">
        <f ca="1">IF($R68=2,
         IF(AND(ACOMPANHAMENTO="PLE",ISNUMBER($F68)),
                SUMIF((OFFSET(CÁLCULO!$BC$15:$BU$15,$F68,0,OFFSET(ORÇAMENTO!$D$15,CRONO!$F68,0))),CRONO!AO$12,OFFSET(CÁLCULO!$AJ$15:$BB$15,$F68,0,OFFSET(ORÇAMENTO!$D$15,CRONO!$F68,0)))
                +IF(AND($F70&lt;&gt;"",$F70&lt;&gt;0),
                        SUMIF(CÁLCULO!$BC$15:$BU$131,CRONO!AO$12,CÁLCULO!$AJ$15:$BB$131)/(ORÇAMENTO!$X$15-CÁLCULO.TotalAdmLocal)*CRONO!$F70,
                        0),
                 AO69*$S68),
          SUMIF(OFFSET($S70,1,0,$R68-2),($M68+1)&amp;"$",OFFSET(AO70,1,0,$R68-2)))</f>
        <v>0</v>
      </c>
      <c r="AP70" s="212">
        <f ca="1">IF($R68=2,
         IF(AND(ACOMPANHAMENTO="PLE",ISNUMBER($F68)),
                SUMIF((OFFSET(CÁLCULO!$BC$15:$BU$15,$F68,0,OFFSET(ORÇAMENTO!$D$15,CRONO!$F68,0))),CRONO!AP$12,OFFSET(CÁLCULO!$AJ$15:$BB$15,$F68,0,OFFSET(ORÇAMENTO!$D$15,CRONO!$F68,0)))
                +IF(AND($F70&lt;&gt;"",$F70&lt;&gt;0),
                        SUMIF(CÁLCULO!$BC$15:$BU$131,CRONO!AP$12,CÁLCULO!$AJ$15:$BB$131)/(ORÇAMENTO!$X$15-CÁLCULO.TotalAdmLocal)*CRONO!$F70,
                        0),
                 AP69*$S68),
          SUMIF(OFFSET($S70,1,0,$R68-2),($M68+1)&amp;"$",OFFSET(AP70,1,0,$R68-2)))</f>
        <v>0</v>
      </c>
      <c r="AQ70" s="212">
        <f ca="1">IF($R68=2,
         IF(AND(ACOMPANHAMENTO="PLE",ISNUMBER($F68)),
                SUMIF((OFFSET(CÁLCULO!$BC$15:$BU$15,$F68,0,OFFSET(ORÇAMENTO!$D$15,CRONO!$F68,0))),CRONO!AQ$12,OFFSET(CÁLCULO!$AJ$15:$BB$15,$F68,0,OFFSET(ORÇAMENTO!$D$15,CRONO!$F68,0)))
                +IF(AND($F70&lt;&gt;"",$F70&lt;&gt;0),
                        SUMIF(CÁLCULO!$BC$15:$BU$131,CRONO!AQ$12,CÁLCULO!$AJ$15:$BB$131)/(ORÇAMENTO!$X$15-CÁLCULO.TotalAdmLocal)*CRONO!$F70,
                        0),
                 AQ69*$S68),
          SUMIF(OFFSET($S70,1,0,$R68-2),($M68+1)&amp;"$",OFFSET(AQ70,1,0,$R68-2)))</f>
        <v>0</v>
      </c>
      <c r="AR70" s="212">
        <f ca="1">IF($R68=2,
         IF(AND(ACOMPANHAMENTO="PLE",ISNUMBER($F68)),
                SUMIF((OFFSET(CÁLCULO!$BC$15:$BU$15,$F68,0,OFFSET(ORÇAMENTO!$D$15,CRONO!$F68,0))),CRONO!AR$12,OFFSET(CÁLCULO!$AJ$15:$BB$15,$F68,0,OFFSET(ORÇAMENTO!$D$15,CRONO!$F68,0)))
                +IF(AND($F70&lt;&gt;"",$F70&lt;&gt;0),
                        SUMIF(CÁLCULO!$BC$15:$BU$131,CRONO!AR$12,CÁLCULO!$AJ$15:$BB$131)/(ORÇAMENTO!$X$15-CÁLCULO.TotalAdmLocal)*CRONO!$F70,
                        0),
                 AR69*$S68),
          SUMIF(OFFSET($S70,1,0,$R68-2),($M68+1)&amp;"$",OFFSET(AR70,1,0,$R68-2)))</f>
        <v>0</v>
      </c>
      <c r="AS70" s="577"/>
    </row>
    <row r="71" spans="1:45" x14ac:dyDescent="0.2">
      <c r="A71" s="196" t="str">
        <f t="shared" ref="A71" ca="1" si="116">IF($M71&gt;1,CONCATENATE($I71," ",$J71),"")</f>
        <v/>
      </c>
      <c r="B71" s="195">
        <f t="shared" ref="B71" ca="1" si="117">OFFSET(B71,-3,0)+1</f>
        <v>20</v>
      </c>
      <c r="C71" s="195">
        <f ca="1">IF($R71&lt;&gt;2,0,IF($S71=0,1,IF(F72&gt;0,OFFSET(QCI!$M$13,SUBSTITUTE(F72,".",""),0),OFFSET(ORÇAMENTO!$AA$15,CRONO!$F71,0))/$S71))</f>
        <v>1</v>
      </c>
      <c r="D71" s="195">
        <f ca="1">IF($R71&lt;&gt;2,0,IF($S71=0,1,IF(F72&gt;0,OFFSET(QCI!$N$13,SUBSTITUTE(F72,".",""),0),OFFSET(ORÇAMENTO!$AB$15,CRONO!$F71,0))/$S71))</f>
        <v>1</v>
      </c>
      <c r="E71" s="198" t="e">
        <f ca="1">IF(AND($R71=2,ACOMPANHAMENTO="BM"),ROUND(E72,4),E73/$S71)</f>
        <v>#DIV/0!</v>
      </c>
      <c r="F71" s="195" t="e">
        <f ca="1">IF(B71&lt;=ORÇAMENTO.MáximoListaCrono,MATCH(B71,ORÇAMENTO.ListaCrono,0),NA())</f>
        <v>#N/A</v>
      </c>
      <c r="G71" s="195" t="str">
        <f t="shared" ref="G71" ca="1" si="118">IF(AND($F72&lt;&gt;-1,$S71&gt;0),"F","")</f>
        <v/>
      </c>
      <c r="H71" s="199" t="str">
        <f ca="1">IF(OR(S71=0,S71=""),"Linha",IF(AND(OR(ACOMPANHAMENTO="PLE",$R71&lt;&gt;2),$F72=0),"Linha",ROUND(1-SUM(U71:AS71),4)))</f>
        <v>Linha</v>
      </c>
      <c r="I71" s="200">
        <f ca="1">IF($F72=0,OFFSET(ORÇAMENTO!O$15,$F71,0),IF($F72&lt;&gt;-1,OFFSET(QCI!$D$13,$F72,0),""))</f>
        <v>7</v>
      </c>
      <c r="J71" s="201" t="str">
        <f ca="1">IF($F72=0,OFFSET(ORÇAMENTO!R$15,$F71,0),IF($F72&lt;&gt;-1,OFFSET(QCI!$G$13,$F72,0),""))</f>
        <v/>
      </c>
      <c r="K71" s="201"/>
      <c r="L71" s="201"/>
      <c r="M71" s="202">
        <f ca="1">IF($F72=0,OFFSET(ORÇAMENTO!C$15,$F71,0),1)</f>
        <v>1</v>
      </c>
      <c r="N71" s="203">
        <f ca="1">IF($F72=-1,0,IF(N$13&lt;=$M71,IF(ISERROR(MATCH(N$13,OFFSET($M71,1,0,ROW($M$107)-ROW($M71)-1),0)),ROW($M$107)-ROW($M71)-1,MATCH(N$13,OFFSET($M71,1,0,ROW($M$107)-ROW($M71)-1),0)-1),0))</f>
        <v>2</v>
      </c>
      <c r="O71" s="203">
        <f ca="1">IF($F72=-1,0,IF(O$13&lt;=$M71,IF(ISERROR(MATCH(O$13,OFFSET($M71,1,0,ROW($M$107)-ROW($M71)-1),0)),ROW($M$107)-ROW($M71)-1,MATCH(O$13,OFFSET($M71,1,0,ROW($M$107)-ROW($M71)-1),0)-1),0))</f>
        <v>0</v>
      </c>
      <c r="P71" s="203">
        <f ca="1">IF($F72=-1,0,IF(P$13&lt;=$M71,IF(ISERROR(MATCH(P$13,OFFSET($M71,1,0,ROW($M$107)-ROW($M71)-1),0)),ROW($M$107)-ROW($M71)-1,MATCH(P$13,OFFSET($M71,1,0,ROW($M$107)-ROW($M71)-1),0)-1),0))</f>
        <v>0</v>
      </c>
      <c r="Q71" s="203">
        <f ca="1">IF($F72=-1,0,IF(Q$13&lt;=$M71,IF(ISERROR(MATCH(Q$13,OFFSET($M71,1,0,ROW($M$107)-ROW($M71)-1),0)),ROW($M$107)-ROW($M71)-1,MATCH(Q$13,OFFSET($M71,1,0,ROW($M$107)-ROW($M71)-1),0)-1),0))</f>
        <v>0</v>
      </c>
      <c r="R71" s="203">
        <f t="shared" ref="R71" ca="1" si="119">MIN(OFFSET(M71,0,1,,M71))</f>
        <v>2</v>
      </c>
      <c r="S71" s="204">
        <f ca="1">IF($F72=0,OFFSET(ORÇAMENTO!X$15,$F71,0),IF($F72&lt;&gt;-1,OFFSET(QCI!$O$13,$F72,0),""))</f>
        <v>0</v>
      </c>
      <c r="T71" s="205" t="s">
        <v>266</v>
      </c>
      <c r="U71" s="198" t="e">
        <f ca="1">IF(AND($R71=2,ACOMPANHAMENTO="BM"),ROUND(U72,4),U73/$S71)</f>
        <v>#DIV/0!</v>
      </c>
      <c r="V71" s="198" t="e">
        <f ca="1">IF(AND($R71=2,ACOMPANHAMENTO="BM"),ROUND(V72,4),V73/$S71)</f>
        <v>#DIV/0!</v>
      </c>
      <c r="W71" s="198" t="e">
        <f ca="1">IF(AND($R71=2,ACOMPANHAMENTO="BM"),ROUND(W72,4),W73/$S71)</f>
        <v>#DIV/0!</v>
      </c>
      <c r="X71" s="198" t="e">
        <f ca="1">IF(AND($R71=2,ACOMPANHAMENTO="BM"),ROUND(X72,4),X73/$S71)</f>
        <v>#DIV/0!</v>
      </c>
      <c r="Y71" s="198" t="e">
        <f ca="1">IF(AND($R71=2,ACOMPANHAMENTO="BM"),ROUND(Y72,4),Y73/$S71)</f>
        <v>#DIV/0!</v>
      </c>
      <c r="Z71" s="198" t="e">
        <f ca="1">IF(AND($R71=2,ACOMPANHAMENTO="BM"),ROUND(Z72,4),Z73/$S71)</f>
        <v>#DIV/0!</v>
      </c>
      <c r="AA71" s="198" t="e">
        <f ca="1">IF(AND($R71=2,ACOMPANHAMENTO="BM"),ROUND(AA72,4),AA73/$S71)</f>
        <v>#DIV/0!</v>
      </c>
      <c r="AB71" s="198" t="e">
        <f ca="1">IF(AND($R71=2,ACOMPANHAMENTO="BM"),ROUND(AB72,4),AB73/$S71)</f>
        <v>#DIV/0!</v>
      </c>
      <c r="AC71" s="198" t="e">
        <f ca="1">IF(AND($R71=2,ACOMPANHAMENTO="BM"),ROUND(AC72,4),AC73/$S71)</f>
        <v>#DIV/0!</v>
      </c>
      <c r="AD71" s="198" t="e">
        <f ca="1">IF(AND($R71=2,ACOMPANHAMENTO="BM"),ROUND(AD72,4),AD73/$S71)</f>
        <v>#DIV/0!</v>
      </c>
      <c r="AE71" s="198" t="e">
        <f ca="1">IF(AND($R71=2,ACOMPANHAMENTO="BM"),ROUND(AE72,4),AE73/$S71)</f>
        <v>#DIV/0!</v>
      </c>
      <c r="AF71" s="198" t="e">
        <f ca="1">IF(AND($R71=2,ACOMPANHAMENTO="BM"),ROUND(AF72,4),AF73/$S71)</f>
        <v>#DIV/0!</v>
      </c>
      <c r="AG71" s="198" t="e">
        <f ca="1">IF(AND($R71=2,ACOMPANHAMENTO="BM"),ROUND(AG72,4),AG73/$S71)</f>
        <v>#DIV/0!</v>
      </c>
      <c r="AH71" s="198" t="e">
        <f ca="1">IF(AND($R71=2,ACOMPANHAMENTO="BM"),ROUND(AH72,4),AH73/$S71)</f>
        <v>#DIV/0!</v>
      </c>
      <c r="AI71" s="198" t="e">
        <f ca="1">IF(AND($R71=2,ACOMPANHAMENTO="BM"),ROUND(AI72,4),AI73/$S71)</f>
        <v>#DIV/0!</v>
      </c>
      <c r="AJ71" s="198" t="e">
        <f ca="1">IF(AND($R71=2,ACOMPANHAMENTO="BM"),ROUND(AJ72,4),AJ73/$S71)</f>
        <v>#DIV/0!</v>
      </c>
      <c r="AK71" s="198" t="e">
        <f ca="1">IF(AND($R71=2,ACOMPANHAMENTO="BM"),ROUND(AK72,4),AK73/$S71)</f>
        <v>#DIV/0!</v>
      </c>
      <c r="AL71" s="198" t="e">
        <f ca="1">IF(AND($R71=2,ACOMPANHAMENTO="BM"),ROUND(AL72,4),AL73/$S71)</f>
        <v>#DIV/0!</v>
      </c>
      <c r="AM71" s="198" t="e">
        <f ca="1">IF(AND($R71=2,ACOMPANHAMENTO="BM"),ROUND(AM72,4),AM73/$S71)</f>
        <v>#DIV/0!</v>
      </c>
      <c r="AN71" s="198" t="e">
        <f ca="1">IF(AND($R71=2,ACOMPANHAMENTO="BM"),ROUND(AN72,4),AN73/$S71)</f>
        <v>#DIV/0!</v>
      </c>
      <c r="AO71" s="198" t="e">
        <f ca="1">IF(AND($R71=2,ACOMPANHAMENTO="BM"),ROUND(AO72,4),AO73/$S71)</f>
        <v>#DIV/0!</v>
      </c>
      <c r="AP71" s="198" t="e">
        <f ca="1">IF(AND($R71=2,ACOMPANHAMENTO="BM"),ROUND(AP72,4),AP73/$S71)</f>
        <v>#DIV/0!</v>
      </c>
      <c r="AQ71" s="198" t="e">
        <f ca="1">IF(AND($R71=2,ACOMPANHAMENTO="BM"),ROUND(AQ72,4),AQ73/$S71)</f>
        <v>#DIV/0!</v>
      </c>
      <c r="AR71" s="198" t="e">
        <f ca="1">IF(AND($R71=2,ACOMPANHAMENTO="BM"),ROUND(AR72,4),AR73/$S71)</f>
        <v>#DIV/0!</v>
      </c>
      <c r="AS71" s="577"/>
    </row>
    <row r="72" spans="1:45" ht="12.75" hidden="1" customHeight="1" x14ac:dyDescent="0.2">
      <c r="E72" s="645"/>
      <c r="F72" s="195">
        <f ca="1">IF(ISERROR(F71),IF(1+COUNTIF($M$13:OFFSET(M71,-1,0),1)&lt;=MAX(QCI!$D$13:$D$24),1+COUNTIF($M$13:OFFSET(M71,-1,0),1),-1),0)</f>
        <v>7</v>
      </c>
      <c r="G72" s="195" t="str">
        <f ca="1">IF(ACOMPANHAMENTO="BM",OFFSET(G72,-1,0),"")</f>
        <v/>
      </c>
      <c r="H72" s="206" t="str">
        <f ca="1">IF(OR(S71=0,S71=""),"vazia",IF(AND(OR(ACOMPANHAMENTO="PLE",$R71&lt;&gt;2),$F72=0),"calculada","--&gt;"))</f>
        <v>vazia</v>
      </c>
      <c r="I72" s="207"/>
      <c r="J72" s="208" t="str">
        <f t="shared" ref="J72" ca="1" si="120">IF(AND(H71&lt;&gt;0,ISNUMBER(H71)),"PREENCHA ESTA LINHA --&gt;","")</f>
        <v/>
      </c>
      <c r="K72" s="208"/>
      <c r="L72" s="208"/>
      <c r="M72" s="209"/>
      <c r="N72" s="209"/>
      <c r="O72" s="209"/>
      <c r="P72" s="209"/>
      <c r="Q72" s="209"/>
      <c r="R72" s="209"/>
      <c r="S72" s="210"/>
      <c r="T72" s="211"/>
      <c r="U72" s="645"/>
      <c r="V72" s="645"/>
      <c r="W72" s="645"/>
      <c r="X72" s="645"/>
      <c r="Y72" s="645"/>
      <c r="Z72" s="645"/>
      <c r="AA72" s="645"/>
      <c r="AB72" s="645"/>
      <c r="AC72" s="645"/>
      <c r="AD72" s="645"/>
      <c r="AE72" s="645"/>
      <c r="AF72" s="645"/>
      <c r="AG72" s="645"/>
      <c r="AH72" s="645"/>
      <c r="AI72" s="645"/>
      <c r="AJ72" s="645"/>
      <c r="AK72" s="645"/>
      <c r="AL72" s="645"/>
      <c r="AM72" s="645"/>
      <c r="AN72" s="645"/>
      <c r="AO72" s="645"/>
      <c r="AP72" s="645"/>
      <c r="AQ72" s="645"/>
      <c r="AR72" s="645"/>
      <c r="AS72" s="577"/>
    </row>
    <row r="73" spans="1:45" ht="12.75" hidden="1" customHeight="1" x14ac:dyDescent="0.2">
      <c r="D73" s="576"/>
      <c r="E73" s="212">
        <f ca="1">IF($R71=2,
         IF(AND(ACOMPANHAMENTO="PLE",ISNUMBER($F71)),
                SUMIF((OFFSET(CÁLCULO!$BC$15:$BU$15,$F71,0,OFFSET(ORÇAMENTO!$D$15,CRONO!$F71,0))),CRONO!E$12,OFFSET(CÁLCULO!$AJ$15:$BB$15,$F71,0,OFFSET(ORÇAMENTO!$D$15,CRONO!$F71,0)))
                +IF(AND($F73&lt;&gt;"",$F73&lt;&gt;0),
                        SUMIF(CÁLCULO!$BC$15:$BU$131,CRONO!E$12,CÁLCULO!$AJ$15:$BB$131)/(ORÇAMENTO!$X$15-CÁLCULO.TotalAdmLocal)*CRONO!$F73,
                        0),
                 E72*$S71),
          SUMIF(OFFSET($S73,1,0,$R71-2),($M71+1)&amp;"$",OFFSET(E73,1,0,$R71-2)))</f>
        <v>0</v>
      </c>
      <c r="F73" s="195" t="str">
        <f ca="1">IF(OR($R71&lt;&gt;2,AUTOEVENTO&lt;&gt;"manual",$F72&gt;0),"",
        IF(Import.TipoArredondamento="Tradicional",
              SUMIF(OFFSET(CÁLCULO!$M$15,CRONO!$F71,0,OFFSET(ORÇAMENTO!$D$15,CRONO!$F71,0)),1,OFFSET(ORÇAMENTO!$X$15,CRONO!$F71,0,OFFSET(ORÇAMENTO!$D$15,CRONO!$F71,0))),
              0))</f>
        <v/>
      </c>
      <c r="H73" s="213"/>
      <c r="S73" s="214" t="str">
        <f t="shared" ref="S73" ca="1" si="121">M71&amp;"$"</f>
        <v>1$</v>
      </c>
      <c r="T73" s="215"/>
      <c r="U73" s="212">
        <f ca="1">IF($R71=2,
         IF(AND(ACOMPANHAMENTO="PLE",ISNUMBER($F71)),
                SUMIF((OFFSET(CÁLCULO!$BC$15:$BU$15,$F71,0,OFFSET(ORÇAMENTO!$D$15,CRONO!$F71,0))),CRONO!U$12,OFFSET(CÁLCULO!$AJ$15:$BB$15,$F71,0,OFFSET(ORÇAMENTO!$D$15,CRONO!$F71,0)))
                +IF(AND($F73&lt;&gt;"",$F73&lt;&gt;0),
                        SUMIF(CÁLCULO!$BC$15:$BU$131,CRONO!U$12,CÁLCULO!$AJ$15:$BB$131)/(ORÇAMENTO!$X$15-CÁLCULO.TotalAdmLocal)*CRONO!$F73,
                        0),
                 U72*$S71),
          SUMIF(OFFSET($S73,1,0,$R71-2),($M71+1)&amp;"$",OFFSET(U73,1,0,$R71-2)))</f>
        <v>0</v>
      </c>
      <c r="V73" s="212">
        <f ca="1">IF($R71=2,
         IF(AND(ACOMPANHAMENTO="PLE",ISNUMBER($F71)),
                SUMIF((OFFSET(CÁLCULO!$BC$15:$BU$15,$F71,0,OFFSET(ORÇAMENTO!$D$15,CRONO!$F71,0))),CRONO!V$12,OFFSET(CÁLCULO!$AJ$15:$BB$15,$F71,0,OFFSET(ORÇAMENTO!$D$15,CRONO!$F71,0)))
                +IF(AND($F73&lt;&gt;"",$F73&lt;&gt;0),
                        SUMIF(CÁLCULO!$BC$15:$BU$131,CRONO!V$12,CÁLCULO!$AJ$15:$BB$131)/(ORÇAMENTO!$X$15-CÁLCULO.TotalAdmLocal)*CRONO!$F73,
                        0),
                 V72*$S71),
          SUMIF(OFFSET($S73,1,0,$R71-2),($M71+1)&amp;"$",OFFSET(V73,1,0,$R71-2)))</f>
        <v>0</v>
      </c>
      <c r="W73" s="212">
        <f ca="1">IF($R71=2,
         IF(AND(ACOMPANHAMENTO="PLE",ISNUMBER($F71)),
                SUMIF((OFFSET(CÁLCULO!$BC$15:$BU$15,$F71,0,OFFSET(ORÇAMENTO!$D$15,CRONO!$F71,0))),CRONO!W$12,OFFSET(CÁLCULO!$AJ$15:$BB$15,$F71,0,OFFSET(ORÇAMENTO!$D$15,CRONO!$F71,0)))
                +IF(AND($F73&lt;&gt;"",$F73&lt;&gt;0),
                        SUMIF(CÁLCULO!$BC$15:$BU$131,CRONO!W$12,CÁLCULO!$AJ$15:$BB$131)/(ORÇAMENTO!$X$15-CÁLCULO.TotalAdmLocal)*CRONO!$F73,
                        0),
                 W72*$S71),
          SUMIF(OFFSET($S73,1,0,$R71-2),($M71+1)&amp;"$",OFFSET(W73,1,0,$R71-2)))</f>
        <v>0</v>
      </c>
      <c r="X73" s="212">
        <f ca="1">IF($R71=2,
         IF(AND(ACOMPANHAMENTO="PLE",ISNUMBER($F71)),
                SUMIF((OFFSET(CÁLCULO!$BC$15:$BU$15,$F71,0,OFFSET(ORÇAMENTO!$D$15,CRONO!$F71,0))),CRONO!X$12,OFFSET(CÁLCULO!$AJ$15:$BB$15,$F71,0,OFFSET(ORÇAMENTO!$D$15,CRONO!$F71,0)))
                +IF(AND($F73&lt;&gt;"",$F73&lt;&gt;0),
                        SUMIF(CÁLCULO!$BC$15:$BU$131,CRONO!X$12,CÁLCULO!$AJ$15:$BB$131)/(ORÇAMENTO!$X$15-CÁLCULO.TotalAdmLocal)*CRONO!$F73,
                        0),
                 X72*$S71),
          SUMIF(OFFSET($S73,1,0,$R71-2),($M71+1)&amp;"$",OFFSET(X73,1,0,$R71-2)))</f>
        <v>0</v>
      </c>
      <c r="Y73" s="212">
        <f ca="1">IF($R71=2,
         IF(AND(ACOMPANHAMENTO="PLE",ISNUMBER($F71)),
                SUMIF((OFFSET(CÁLCULO!$BC$15:$BU$15,$F71,0,OFFSET(ORÇAMENTO!$D$15,CRONO!$F71,0))),CRONO!Y$12,OFFSET(CÁLCULO!$AJ$15:$BB$15,$F71,0,OFFSET(ORÇAMENTO!$D$15,CRONO!$F71,0)))
                +IF(AND($F73&lt;&gt;"",$F73&lt;&gt;0),
                        SUMIF(CÁLCULO!$BC$15:$BU$131,CRONO!Y$12,CÁLCULO!$AJ$15:$BB$131)/(ORÇAMENTO!$X$15-CÁLCULO.TotalAdmLocal)*CRONO!$F73,
                        0),
                 Y72*$S71),
          SUMIF(OFFSET($S73,1,0,$R71-2),($M71+1)&amp;"$",OFFSET(Y73,1,0,$R71-2)))</f>
        <v>0</v>
      </c>
      <c r="Z73" s="212">
        <f ca="1">IF($R71=2,
         IF(AND(ACOMPANHAMENTO="PLE",ISNUMBER($F71)),
                SUMIF((OFFSET(CÁLCULO!$BC$15:$BU$15,$F71,0,OFFSET(ORÇAMENTO!$D$15,CRONO!$F71,0))),CRONO!Z$12,OFFSET(CÁLCULO!$AJ$15:$BB$15,$F71,0,OFFSET(ORÇAMENTO!$D$15,CRONO!$F71,0)))
                +IF(AND($F73&lt;&gt;"",$F73&lt;&gt;0),
                        SUMIF(CÁLCULO!$BC$15:$BU$131,CRONO!Z$12,CÁLCULO!$AJ$15:$BB$131)/(ORÇAMENTO!$X$15-CÁLCULO.TotalAdmLocal)*CRONO!$F73,
                        0),
                 Z72*$S71),
          SUMIF(OFFSET($S73,1,0,$R71-2),($M71+1)&amp;"$",OFFSET(Z73,1,0,$R71-2)))</f>
        <v>0</v>
      </c>
      <c r="AA73" s="212">
        <f ca="1">IF($R71=2,
         IF(AND(ACOMPANHAMENTO="PLE",ISNUMBER($F71)),
                SUMIF((OFFSET(CÁLCULO!$BC$15:$BU$15,$F71,0,OFFSET(ORÇAMENTO!$D$15,CRONO!$F71,0))),CRONO!AA$12,OFFSET(CÁLCULO!$AJ$15:$BB$15,$F71,0,OFFSET(ORÇAMENTO!$D$15,CRONO!$F71,0)))
                +IF(AND($F73&lt;&gt;"",$F73&lt;&gt;0),
                        SUMIF(CÁLCULO!$BC$15:$BU$131,CRONO!AA$12,CÁLCULO!$AJ$15:$BB$131)/(ORÇAMENTO!$X$15-CÁLCULO.TotalAdmLocal)*CRONO!$F73,
                        0),
                 AA72*$S71),
          SUMIF(OFFSET($S73,1,0,$R71-2),($M71+1)&amp;"$",OFFSET(AA73,1,0,$R71-2)))</f>
        <v>0</v>
      </c>
      <c r="AB73" s="212">
        <f ca="1">IF($R71=2,
         IF(AND(ACOMPANHAMENTO="PLE",ISNUMBER($F71)),
                SUMIF((OFFSET(CÁLCULO!$BC$15:$BU$15,$F71,0,OFFSET(ORÇAMENTO!$D$15,CRONO!$F71,0))),CRONO!AB$12,OFFSET(CÁLCULO!$AJ$15:$BB$15,$F71,0,OFFSET(ORÇAMENTO!$D$15,CRONO!$F71,0)))
                +IF(AND($F73&lt;&gt;"",$F73&lt;&gt;0),
                        SUMIF(CÁLCULO!$BC$15:$BU$131,CRONO!AB$12,CÁLCULO!$AJ$15:$BB$131)/(ORÇAMENTO!$X$15-CÁLCULO.TotalAdmLocal)*CRONO!$F73,
                        0),
                 AB72*$S71),
          SUMIF(OFFSET($S73,1,0,$R71-2),($M71+1)&amp;"$",OFFSET(AB73,1,0,$R71-2)))</f>
        <v>0</v>
      </c>
      <c r="AC73" s="212">
        <f ca="1">IF($R71=2,
         IF(AND(ACOMPANHAMENTO="PLE",ISNUMBER($F71)),
                SUMIF((OFFSET(CÁLCULO!$BC$15:$BU$15,$F71,0,OFFSET(ORÇAMENTO!$D$15,CRONO!$F71,0))),CRONO!AC$12,OFFSET(CÁLCULO!$AJ$15:$BB$15,$F71,0,OFFSET(ORÇAMENTO!$D$15,CRONO!$F71,0)))
                +IF(AND($F73&lt;&gt;"",$F73&lt;&gt;0),
                        SUMIF(CÁLCULO!$BC$15:$BU$131,CRONO!AC$12,CÁLCULO!$AJ$15:$BB$131)/(ORÇAMENTO!$X$15-CÁLCULO.TotalAdmLocal)*CRONO!$F73,
                        0),
                 AC72*$S71),
          SUMIF(OFFSET($S73,1,0,$R71-2),($M71+1)&amp;"$",OFFSET(AC73,1,0,$R71-2)))</f>
        <v>0</v>
      </c>
      <c r="AD73" s="212">
        <f ca="1">IF($R71=2,
         IF(AND(ACOMPANHAMENTO="PLE",ISNUMBER($F71)),
                SUMIF((OFFSET(CÁLCULO!$BC$15:$BU$15,$F71,0,OFFSET(ORÇAMENTO!$D$15,CRONO!$F71,0))),CRONO!AD$12,OFFSET(CÁLCULO!$AJ$15:$BB$15,$F71,0,OFFSET(ORÇAMENTO!$D$15,CRONO!$F71,0)))
                +IF(AND($F73&lt;&gt;"",$F73&lt;&gt;0),
                        SUMIF(CÁLCULO!$BC$15:$BU$131,CRONO!AD$12,CÁLCULO!$AJ$15:$BB$131)/(ORÇAMENTO!$X$15-CÁLCULO.TotalAdmLocal)*CRONO!$F73,
                        0),
                 AD72*$S71),
          SUMIF(OFFSET($S73,1,0,$R71-2),($M71+1)&amp;"$",OFFSET(AD73,1,0,$R71-2)))</f>
        <v>0</v>
      </c>
      <c r="AE73" s="212">
        <f ca="1">IF($R71=2,
         IF(AND(ACOMPANHAMENTO="PLE",ISNUMBER($F71)),
                SUMIF((OFFSET(CÁLCULO!$BC$15:$BU$15,$F71,0,OFFSET(ORÇAMENTO!$D$15,CRONO!$F71,0))),CRONO!AE$12,OFFSET(CÁLCULO!$AJ$15:$BB$15,$F71,0,OFFSET(ORÇAMENTO!$D$15,CRONO!$F71,0)))
                +IF(AND($F73&lt;&gt;"",$F73&lt;&gt;0),
                        SUMIF(CÁLCULO!$BC$15:$BU$131,CRONO!AE$12,CÁLCULO!$AJ$15:$BB$131)/(ORÇAMENTO!$X$15-CÁLCULO.TotalAdmLocal)*CRONO!$F73,
                        0),
                 AE72*$S71),
          SUMIF(OFFSET($S73,1,0,$R71-2),($M71+1)&amp;"$",OFFSET(AE73,1,0,$R71-2)))</f>
        <v>0</v>
      </c>
      <c r="AF73" s="212">
        <f ca="1">IF($R71=2,
         IF(AND(ACOMPANHAMENTO="PLE",ISNUMBER($F71)),
                SUMIF((OFFSET(CÁLCULO!$BC$15:$BU$15,$F71,0,OFFSET(ORÇAMENTO!$D$15,CRONO!$F71,0))),CRONO!AF$12,OFFSET(CÁLCULO!$AJ$15:$BB$15,$F71,0,OFFSET(ORÇAMENTO!$D$15,CRONO!$F71,0)))
                +IF(AND($F73&lt;&gt;"",$F73&lt;&gt;0),
                        SUMIF(CÁLCULO!$BC$15:$BU$131,CRONO!AF$12,CÁLCULO!$AJ$15:$BB$131)/(ORÇAMENTO!$X$15-CÁLCULO.TotalAdmLocal)*CRONO!$F73,
                        0),
                 AF72*$S71),
          SUMIF(OFFSET($S73,1,0,$R71-2),($M71+1)&amp;"$",OFFSET(AF73,1,0,$R71-2)))</f>
        <v>0</v>
      </c>
      <c r="AG73" s="212">
        <f ca="1">IF($R71=2,
         IF(AND(ACOMPANHAMENTO="PLE",ISNUMBER($F71)),
                SUMIF((OFFSET(CÁLCULO!$BC$15:$BU$15,$F71,0,OFFSET(ORÇAMENTO!$D$15,CRONO!$F71,0))),CRONO!AG$12,OFFSET(CÁLCULO!$AJ$15:$BB$15,$F71,0,OFFSET(ORÇAMENTO!$D$15,CRONO!$F71,0)))
                +IF(AND($F73&lt;&gt;"",$F73&lt;&gt;0),
                        SUMIF(CÁLCULO!$BC$15:$BU$131,CRONO!AG$12,CÁLCULO!$AJ$15:$BB$131)/(ORÇAMENTO!$X$15-CÁLCULO.TotalAdmLocal)*CRONO!$F73,
                        0),
                 AG72*$S71),
          SUMIF(OFFSET($S73,1,0,$R71-2),($M71+1)&amp;"$",OFFSET(AG73,1,0,$R71-2)))</f>
        <v>0</v>
      </c>
      <c r="AH73" s="212">
        <f ca="1">IF($R71=2,
         IF(AND(ACOMPANHAMENTO="PLE",ISNUMBER($F71)),
                SUMIF((OFFSET(CÁLCULO!$BC$15:$BU$15,$F71,0,OFFSET(ORÇAMENTO!$D$15,CRONO!$F71,0))),CRONO!AH$12,OFFSET(CÁLCULO!$AJ$15:$BB$15,$F71,0,OFFSET(ORÇAMENTO!$D$15,CRONO!$F71,0)))
                +IF(AND($F73&lt;&gt;"",$F73&lt;&gt;0),
                        SUMIF(CÁLCULO!$BC$15:$BU$131,CRONO!AH$12,CÁLCULO!$AJ$15:$BB$131)/(ORÇAMENTO!$X$15-CÁLCULO.TotalAdmLocal)*CRONO!$F73,
                        0),
                 AH72*$S71),
          SUMIF(OFFSET($S73,1,0,$R71-2),($M71+1)&amp;"$",OFFSET(AH73,1,0,$R71-2)))</f>
        <v>0</v>
      </c>
      <c r="AI73" s="212">
        <f ca="1">IF($R71=2,
         IF(AND(ACOMPANHAMENTO="PLE",ISNUMBER($F71)),
                SUMIF((OFFSET(CÁLCULO!$BC$15:$BU$15,$F71,0,OFFSET(ORÇAMENTO!$D$15,CRONO!$F71,0))),CRONO!AI$12,OFFSET(CÁLCULO!$AJ$15:$BB$15,$F71,0,OFFSET(ORÇAMENTO!$D$15,CRONO!$F71,0)))
                +IF(AND($F73&lt;&gt;"",$F73&lt;&gt;0),
                        SUMIF(CÁLCULO!$BC$15:$BU$131,CRONO!AI$12,CÁLCULO!$AJ$15:$BB$131)/(ORÇAMENTO!$X$15-CÁLCULO.TotalAdmLocal)*CRONO!$F73,
                        0),
                 AI72*$S71),
          SUMIF(OFFSET($S73,1,0,$R71-2),($M71+1)&amp;"$",OFFSET(AI73,1,0,$R71-2)))</f>
        <v>0</v>
      </c>
      <c r="AJ73" s="212">
        <f ca="1">IF($R71=2,
         IF(AND(ACOMPANHAMENTO="PLE",ISNUMBER($F71)),
                SUMIF((OFFSET(CÁLCULO!$BC$15:$BU$15,$F71,0,OFFSET(ORÇAMENTO!$D$15,CRONO!$F71,0))),CRONO!AJ$12,OFFSET(CÁLCULO!$AJ$15:$BB$15,$F71,0,OFFSET(ORÇAMENTO!$D$15,CRONO!$F71,0)))
                +IF(AND($F73&lt;&gt;"",$F73&lt;&gt;0),
                        SUMIF(CÁLCULO!$BC$15:$BU$131,CRONO!AJ$12,CÁLCULO!$AJ$15:$BB$131)/(ORÇAMENTO!$X$15-CÁLCULO.TotalAdmLocal)*CRONO!$F73,
                        0),
                 AJ72*$S71),
          SUMIF(OFFSET($S73,1,0,$R71-2),($M71+1)&amp;"$",OFFSET(AJ73,1,0,$R71-2)))</f>
        <v>0</v>
      </c>
      <c r="AK73" s="212">
        <f ca="1">IF($R71=2,
         IF(AND(ACOMPANHAMENTO="PLE",ISNUMBER($F71)),
                SUMIF((OFFSET(CÁLCULO!$BC$15:$BU$15,$F71,0,OFFSET(ORÇAMENTO!$D$15,CRONO!$F71,0))),CRONO!AK$12,OFFSET(CÁLCULO!$AJ$15:$BB$15,$F71,0,OFFSET(ORÇAMENTO!$D$15,CRONO!$F71,0)))
                +IF(AND($F73&lt;&gt;"",$F73&lt;&gt;0),
                        SUMIF(CÁLCULO!$BC$15:$BU$131,CRONO!AK$12,CÁLCULO!$AJ$15:$BB$131)/(ORÇAMENTO!$X$15-CÁLCULO.TotalAdmLocal)*CRONO!$F73,
                        0),
                 AK72*$S71),
          SUMIF(OFFSET($S73,1,0,$R71-2),($M71+1)&amp;"$",OFFSET(AK73,1,0,$R71-2)))</f>
        <v>0</v>
      </c>
      <c r="AL73" s="212">
        <f ca="1">IF($R71=2,
         IF(AND(ACOMPANHAMENTO="PLE",ISNUMBER($F71)),
                SUMIF((OFFSET(CÁLCULO!$BC$15:$BU$15,$F71,0,OFFSET(ORÇAMENTO!$D$15,CRONO!$F71,0))),CRONO!AL$12,OFFSET(CÁLCULO!$AJ$15:$BB$15,$F71,0,OFFSET(ORÇAMENTO!$D$15,CRONO!$F71,0)))
                +IF(AND($F73&lt;&gt;"",$F73&lt;&gt;0),
                        SUMIF(CÁLCULO!$BC$15:$BU$131,CRONO!AL$12,CÁLCULO!$AJ$15:$BB$131)/(ORÇAMENTO!$X$15-CÁLCULO.TotalAdmLocal)*CRONO!$F73,
                        0),
                 AL72*$S71),
          SUMIF(OFFSET($S73,1,0,$R71-2),($M71+1)&amp;"$",OFFSET(AL73,1,0,$R71-2)))</f>
        <v>0</v>
      </c>
      <c r="AM73" s="212">
        <f ca="1">IF($R71=2,
         IF(AND(ACOMPANHAMENTO="PLE",ISNUMBER($F71)),
                SUMIF((OFFSET(CÁLCULO!$BC$15:$BU$15,$F71,0,OFFSET(ORÇAMENTO!$D$15,CRONO!$F71,0))),CRONO!AM$12,OFFSET(CÁLCULO!$AJ$15:$BB$15,$F71,0,OFFSET(ORÇAMENTO!$D$15,CRONO!$F71,0)))
                +IF(AND($F73&lt;&gt;"",$F73&lt;&gt;0),
                        SUMIF(CÁLCULO!$BC$15:$BU$131,CRONO!AM$12,CÁLCULO!$AJ$15:$BB$131)/(ORÇAMENTO!$X$15-CÁLCULO.TotalAdmLocal)*CRONO!$F73,
                        0),
                 AM72*$S71),
          SUMIF(OFFSET($S73,1,0,$R71-2),($M71+1)&amp;"$",OFFSET(AM73,1,0,$R71-2)))</f>
        <v>0</v>
      </c>
      <c r="AN73" s="212">
        <f ca="1">IF($R71=2,
         IF(AND(ACOMPANHAMENTO="PLE",ISNUMBER($F71)),
                SUMIF((OFFSET(CÁLCULO!$BC$15:$BU$15,$F71,0,OFFSET(ORÇAMENTO!$D$15,CRONO!$F71,0))),CRONO!AN$12,OFFSET(CÁLCULO!$AJ$15:$BB$15,$F71,0,OFFSET(ORÇAMENTO!$D$15,CRONO!$F71,0)))
                +IF(AND($F73&lt;&gt;"",$F73&lt;&gt;0),
                        SUMIF(CÁLCULO!$BC$15:$BU$131,CRONO!AN$12,CÁLCULO!$AJ$15:$BB$131)/(ORÇAMENTO!$X$15-CÁLCULO.TotalAdmLocal)*CRONO!$F73,
                        0),
                 AN72*$S71),
          SUMIF(OFFSET($S73,1,0,$R71-2),($M71+1)&amp;"$",OFFSET(AN73,1,0,$R71-2)))</f>
        <v>0</v>
      </c>
      <c r="AO73" s="212">
        <f ca="1">IF($R71=2,
         IF(AND(ACOMPANHAMENTO="PLE",ISNUMBER($F71)),
                SUMIF((OFFSET(CÁLCULO!$BC$15:$BU$15,$F71,0,OFFSET(ORÇAMENTO!$D$15,CRONO!$F71,0))),CRONO!AO$12,OFFSET(CÁLCULO!$AJ$15:$BB$15,$F71,0,OFFSET(ORÇAMENTO!$D$15,CRONO!$F71,0)))
                +IF(AND($F73&lt;&gt;"",$F73&lt;&gt;0),
                        SUMIF(CÁLCULO!$BC$15:$BU$131,CRONO!AO$12,CÁLCULO!$AJ$15:$BB$131)/(ORÇAMENTO!$X$15-CÁLCULO.TotalAdmLocal)*CRONO!$F73,
                        0),
                 AO72*$S71),
          SUMIF(OFFSET($S73,1,0,$R71-2),($M71+1)&amp;"$",OFFSET(AO73,1,0,$R71-2)))</f>
        <v>0</v>
      </c>
      <c r="AP73" s="212">
        <f ca="1">IF($R71=2,
         IF(AND(ACOMPANHAMENTO="PLE",ISNUMBER($F71)),
                SUMIF((OFFSET(CÁLCULO!$BC$15:$BU$15,$F71,0,OFFSET(ORÇAMENTO!$D$15,CRONO!$F71,0))),CRONO!AP$12,OFFSET(CÁLCULO!$AJ$15:$BB$15,$F71,0,OFFSET(ORÇAMENTO!$D$15,CRONO!$F71,0)))
                +IF(AND($F73&lt;&gt;"",$F73&lt;&gt;0),
                        SUMIF(CÁLCULO!$BC$15:$BU$131,CRONO!AP$12,CÁLCULO!$AJ$15:$BB$131)/(ORÇAMENTO!$X$15-CÁLCULO.TotalAdmLocal)*CRONO!$F73,
                        0),
                 AP72*$S71),
          SUMIF(OFFSET($S73,1,0,$R71-2),($M71+1)&amp;"$",OFFSET(AP73,1,0,$R71-2)))</f>
        <v>0</v>
      </c>
      <c r="AQ73" s="212">
        <f ca="1">IF($R71=2,
         IF(AND(ACOMPANHAMENTO="PLE",ISNUMBER($F71)),
                SUMIF((OFFSET(CÁLCULO!$BC$15:$BU$15,$F71,0,OFFSET(ORÇAMENTO!$D$15,CRONO!$F71,0))),CRONO!AQ$12,OFFSET(CÁLCULO!$AJ$15:$BB$15,$F71,0,OFFSET(ORÇAMENTO!$D$15,CRONO!$F71,0)))
                +IF(AND($F73&lt;&gt;"",$F73&lt;&gt;0),
                        SUMIF(CÁLCULO!$BC$15:$BU$131,CRONO!AQ$12,CÁLCULO!$AJ$15:$BB$131)/(ORÇAMENTO!$X$15-CÁLCULO.TotalAdmLocal)*CRONO!$F73,
                        0),
                 AQ72*$S71),
          SUMIF(OFFSET($S73,1,0,$R71-2),($M71+1)&amp;"$",OFFSET(AQ73,1,0,$R71-2)))</f>
        <v>0</v>
      </c>
      <c r="AR73" s="212">
        <f ca="1">IF($R71=2,
         IF(AND(ACOMPANHAMENTO="PLE",ISNUMBER($F71)),
                SUMIF((OFFSET(CÁLCULO!$BC$15:$BU$15,$F71,0,OFFSET(ORÇAMENTO!$D$15,CRONO!$F71,0))),CRONO!AR$12,OFFSET(CÁLCULO!$AJ$15:$BB$15,$F71,0,OFFSET(ORÇAMENTO!$D$15,CRONO!$F71,0)))
                +IF(AND($F73&lt;&gt;"",$F73&lt;&gt;0),
                        SUMIF(CÁLCULO!$BC$15:$BU$131,CRONO!AR$12,CÁLCULO!$AJ$15:$BB$131)/(ORÇAMENTO!$X$15-CÁLCULO.TotalAdmLocal)*CRONO!$F73,
                        0),
                 AR72*$S71),
          SUMIF(OFFSET($S73,1,0,$R71-2),($M71+1)&amp;"$",OFFSET(AR73,1,0,$R71-2)))</f>
        <v>0</v>
      </c>
      <c r="AS73" s="577"/>
    </row>
    <row r="74" spans="1:45" x14ac:dyDescent="0.2">
      <c r="A74" s="196" t="str">
        <f t="shared" ref="A74" ca="1" si="122">IF($M74&gt;1,CONCATENATE($I74," ",$J74),"")</f>
        <v/>
      </c>
      <c r="B74" s="195">
        <f t="shared" ref="B74" ca="1" si="123">OFFSET(B74,-3,0)+1</f>
        <v>21</v>
      </c>
      <c r="C74" s="195">
        <f ca="1">IF($R74&lt;&gt;2,0,IF($S74=0,1,IF(F75&gt;0,OFFSET(QCI!$M$13,SUBSTITUTE(F75,".",""),0),OFFSET(ORÇAMENTO!$AA$15,CRONO!$F74,0))/$S74))</f>
        <v>1</v>
      </c>
      <c r="D74" s="195">
        <f ca="1">IF($R74&lt;&gt;2,0,IF($S74=0,1,IF(F75&gt;0,OFFSET(QCI!$N$13,SUBSTITUTE(F75,".",""),0),OFFSET(ORÇAMENTO!$AB$15,CRONO!$F74,0))/$S74))</f>
        <v>1</v>
      </c>
      <c r="E74" s="198" t="e">
        <f ca="1">IF(AND($R74=2,ACOMPANHAMENTO="BM"),ROUND(E75,4),E76/$S74)</f>
        <v>#DIV/0!</v>
      </c>
      <c r="F74" s="195" t="e">
        <f ca="1">IF(B74&lt;=ORÇAMENTO.MáximoListaCrono,MATCH(B74,ORÇAMENTO.ListaCrono,0),NA())</f>
        <v>#N/A</v>
      </c>
      <c r="G74" s="195" t="str">
        <f t="shared" ref="G74" ca="1" si="124">IF(AND($F75&lt;&gt;-1,$S74&gt;0),"F","")</f>
        <v/>
      </c>
      <c r="H74" s="199" t="str">
        <f ca="1">IF(OR(S74=0,S74=""),"Linha",IF(AND(OR(ACOMPANHAMENTO="PLE",$R74&lt;&gt;2),$F75=0),"Linha",ROUND(1-SUM(U74:AS74),4)))</f>
        <v>Linha</v>
      </c>
      <c r="I74" s="200">
        <f ca="1">IF($F75=0,OFFSET(ORÇAMENTO!O$15,$F74,0),IF($F75&lt;&gt;-1,OFFSET(QCI!$D$13,$F75,0),""))</f>
        <v>8</v>
      </c>
      <c r="J74" s="201" t="str">
        <f ca="1">IF($F75=0,OFFSET(ORÇAMENTO!R$15,$F74,0),IF($F75&lt;&gt;-1,OFFSET(QCI!$G$13,$F75,0),""))</f>
        <v/>
      </c>
      <c r="K74" s="201"/>
      <c r="L74" s="201"/>
      <c r="M74" s="202">
        <f ca="1">IF($F75=0,OFFSET(ORÇAMENTO!C$15,$F74,0),1)</f>
        <v>1</v>
      </c>
      <c r="N74" s="203">
        <f ca="1">IF($F75=-1,0,IF(N$13&lt;=$M74,IF(ISERROR(MATCH(N$13,OFFSET($M74,1,0,ROW($M$107)-ROW($M74)-1),0)),ROW($M$107)-ROW($M74)-1,MATCH(N$13,OFFSET($M74,1,0,ROW($M$107)-ROW($M74)-1),0)-1),0))</f>
        <v>2</v>
      </c>
      <c r="O74" s="203">
        <f ca="1">IF($F75=-1,0,IF(O$13&lt;=$M74,IF(ISERROR(MATCH(O$13,OFFSET($M74,1,0,ROW($M$107)-ROW($M74)-1),0)),ROW($M$107)-ROW($M74)-1,MATCH(O$13,OFFSET($M74,1,0,ROW($M$107)-ROW($M74)-1),0)-1),0))</f>
        <v>0</v>
      </c>
      <c r="P74" s="203">
        <f ca="1">IF($F75=-1,0,IF(P$13&lt;=$M74,IF(ISERROR(MATCH(P$13,OFFSET($M74,1,0,ROW($M$107)-ROW($M74)-1),0)),ROW($M$107)-ROW($M74)-1,MATCH(P$13,OFFSET($M74,1,0,ROW($M$107)-ROW($M74)-1),0)-1),0))</f>
        <v>0</v>
      </c>
      <c r="Q74" s="203">
        <f ca="1">IF($F75=-1,0,IF(Q$13&lt;=$M74,IF(ISERROR(MATCH(Q$13,OFFSET($M74,1,0,ROW($M$107)-ROW($M74)-1),0)),ROW($M$107)-ROW($M74)-1,MATCH(Q$13,OFFSET($M74,1,0,ROW($M$107)-ROW($M74)-1),0)-1),0))</f>
        <v>0</v>
      </c>
      <c r="R74" s="203">
        <f t="shared" ref="R74" ca="1" si="125">MIN(OFFSET(M74,0,1,,M74))</f>
        <v>2</v>
      </c>
      <c r="S74" s="204">
        <f ca="1">IF($F75=0,OFFSET(ORÇAMENTO!X$15,$F74,0),IF($F75&lt;&gt;-1,OFFSET(QCI!$O$13,$F75,0),""))</f>
        <v>0</v>
      </c>
      <c r="T74" s="205" t="s">
        <v>266</v>
      </c>
      <c r="U74" s="198" t="e">
        <f ca="1">IF(AND($R74=2,ACOMPANHAMENTO="BM"),ROUND(U75,4),U76/$S74)</f>
        <v>#DIV/0!</v>
      </c>
      <c r="V74" s="198" t="e">
        <f ca="1">IF(AND($R74=2,ACOMPANHAMENTO="BM"),ROUND(V75,4),V76/$S74)</f>
        <v>#DIV/0!</v>
      </c>
      <c r="W74" s="198" t="e">
        <f ca="1">IF(AND($R74=2,ACOMPANHAMENTO="BM"),ROUND(W75,4),W76/$S74)</f>
        <v>#DIV/0!</v>
      </c>
      <c r="X74" s="198" t="e">
        <f ca="1">IF(AND($R74=2,ACOMPANHAMENTO="BM"),ROUND(X75,4),X76/$S74)</f>
        <v>#DIV/0!</v>
      </c>
      <c r="Y74" s="198" t="e">
        <f ca="1">IF(AND($R74=2,ACOMPANHAMENTO="BM"),ROUND(Y75,4),Y76/$S74)</f>
        <v>#DIV/0!</v>
      </c>
      <c r="Z74" s="198" t="e">
        <f ca="1">IF(AND($R74=2,ACOMPANHAMENTO="BM"),ROUND(Z75,4),Z76/$S74)</f>
        <v>#DIV/0!</v>
      </c>
      <c r="AA74" s="198" t="e">
        <f ca="1">IF(AND($R74=2,ACOMPANHAMENTO="BM"),ROUND(AA75,4),AA76/$S74)</f>
        <v>#DIV/0!</v>
      </c>
      <c r="AB74" s="198" t="e">
        <f ca="1">IF(AND($R74=2,ACOMPANHAMENTO="BM"),ROUND(AB75,4),AB76/$S74)</f>
        <v>#DIV/0!</v>
      </c>
      <c r="AC74" s="198" t="e">
        <f ca="1">IF(AND($R74=2,ACOMPANHAMENTO="BM"),ROUND(AC75,4),AC76/$S74)</f>
        <v>#DIV/0!</v>
      </c>
      <c r="AD74" s="198" t="e">
        <f ca="1">IF(AND($R74=2,ACOMPANHAMENTO="BM"),ROUND(AD75,4),AD76/$S74)</f>
        <v>#DIV/0!</v>
      </c>
      <c r="AE74" s="198" t="e">
        <f ca="1">IF(AND($R74=2,ACOMPANHAMENTO="BM"),ROUND(AE75,4),AE76/$S74)</f>
        <v>#DIV/0!</v>
      </c>
      <c r="AF74" s="198" t="e">
        <f ca="1">IF(AND($R74=2,ACOMPANHAMENTO="BM"),ROUND(AF75,4),AF76/$S74)</f>
        <v>#DIV/0!</v>
      </c>
      <c r="AG74" s="198" t="e">
        <f ca="1">IF(AND($R74=2,ACOMPANHAMENTO="BM"),ROUND(AG75,4),AG76/$S74)</f>
        <v>#DIV/0!</v>
      </c>
      <c r="AH74" s="198" t="e">
        <f ca="1">IF(AND($R74=2,ACOMPANHAMENTO="BM"),ROUND(AH75,4),AH76/$S74)</f>
        <v>#DIV/0!</v>
      </c>
      <c r="AI74" s="198" t="e">
        <f ca="1">IF(AND($R74=2,ACOMPANHAMENTO="BM"),ROUND(AI75,4),AI76/$S74)</f>
        <v>#DIV/0!</v>
      </c>
      <c r="AJ74" s="198" t="e">
        <f ca="1">IF(AND($R74=2,ACOMPANHAMENTO="BM"),ROUND(AJ75,4),AJ76/$S74)</f>
        <v>#DIV/0!</v>
      </c>
      <c r="AK74" s="198" t="e">
        <f ca="1">IF(AND($R74=2,ACOMPANHAMENTO="BM"),ROUND(AK75,4),AK76/$S74)</f>
        <v>#DIV/0!</v>
      </c>
      <c r="AL74" s="198" t="e">
        <f ca="1">IF(AND($R74=2,ACOMPANHAMENTO="BM"),ROUND(AL75,4),AL76/$S74)</f>
        <v>#DIV/0!</v>
      </c>
      <c r="AM74" s="198" t="e">
        <f ca="1">IF(AND($R74=2,ACOMPANHAMENTO="BM"),ROUND(AM75,4),AM76/$S74)</f>
        <v>#DIV/0!</v>
      </c>
      <c r="AN74" s="198" t="e">
        <f ca="1">IF(AND($R74=2,ACOMPANHAMENTO="BM"),ROUND(AN75,4),AN76/$S74)</f>
        <v>#DIV/0!</v>
      </c>
      <c r="AO74" s="198" t="e">
        <f ca="1">IF(AND($R74=2,ACOMPANHAMENTO="BM"),ROUND(AO75,4),AO76/$S74)</f>
        <v>#DIV/0!</v>
      </c>
      <c r="AP74" s="198" t="e">
        <f ca="1">IF(AND($R74=2,ACOMPANHAMENTO="BM"),ROUND(AP75,4),AP76/$S74)</f>
        <v>#DIV/0!</v>
      </c>
      <c r="AQ74" s="198" t="e">
        <f ca="1">IF(AND($R74=2,ACOMPANHAMENTO="BM"),ROUND(AQ75,4),AQ76/$S74)</f>
        <v>#DIV/0!</v>
      </c>
      <c r="AR74" s="198" t="e">
        <f ca="1">IF(AND($R74=2,ACOMPANHAMENTO="BM"),ROUND(AR75,4),AR76/$S74)</f>
        <v>#DIV/0!</v>
      </c>
      <c r="AS74" s="577"/>
    </row>
    <row r="75" spans="1:45" ht="12.75" hidden="1" customHeight="1" x14ac:dyDescent="0.2">
      <c r="E75" s="645"/>
      <c r="F75" s="195">
        <f ca="1">IF(ISERROR(F74),IF(1+COUNTIF($M$13:OFFSET(M74,-1,0),1)&lt;=MAX(QCI!$D$13:$D$24),1+COUNTIF($M$13:OFFSET(M74,-1,0),1),-1),0)</f>
        <v>8</v>
      </c>
      <c r="G75" s="195" t="str">
        <f ca="1">IF(ACOMPANHAMENTO="BM",OFFSET(G75,-1,0),"")</f>
        <v/>
      </c>
      <c r="H75" s="206" t="str">
        <f ca="1">IF(OR(S74=0,S74=""),"vazia",IF(AND(OR(ACOMPANHAMENTO="PLE",$R74&lt;&gt;2),$F75=0),"calculada","--&gt;"))</f>
        <v>vazia</v>
      </c>
      <c r="I75" s="207"/>
      <c r="J75" s="208" t="str">
        <f t="shared" ref="J75" ca="1" si="126">IF(AND(H74&lt;&gt;0,ISNUMBER(H74)),"PREENCHA ESTA LINHA --&gt;","")</f>
        <v/>
      </c>
      <c r="K75" s="208"/>
      <c r="L75" s="208"/>
      <c r="M75" s="209"/>
      <c r="N75" s="209"/>
      <c r="O75" s="209"/>
      <c r="P75" s="209"/>
      <c r="Q75" s="209"/>
      <c r="R75" s="209"/>
      <c r="S75" s="210"/>
      <c r="T75" s="211"/>
      <c r="U75" s="645"/>
      <c r="V75" s="645"/>
      <c r="W75" s="645"/>
      <c r="X75" s="645"/>
      <c r="Y75" s="645"/>
      <c r="Z75" s="645"/>
      <c r="AA75" s="645"/>
      <c r="AB75" s="645"/>
      <c r="AC75" s="645"/>
      <c r="AD75" s="645"/>
      <c r="AE75" s="645"/>
      <c r="AF75" s="645"/>
      <c r="AG75" s="645"/>
      <c r="AH75" s="645"/>
      <c r="AI75" s="645"/>
      <c r="AJ75" s="645"/>
      <c r="AK75" s="645"/>
      <c r="AL75" s="645"/>
      <c r="AM75" s="645"/>
      <c r="AN75" s="645"/>
      <c r="AO75" s="645"/>
      <c r="AP75" s="645"/>
      <c r="AQ75" s="645"/>
      <c r="AR75" s="645"/>
      <c r="AS75" s="577"/>
    </row>
    <row r="76" spans="1:45" ht="12.75" hidden="1" customHeight="1" x14ac:dyDescent="0.2">
      <c r="D76" s="576"/>
      <c r="E76" s="212">
        <f ca="1">IF($R74=2,
         IF(AND(ACOMPANHAMENTO="PLE",ISNUMBER($F74)),
                SUMIF((OFFSET(CÁLCULO!$BC$15:$BU$15,$F74,0,OFFSET(ORÇAMENTO!$D$15,CRONO!$F74,0))),CRONO!E$12,OFFSET(CÁLCULO!$AJ$15:$BB$15,$F74,0,OFFSET(ORÇAMENTO!$D$15,CRONO!$F74,0)))
                +IF(AND($F76&lt;&gt;"",$F76&lt;&gt;0),
                        SUMIF(CÁLCULO!$BC$15:$BU$131,CRONO!E$12,CÁLCULO!$AJ$15:$BB$131)/(ORÇAMENTO!$X$15-CÁLCULO.TotalAdmLocal)*CRONO!$F76,
                        0),
                 E75*$S74),
          SUMIF(OFFSET($S76,1,0,$R74-2),($M74+1)&amp;"$",OFFSET(E76,1,0,$R74-2)))</f>
        <v>0</v>
      </c>
      <c r="F76" s="195" t="str">
        <f ca="1">IF(OR($R74&lt;&gt;2,AUTOEVENTO&lt;&gt;"manual",$F75&gt;0),"",
        IF(Import.TipoArredondamento="Tradicional",
              SUMIF(OFFSET(CÁLCULO!$M$15,CRONO!$F74,0,OFFSET(ORÇAMENTO!$D$15,CRONO!$F74,0)),1,OFFSET(ORÇAMENTO!$X$15,CRONO!$F74,0,OFFSET(ORÇAMENTO!$D$15,CRONO!$F74,0))),
              0))</f>
        <v/>
      </c>
      <c r="H76" s="213"/>
      <c r="S76" s="214" t="str">
        <f t="shared" ref="S76" ca="1" si="127">M74&amp;"$"</f>
        <v>1$</v>
      </c>
      <c r="T76" s="215"/>
      <c r="U76" s="212">
        <f ca="1">IF($R74=2,
         IF(AND(ACOMPANHAMENTO="PLE",ISNUMBER($F74)),
                SUMIF((OFFSET(CÁLCULO!$BC$15:$BU$15,$F74,0,OFFSET(ORÇAMENTO!$D$15,CRONO!$F74,0))),CRONO!U$12,OFFSET(CÁLCULO!$AJ$15:$BB$15,$F74,0,OFFSET(ORÇAMENTO!$D$15,CRONO!$F74,0)))
                +IF(AND($F76&lt;&gt;"",$F76&lt;&gt;0),
                        SUMIF(CÁLCULO!$BC$15:$BU$131,CRONO!U$12,CÁLCULO!$AJ$15:$BB$131)/(ORÇAMENTO!$X$15-CÁLCULO.TotalAdmLocal)*CRONO!$F76,
                        0),
                 U75*$S74),
          SUMIF(OFFSET($S76,1,0,$R74-2),($M74+1)&amp;"$",OFFSET(U76,1,0,$R74-2)))</f>
        <v>0</v>
      </c>
      <c r="V76" s="212">
        <f ca="1">IF($R74=2,
         IF(AND(ACOMPANHAMENTO="PLE",ISNUMBER($F74)),
                SUMIF((OFFSET(CÁLCULO!$BC$15:$BU$15,$F74,0,OFFSET(ORÇAMENTO!$D$15,CRONO!$F74,0))),CRONO!V$12,OFFSET(CÁLCULO!$AJ$15:$BB$15,$F74,0,OFFSET(ORÇAMENTO!$D$15,CRONO!$F74,0)))
                +IF(AND($F76&lt;&gt;"",$F76&lt;&gt;0),
                        SUMIF(CÁLCULO!$BC$15:$BU$131,CRONO!V$12,CÁLCULO!$AJ$15:$BB$131)/(ORÇAMENTO!$X$15-CÁLCULO.TotalAdmLocal)*CRONO!$F76,
                        0),
                 V75*$S74),
          SUMIF(OFFSET($S76,1,0,$R74-2),($M74+1)&amp;"$",OFFSET(V76,1,0,$R74-2)))</f>
        <v>0</v>
      </c>
      <c r="W76" s="212">
        <f ca="1">IF($R74=2,
         IF(AND(ACOMPANHAMENTO="PLE",ISNUMBER($F74)),
                SUMIF((OFFSET(CÁLCULO!$BC$15:$BU$15,$F74,0,OFFSET(ORÇAMENTO!$D$15,CRONO!$F74,0))),CRONO!W$12,OFFSET(CÁLCULO!$AJ$15:$BB$15,$F74,0,OFFSET(ORÇAMENTO!$D$15,CRONO!$F74,0)))
                +IF(AND($F76&lt;&gt;"",$F76&lt;&gt;0),
                        SUMIF(CÁLCULO!$BC$15:$BU$131,CRONO!W$12,CÁLCULO!$AJ$15:$BB$131)/(ORÇAMENTO!$X$15-CÁLCULO.TotalAdmLocal)*CRONO!$F76,
                        0),
                 W75*$S74),
          SUMIF(OFFSET($S76,1,0,$R74-2),($M74+1)&amp;"$",OFFSET(W76,1,0,$R74-2)))</f>
        <v>0</v>
      </c>
      <c r="X76" s="212">
        <f ca="1">IF($R74=2,
         IF(AND(ACOMPANHAMENTO="PLE",ISNUMBER($F74)),
                SUMIF((OFFSET(CÁLCULO!$BC$15:$BU$15,$F74,0,OFFSET(ORÇAMENTO!$D$15,CRONO!$F74,0))),CRONO!X$12,OFFSET(CÁLCULO!$AJ$15:$BB$15,$F74,0,OFFSET(ORÇAMENTO!$D$15,CRONO!$F74,0)))
                +IF(AND($F76&lt;&gt;"",$F76&lt;&gt;0),
                        SUMIF(CÁLCULO!$BC$15:$BU$131,CRONO!X$12,CÁLCULO!$AJ$15:$BB$131)/(ORÇAMENTO!$X$15-CÁLCULO.TotalAdmLocal)*CRONO!$F76,
                        0),
                 X75*$S74),
          SUMIF(OFFSET($S76,1,0,$R74-2),($M74+1)&amp;"$",OFFSET(X76,1,0,$R74-2)))</f>
        <v>0</v>
      </c>
      <c r="Y76" s="212">
        <f ca="1">IF($R74=2,
         IF(AND(ACOMPANHAMENTO="PLE",ISNUMBER($F74)),
                SUMIF((OFFSET(CÁLCULO!$BC$15:$BU$15,$F74,0,OFFSET(ORÇAMENTO!$D$15,CRONO!$F74,0))),CRONO!Y$12,OFFSET(CÁLCULO!$AJ$15:$BB$15,$F74,0,OFFSET(ORÇAMENTO!$D$15,CRONO!$F74,0)))
                +IF(AND($F76&lt;&gt;"",$F76&lt;&gt;0),
                        SUMIF(CÁLCULO!$BC$15:$BU$131,CRONO!Y$12,CÁLCULO!$AJ$15:$BB$131)/(ORÇAMENTO!$X$15-CÁLCULO.TotalAdmLocal)*CRONO!$F76,
                        0),
                 Y75*$S74),
          SUMIF(OFFSET($S76,1,0,$R74-2),($M74+1)&amp;"$",OFFSET(Y76,1,0,$R74-2)))</f>
        <v>0</v>
      </c>
      <c r="Z76" s="212">
        <f ca="1">IF($R74=2,
         IF(AND(ACOMPANHAMENTO="PLE",ISNUMBER($F74)),
                SUMIF((OFFSET(CÁLCULO!$BC$15:$BU$15,$F74,0,OFFSET(ORÇAMENTO!$D$15,CRONO!$F74,0))),CRONO!Z$12,OFFSET(CÁLCULO!$AJ$15:$BB$15,$F74,0,OFFSET(ORÇAMENTO!$D$15,CRONO!$F74,0)))
                +IF(AND($F76&lt;&gt;"",$F76&lt;&gt;0),
                        SUMIF(CÁLCULO!$BC$15:$BU$131,CRONO!Z$12,CÁLCULO!$AJ$15:$BB$131)/(ORÇAMENTO!$X$15-CÁLCULO.TotalAdmLocal)*CRONO!$F76,
                        0),
                 Z75*$S74),
          SUMIF(OFFSET($S76,1,0,$R74-2),($M74+1)&amp;"$",OFFSET(Z76,1,0,$R74-2)))</f>
        <v>0</v>
      </c>
      <c r="AA76" s="212">
        <f ca="1">IF($R74=2,
         IF(AND(ACOMPANHAMENTO="PLE",ISNUMBER($F74)),
                SUMIF((OFFSET(CÁLCULO!$BC$15:$BU$15,$F74,0,OFFSET(ORÇAMENTO!$D$15,CRONO!$F74,0))),CRONO!AA$12,OFFSET(CÁLCULO!$AJ$15:$BB$15,$F74,0,OFFSET(ORÇAMENTO!$D$15,CRONO!$F74,0)))
                +IF(AND($F76&lt;&gt;"",$F76&lt;&gt;0),
                        SUMIF(CÁLCULO!$BC$15:$BU$131,CRONO!AA$12,CÁLCULO!$AJ$15:$BB$131)/(ORÇAMENTO!$X$15-CÁLCULO.TotalAdmLocal)*CRONO!$F76,
                        0),
                 AA75*$S74),
          SUMIF(OFFSET($S76,1,0,$R74-2),($M74+1)&amp;"$",OFFSET(AA76,1,0,$R74-2)))</f>
        <v>0</v>
      </c>
      <c r="AB76" s="212">
        <f ca="1">IF($R74=2,
         IF(AND(ACOMPANHAMENTO="PLE",ISNUMBER($F74)),
                SUMIF((OFFSET(CÁLCULO!$BC$15:$BU$15,$F74,0,OFFSET(ORÇAMENTO!$D$15,CRONO!$F74,0))),CRONO!AB$12,OFFSET(CÁLCULO!$AJ$15:$BB$15,$F74,0,OFFSET(ORÇAMENTO!$D$15,CRONO!$F74,0)))
                +IF(AND($F76&lt;&gt;"",$F76&lt;&gt;0),
                        SUMIF(CÁLCULO!$BC$15:$BU$131,CRONO!AB$12,CÁLCULO!$AJ$15:$BB$131)/(ORÇAMENTO!$X$15-CÁLCULO.TotalAdmLocal)*CRONO!$F76,
                        0),
                 AB75*$S74),
          SUMIF(OFFSET($S76,1,0,$R74-2),($M74+1)&amp;"$",OFFSET(AB76,1,0,$R74-2)))</f>
        <v>0</v>
      </c>
      <c r="AC76" s="212">
        <f ca="1">IF($R74=2,
         IF(AND(ACOMPANHAMENTO="PLE",ISNUMBER($F74)),
                SUMIF((OFFSET(CÁLCULO!$BC$15:$BU$15,$F74,0,OFFSET(ORÇAMENTO!$D$15,CRONO!$F74,0))),CRONO!AC$12,OFFSET(CÁLCULO!$AJ$15:$BB$15,$F74,0,OFFSET(ORÇAMENTO!$D$15,CRONO!$F74,0)))
                +IF(AND($F76&lt;&gt;"",$F76&lt;&gt;0),
                        SUMIF(CÁLCULO!$BC$15:$BU$131,CRONO!AC$12,CÁLCULO!$AJ$15:$BB$131)/(ORÇAMENTO!$X$15-CÁLCULO.TotalAdmLocal)*CRONO!$F76,
                        0),
                 AC75*$S74),
          SUMIF(OFFSET($S76,1,0,$R74-2),($M74+1)&amp;"$",OFFSET(AC76,1,0,$R74-2)))</f>
        <v>0</v>
      </c>
      <c r="AD76" s="212">
        <f ca="1">IF($R74=2,
         IF(AND(ACOMPANHAMENTO="PLE",ISNUMBER($F74)),
                SUMIF((OFFSET(CÁLCULO!$BC$15:$BU$15,$F74,0,OFFSET(ORÇAMENTO!$D$15,CRONO!$F74,0))),CRONO!AD$12,OFFSET(CÁLCULO!$AJ$15:$BB$15,$F74,0,OFFSET(ORÇAMENTO!$D$15,CRONO!$F74,0)))
                +IF(AND($F76&lt;&gt;"",$F76&lt;&gt;0),
                        SUMIF(CÁLCULO!$BC$15:$BU$131,CRONO!AD$12,CÁLCULO!$AJ$15:$BB$131)/(ORÇAMENTO!$X$15-CÁLCULO.TotalAdmLocal)*CRONO!$F76,
                        0),
                 AD75*$S74),
          SUMIF(OFFSET($S76,1,0,$R74-2),($M74+1)&amp;"$",OFFSET(AD76,1,0,$R74-2)))</f>
        <v>0</v>
      </c>
      <c r="AE76" s="212">
        <f ca="1">IF($R74=2,
         IF(AND(ACOMPANHAMENTO="PLE",ISNUMBER($F74)),
                SUMIF((OFFSET(CÁLCULO!$BC$15:$BU$15,$F74,0,OFFSET(ORÇAMENTO!$D$15,CRONO!$F74,0))),CRONO!AE$12,OFFSET(CÁLCULO!$AJ$15:$BB$15,$F74,0,OFFSET(ORÇAMENTO!$D$15,CRONO!$F74,0)))
                +IF(AND($F76&lt;&gt;"",$F76&lt;&gt;0),
                        SUMIF(CÁLCULO!$BC$15:$BU$131,CRONO!AE$12,CÁLCULO!$AJ$15:$BB$131)/(ORÇAMENTO!$X$15-CÁLCULO.TotalAdmLocal)*CRONO!$F76,
                        0),
                 AE75*$S74),
          SUMIF(OFFSET($S76,1,0,$R74-2),($M74+1)&amp;"$",OFFSET(AE76,1,0,$R74-2)))</f>
        <v>0</v>
      </c>
      <c r="AF76" s="212">
        <f ca="1">IF($R74=2,
         IF(AND(ACOMPANHAMENTO="PLE",ISNUMBER($F74)),
                SUMIF((OFFSET(CÁLCULO!$BC$15:$BU$15,$F74,0,OFFSET(ORÇAMENTO!$D$15,CRONO!$F74,0))),CRONO!AF$12,OFFSET(CÁLCULO!$AJ$15:$BB$15,$F74,0,OFFSET(ORÇAMENTO!$D$15,CRONO!$F74,0)))
                +IF(AND($F76&lt;&gt;"",$F76&lt;&gt;0),
                        SUMIF(CÁLCULO!$BC$15:$BU$131,CRONO!AF$12,CÁLCULO!$AJ$15:$BB$131)/(ORÇAMENTO!$X$15-CÁLCULO.TotalAdmLocal)*CRONO!$F76,
                        0),
                 AF75*$S74),
          SUMIF(OFFSET($S76,1,0,$R74-2),($M74+1)&amp;"$",OFFSET(AF76,1,0,$R74-2)))</f>
        <v>0</v>
      </c>
      <c r="AG76" s="212">
        <f ca="1">IF($R74=2,
         IF(AND(ACOMPANHAMENTO="PLE",ISNUMBER($F74)),
                SUMIF((OFFSET(CÁLCULO!$BC$15:$BU$15,$F74,0,OFFSET(ORÇAMENTO!$D$15,CRONO!$F74,0))),CRONO!AG$12,OFFSET(CÁLCULO!$AJ$15:$BB$15,$F74,0,OFFSET(ORÇAMENTO!$D$15,CRONO!$F74,0)))
                +IF(AND($F76&lt;&gt;"",$F76&lt;&gt;0),
                        SUMIF(CÁLCULO!$BC$15:$BU$131,CRONO!AG$12,CÁLCULO!$AJ$15:$BB$131)/(ORÇAMENTO!$X$15-CÁLCULO.TotalAdmLocal)*CRONO!$F76,
                        0),
                 AG75*$S74),
          SUMIF(OFFSET($S76,1,0,$R74-2),($M74+1)&amp;"$",OFFSET(AG76,1,0,$R74-2)))</f>
        <v>0</v>
      </c>
      <c r="AH76" s="212">
        <f ca="1">IF($R74=2,
         IF(AND(ACOMPANHAMENTO="PLE",ISNUMBER($F74)),
                SUMIF((OFFSET(CÁLCULO!$BC$15:$BU$15,$F74,0,OFFSET(ORÇAMENTO!$D$15,CRONO!$F74,0))),CRONO!AH$12,OFFSET(CÁLCULO!$AJ$15:$BB$15,$F74,0,OFFSET(ORÇAMENTO!$D$15,CRONO!$F74,0)))
                +IF(AND($F76&lt;&gt;"",$F76&lt;&gt;0),
                        SUMIF(CÁLCULO!$BC$15:$BU$131,CRONO!AH$12,CÁLCULO!$AJ$15:$BB$131)/(ORÇAMENTO!$X$15-CÁLCULO.TotalAdmLocal)*CRONO!$F76,
                        0),
                 AH75*$S74),
          SUMIF(OFFSET($S76,1,0,$R74-2),($M74+1)&amp;"$",OFFSET(AH76,1,0,$R74-2)))</f>
        <v>0</v>
      </c>
      <c r="AI76" s="212">
        <f ca="1">IF($R74=2,
         IF(AND(ACOMPANHAMENTO="PLE",ISNUMBER($F74)),
                SUMIF((OFFSET(CÁLCULO!$BC$15:$BU$15,$F74,0,OFFSET(ORÇAMENTO!$D$15,CRONO!$F74,0))),CRONO!AI$12,OFFSET(CÁLCULO!$AJ$15:$BB$15,$F74,0,OFFSET(ORÇAMENTO!$D$15,CRONO!$F74,0)))
                +IF(AND($F76&lt;&gt;"",$F76&lt;&gt;0),
                        SUMIF(CÁLCULO!$BC$15:$BU$131,CRONO!AI$12,CÁLCULO!$AJ$15:$BB$131)/(ORÇAMENTO!$X$15-CÁLCULO.TotalAdmLocal)*CRONO!$F76,
                        0),
                 AI75*$S74),
          SUMIF(OFFSET($S76,1,0,$R74-2),($M74+1)&amp;"$",OFFSET(AI76,1,0,$R74-2)))</f>
        <v>0</v>
      </c>
      <c r="AJ76" s="212">
        <f ca="1">IF($R74=2,
         IF(AND(ACOMPANHAMENTO="PLE",ISNUMBER($F74)),
                SUMIF((OFFSET(CÁLCULO!$BC$15:$BU$15,$F74,0,OFFSET(ORÇAMENTO!$D$15,CRONO!$F74,0))),CRONO!AJ$12,OFFSET(CÁLCULO!$AJ$15:$BB$15,$F74,0,OFFSET(ORÇAMENTO!$D$15,CRONO!$F74,0)))
                +IF(AND($F76&lt;&gt;"",$F76&lt;&gt;0),
                        SUMIF(CÁLCULO!$BC$15:$BU$131,CRONO!AJ$12,CÁLCULO!$AJ$15:$BB$131)/(ORÇAMENTO!$X$15-CÁLCULO.TotalAdmLocal)*CRONO!$F76,
                        0),
                 AJ75*$S74),
          SUMIF(OFFSET($S76,1,0,$R74-2),($M74+1)&amp;"$",OFFSET(AJ76,1,0,$R74-2)))</f>
        <v>0</v>
      </c>
      <c r="AK76" s="212">
        <f ca="1">IF($R74=2,
         IF(AND(ACOMPANHAMENTO="PLE",ISNUMBER($F74)),
                SUMIF((OFFSET(CÁLCULO!$BC$15:$BU$15,$F74,0,OFFSET(ORÇAMENTO!$D$15,CRONO!$F74,0))),CRONO!AK$12,OFFSET(CÁLCULO!$AJ$15:$BB$15,$F74,0,OFFSET(ORÇAMENTO!$D$15,CRONO!$F74,0)))
                +IF(AND($F76&lt;&gt;"",$F76&lt;&gt;0),
                        SUMIF(CÁLCULO!$BC$15:$BU$131,CRONO!AK$12,CÁLCULO!$AJ$15:$BB$131)/(ORÇAMENTO!$X$15-CÁLCULO.TotalAdmLocal)*CRONO!$F76,
                        0),
                 AK75*$S74),
          SUMIF(OFFSET($S76,1,0,$R74-2),($M74+1)&amp;"$",OFFSET(AK76,1,0,$R74-2)))</f>
        <v>0</v>
      </c>
      <c r="AL76" s="212">
        <f ca="1">IF($R74=2,
         IF(AND(ACOMPANHAMENTO="PLE",ISNUMBER($F74)),
                SUMIF((OFFSET(CÁLCULO!$BC$15:$BU$15,$F74,0,OFFSET(ORÇAMENTO!$D$15,CRONO!$F74,0))),CRONO!AL$12,OFFSET(CÁLCULO!$AJ$15:$BB$15,$F74,0,OFFSET(ORÇAMENTO!$D$15,CRONO!$F74,0)))
                +IF(AND($F76&lt;&gt;"",$F76&lt;&gt;0),
                        SUMIF(CÁLCULO!$BC$15:$BU$131,CRONO!AL$12,CÁLCULO!$AJ$15:$BB$131)/(ORÇAMENTO!$X$15-CÁLCULO.TotalAdmLocal)*CRONO!$F76,
                        0),
                 AL75*$S74),
          SUMIF(OFFSET($S76,1,0,$R74-2),($M74+1)&amp;"$",OFFSET(AL76,1,0,$R74-2)))</f>
        <v>0</v>
      </c>
      <c r="AM76" s="212">
        <f ca="1">IF($R74=2,
         IF(AND(ACOMPANHAMENTO="PLE",ISNUMBER($F74)),
                SUMIF((OFFSET(CÁLCULO!$BC$15:$BU$15,$F74,0,OFFSET(ORÇAMENTO!$D$15,CRONO!$F74,0))),CRONO!AM$12,OFFSET(CÁLCULO!$AJ$15:$BB$15,$F74,0,OFFSET(ORÇAMENTO!$D$15,CRONO!$F74,0)))
                +IF(AND($F76&lt;&gt;"",$F76&lt;&gt;0),
                        SUMIF(CÁLCULO!$BC$15:$BU$131,CRONO!AM$12,CÁLCULO!$AJ$15:$BB$131)/(ORÇAMENTO!$X$15-CÁLCULO.TotalAdmLocal)*CRONO!$F76,
                        0),
                 AM75*$S74),
          SUMIF(OFFSET($S76,1,0,$R74-2),($M74+1)&amp;"$",OFFSET(AM76,1,0,$R74-2)))</f>
        <v>0</v>
      </c>
      <c r="AN76" s="212">
        <f ca="1">IF($R74=2,
         IF(AND(ACOMPANHAMENTO="PLE",ISNUMBER($F74)),
                SUMIF((OFFSET(CÁLCULO!$BC$15:$BU$15,$F74,0,OFFSET(ORÇAMENTO!$D$15,CRONO!$F74,0))),CRONO!AN$12,OFFSET(CÁLCULO!$AJ$15:$BB$15,$F74,0,OFFSET(ORÇAMENTO!$D$15,CRONO!$F74,0)))
                +IF(AND($F76&lt;&gt;"",$F76&lt;&gt;0),
                        SUMIF(CÁLCULO!$BC$15:$BU$131,CRONO!AN$12,CÁLCULO!$AJ$15:$BB$131)/(ORÇAMENTO!$X$15-CÁLCULO.TotalAdmLocal)*CRONO!$F76,
                        0),
                 AN75*$S74),
          SUMIF(OFFSET($S76,1,0,$R74-2),($M74+1)&amp;"$",OFFSET(AN76,1,0,$R74-2)))</f>
        <v>0</v>
      </c>
      <c r="AO76" s="212">
        <f ca="1">IF($R74=2,
         IF(AND(ACOMPANHAMENTO="PLE",ISNUMBER($F74)),
                SUMIF((OFFSET(CÁLCULO!$BC$15:$BU$15,$F74,0,OFFSET(ORÇAMENTO!$D$15,CRONO!$F74,0))),CRONO!AO$12,OFFSET(CÁLCULO!$AJ$15:$BB$15,$F74,0,OFFSET(ORÇAMENTO!$D$15,CRONO!$F74,0)))
                +IF(AND($F76&lt;&gt;"",$F76&lt;&gt;0),
                        SUMIF(CÁLCULO!$BC$15:$BU$131,CRONO!AO$12,CÁLCULO!$AJ$15:$BB$131)/(ORÇAMENTO!$X$15-CÁLCULO.TotalAdmLocal)*CRONO!$F76,
                        0),
                 AO75*$S74),
          SUMIF(OFFSET($S76,1,0,$R74-2),($M74+1)&amp;"$",OFFSET(AO76,1,0,$R74-2)))</f>
        <v>0</v>
      </c>
      <c r="AP76" s="212">
        <f ca="1">IF($R74=2,
         IF(AND(ACOMPANHAMENTO="PLE",ISNUMBER($F74)),
                SUMIF((OFFSET(CÁLCULO!$BC$15:$BU$15,$F74,0,OFFSET(ORÇAMENTO!$D$15,CRONO!$F74,0))),CRONO!AP$12,OFFSET(CÁLCULO!$AJ$15:$BB$15,$F74,0,OFFSET(ORÇAMENTO!$D$15,CRONO!$F74,0)))
                +IF(AND($F76&lt;&gt;"",$F76&lt;&gt;0),
                        SUMIF(CÁLCULO!$BC$15:$BU$131,CRONO!AP$12,CÁLCULO!$AJ$15:$BB$131)/(ORÇAMENTO!$X$15-CÁLCULO.TotalAdmLocal)*CRONO!$F76,
                        0),
                 AP75*$S74),
          SUMIF(OFFSET($S76,1,0,$R74-2),($M74+1)&amp;"$",OFFSET(AP76,1,0,$R74-2)))</f>
        <v>0</v>
      </c>
      <c r="AQ76" s="212">
        <f ca="1">IF($R74=2,
         IF(AND(ACOMPANHAMENTO="PLE",ISNUMBER($F74)),
                SUMIF((OFFSET(CÁLCULO!$BC$15:$BU$15,$F74,0,OFFSET(ORÇAMENTO!$D$15,CRONO!$F74,0))),CRONO!AQ$12,OFFSET(CÁLCULO!$AJ$15:$BB$15,$F74,0,OFFSET(ORÇAMENTO!$D$15,CRONO!$F74,0)))
                +IF(AND($F76&lt;&gt;"",$F76&lt;&gt;0),
                        SUMIF(CÁLCULO!$BC$15:$BU$131,CRONO!AQ$12,CÁLCULO!$AJ$15:$BB$131)/(ORÇAMENTO!$X$15-CÁLCULO.TotalAdmLocal)*CRONO!$F76,
                        0),
                 AQ75*$S74),
          SUMIF(OFFSET($S76,1,0,$R74-2),($M74+1)&amp;"$",OFFSET(AQ76,1,0,$R74-2)))</f>
        <v>0</v>
      </c>
      <c r="AR76" s="212">
        <f ca="1">IF($R74=2,
         IF(AND(ACOMPANHAMENTO="PLE",ISNUMBER($F74)),
                SUMIF((OFFSET(CÁLCULO!$BC$15:$BU$15,$F74,0,OFFSET(ORÇAMENTO!$D$15,CRONO!$F74,0))),CRONO!AR$12,OFFSET(CÁLCULO!$AJ$15:$BB$15,$F74,0,OFFSET(ORÇAMENTO!$D$15,CRONO!$F74,0)))
                +IF(AND($F76&lt;&gt;"",$F76&lt;&gt;0),
                        SUMIF(CÁLCULO!$BC$15:$BU$131,CRONO!AR$12,CÁLCULO!$AJ$15:$BB$131)/(ORÇAMENTO!$X$15-CÁLCULO.TotalAdmLocal)*CRONO!$F76,
                        0),
                 AR75*$S74),
          SUMIF(OFFSET($S76,1,0,$R74-2),($M74+1)&amp;"$",OFFSET(AR76,1,0,$R74-2)))</f>
        <v>0</v>
      </c>
      <c r="AS76" s="577"/>
    </row>
    <row r="77" spans="1:45" x14ac:dyDescent="0.2">
      <c r="A77" s="196" t="str">
        <f t="shared" ref="A77" ca="1" si="128">IF($M77&gt;1,CONCATENATE($I77," ",$J77),"")</f>
        <v/>
      </c>
      <c r="B77" s="195">
        <f t="shared" ref="B77" ca="1" si="129">OFFSET(B77,-3,0)+1</f>
        <v>22</v>
      </c>
      <c r="C77" s="195">
        <f ca="1">IF($R77&lt;&gt;2,0,IF($S77=0,1,IF(F78&gt;0,OFFSET(QCI!$M$13,SUBSTITUTE(F78,".",""),0),OFFSET(ORÇAMENTO!$AA$15,CRONO!$F77,0))/$S77))</f>
        <v>1</v>
      </c>
      <c r="D77" s="195">
        <f ca="1">IF($R77&lt;&gt;2,0,IF($S77=0,1,IF(F78&gt;0,OFFSET(QCI!$N$13,SUBSTITUTE(F78,".",""),0),OFFSET(ORÇAMENTO!$AB$15,CRONO!$F77,0))/$S77))</f>
        <v>1</v>
      </c>
      <c r="E77" s="198" t="e">
        <f ca="1">IF(AND($R77=2,ACOMPANHAMENTO="BM"),ROUND(E78,4),E79/$S77)</f>
        <v>#DIV/0!</v>
      </c>
      <c r="F77" s="195" t="e">
        <f ca="1">IF(B77&lt;=ORÇAMENTO.MáximoListaCrono,MATCH(B77,ORÇAMENTO.ListaCrono,0),NA())</f>
        <v>#N/A</v>
      </c>
      <c r="G77" s="195" t="str">
        <f t="shared" ref="G77" ca="1" si="130">IF(AND($F78&lt;&gt;-1,$S77&gt;0),"F","")</f>
        <v/>
      </c>
      <c r="H77" s="199" t="str">
        <f ca="1">IF(OR(S77=0,S77=""),"Linha",IF(AND(OR(ACOMPANHAMENTO="PLE",$R77&lt;&gt;2),$F78=0),"Linha",ROUND(1-SUM(U77:AS77),4)))</f>
        <v>Linha</v>
      </c>
      <c r="I77" s="200">
        <f ca="1">IF($F78=0,OFFSET(ORÇAMENTO!O$15,$F77,0),IF($F78&lt;&gt;-1,OFFSET(QCI!$D$13,$F78,0),""))</f>
        <v>9</v>
      </c>
      <c r="J77" s="201" t="str">
        <f ca="1">IF($F78=0,OFFSET(ORÇAMENTO!R$15,$F77,0),IF($F78&lt;&gt;-1,OFFSET(QCI!$G$13,$F78,0),""))</f>
        <v/>
      </c>
      <c r="K77" s="201"/>
      <c r="L77" s="201"/>
      <c r="M77" s="202">
        <f ca="1">IF($F78=0,OFFSET(ORÇAMENTO!C$15,$F77,0),1)</f>
        <v>1</v>
      </c>
      <c r="N77" s="203">
        <f ca="1">IF($F78=-1,0,IF(N$13&lt;=$M77,IF(ISERROR(MATCH(N$13,OFFSET($M77,1,0,ROW($M$107)-ROW($M77)-1),0)),ROW($M$107)-ROW($M77)-1,MATCH(N$13,OFFSET($M77,1,0,ROW($M$107)-ROW($M77)-1),0)-1),0))</f>
        <v>2</v>
      </c>
      <c r="O77" s="203">
        <f ca="1">IF($F78=-1,0,IF(O$13&lt;=$M77,IF(ISERROR(MATCH(O$13,OFFSET($M77,1,0,ROW($M$107)-ROW($M77)-1),0)),ROW($M$107)-ROW($M77)-1,MATCH(O$13,OFFSET($M77,1,0,ROW($M$107)-ROW($M77)-1),0)-1),0))</f>
        <v>0</v>
      </c>
      <c r="P77" s="203">
        <f ca="1">IF($F78=-1,0,IF(P$13&lt;=$M77,IF(ISERROR(MATCH(P$13,OFFSET($M77,1,0,ROW($M$107)-ROW($M77)-1),0)),ROW($M$107)-ROW($M77)-1,MATCH(P$13,OFFSET($M77,1,0,ROW($M$107)-ROW($M77)-1),0)-1),0))</f>
        <v>0</v>
      </c>
      <c r="Q77" s="203">
        <f ca="1">IF($F78=-1,0,IF(Q$13&lt;=$M77,IF(ISERROR(MATCH(Q$13,OFFSET($M77,1,0,ROW($M$107)-ROW($M77)-1),0)),ROW($M$107)-ROW($M77)-1,MATCH(Q$13,OFFSET($M77,1,0,ROW($M$107)-ROW($M77)-1),0)-1),0))</f>
        <v>0</v>
      </c>
      <c r="R77" s="203">
        <f t="shared" ref="R77" ca="1" si="131">MIN(OFFSET(M77,0,1,,M77))</f>
        <v>2</v>
      </c>
      <c r="S77" s="204">
        <f ca="1">IF($F78=0,OFFSET(ORÇAMENTO!X$15,$F77,0),IF($F78&lt;&gt;-1,OFFSET(QCI!$O$13,$F78,0),""))</f>
        <v>0</v>
      </c>
      <c r="T77" s="205" t="s">
        <v>266</v>
      </c>
      <c r="U77" s="198" t="e">
        <f ca="1">IF(AND($R77=2,ACOMPANHAMENTO="BM"),ROUND(U78,4),U79/$S77)</f>
        <v>#DIV/0!</v>
      </c>
      <c r="V77" s="198" t="e">
        <f ca="1">IF(AND($R77=2,ACOMPANHAMENTO="BM"),ROUND(V78,4),V79/$S77)</f>
        <v>#DIV/0!</v>
      </c>
      <c r="W77" s="198" t="e">
        <f ca="1">IF(AND($R77=2,ACOMPANHAMENTO="BM"),ROUND(W78,4),W79/$S77)</f>
        <v>#DIV/0!</v>
      </c>
      <c r="X77" s="198" t="e">
        <f ca="1">IF(AND($R77=2,ACOMPANHAMENTO="BM"),ROUND(X78,4),X79/$S77)</f>
        <v>#DIV/0!</v>
      </c>
      <c r="Y77" s="198" t="e">
        <f ca="1">IF(AND($R77=2,ACOMPANHAMENTO="BM"),ROUND(Y78,4),Y79/$S77)</f>
        <v>#DIV/0!</v>
      </c>
      <c r="Z77" s="198" t="e">
        <f ca="1">IF(AND($R77=2,ACOMPANHAMENTO="BM"),ROUND(Z78,4),Z79/$S77)</f>
        <v>#DIV/0!</v>
      </c>
      <c r="AA77" s="198" t="e">
        <f ca="1">IF(AND($R77=2,ACOMPANHAMENTO="BM"),ROUND(AA78,4),AA79/$S77)</f>
        <v>#DIV/0!</v>
      </c>
      <c r="AB77" s="198" t="e">
        <f ca="1">IF(AND($R77=2,ACOMPANHAMENTO="BM"),ROUND(AB78,4),AB79/$S77)</f>
        <v>#DIV/0!</v>
      </c>
      <c r="AC77" s="198" t="e">
        <f ca="1">IF(AND($R77=2,ACOMPANHAMENTO="BM"),ROUND(AC78,4),AC79/$S77)</f>
        <v>#DIV/0!</v>
      </c>
      <c r="AD77" s="198" t="e">
        <f ca="1">IF(AND($R77=2,ACOMPANHAMENTO="BM"),ROUND(AD78,4),AD79/$S77)</f>
        <v>#DIV/0!</v>
      </c>
      <c r="AE77" s="198" t="e">
        <f ca="1">IF(AND($R77=2,ACOMPANHAMENTO="BM"),ROUND(AE78,4),AE79/$S77)</f>
        <v>#DIV/0!</v>
      </c>
      <c r="AF77" s="198" t="e">
        <f ca="1">IF(AND($R77=2,ACOMPANHAMENTO="BM"),ROUND(AF78,4),AF79/$S77)</f>
        <v>#DIV/0!</v>
      </c>
      <c r="AG77" s="198" t="e">
        <f ca="1">IF(AND($R77=2,ACOMPANHAMENTO="BM"),ROUND(AG78,4),AG79/$S77)</f>
        <v>#DIV/0!</v>
      </c>
      <c r="AH77" s="198" t="e">
        <f ca="1">IF(AND($R77=2,ACOMPANHAMENTO="BM"),ROUND(AH78,4),AH79/$S77)</f>
        <v>#DIV/0!</v>
      </c>
      <c r="AI77" s="198" t="e">
        <f ca="1">IF(AND($R77=2,ACOMPANHAMENTO="BM"),ROUND(AI78,4),AI79/$S77)</f>
        <v>#DIV/0!</v>
      </c>
      <c r="AJ77" s="198" t="e">
        <f ca="1">IF(AND($R77=2,ACOMPANHAMENTO="BM"),ROUND(AJ78,4),AJ79/$S77)</f>
        <v>#DIV/0!</v>
      </c>
      <c r="AK77" s="198" t="e">
        <f ca="1">IF(AND($R77=2,ACOMPANHAMENTO="BM"),ROUND(AK78,4),AK79/$S77)</f>
        <v>#DIV/0!</v>
      </c>
      <c r="AL77" s="198" t="e">
        <f ca="1">IF(AND($R77=2,ACOMPANHAMENTO="BM"),ROUND(AL78,4),AL79/$S77)</f>
        <v>#DIV/0!</v>
      </c>
      <c r="AM77" s="198" t="e">
        <f ca="1">IF(AND($R77=2,ACOMPANHAMENTO="BM"),ROUND(AM78,4),AM79/$S77)</f>
        <v>#DIV/0!</v>
      </c>
      <c r="AN77" s="198" t="e">
        <f ca="1">IF(AND($R77=2,ACOMPANHAMENTO="BM"),ROUND(AN78,4),AN79/$S77)</f>
        <v>#DIV/0!</v>
      </c>
      <c r="AO77" s="198" t="e">
        <f ca="1">IF(AND($R77=2,ACOMPANHAMENTO="BM"),ROUND(AO78,4),AO79/$S77)</f>
        <v>#DIV/0!</v>
      </c>
      <c r="AP77" s="198" t="e">
        <f ca="1">IF(AND($R77=2,ACOMPANHAMENTO="BM"),ROUND(AP78,4),AP79/$S77)</f>
        <v>#DIV/0!</v>
      </c>
      <c r="AQ77" s="198" t="e">
        <f ca="1">IF(AND($R77=2,ACOMPANHAMENTO="BM"),ROUND(AQ78,4),AQ79/$S77)</f>
        <v>#DIV/0!</v>
      </c>
      <c r="AR77" s="198" t="e">
        <f ca="1">IF(AND($R77=2,ACOMPANHAMENTO="BM"),ROUND(AR78,4),AR79/$S77)</f>
        <v>#DIV/0!</v>
      </c>
      <c r="AS77" s="577"/>
    </row>
    <row r="78" spans="1:45" ht="12.75" hidden="1" customHeight="1" x14ac:dyDescent="0.2">
      <c r="E78" s="645"/>
      <c r="F78" s="195">
        <f ca="1">IF(ISERROR(F77),IF(1+COUNTIF($M$13:OFFSET(M77,-1,0),1)&lt;=MAX(QCI!$D$13:$D$24),1+COUNTIF($M$13:OFFSET(M77,-1,0),1),-1),0)</f>
        <v>9</v>
      </c>
      <c r="G78" s="195" t="str">
        <f ca="1">IF(ACOMPANHAMENTO="BM",OFFSET(G78,-1,0),"")</f>
        <v/>
      </c>
      <c r="H78" s="206" t="str">
        <f ca="1">IF(OR(S77=0,S77=""),"vazia",IF(AND(OR(ACOMPANHAMENTO="PLE",$R77&lt;&gt;2),$F78=0),"calculada","--&gt;"))</f>
        <v>vazia</v>
      </c>
      <c r="I78" s="207"/>
      <c r="J78" s="208" t="str">
        <f t="shared" ref="J78" ca="1" si="132">IF(AND(H77&lt;&gt;0,ISNUMBER(H77)),"PREENCHA ESTA LINHA --&gt;","")</f>
        <v/>
      </c>
      <c r="K78" s="208"/>
      <c r="L78" s="208"/>
      <c r="M78" s="209"/>
      <c r="N78" s="209"/>
      <c r="O78" s="209"/>
      <c r="P78" s="209"/>
      <c r="Q78" s="209"/>
      <c r="R78" s="209"/>
      <c r="S78" s="210"/>
      <c r="T78" s="211"/>
      <c r="U78" s="645"/>
      <c r="V78" s="645"/>
      <c r="W78" s="645"/>
      <c r="X78" s="645"/>
      <c r="Y78" s="645"/>
      <c r="Z78" s="645"/>
      <c r="AA78" s="645"/>
      <c r="AB78" s="645"/>
      <c r="AC78" s="645"/>
      <c r="AD78" s="645"/>
      <c r="AE78" s="645"/>
      <c r="AF78" s="645"/>
      <c r="AG78" s="645"/>
      <c r="AH78" s="645"/>
      <c r="AI78" s="645"/>
      <c r="AJ78" s="645"/>
      <c r="AK78" s="645"/>
      <c r="AL78" s="645"/>
      <c r="AM78" s="645"/>
      <c r="AN78" s="645"/>
      <c r="AO78" s="645"/>
      <c r="AP78" s="645"/>
      <c r="AQ78" s="645"/>
      <c r="AR78" s="645"/>
      <c r="AS78" s="577"/>
    </row>
    <row r="79" spans="1:45" ht="12.75" hidden="1" customHeight="1" x14ac:dyDescent="0.2">
      <c r="D79" s="576"/>
      <c r="E79" s="212">
        <f ca="1">IF($R77=2,
         IF(AND(ACOMPANHAMENTO="PLE",ISNUMBER($F77)),
                SUMIF((OFFSET(CÁLCULO!$BC$15:$BU$15,$F77,0,OFFSET(ORÇAMENTO!$D$15,CRONO!$F77,0))),CRONO!E$12,OFFSET(CÁLCULO!$AJ$15:$BB$15,$F77,0,OFFSET(ORÇAMENTO!$D$15,CRONO!$F77,0)))
                +IF(AND($F79&lt;&gt;"",$F79&lt;&gt;0),
                        SUMIF(CÁLCULO!$BC$15:$BU$131,CRONO!E$12,CÁLCULO!$AJ$15:$BB$131)/(ORÇAMENTO!$X$15-CÁLCULO.TotalAdmLocal)*CRONO!$F79,
                        0),
                 E78*$S77),
          SUMIF(OFFSET($S79,1,0,$R77-2),($M77+1)&amp;"$",OFFSET(E79,1,0,$R77-2)))</f>
        <v>0</v>
      </c>
      <c r="F79" s="195" t="str">
        <f ca="1">IF(OR($R77&lt;&gt;2,AUTOEVENTO&lt;&gt;"manual",$F78&gt;0),"",
        IF(Import.TipoArredondamento="Tradicional",
              SUMIF(OFFSET(CÁLCULO!$M$15,CRONO!$F77,0,OFFSET(ORÇAMENTO!$D$15,CRONO!$F77,0)),1,OFFSET(ORÇAMENTO!$X$15,CRONO!$F77,0,OFFSET(ORÇAMENTO!$D$15,CRONO!$F77,0))),
              0))</f>
        <v/>
      </c>
      <c r="H79" s="213"/>
      <c r="S79" s="214" t="str">
        <f t="shared" ref="S79" ca="1" si="133">M77&amp;"$"</f>
        <v>1$</v>
      </c>
      <c r="T79" s="215"/>
      <c r="U79" s="212">
        <f ca="1">IF($R77=2,
         IF(AND(ACOMPANHAMENTO="PLE",ISNUMBER($F77)),
                SUMIF((OFFSET(CÁLCULO!$BC$15:$BU$15,$F77,0,OFFSET(ORÇAMENTO!$D$15,CRONO!$F77,0))),CRONO!U$12,OFFSET(CÁLCULO!$AJ$15:$BB$15,$F77,0,OFFSET(ORÇAMENTO!$D$15,CRONO!$F77,0)))
                +IF(AND($F79&lt;&gt;"",$F79&lt;&gt;0),
                        SUMIF(CÁLCULO!$BC$15:$BU$131,CRONO!U$12,CÁLCULO!$AJ$15:$BB$131)/(ORÇAMENTO!$X$15-CÁLCULO.TotalAdmLocal)*CRONO!$F79,
                        0),
                 U78*$S77),
          SUMIF(OFFSET($S79,1,0,$R77-2),($M77+1)&amp;"$",OFFSET(U79,1,0,$R77-2)))</f>
        <v>0</v>
      </c>
      <c r="V79" s="212">
        <f ca="1">IF($R77=2,
         IF(AND(ACOMPANHAMENTO="PLE",ISNUMBER($F77)),
                SUMIF((OFFSET(CÁLCULO!$BC$15:$BU$15,$F77,0,OFFSET(ORÇAMENTO!$D$15,CRONO!$F77,0))),CRONO!V$12,OFFSET(CÁLCULO!$AJ$15:$BB$15,$F77,0,OFFSET(ORÇAMENTO!$D$15,CRONO!$F77,0)))
                +IF(AND($F79&lt;&gt;"",$F79&lt;&gt;0),
                        SUMIF(CÁLCULO!$BC$15:$BU$131,CRONO!V$12,CÁLCULO!$AJ$15:$BB$131)/(ORÇAMENTO!$X$15-CÁLCULO.TotalAdmLocal)*CRONO!$F79,
                        0),
                 V78*$S77),
          SUMIF(OFFSET($S79,1,0,$R77-2),($M77+1)&amp;"$",OFFSET(V79,1,0,$R77-2)))</f>
        <v>0</v>
      </c>
      <c r="W79" s="212">
        <f ca="1">IF($R77=2,
         IF(AND(ACOMPANHAMENTO="PLE",ISNUMBER($F77)),
                SUMIF((OFFSET(CÁLCULO!$BC$15:$BU$15,$F77,0,OFFSET(ORÇAMENTO!$D$15,CRONO!$F77,0))),CRONO!W$12,OFFSET(CÁLCULO!$AJ$15:$BB$15,$F77,0,OFFSET(ORÇAMENTO!$D$15,CRONO!$F77,0)))
                +IF(AND($F79&lt;&gt;"",$F79&lt;&gt;0),
                        SUMIF(CÁLCULO!$BC$15:$BU$131,CRONO!W$12,CÁLCULO!$AJ$15:$BB$131)/(ORÇAMENTO!$X$15-CÁLCULO.TotalAdmLocal)*CRONO!$F79,
                        0),
                 W78*$S77),
          SUMIF(OFFSET($S79,1,0,$R77-2),($M77+1)&amp;"$",OFFSET(W79,1,0,$R77-2)))</f>
        <v>0</v>
      </c>
      <c r="X79" s="212">
        <f ca="1">IF($R77=2,
         IF(AND(ACOMPANHAMENTO="PLE",ISNUMBER($F77)),
                SUMIF((OFFSET(CÁLCULO!$BC$15:$BU$15,$F77,0,OFFSET(ORÇAMENTO!$D$15,CRONO!$F77,0))),CRONO!X$12,OFFSET(CÁLCULO!$AJ$15:$BB$15,$F77,0,OFFSET(ORÇAMENTO!$D$15,CRONO!$F77,0)))
                +IF(AND($F79&lt;&gt;"",$F79&lt;&gt;0),
                        SUMIF(CÁLCULO!$BC$15:$BU$131,CRONO!X$12,CÁLCULO!$AJ$15:$BB$131)/(ORÇAMENTO!$X$15-CÁLCULO.TotalAdmLocal)*CRONO!$F79,
                        0),
                 X78*$S77),
          SUMIF(OFFSET($S79,1,0,$R77-2),($M77+1)&amp;"$",OFFSET(X79,1,0,$R77-2)))</f>
        <v>0</v>
      </c>
      <c r="Y79" s="212">
        <f ca="1">IF($R77=2,
         IF(AND(ACOMPANHAMENTO="PLE",ISNUMBER($F77)),
                SUMIF((OFFSET(CÁLCULO!$BC$15:$BU$15,$F77,0,OFFSET(ORÇAMENTO!$D$15,CRONO!$F77,0))),CRONO!Y$12,OFFSET(CÁLCULO!$AJ$15:$BB$15,$F77,0,OFFSET(ORÇAMENTO!$D$15,CRONO!$F77,0)))
                +IF(AND($F79&lt;&gt;"",$F79&lt;&gt;0),
                        SUMIF(CÁLCULO!$BC$15:$BU$131,CRONO!Y$12,CÁLCULO!$AJ$15:$BB$131)/(ORÇAMENTO!$X$15-CÁLCULO.TotalAdmLocal)*CRONO!$F79,
                        0),
                 Y78*$S77),
          SUMIF(OFFSET($S79,1,0,$R77-2),($M77+1)&amp;"$",OFFSET(Y79,1,0,$R77-2)))</f>
        <v>0</v>
      </c>
      <c r="Z79" s="212">
        <f ca="1">IF($R77=2,
         IF(AND(ACOMPANHAMENTO="PLE",ISNUMBER($F77)),
                SUMIF((OFFSET(CÁLCULO!$BC$15:$BU$15,$F77,0,OFFSET(ORÇAMENTO!$D$15,CRONO!$F77,0))),CRONO!Z$12,OFFSET(CÁLCULO!$AJ$15:$BB$15,$F77,0,OFFSET(ORÇAMENTO!$D$15,CRONO!$F77,0)))
                +IF(AND($F79&lt;&gt;"",$F79&lt;&gt;0),
                        SUMIF(CÁLCULO!$BC$15:$BU$131,CRONO!Z$12,CÁLCULO!$AJ$15:$BB$131)/(ORÇAMENTO!$X$15-CÁLCULO.TotalAdmLocal)*CRONO!$F79,
                        0),
                 Z78*$S77),
          SUMIF(OFFSET($S79,1,0,$R77-2),($M77+1)&amp;"$",OFFSET(Z79,1,0,$R77-2)))</f>
        <v>0</v>
      </c>
      <c r="AA79" s="212">
        <f ca="1">IF($R77=2,
         IF(AND(ACOMPANHAMENTO="PLE",ISNUMBER($F77)),
                SUMIF((OFFSET(CÁLCULO!$BC$15:$BU$15,$F77,0,OFFSET(ORÇAMENTO!$D$15,CRONO!$F77,0))),CRONO!AA$12,OFFSET(CÁLCULO!$AJ$15:$BB$15,$F77,0,OFFSET(ORÇAMENTO!$D$15,CRONO!$F77,0)))
                +IF(AND($F79&lt;&gt;"",$F79&lt;&gt;0),
                        SUMIF(CÁLCULO!$BC$15:$BU$131,CRONO!AA$12,CÁLCULO!$AJ$15:$BB$131)/(ORÇAMENTO!$X$15-CÁLCULO.TotalAdmLocal)*CRONO!$F79,
                        0),
                 AA78*$S77),
          SUMIF(OFFSET($S79,1,0,$R77-2),($M77+1)&amp;"$",OFFSET(AA79,1,0,$R77-2)))</f>
        <v>0</v>
      </c>
      <c r="AB79" s="212">
        <f ca="1">IF($R77=2,
         IF(AND(ACOMPANHAMENTO="PLE",ISNUMBER($F77)),
                SUMIF((OFFSET(CÁLCULO!$BC$15:$BU$15,$F77,0,OFFSET(ORÇAMENTO!$D$15,CRONO!$F77,0))),CRONO!AB$12,OFFSET(CÁLCULO!$AJ$15:$BB$15,$F77,0,OFFSET(ORÇAMENTO!$D$15,CRONO!$F77,0)))
                +IF(AND($F79&lt;&gt;"",$F79&lt;&gt;0),
                        SUMIF(CÁLCULO!$BC$15:$BU$131,CRONO!AB$12,CÁLCULO!$AJ$15:$BB$131)/(ORÇAMENTO!$X$15-CÁLCULO.TotalAdmLocal)*CRONO!$F79,
                        0),
                 AB78*$S77),
          SUMIF(OFFSET($S79,1,0,$R77-2),($M77+1)&amp;"$",OFFSET(AB79,1,0,$R77-2)))</f>
        <v>0</v>
      </c>
      <c r="AC79" s="212">
        <f ca="1">IF($R77=2,
         IF(AND(ACOMPANHAMENTO="PLE",ISNUMBER($F77)),
                SUMIF((OFFSET(CÁLCULO!$BC$15:$BU$15,$F77,0,OFFSET(ORÇAMENTO!$D$15,CRONO!$F77,0))),CRONO!AC$12,OFFSET(CÁLCULO!$AJ$15:$BB$15,$F77,0,OFFSET(ORÇAMENTO!$D$15,CRONO!$F77,0)))
                +IF(AND($F79&lt;&gt;"",$F79&lt;&gt;0),
                        SUMIF(CÁLCULO!$BC$15:$BU$131,CRONO!AC$12,CÁLCULO!$AJ$15:$BB$131)/(ORÇAMENTO!$X$15-CÁLCULO.TotalAdmLocal)*CRONO!$F79,
                        0),
                 AC78*$S77),
          SUMIF(OFFSET($S79,1,0,$R77-2),($M77+1)&amp;"$",OFFSET(AC79,1,0,$R77-2)))</f>
        <v>0</v>
      </c>
      <c r="AD79" s="212">
        <f ca="1">IF($R77=2,
         IF(AND(ACOMPANHAMENTO="PLE",ISNUMBER($F77)),
                SUMIF((OFFSET(CÁLCULO!$BC$15:$BU$15,$F77,0,OFFSET(ORÇAMENTO!$D$15,CRONO!$F77,0))),CRONO!AD$12,OFFSET(CÁLCULO!$AJ$15:$BB$15,$F77,0,OFFSET(ORÇAMENTO!$D$15,CRONO!$F77,0)))
                +IF(AND($F79&lt;&gt;"",$F79&lt;&gt;0),
                        SUMIF(CÁLCULO!$BC$15:$BU$131,CRONO!AD$12,CÁLCULO!$AJ$15:$BB$131)/(ORÇAMENTO!$X$15-CÁLCULO.TotalAdmLocal)*CRONO!$F79,
                        0),
                 AD78*$S77),
          SUMIF(OFFSET($S79,1,0,$R77-2),($M77+1)&amp;"$",OFFSET(AD79,1,0,$R77-2)))</f>
        <v>0</v>
      </c>
      <c r="AE79" s="212">
        <f ca="1">IF($R77=2,
         IF(AND(ACOMPANHAMENTO="PLE",ISNUMBER($F77)),
                SUMIF((OFFSET(CÁLCULO!$BC$15:$BU$15,$F77,0,OFFSET(ORÇAMENTO!$D$15,CRONO!$F77,0))),CRONO!AE$12,OFFSET(CÁLCULO!$AJ$15:$BB$15,$F77,0,OFFSET(ORÇAMENTO!$D$15,CRONO!$F77,0)))
                +IF(AND($F79&lt;&gt;"",$F79&lt;&gt;0),
                        SUMIF(CÁLCULO!$BC$15:$BU$131,CRONO!AE$12,CÁLCULO!$AJ$15:$BB$131)/(ORÇAMENTO!$X$15-CÁLCULO.TotalAdmLocal)*CRONO!$F79,
                        0),
                 AE78*$S77),
          SUMIF(OFFSET($S79,1,0,$R77-2),($M77+1)&amp;"$",OFFSET(AE79,1,0,$R77-2)))</f>
        <v>0</v>
      </c>
      <c r="AF79" s="212">
        <f ca="1">IF($R77=2,
         IF(AND(ACOMPANHAMENTO="PLE",ISNUMBER($F77)),
                SUMIF((OFFSET(CÁLCULO!$BC$15:$BU$15,$F77,0,OFFSET(ORÇAMENTO!$D$15,CRONO!$F77,0))),CRONO!AF$12,OFFSET(CÁLCULO!$AJ$15:$BB$15,$F77,0,OFFSET(ORÇAMENTO!$D$15,CRONO!$F77,0)))
                +IF(AND($F79&lt;&gt;"",$F79&lt;&gt;0),
                        SUMIF(CÁLCULO!$BC$15:$BU$131,CRONO!AF$12,CÁLCULO!$AJ$15:$BB$131)/(ORÇAMENTO!$X$15-CÁLCULO.TotalAdmLocal)*CRONO!$F79,
                        0),
                 AF78*$S77),
          SUMIF(OFFSET($S79,1,0,$R77-2),($M77+1)&amp;"$",OFFSET(AF79,1,0,$R77-2)))</f>
        <v>0</v>
      </c>
      <c r="AG79" s="212">
        <f ca="1">IF($R77=2,
         IF(AND(ACOMPANHAMENTO="PLE",ISNUMBER($F77)),
                SUMIF((OFFSET(CÁLCULO!$BC$15:$BU$15,$F77,0,OFFSET(ORÇAMENTO!$D$15,CRONO!$F77,0))),CRONO!AG$12,OFFSET(CÁLCULO!$AJ$15:$BB$15,$F77,0,OFFSET(ORÇAMENTO!$D$15,CRONO!$F77,0)))
                +IF(AND($F79&lt;&gt;"",$F79&lt;&gt;0),
                        SUMIF(CÁLCULO!$BC$15:$BU$131,CRONO!AG$12,CÁLCULO!$AJ$15:$BB$131)/(ORÇAMENTO!$X$15-CÁLCULO.TotalAdmLocal)*CRONO!$F79,
                        0),
                 AG78*$S77),
          SUMIF(OFFSET($S79,1,0,$R77-2),($M77+1)&amp;"$",OFFSET(AG79,1,0,$R77-2)))</f>
        <v>0</v>
      </c>
      <c r="AH79" s="212">
        <f ca="1">IF($R77=2,
         IF(AND(ACOMPANHAMENTO="PLE",ISNUMBER($F77)),
                SUMIF((OFFSET(CÁLCULO!$BC$15:$BU$15,$F77,0,OFFSET(ORÇAMENTO!$D$15,CRONO!$F77,0))),CRONO!AH$12,OFFSET(CÁLCULO!$AJ$15:$BB$15,$F77,0,OFFSET(ORÇAMENTO!$D$15,CRONO!$F77,0)))
                +IF(AND($F79&lt;&gt;"",$F79&lt;&gt;0),
                        SUMIF(CÁLCULO!$BC$15:$BU$131,CRONO!AH$12,CÁLCULO!$AJ$15:$BB$131)/(ORÇAMENTO!$X$15-CÁLCULO.TotalAdmLocal)*CRONO!$F79,
                        0),
                 AH78*$S77),
          SUMIF(OFFSET($S79,1,0,$R77-2),($M77+1)&amp;"$",OFFSET(AH79,1,0,$R77-2)))</f>
        <v>0</v>
      </c>
      <c r="AI79" s="212">
        <f ca="1">IF($R77=2,
         IF(AND(ACOMPANHAMENTO="PLE",ISNUMBER($F77)),
                SUMIF((OFFSET(CÁLCULO!$BC$15:$BU$15,$F77,0,OFFSET(ORÇAMENTO!$D$15,CRONO!$F77,0))),CRONO!AI$12,OFFSET(CÁLCULO!$AJ$15:$BB$15,$F77,0,OFFSET(ORÇAMENTO!$D$15,CRONO!$F77,0)))
                +IF(AND($F79&lt;&gt;"",$F79&lt;&gt;0),
                        SUMIF(CÁLCULO!$BC$15:$BU$131,CRONO!AI$12,CÁLCULO!$AJ$15:$BB$131)/(ORÇAMENTO!$X$15-CÁLCULO.TotalAdmLocal)*CRONO!$F79,
                        0),
                 AI78*$S77),
          SUMIF(OFFSET($S79,1,0,$R77-2),($M77+1)&amp;"$",OFFSET(AI79,1,0,$R77-2)))</f>
        <v>0</v>
      </c>
      <c r="AJ79" s="212">
        <f ca="1">IF($R77=2,
         IF(AND(ACOMPANHAMENTO="PLE",ISNUMBER($F77)),
                SUMIF((OFFSET(CÁLCULO!$BC$15:$BU$15,$F77,0,OFFSET(ORÇAMENTO!$D$15,CRONO!$F77,0))),CRONO!AJ$12,OFFSET(CÁLCULO!$AJ$15:$BB$15,$F77,0,OFFSET(ORÇAMENTO!$D$15,CRONO!$F77,0)))
                +IF(AND($F79&lt;&gt;"",$F79&lt;&gt;0),
                        SUMIF(CÁLCULO!$BC$15:$BU$131,CRONO!AJ$12,CÁLCULO!$AJ$15:$BB$131)/(ORÇAMENTO!$X$15-CÁLCULO.TotalAdmLocal)*CRONO!$F79,
                        0),
                 AJ78*$S77),
          SUMIF(OFFSET($S79,1,0,$R77-2),($M77+1)&amp;"$",OFFSET(AJ79,1,0,$R77-2)))</f>
        <v>0</v>
      </c>
      <c r="AK79" s="212">
        <f ca="1">IF($R77=2,
         IF(AND(ACOMPANHAMENTO="PLE",ISNUMBER($F77)),
                SUMIF((OFFSET(CÁLCULO!$BC$15:$BU$15,$F77,0,OFFSET(ORÇAMENTO!$D$15,CRONO!$F77,0))),CRONO!AK$12,OFFSET(CÁLCULO!$AJ$15:$BB$15,$F77,0,OFFSET(ORÇAMENTO!$D$15,CRONO!$F77,0)))
                +IF(AND($F79&lt;&gt;"",$F79&lt;&gt;0),
                        SUMIF(CÁLCULO!$BC$15:$BU$131,CRONO!AK$12,CÁLCULO!$AJ$15:$BB$131)/(ORÇAMENTO!$X$15-CÁLCULO.TotalAdmLocal)*CRONO!$F79,
                        0),
                 AK78*$S77),
          SUMIF(OFFSET($S79,1,0,$R77-2),($M77+1)&amp;"$",OFFSET(AK79,1,0,$R77-2)))</f>
        <v>0</v>
      </c>
      <c r="AL79" s="212">
        <f ca="1">IF($R77=2,
         IF(AND(ACOMPANHAMENTO="PLE",ISNUMBER($F77)),
                SUMIF((OFFSET(CÁLCULO!$BC$15:$BU$15,$F77,0,OFFSET(ORÇAMENTO!$D$15,CRONO!$F77,0))),CRONO!AL$12,OFFSET(CÁLCULO!$AJ$15:$BB$15,$F77,0,OFFSET(ORÇAMENTO!$D$15,CRONO!$F77,0)))
                +IF(AND($F79&lt;&gt;"",$F79&lt;&gt;0),
                        SUMIF(CÁLCULO!$BC$15:$BU$131,CRONO!AL$12,CÁLCULO!$AJ$15:$BB$131)/(ORÇAMENTO!$X$15-CÁLCULO.TotalAdmLocal)*CRONO!$F79,
                        0),
                 AL78*$S77),
          SUMIF(OFFSET($S79,1,0,$R77-2),($M77+1)&amp;"$",OFFSET(AL79,1,0,$R77-2)))</f>
        <v>0</v>
      </c>
      <c r="AM79" s="212">
        <f ca="1">IF($R77=2,
         IF(AND(ACOMPANHAMENTO="PLE",ISNUMBER($F77)),
                SUMIF((OFFSET(CÁLCULO!$BC$15:$BU$15,$F77,0,OFFSET(ORÇAMENTO!$D$15,CRONO!$F77,0))),CRONO!AM$12,OFFSET(CÁLCULO!$AJ$15:$BB$15,$F77,0,OFFSET(ORÇAMENTO!$D$15,CRONO!$F77,0)))
                +IF(AND($F79&lt;&gt;"",$F79&lt;&gt;0),
                        SUMIF(CÁLCULO!$BC$15:$BU$131,CRONO!AM$12,CÁLCULO!$AJ$15:$BB$131)/(ORÇAMENTO!$X$15-CÁLCULO.TotalAdmLocal)*CRONO!$F79,
                        0),
                 AM78*$S77),
          SUMIF(OFFSET($S79,1,0,$R77-2),($M77+1)&amp;"$",OFFSET(AM79,1,0,$R77-2)))</f>
        <v>0</v>
      </c>
      <c r="AN79" s="212">
        <f ca="1">IF($R77=2,
         IF(AND(ACOMPANHAMENTO="PLE",ISNUMBER($F77)),
                SUMIF((OFFSET(CÁLCULO!$BC$15:$BU$15,$F77,0,OFFSET(ORÇAMENTO!$D$15,CRONO!$F77,0))),CRONO!AN$12,OFFSET(CÁLCULO!$AJ$15:$BB$15,$F77,0,OFFSET(ORÇAMENTO!$D$15,CRONO!$F77,0)))
                +IF(AND($F79&lt;&gt;"",$F79&lt;&gt;0),
                        SUMIF(CÁLCULO!$BC$15:$BU$131,CRONO!AN$12,CÁLCULO!$AJ$15:$BB$131)/(ORÇAMENTO!$X$15-CÁLCULO.TotalAdmLocal)*CRONO!$F79,
                        0),
                 AN78*$S77),
          SUMIF(OFFSET($S79,1,0,$R77-2),($M77+1)&amp;"$",OFFSET(AN79,1,0,$R77-2)))</f>
        <v>0</v>
      </c>
      <c r="AO79" s="212">
        <f ca="1">IF($R77=2,
         IF(AND(ACOMPANHAMENTO="PLE",ISNUMBER($F77)),
                SUMIF((OFFSET(CÁLCULO!$BC$15:$BU$15,$F77,0,OFFSET(ORÇAMENTO!$D$15,CRONO!$F77,0))),CRONO!AO$12,OFFSET(CÁLCULO!$AJ$15:$BB$15,$F77,0,OFFSET(ORÇAMENTO!$D$15,CRONO!$F77,0)))
                +IF(AND($F79&lt;&gt;"",$F79&lt;&gt;0),
                        SUMIF(CÁLCULO!$BC$15:$BU$131,CRONO!AO$12,CÁLCULO!$AJ$15:$BB$131)/(ORÇAMENTO!$X$15-CÁLCULO.TotalAdmLocal)*CRONO!$F79,
                        0),
                 AO78*$S77),
          SUMIF(OFFSET($S79,1,0,$R77-2),($M77+1)&amp;"$",OFFSET(AO79,1,0,$R77-2)))</f>
        <v>0</v>
      </c>
      <c r="AP79" s="212">
        <f ca="1">IF($R77=2,
         IF(AND(ACOMPANHAMENTO="PLE",ISNUMBER($F77)),
                SUMIF((OFFSET(CÁLCULO!$BC$15:$BU$15,$F77,0,OFFSET(ORÇAMENTO!$D$15,CRONO!$F77,0))),CRONO!AP$12,OFFSET(CÁLCULO!$AJ$15:$BB$15,$F77,0,OFFSET(ORÇAMENTO!$D$15,CRONO!$F77,0)))
                +IF(AND($F79&lt;&gt;"",$F79&lt;&gt;0),
                        SUMIF(CÁLCULO!$BC$15:$BU$131,CRONO!AP$12,CÁLCULO!$AJ$15:$BB$131)/(ORÇAMENTO!$X$15-CÁLCULO.TotalAdmLocal)*CRONO!$F79,
                        0),
                 AP78*$S77),
          SUMIF(OFFSET($S79,1,0,$R77-2),($M77+1)&amp;"$",OFFSET(AP79,1,0,$R77-2)))</f>
        <v>0</v>
      </c>
      <c r="AQ79" s="212">
        <f ca="1">IF($R77=2,
         IF(AND(ACOMPANHAMENTO="PLE",ISNUMBER($F77)),
                SUMIF((OFFSET(CÁLCULO!$BC$15:$BU$15,$F77,0,OFFSET(ORÇAMENTO!$D$15,CRONO!$F77,0))),CRONO!AQ$12,OFFSET(CÁLCULO!$AJ$15:$BB$15,$F77,0,OFFSET(ORÇAMENTO!$D$15,CRONO!$F77,0)))
                +IF(AND($F79&lt;&gt;"",$F79&lt;&gt;0),
                        SUMIF(CÁLCULO!$BC$15:$BU$131,CRONO!AQ$12,CÁLCULO!$AJ$15:$BB$131)/(ORÇAMENTO!$X$15-CÁLCULO.TotalAdmLocal)*CRONO!$F79,
                        0),
                 AQ78*$S77),
          SUMIF(OFFSET($S79,1,0,$R77-2),($M77+1)&amp;"$",OFFSET(AQ79,1,0,$R77-2)))</f>
        <v>0</v>
      </c>
      <c r="AR79" s="212">
        <f ca="1">IF($R77=2,
         IF(AND(ACOMPANHAMENTO="PLE",ISNUMBER($F77)),
                SUMIF((OFFSET(CÁLCULO!$BC$15:$BU$15,$F77,0,OFFSET(ORÇAMENTO!$D$15,CRONO!$F77,0))),CRONO!AR$12,OFFSET(CÁLCULO!$AJ$15:$BB$15,$F77,0,OFFSET(ORÇAMENTO!$D$15,CRONO!$F77,0)))
                +IF(AND($F79&lt;&gt;"",$F79&lt;&gt;0),
                        SUMIF(CÁLCULO!$BC$15:$BU$131,CRONO!AR$12,CÁLCULO!$AJ$15:$BB$131)/(ORÇAMENTO!$X$15-CÁLCULO.TotalAdmLocal)*CRONO!$F79,
                        0),
                 AR78*$S77),
          SUMIF(OFFSET($S79,1,0,$R77-2),($M77+1)&amp;"$",OFFSET(AR79,1,0,$R77-2)))</f>
        <v>0</v>
      </c>
      <c r="AS79" s="577"/>
    </row>
    <row r="80" spans="1:45" x14ac:dyDescent="0.2">
      <c r="A80" s="196" t="str">
        <f t="shared" ref="A80" ca="1" si="134">IF($M80&gt;1,CONCATENATE($I80," ",$J80),"")</f>
        <v/>
      </c>
      <c r="B80" s="195">
        <f t="shared" ref="B80" ca="1" si="135">OFFSET(B80,-3,0)+1</f>
        <v>23</v>
      </c>
      <c r="C80" s="195">
        <f ca="1">IF($R80&lt;&gt;2,0,IF($S80=0,1,IF(F81&gt;0,OFFSET(QCI!$M$13,SUBSTITUTE(F81,".",""),0),OFFSET(ORÇAMENTO!$AA$15,CRONO!$F80,0))/$S80))</f>
        <v>1</v>
      </c>
      <c r="D80" s="195">
        <f ca="1">IF($R80&lt;&gt;2,0,IF($S80=0,1,IF(F81&gt;0,OFFSET(QCI!$N$13,SUBSTITUTE(F81,".",""),0),OFFSET(ORÇAMENTO!$AB$15,CRONO!$F80,0))/$S80))</f>
        <v>1</v>
      </c>
      <c r="E80" s="198" t="e">
        <f ca="1">IF(AND($R80=2,ACOMPANHAMENTO="BM"),ROUND(E81,4),E82/$S80)</f>
        <v>#DIV/0!</v>
      </c>
      <c r="F80" s="195" t="e">
        <f ca="1">IF(B80&lt;=ORÇAMENTO.MáximoListaCrono,MATCH(B80,ORÇAMENTO.ListaCrono,0),NA())</f>
        <v>#N/A</v>
      </c>
      <c r="G80" s="195" t="str">
        <f t="shared" ref="G80" ca="1" si="136">IF(AND($F81&lt;&gt;-1,$S80&gt;0),"F","")</f>
        <v/>
      </c>
      <c r="H80" s="199" t="str">
        <f ca="1">IF(OR(S80=0,S80=""),"Linha",IF(AND(OR(ACOMPANHAMENTO="PLE",$R80&lt;&gt;2),$F81=0),"Linha",ROUND(1-SUM(U80:AS80),4)))</f>
        <v>Linha</v>
      </c>
      <c r="I80" s="200">
        <f ca="1">IF($F81=0,OFFSET(ORÇAMENTO!O$15,$F80,0),IF($F81&lt;&gt;-1,OFFSET(QCI!$D$13,$F81,0),""))</f>
        <v>10</v>
      </c>
      <c r="J80" s="201" t="str">
        <f ca="1">IF($F81=0,OFFSET(ORÇAMENTO!R$15,$F80,0),IF($F81&lt;&gt;-1,OFFSET(QCI!$G$13,$F81,0),""))</f>
        <v/>
      </c>
      <c r="K80" s="201"/>
      <c r="L80" s="201"/>
      <c r="M80" s="202">
        <f ca="1">IF($F81=0,OFFSET(ORÇAMENTO!C$15,$F80,0),1)</f>
        <v>1</v>
      </c>
      <c r="N80" s="203">
        <f ca="1">IF($F81=-1,0,IF(N$13&lt;=$M80,IF(ISERROR(MATCH(N$13,OFFSET($M80,1,0,ROW($M$107)-ROW($M80)-1),0)),ROW($M$107)-ROW($M80)-1,MATCH(N$13,OFFSET($M80,1,0,ROW($M$107)-ROW($M80)-1),0)-1),0))</f>
        <v>2</v>
      </c>
      <c r="O80" s="203">
        <f ca="1">IF($F81=-1,0,IF(O$13&lt;=$M80,IF(ISERROR(MATCH(O$13,OFFSET($M80,1,0,ROW($M$107)-ROW($M80)-1),0)),ROW($M$107)-ROW($M80)-1,MATCH(O$13,OFFSET($M80,1,0,ROW($M$107)-ROW($M80)-1),0)-1),0))</f>
        <v>0</v>
      </c>
      <c r="P80" s="203">
        <f ca="1">IF($F81=-1,0,IF(P$13&lt;=$M80,IF(ISERROR(MATCH(P$13,OFFSET($M80,1,0,ROW($M$107)-ROW($M80)-1),0)),ROW($M$107)-ROW($M80)-1,MATCH(P$13,OFFSET($M80,1,0,ROW($M$107)-ROW($M80)-1),0)-1),0))</f>
        <v>0</v>
      </c>
      <c r="Q80" s="203">
        <f ca="1">IF($F81=-1,0,IF(Q$13&lt;=$M80,IF(ISERROR(MATCH(Q$13,OFFSET($M80,1,0,ROW($M$107)-ROW($M80)-1),0)),ROW($M$107)-ROW($M80)-1,MATCH(Q$13,OFFSET($M80,1,0,ROW($M$107)-ROW($M80)-1),0)-1),0))</f>
        <v>0</v>
      </c>
      <c r="R80" s="203">
        <f t="shared" ref="R80" ca="1" si="137">MIN(OFFSET(M80,0,1,,M80))</f>
        <v>2</v>
      </c>
      <c r="S80" s="204">
        <f ca="1">IF($F81=0,OFFSET(ORÇAMENTO!X$15,$F80,0),IF($F81&lt;&gt;-1,OFFSET(QCI!$O$13,$F81,0),""))</f>
        <v>0</v>
      </c>
      <c r="T80" s="205" t="s">
        <v>266</v>
      </c>
      <c r="U80" s="198" t="e">
        <f ca="1">IF(AND($R80=2,ACOMPANHAMENTO="BM"),ROUND(U81,4),U82/$S80)</f>
        <v>#DIV/0!</v>
      </c>
      <c r="V80" s="198" t="e">
        <f ca="1">IF(AND($R80=2,ACOMPANHAMENTO="BM"),ROUND(V81,4),V82/$S80)</f>
        <v>#DIV/0!</v>
      </c>
      <c r="W80" s="198" t="e">
        <f ca="1">IF(AND($R80=2,ACOMPANHAMENTO="BM"),ROUND(W81,4),W82/$S80)</f>
        <v>#DIV/0!</v>
      </c>
      <c r="X80" s="198" t="e">
        <f ca="1">IF(AND($R80=2,ACOMPANHAMENTO="BM"),ROUND(X81,4),X82/$S80)</f>
        <v>#DIV/0!</v>
      </c>
      <c r="Y80" s="198" t="e">
        <f ca="1">IF(AND($R80=2,ACOMPANHAMENTO="BM"),ROUND(Y81,4),Y82/$S80)</f>
        <v>#DIV/0!</v>
      </c>
      <c r="Z80" s="198" t="e">
        <f ca="1">IF(AND($R80=2,ACOMPANHAMENTO="BM"),ROUND(Z81,4),Z82/$S80)</f>
        <v>#DIV/0!</v>
      </c>
      <c r="AA80" s="198" t="e">
        <f ca="1">IF(AND($R80=2,ACOMPANHAMENTO="BM"),ROUND(AA81,4),AA82/$S80)</f>
        <v>#DIV/0!</v>
      </c>
      <c r="AB80" s="198" t="e">
        <f ca="1">IF(AND($R80=2,ACOMPANHAMENTO="BM"),ROUND(AB81,4),AB82/$S80)</f>
        <v>#DIV/0!</v>
      </c>
      <c r="AC80" s="198" t="e">
        <f ca="1">IF(AND($R80=2,ACOMPANHAMENTO="BM"),ROUND(AC81,4),AC82/$S80)</f>
        <v>#DIV/0!</v>
      </c>
      <c r="AD80" s="198" t="e">
        <f ca="1">IF(AND($R80=2,ACOMPANHAMENTO="BM"),ROUND(AD81,4),AD82/$S80)</f>
        <v>#DIV/0!</v>
      </c>
      <c r="AE80" s="198" t="e">
        <f ca="1">IF(AND($R80=2,ACOMPANHAMENTO="BM"),ROUND(AE81,4),AE82/$S80)</f>
        <v>#DIV/0!</v>
      </c>
      <c r="AF80" s="198" t="e">
        <f ca="1">IF(AND($R80=2,ACOMPANHAMENTO="BM"),ROUND(AF81,4),AF82/$S80)</f>
        <v>#DIV/0!</v>
      </c>
      <c r="AG80" s="198" t="e">
        <f ca="1">IF(AND($R80=2,ACOMPANHAMENTO="BM"),ROUND(AG81,4),AG82/$S80)</f>
        <v>#DIV/0!</v>
      </c>
      <c r="AH80" s="198" t="e">
        <f ca="1">IF(AND($R80=2,ACOMPANHAMENTO="BM"),ROUND(AH81,4),AH82/$S80)</f>
        <v>#DIV/0!</v>
      </c>
      <c r="AI80" s="198" t="e">
        <f ca="1">IF(AND($R80=2,ACOMPANHAMENTO="BM"),ROUND(AI81,4),AI82/$S80)</f>
        <v>#DIV/0!</v>
      </c>
      <c r="AJ80" s="198" t="e">
        <f ca="1">IF(AND($R80=2,ACOMPANHAMENTO="BM"),ROUND(AJ81,4),AJ82/$S80)</f>
        <v>#DIV/0!</v>
      </c>
      <c r="AK80" s="198" t="e">
        <f ca="1">IF(AND($R80=2,ACOMPANHAMENTO="BM"),ROUND(AK81,4),AK82/$S80)</f>
        <v>#DIV/0!</v>
      </c>
      <c r="AL80" s="198" t="e">
        <f ca="1">IF(AND($R80=2,ACOMPANHAMENTO="BM"),ROUND(AL81,4),AL82/$S80)</f>
        <v>#DIV/0!</v>
      </c>
      <c r="AM80" s="198" t="e">
        <f ca="1">IF(AND($R80=2,ACOMPANHAMENTO="BM"),ROUND(AM81,4),AM82/$S80)</f>
        <v>#DIV/0!</v>
      </c>
      <c r="AN80" s="198" t="e">
        <f ca="1">IF(AND($R80=2,ACOMPANHAMENTO="BM"),ROUND(AN81,4),AN82/$S80)</f>
        <v>#DIV/0!</v>
      </c>
      <c r="AO80" s="198" t="e">
        <f ca="1">IF(AND($R80=2,ACOMPANHAMENTO="BM"),ROUND(AO81,4),AO82/$S80)</f>
        <v>#DIV/0!</v>
      </c>
      <c r="AP80" s="198" t="e">
        <f ca="1">IF(AND($R80=2,ACOMPANHAMENTO="BM"),ROUND(AP81,4),AP82/$S80)</f>
        <v>#DIV/0!</v>
      </c>
      <c r="AQ80" s="198" t="e">
        <f ca="1">IF(AND($R80=2,ACOMPANHAMENTO="BM"),ROUND(AQ81,4),AQ82/$S80)</f>
        <v>#DIV/0!</v>
      </c>
      <c r="AR80" s="198" t="e">
        <f ca="1">IF(AND($R80=2,ACOMPANHAMENTO="BM"),ROUND(AR81,4),AR82/$S80)</f>
        <v>#DIV/0!</v>
      </c>
      <c r="AS80" s="577"/>
    </row>
    <row r="81" spans="1:45" ht="12.75" hidden="1" customHeight="1" x14ac:dyDescent="0.2">
      <c r="E81" s="645"/>
      <c r="F81" s="195">
        <f ca="1">IF(ISERROR(F80),IF(1+COUNTIF($M$13:OFFSET(M80,-1,0),1)&lt;=MAX(QCI!$D$13:$D$24),1+COUNTIF($M$13:OFFSET(M80,-1,0),1),-1),0)</f>
        <v>10</v>
      </c>
      <c r="G81" s="195" t="str">
        <f ca="1">IF(ACOMPANHAMENTO="BM",OFFSET(G81,-1,0),"")</f>
        <v/>
      </c>
      <c r="H81" s="206" t="str">
        <f ca="1">IF(OR(S80=0,S80=""),"vazia",IF(AND(OR(ACOMPANHAMENTO="PLE",$R80&lt;&gt;2),$F81=0),"calculada","--&gt;"))</f>
        <v>vazia</v>
      </c>
      <c r="I81" s="207"/>
      <c r="J81" s="208" t="str">
        <f t="shared" ref="J81" ca="1" si="138">IF(AND(H80&lt;&gt;0,ISNUMBER(H80)),"PREENCHA ESTA LINHA --&gt;","")</f>
        <v/>
      </c>
      <c r="K81" s="208"/>
      <c r="L81" s="208"/>
      <c r="M81" s="209"/>
      <c r="N81" s="209"/>
      <c r="O81" s="209"/>
      <c r="P81" s="209"/>
      <c r="Q81" s="209"/>
      <c r="R81" s="209"/>
      <c r="S81" s="210"/>
      <c r="T81" s="211"/>
      <c r="U81" s="645"/>
      <c r="V81" s="645"/>
      <c r="W81" s="645"/>
      <c r="X81" s="645"/>
      <c r="Y81" s="645"/>
      <c r="Z81" s="645"/>
      <c r="AA81" s="645"/>
      <c r="AB81" s="645"/>
      <c r="AC81" s="645"/>
      <c r="AD81" s="645"/>
      <c r="AE81" s="645"/>
      <c r="AF81" s="645"/>
      <c r="AG81" s="645"/>
      <c r="AH81" s="645"/>
      <c r="AI81" s="645"/>
      <c r="AJ81" s="645"/>
      <c r="AK81" s="645"/>
      <c r="AL81" s="645"/>
      <c r="AM81" s="645"/>
      <c r="AN81" s="645"/>
      <c r="AO81" s="645"/>
      <c r="AP81" s="645"/>
      <c r="AQ81" s="645"/>
      <c r="AR81" s="645"/>
      <c r="AS81" s="577"/>
    </row>
    <row r="82" spans="1:45" ht="12.75" hidden="1" customHeight="1" x14ac:dyDescent="0.2">
      <c r="D82" s="576"/>
      <c r="E82" s="212">
        <f ca="1">IF($R80=2,
         IF(AND(ACOMPANHAMENTO="PLE",ISNUMBER($F80)),
                SUMIF((OFFSET(CÁLCULO!$BC$15:$BU$15,$F80,0,OFFSET(ORÇAMENTO!$D$15,CRONO!$F80,0))),CRONO!E$12,OFFSET(CÁLCULO!$AJ$15:$BB$15,$F80,0,OFFSET(ORÇAMENTO!$D$15,CRONO!$F80,0)))
                +IF(AND($F82&lt;&gt;"",$F82&lt;&gt;0),
                        SUMIF(CÁLCULO!$BC$15:$BU$131,CRONO!E$12,CÁLCULO!$AJ$15:$BB$131)/(ORÇAMENTO!$X$15-CÁLCULO.TotalAdmLocal)*CRONO!$F82,
                        0),
                 E81*$S80),
          SUMIF(OFFSET($S82,1,0,$R80-2),($M80+1)&amp;"$",OFFSET(E82,1,0,$R80-2)))</f>
        <v>0</v>
      </c>
      <c r="F82" s="195" t="str">
        <f ca="1">IF(OR($R80&lt;&gt;2,AUTOEVENTO&lt;&gt;"manual",$F81&gt;0),"",
        IF(Import.TipoArredondamento="Tradicional",
              SUMIF(OFFSET(CÁLCULO!$M$15,CRONO!$F80,0,OFFSET(ORÇAMENTO!$D$15,CRONO!$F80,0)),1,OFFSET(ORÇAMENTO!$X$15,CRONO!$F80,0,OFFSET(ORÇAMENTO!$D$15,CRONO!$F80,0))),
              0))</f>
        <v/>
      </c>
      <c r="H82" s="213"/>
      <c r="S82" s="214" t="str">
        <f t="shared" ref="S82" ca="1" si="139">M80&amp;"$"</f>
        <v>1$</v>
      </c>
      <c r="T82" s="215"/>
      <c r="U82" s="212">
        <f ca="1">IF($R80=2,
         IF(AND(ACOMPANHAMENTO="PLE",ISNUMBER($F80)),
                SUMIF((OFFSET(CÁLCULO!$BC$15:$BU$15,$F80,0,OFFSET(ORÇAMENTO!$D$15,CRONO!$F80,0))),CRONO!U$12,OFFSET(CÁLCULO!$AJ$15:$BB$15,$F80,0,OFFSET(ORÇAMENTO!$D$15,CRONO!$F80,0)))
                +IF(AND($F82&lt;&gt;"",$F82&lt;&gt;0),
                        SUMIF(CÁLCULO!$BC$15:$BU$131,CRONO!U$12,CÁLCULO!$AJ$15:$BB$131)/(ORÇAMENTO!$X$15-CÁLCULO.TotalAdmLocal)*CRONO!$F82,
                        0),
                 U81*$S80),
          SUMIF(OFFSET($S82,1,0,$R80-2),($M80+1)&amp;"$",OFFSET(U82,1,0,$R80-2)))</f>
        <v>0</v>
      </c>
      <c r="V82" s="212">
        <f ca="1">IF($R80=2,
         IF(AND(ACOMPANHAMENTO="PLE",ISNUMBER($F80)),
                SUMIF((OFFSET(CÁLCULO!$BC$15:$BU$15,$F80,0,OFFSET(ORÇAMENTO!$D$15,CRONO!$F80,0))),CRONO!V$12,OFFSET(CÁLCULO!$AJ$15:$BB$15,$F80,0,OFFSET(ORÇAMENTO!$D$15,CRONO!$F80,0)))
                +IF(AND($F82&lt;&gt;"",$F82&lt;&gt;0),
                        SUMIF(CÁLCULO!$BC$15:$BU$131,CRONO!V$12,CÁLCULO!$AJ$15:$BB$131)/(ORÇAMENTO!$X$15-CÁLCULO.TotalAdmLocal)*CRONO!$F82,
                        0),
                 V81*$S80),
          SUMIF(OFFSET($S82,1,0,$R80-2),($M80+1)&amp;"$",OFFSET(V82,1,0,$R80-2)))</f>
        <v>0</v>
      </c>
      <c r="W82" s="212">
        <f ca="1">IF($R80=2,
         IF(AND(ACOMPANHAMENTO="PLE",ISNUMBER($F80)),
                SUMIF((OFFSET(CÁLCULO!$BC$15:$BU$15,$F80,0,OFFSET(ORÇAMENTO!$D$15,CRONO!$F80,0))),CRONO!W$12,OFFSET(CÁLCULO!$AJ$15:$BB$15,$F80,0,OFFSET(ORÇAMENTO!$D$15,CRONO!$F80,0)))
                +IF(AND($F82&lt;&gt;"",$F82&lt;&gt;0),
                        SUMIF(CÁLCULO!$BC$15:$BU$131,CRONO!W$12,CÁLCULO!$AJ$15:$BB$131)/(ORÇAMENTO!$X$15-CÁLCULO.TotalAdmLocal)*CRONO!$F82,
                        0),
                 W81*$S80),
          SUMIF(OFFSET($S82,1,0,$R80-2),($M80+1)&amp;"$",OFFSET(W82,1,0,$R80-2)))</f>
        <v>0</v>
      </c>
      <c r="X82" s="212">
        <f ca="1">IF($R80=2,
         IF(AND(ACOMPANHAMENTO="PLE",ISNUMBER($F80)),
                SUMIF((OFFSET(CÁLCULO!$BC$15:$BU$15,$F80,0,OFFSET(ORÇAMENTO!$D$15,CRONO!$F80,0))),CRONO!X$12,OFFSET(CÁLCULO!$AJ$15:$BB$15,$F80,0,OFFSET(ORÇAMENTO!$D$15,CRONO!$F80,0)))
                +IF(AND($F82&lt;&gt;"",$F82&lt;&gt;0),
                        SUMIF(CÁLCULO!$BC$15:$BU$131,CRONO!X$12,CÁLCULO!$AJ$15:$BB$131)/(ORÇAMENTO!$X$15-CÁLCULO.TotalAdmLocal)*CRONO!$F82,
                        0),
                 X81*$S80),
          SUMIF(OFFSET($S82,1,0,$R80-2),($M80+1)&amp;"$",OFFSET(X82,1,0,$R80-2)))</f>
        <v>0</v>
      </c>
      <c r="Y82" s="212">
        <f ca="1">IF($R80=2,
         IF(AND(ACOMPANHAMENTO="PLE",ISNUMBER($F80)),
                SUMIF((OFFSET(CÁLCULO!$BC$15:$BU$15,$F80,0,OFFSET(ORÇAMENTO!$D$15,CRONO!$F80,0))),CRONO!Y$12,OFFSET(CÁLCULO!$AJ$15:$BB$15,$F80,0,OFFSET(ORÇAMENTO!$D$15,CRONO!$F80,0)))
                +IF(AND($F82&lt;&gt;"",$F82&lt;&gt;0),
                        SUMIF(CÁLCULO!$BC$15:$BU$131,CRONO!Y$12,CÁLCULO!$AJ$15:$BB$131)/(ORÇAMENTO!$X$15-CÁLCULO.TotalAdmLocal)*CRONO!$F82,
                        0),
                 Y81*$S80),
          SUMIF(OFFSET($S82,1,0,$R80-2),($M80+1)&amp;"$",OFFSET(Y82,1,0,$R80-2)))</f>
        <v>0</v>
      </c>
      <c r="Z82" s="212">
        <f ca="1">IF($R80=2,
         IF(AND(ACOMPANHAMENTO="PLE",ISNUMBER($F80)),
                SUMIF((OFFSET(CÁLCULO!$BC$15:$BU$15,$F80,0,OFFSET(ORÇAMENTO!$D$15,CRONO!$F80,0))),CRONO!Z$12,OFFSET(CÁLCULO!$AJ$15:$BB$15,$F80,0,OFFSET(ORÇAMENTO!$D$15,CRONO!$F80,0)))
                +IF(AND($F82&lt;&gt;"",$F82&lt;&gt;0),
                        SUMIF(CÁLCULO!$BC$15:$BU$131,CRONO!Z$12,CÁLCULO!$AJ$15:$BB$131)/(ORÇAMENTO!$X$15-CÁLCULO.TotalAdmLocal)*CRONO!$F82,
                        0),
                 Z81*$S80),
          SUMIF(OFFSET($S82,1,0,$R80-2),($M80+1)&amp;"$",OFFSET(Z82,1,0,$R80-2)))</f>
        <v>0</v>
      </c>
      <c r="AA82" s="212">
        <f ca="1">IF($R80=2,
         IF(AND(ACOMPANHAMENTO="PLE",ISNUMBER($F80)),
                SUMIF((OFFSET(CÁLCULO!$BC$15:$BU$15,$F80,0,OFFSET(ORÇAMENTO!$D$15,CRONO!$F80,0))),CRONO!AA$12,OFFSET(CÁLCULO!$AJ$15:$BB$15,$F80,0,OFFSET(ORÇAMENTO!$D$15,CRONO!$F80,0)))
                +IF(AND($F82&lt;&gt;"",$F82&lt;&gt;0),
                        SUMIF(CÁLCULO!$BC$15:$BU$131,CRONO!AA$12,CÁLCULO!$AJ$15:$BB$131)/(ORÇAMENTO!$X$15-CÁLCULO.TotalAdmLocal)*CRONO!$F82,
                        0),
                 AA81*$S80),
          SUMIF(OFFSET($S82,1,0,$R80-2),($M80+1)&amp;"$",OFFSET(AA82,1,0,$R80-2)))</f>
        <v>0</v>
      </c>
      <c r="AB82" s="212">
        <f ca="1">IF($R80=2,
         IF(AND(ACOMPANHAMENTO="PLE",ISNUMBER($F80)),
                SUMIF((OFFSET(CÁLCULO!$BC$15:$BU$15,$F80,0,OFFSET(ORÇAMENTO!$D$15,CRONO!$F80,0))),CRONO!AB$12,OFFSET(CÁLCULO!$AJ$15:$BB$15,$F80,0,OFFSET(ORÇAMENTO!$D$15,CRONO!$F80,0)))
                +IF(AND($F82&lt;&gt;"",$F82&lt;&gt;0),
                        SUMIF(CÁLCULO!$BC$15:$BU$131,CRONO!AB$12,CÁLCULO!$AJ$15:$BB$131)/(ORÇAMENTO!$X$15-CÁLCULO.TotalAdmLocal)*CRONO!$F82,
                        0),
                 AB81*$S80),
          SUMIF(OFFSET($S82,1,0,$R80-2),($M80+1)&amp;"$",OFFSET(AB82,1,0,$R80-2)))</f>
        <v>0</v>
      </c>
      <c r="AC82" s="212">
        <f ca="1">IF($R80=2,
         IF(AND(ACOMPANHAMENTO="PLE",ISNUMBER($F80)),
                SUMIF((OFFSET(CÁLCULO!$BC$15:$BU$15,$F80,0,OFFSET(ORÇAMENTO!$D$15,CRONO!$F80,0))),CRONO!AC$12,OFFSET(CÁLCULO!$AJ$15:$BB$15,$F80,0,OFFSET(ORÇAMENTO!$D$15,CRONO!$F80,0)))
                +IF(AND($F82&lt;&gt;"",$F82&lt;&gt;0),
                        SUMIF(CÁLCULO!$BC$15:$BU$131,CRONO!AC$12,CÁLCULO!$AJ$15:$BB$131)/(ORÇAMENTO!$X$15-CÁLCULO.TotalAdmLocal)*CRONO!$F82,
                        0),
                 AC81*$S80),
          SUMIF(OFFSET($S82,1,0,$R80-2),($M80+1)&amp;"$",OFFSET(AC82,1,0,$R80-2)))</f>
        <v>0</v>
      </c>
      <c r="AD82" s="212">
        <f ca="1">IF($R80=2,
         IF(AND(ACOMPANHAMENTO="PLE",ISNUMBER($F80)),
                SUMIF((OFFSET(CÁLCULO!$BC$15:$BU$15,$F80,0,OFFSET(ORÇAMENTO!$D$15,CRONO!$F80,0))),CRONO!AD$12,OFFSET(CÁLCULO!$AJ$15:$BB$15,$F80,0,OFFSET(ORÇAMENTO!$D$15,CRONO!$F80,0)))
                +IF(AND($F82&lt;&gt;"",$F82&lt;&gt;0),
                        SUMIF(CÁLCULO!$BC$15:$BU$131,CRONO!AD$12,CÁLCULO!$AJ$15:$BB$131)/(ORÇAMENTO!$X$15-CÁLCULO.TotalAdmLocal)*CRONO!$F82,
                        0),
                 AD81*$S80),
          SUMIF(OFFSET($S82,1,0,$R80-2),($M80+1)&amp;"$",OFFSET(AD82,1,0,$R80-2)))</f>
        <v>0</v>
      </c>
      <c r="AE82" s="212">
        <f ca="1">IF($R80=2,
         IF(AND(ACOMPANHAMENTO="PLE",ISNUMBER($F80)),
                SUMIF((OFFSET(CÁLCULO!$BC$15:$BU$15,$F80,0,OFFSET(ORÇAMENTO!$D$15,CRONO!$F80,0))),CRONO!AE$12,OFFSET(CÁLCULO!$AJ$15:$BB$15,$F80,0,OFFSET(ORÇAMENTO!$D$15,CRONO!$F80,0)))
                +IF(AND($F82&lt;&gt;"",$F82&lt;&gt;0),
                        SUMIF(CÁLCULO!$BC$15:$BU$131,CRONO!AE$12,CÁLCULO!$AJ$15:$BB$131)/(ORÇAMENTO!$X$15-CÁLCULO.TotalAdmLocal)*CRONO!$F82,
                        0),
                 AE81*$S80),
          SUMIF(OFFSET($S82,1,0,$R80-2),($M80+1)&amp;"$",OFFSET(AE82,1,0,$R80-2)))</f>
        <v>0</v>
      </c>
      <c r="AF82" s="212">
        <f ca="1">IF($R80=2,
         IF(AND(ACOMPANHAMENTO="PLE",ISNUMBER($F80)),
                SUMIF((OFFSET(CÁLCULO!$BC$15:$BU$15,$F80,0,OFFSET(ORÇAMENTO!$D$15,CRONO!$F80,0))),CRONO!AF$12,OFFSET(CÁLCULO!$AJ$15:$BB$15,$F80,0,OFFSET(ORÇAMENTO!$D$15,CRONO!$F80,0)))
                +IF(AND($F82&lt;&gt;"",$F82&lt;&gt;0),
                        SUMIF(CÁLCULO!$BC$15:$BU$131,CRONO!AF$12,CÁLCULO!$AJ$15:$BB$131)/(ORÇAMENTO!$X$15-CÁLCULO.TotalAdmLocal)*CRONO!$F82,
                        0),
                 AF81*$S80),
          SUMIF(OFFSET($S82,1,0,$R80-2),($M80+1)&amp;"$",OFFSET(AF82,1,0,$R80-2)))</f>
        <v>0</v>
      </c>
      <c r="AG82" s="212">
        <f ca="1">IF($R80=2,
         IF(AND(ACOMPANHAMENTO="PLE",ISNUMBER($F80)),
                SUMIF((OFFSET(CÁLCULO!$BC$15:$BU$15,$F80,0,OFFSET(ORÇAMENTO!$D$15,CRONO!$F80,0))),CRONO!AG$12,OFFSET(CÁLCULO!$AJ$15:$BB$15,$F80,0,OFFSET(ORÇAMENTO!$D$15,CRONO!$F80,0)))
                +IF(AND($F82&lt;&gt;"",$F82&lt;&gt;0),
                        SUMIF(CÁLCULO!$BC$15:$BU$131,CRONO!AG$12,CÁLCULO!$AJ$15:$BB$131)/(ORÇAMENTO!$X$15-CÁLCULO.TotalAdmLocal)*CRONO!$F82,
                        0),
                 AG81*$S80),
          SUMIF(OFFSET($S82,1,0,$R80-2),($M80+1)&amp;"$",OFFSET(AG82,1,0,$R80-2)))</f>
        <v>0</v>
      </c>
      <c r="AH82" s="212">
        <f ca="1">IF($R80=2,
         IF(AND(ACOMPANHAMENTO="PLE",ISNUMBER($F80)),
                SUMIF((OFFSET(CÁLCULO!$BC$15:$BU$15,$F80,0,OFFSET(ORÇAMENTO!$D$15,CRONO!$F80,0))),CRONO!AH$12,OFFSET(CÁLCULO!$AJ$15:$BB$15,$F80,0,OFFSET(ORÇAMENTO!$D$15,CRONO!$F80,0)))
                +IF(AND($F82&lt;&gt;"",$F82&lt;&gt;0),
                        SUMIF(CÁLCULO!$BC$15:$BU$131,CRONO!AH$12,CÁLCULO!$AJ$15:$BB$131)/(ORÇAMENTO!$X$15-CÁLCULO.TotalAdmLocal)*CRONO!$F82,
                        0),
                 AH81*$S80),
          SUMIF(OFFSET($S82,1,0,$R80-2),($M80+1)&amp;"$",OFFSET(AH82,1,0,$R80-2)))</f>
        <v>0</v>
      </c>
      <c r="AI82" s="212">
        <f ca="1">IF($R80=2,
         IF(AND(ACOMPANHAMENTO="PLE",ISNUMBER($F80)),
                SUMIF((OFFSET(CÁLCULO!$BC$15:$BU$15,$F80,0,OFFSET(ORÇAMENTO!$D$15,CRONO!$F80,0))),CRONO!AI$12,OFFSET(CÁLCULO!$AJ$15:$BB$15,$F80,0,OFFSET(ORÇAMENTO!$D$15,CRONO!$F80,0)))
                +IF(AND($F82&lt;&gt;"",$F82&lt;&gt;0),
                        SUMIF(CÁLCULO!$BC$15:$BU$131,CRONO!AI$12,CÁLCULO!$AJ$15:$BB$131)/(ORÇAMENTO!$X$15-CÁLCULO.TotalAdmLocal)*CRONO!$F82,
                        0),
                 AI81*$S80),
          SUMIF(OFFSET($S82,1,0,$R80-2),($M80+1)&amp;"$",OFFSET(AI82,1,0,$R80-2)))</f>
        <v>0</v>
      </c>
      <c r="AJ82" s="212">
        <f ca="1">IF($R80=2,
         IF(AND(ACOMPANHAMENTO="PLE",ISNUMBER($F80)),
                SUMIF((OFFSET(CÁLCULO!$BC$15:$BU$15,$F80,0,OFFSET(ORÇAMENTO!$D$15,CRONO!$F80,0))),CRONO!AJ$12,OFFSET(CÁLCULO!$AJ$15:$BB$15,$F80,0,OFFSET(ORÇAMENTO!$D$15,CRONO!$F80,0)))
                +IF(AND($F82&lt;&gt;"",$F82&lt;&gt;0),
                        SUMIF(CÁLCULO!$BC$15:$BU$131,CRONO!AJ$12,CÁLCULO!$AJ$15:$BB$131)/(ORÇAMENTO!$X$15-CÁLCULO.TotalAdmLocal)*CRONO!$F82,
                        0),
                 AJ81*$S80),
          SUMIF(OFFSET($S82,1,0,$R80-2),($M80+1)&amp;"$",OFFSET(AJ82,1,0,$R80-2)))</f>
        <v>0</v>
      </c>
      <c r="AK82" s="212">
        <f ca="1">IF($R80=2,
         IF(AND(ACOMPANHAMENTO="PLE",ISNUMBER($F80)),
                SUMIF((OFFSET(CÁLCULO!$BC$15:$BU$15,$F80,0,OFFSET(ORÇAMENTO!$D$15,CRONO!$F80,0))),CRONO!AK$12,OFFSET(CÁLCULO!$AJ$15:$BB$15,$F80,0,OFFSET(ORÇAMENTO!$D$15,CRONO!$F80,0)))
                +IF(AND($F82&lt;&gt;"",$F82&lt;&gt;0),
                        SUMIF(CÁLCULO!$BC$15:$BU$131,CRONO!AK$12,CÁLCULO!$AJ$15:$BB$131)/(ORÇAMENTO!$X$15-CÁLCULO.TotalAdmLocal)*CRONO!$F82,
                        0),
                 AK81*$S80),
          SUMIF(OFFSET($S82,1,0,$R80-2),($M80+1)&amp;"$",OFFSET(AK82,1,0,$R80-2)))</f>
        <v>0</v>
      </c>
      <c r="AL82" s="212">
        <f ca="1">IF($R80=2,
         IF(AND(ACOMPANHAMENTO="PLE",ISNUMBER($F80)),
                SUMIF((OFFSET(CÁLCULO!$BC$15:$BU$15,$F80,0,OFFSET(ORÇAMENTO!$D$15,CRONO!$F80,0))),CRONO!AL$12,OFFSET(CÁLCULO!$AJ$15:$BB$15,$F80,0,OFFSET(ORÇAMENTO!$D$15,CRONO!$F80,0)))
                +IF(AND($F82&lt;&gt;"",$F82&lt;&gt;0),
                        SUMIF(CÁLCULO!$BC$15:$BU$131,CRONO!AL$12,CÁLCULO!$AJ$15:$BB$131)/(ORÇAMENTO!$X$15-CÁLCULO.TotalAdmLocal)*CRONO!$F82,
                        0),
                 AL81*$S80),
          SUMIF(OFFSET($S82,1,0,$R80-2),($M80+1)&amp;"$",OFFSET(AL82,1,0,$R80-2)))</f>
        <v>0</v>
      </c>
      <c r="AM82" s="212">
        <f ca="1">IF($R80=2,
         IF(AND(ACOMPANHAMENTO="PLE",ISNUMBER($F80)),
                SUMIF((OFFSET(CÁLCULO!$BC$15:$BU$15,$F80,0,OFFSET(ORÇAMENTO!$D$15,CRONO!$F80,0))),CRONO!AM$12,OFFSET(CÁLCULO!$AJ$15:$BB$15,$F80,0,OFFSET(ORÇAMENTO!$D$15,CRONO!$F80,0)))
                +IF(AND($F82&lt;&gt;"",$F82&lt;&gt;0),
                        SUMIF(CÁLCULO!$BC$15:$BU$131,CRONO!AM$12,CÁLCULO!$AJ$15:$BB$131)/(ORÇAMENTO!$X$15-CÁLCULO.TotalAdmLocal)*CRONO!$F82,
                        0),
                 AM81*$S80),
          SUMIF(OFFSET($S82,1,0,$R80-2),($M80+1)&amp;"$",OFFSET(AM82,1,0,$R80-2)))</f>
        <v>0</v>
      </c>
      <c r="AN82" s="212">
        <f ca="1">IF($R80=2,
         IF(AND(ACOMPANHAMENTO="PLE",ISNUMBER($F80)),
                SUMIF((OFFSET(CÁLCULO!$BC$15:$BU$15,$F80,0,OFFSET(ORÇAMENTO!$D$15,CRONO!$F80,0))),CRONO!AN$12,OFFSET(CÁLCULO!$AJ$15:$BB$15,$F80,0,OFFSET(ORÇAMENTO!$D$15,CRONO!$F80,0)))
                +IF(AND($F82&lt;&gt;"",$F82&lt;&gt;0),
                        SUMIF(CÁLCULO!$BC$15:$BU$131,CRONO!AN$12,CÁLCULO!$AJ$15:$BB$131)/(ORÇAMENTO!$X$15-CÁLCULO.TotalAdmLocal)*CRONO!$F82,
                        0),
                 AN81*$S80),
          SUMIF(OFFSET($S82,1,0,$R80-2),($M80+1)&amp;"$",OFFSET(AN82,1,0,$R80-2)))</f>
        <v>0</v>
      </c>
      <c r="AO82" s="212">
        <f ca="1">IF($R80=2,
         IF(AND(ACOMPANHAMENTO="PLE",ISNUMBER($F80)),
                SUMIF((OFFSET(CÁLCULO!$BC$15:$BU$15,$F80,0,OFFSET(ORÇAMENTO!$D$15,CRONO!$F80,0))),CRONO!AO$12,OFFSET(CÁLCULO!$AJ$15:$BB$15,$F80,0,OFFSET(ORÇAMENTO!$D$15,CRONO!$F80,0)))
                +IF(AND($F82&lt;&gt;"",$F82&lt;&gt;0),
                        SUMIF(CÁLCULO!$BC$15:$BU$131,CRONO!AO$12,CÁLCULO!$AJ$15:$BB$131)/(ORÇAMENTO!$X$15-CÁLCULO.TotalAdmLocal)*CRONO!$F82,
                        0),
                 AO81*$S80),
          SUMIF(OFFSET($S82,1,0,$R80-2),($M80+1)&amp;"$",OFFSET(AO82,1,0,$R80-2)))</f>
        <v>0</v>
      </c>
      <c r="AP82" s="212">
        <f ca="1">IF($R80=2,
         IF(AND(ACOMPANHAMENTO="PLE",ISNUMBER($F80)),
                SUMIF((OFFSET(CÁLCULO!$BC$15:$BU$15,$F80,0,OFFSET(ORÇAMENTO!$D$15,CRONO!$F80,0))),CRONO!AP$12,OFFSET(CÁLCULO!$AJ$15:$BB$15,$F80,0,OFFSET(ORÇAMENTO!$D$15,CRONO!$F80,0)))
                +IF(AND($F82&lt;&gt;"",$F82&lt;&gt;0),
                        SUMIF(CÁLCULO!$BC$15:$BU$131,CRONO!AP$12,CÁLCULO!$AJ$15:$BB$131)/(ORÇAMENTO!$X$15-CÁLCULO.TotalAdmLocal)*CRONO!$F82,
                        0),
                 AP81*$S80),
          SUMIF(OFFSET($S82,1,0,$R80-2),($M80+1)&amp;"$",OFFSET(AP82,1,0,$R80-2)))</f>
        <v>0</v>
      </c>
      <c r="AQ82" s="212">
        <f ca="1">IF($R80=2,
         IF(AND(ACOMPANHAMENTO="PLE",ISNUMBER($F80)),
                SUMIF((OFFSET(CÁLCULO!$BC$15:$BU$15,$F80,0,OFFSET(ORÇAMENTO!$D$15,CRONO!$F80,0))),CRONO!AQ$12,OFFSET(CÁLCULO!$AJ$15:$BB$15,$F80,0,OFFSET(ORÇAMENTO!$D$15,CRONO!$F80,0)))
                +IF(AND($F82&lt;&gt;"",$F82&lt;&gt;0),
                        SUMIF(CÁLCULO!$BC$15:$BU$131,CRONO!AQ$12,CÁLCULO!$AJ$15:$BB$131)/(ORÇAMENTO!$X$15-CÁLCULO.TotalAdmLocal)*CRONO!$F82,
                        0),
                 AQ81*$S80),
          SUMIF(OFFSET($S82,1,0,$R80-2),($M80+1)&amp;"$",OFFSET(AQ82,1,0,$R80-2)))</f>
        <v>0</v>
      </c>
      <c r="AR82" s="212">
        <f ca="1">IF($R80=2,
         IF(AND(ACOMPANHAMENTO="PLE",ISNUMBER($F80)),
                SUMIF((OFFSET(CÁLCULO!$BC$15:$BU$15,$F80,0,OFFSET(ORÇAMENTO!$D$15,CRONO!$F80,0))),CRONO!AR$12,OFFSET(CÁLCULO!$AJ$15:$BB$15,$F80,0,OFFSET(ORÇAMENTO!$D$15,CRONO!$F80,0)))
                +IF(AND($F82&lt;&gt;"",$F82&lt;&gt;0),
                        SUMIF(CÁLCULO!$BC$15:$BU$131,CRONO!AR$12,CÁLCULO!$AJ$15:$BB$131)/(ORÇAMENTO!$X$15-CÁLCULO.TotalAdmLocal)*CRONO!$F82,
                        0),
                 AR81*$S80),
          SUMIF(OFFSET($S82,1,0,$R80-2),($M80+1)&amp;"$",OFFSET(AR82,1,0,$R80-2)))</f>
        <v>0</v>
      </c>
      <c r="AS82" s="577"/>
    </row>
    <row r="83" spans="1:45" x14ac:dyDescent="0.2">
      <c r="A83" s="196" t="str">
        <f t="shared" ref="A83" ca="1" si="140">IF($M83&gt;1,CONCATENATE($I83," ",$J83),"")</f>
        <v/>
      </c>
      <c r="B83" s="195">
        <f t="shared" ref="B83" ca="1" si="141">OFFSET(B83,-3,0)+1</f>
        <v>24</v>
      </c>
      <c r="C83" s="195">
        <f ca="1">IF($R83&lt;&gt;2,0,IF($S83=0,1,IF(F84&gt;0,OFFSET(QCI!$M$13,SUBSTITUTE(F84,".",""),0),OFFSET(ORÇAMENTO!$AA$15,CRONO!$F83,0))/$S83))</f>
        <v>0</v>
      </c>
      <c r="D83" s="195">
        <f ca="1">IF($R83&lt;&gt;2,0,IF($S83=0,1,IF(F84&gt;0,OFFSET(QCI!$N$13,SUBSTITUTE(F84,".",""),0),OFFSET(ORÇAMENTO!$AB$15,CRONO!$F83,0))/$S83))</f>
        <v>0</v>
      </c>
      <c r="E83" s="198" t="e">
        <f ca="1">IF(AND($R83=2,ACOMPANHAMENTO="BM"),ROUND(E84,4),E85/$S83)</f>
        <v>#VALUE!</v>
      </c>
      <c r="F83" s="195" t="e">
        <f ca="1">IF(B83&lt;=ORÇAMENTO.MáximoListaCrono,MATCH(B83,ORÇAMENTO.ListaCrono,0),NA())</f>
        <v>#N/A</v>
      </c>
      <c r="G83" s="195" t="str">
        <f t="shared" ref="G83" ca="1" si="142">IF(AND($F84&lt;&gt;-1,$S83&gt;0),"F","")</f>
        <v/>
      </c>
      <c r="H83" s="199" t="str">
        <f ca="1">IF(OR(S83=0,S83=""),"Linha",IF(AND(OR(ACOMPANHAMENTO="PLE",$R83&lt;&gt;2),$F84=0),"Linha",ROUND(1-SUM(U83:AS83),4)))</f>
        <v>Linha</v>
      </c>
      <c r="I83" s="200" t="str">
        <f ca="1">IF($F84=0,OFFSET(ORÇAMENTO!O$15,$F83,0),IF($F84&lt;&gt;-1,OFFSET(QCI!$D$13,$F84,0),""))</f>
        <v/>
      </c>
      <c r="J83" s="201" t="str">
        <f ca="1">IF($F84=0,OFFSET(ORÇAMENTO!R$15,$F83,0),IF($F84&lt;&gt;-1,OFFSET(QCI!$G$13,$F84,0),""))</f>
        <v/>
      </c>
      <c r="K83" s="201"/>
      <c r="L83" s="201"/>
      <c r="M83" s="202">
        <f ca="1">IF($F84=0,OFFSET(ORÇAMENTO!C$15,$F83,0),1)</f>
        <v>1</v>
      </c>
      <c r="N83" s="203">
        <f ca="1">IF($F84=-1,0,IF(N$13&lt;=$M83,IF(ISERROR(MATCH(N$13,OFFSET($M83,1,0,ROW($M$107)-ROW($M83)-1),0)),ROW($M$107)-ROW($M83)-1,MATCH(N$13,OFFSET($M83,1,0,ROW($M$107)-ROW($M83)-1),0)-1),0))</f>
        <v>0</v>
      </c>
      <c r="O83" s="203">
        <f ca="1">IF($F84=-1,0,IF(O$13&lt;=$M83,IF(ISERROR(MATCH(O$13,OFFSET($M83,1,0,ROW($M$107)-ROW($M83)-1),0)),ROW($M$107)-ROW($M83)-1,MATCH(O$13,OFFSET($M83,1,0,ROW($M$107)-ROW($M83)-1),0)-1),0))</f>
        <v>0</v>
      </c>
      <c r="P83" s="203">
        <f ca="1">IF($F84=-1,0,IF(P$13&lt;=$M83,IF(ISERROR(MATCH(P$13,OFFSET($M83,1,0,ROW($M$107)-ROW($M83)-1),0)),ROW($M$107)-ROW($M83)-1,MATCH(P$13,OFFSET($M83,1,0,ROW($M$107)-ROW($M83)-1),0)-1),0))</f>
        <v>0</v>
      </c>
      <c r="Q83" s="203">
        <f ca="1">IF($F84=-1,0,IF(Q$13&lt;=$M83,IF(ISERROR(MATCH(Q$13,OFFSET($M83,1,0,ROW($M$107)-ROW($M83)-1),0)),ROW($M$107)-ROW($M83)-1,MATCH(Q$13,OFFSET($M83,1,0,ROW($M$107)-ROW($M83)-1),0)-1),0))</f>
        <v>0</v>
      </c>
      <c r="R83" s="203">
        <f t="shared" ref="R83" ca="1" si="143">MIN(OFFSET(M83,0,1,,M83))</f>
        <v>0</v>
      </c>
      <c r="S83" s="204" t="str">
        <f ca="1">IF($F84=0,OFFSET(ORÇAMENTO!X$15,$F83,0),IF($F84&lt;&gt;-1,OFFSET(QCI!$O$13,$F84,0),""))</f>
        <v/>
      </c>
      <c r="T83" s="205" t="s">
        <v>266</v>
      </c>
      <c r="U83" s="198" t="e">
        <f ca="1">IF(AND($R83=2,ACOMPANHAMENTO="BM"),ROUND(U84,4),U85/$S83)</f>
        <v>#VALUE!</v>
      </c>
      <c r="V83" s="198" t="e">
        <f ca="1">IF(AND($R83=2,ACOMPANHAMENTO="BM"),ROUND(V84,4),V85/$S83)</f>
        <v>#VALUE!</v>
      </c>
      <c r="W83" s="198" t="e">
        <f ca="1">IF(AND($R83=2,ACOMPANHAMENTO="BM"),ROUND(W84,4),W85/$S83)</f>
        <v>#VALUE!</v>
      </c>
      <c r="X83" s="198" t="e">
        <f ca="1">IF(AND($R83=2,ACOMPANHAMENTO="BM"),ROUND(X84,4),X85/$S83)</f>
        <v>#VALUE!</v>
      </c>
      <c r="Y83" s="198" t="e">
        <f ca="1">IF(AND($R83=2,ACOMPANHAMENTO="BM"),ROUND(Y84,4),Y85/$S83)</f>
        <v>#VALUE!</v>
      </c>
      <c r="Z83" s="198" t="e">
        <f ca="1">IF(AND($R83=2,ACOMPANHAMENTO="BM"),ROUND(Z84,4),Z85/$S83)</f>
        <v>#VALUE!</v>
      </c>
      <c r="AA83" s="198" t="e">
        <f ca="1">IF(AND($R83=2,ACOMPANHAMENTO="BM"),ROUND(AA84,4),AA85/$S83)</f>
        <v>#VALUE!</v>
      </c>
      <c r="AB83" s="198" t="e">
        <f ca="1">IF(AND($R83=2,ACOMPANHAMENTO="BM"),ROUND(AB84,4),AB85/$S83)</f>
        <v>#VALUE!</v>
      </c>
      <c r="AC83" s="198" t="e">
        <f ca="1">IF(AND($R83=2,ACOMPANHAMENTO="BM"),ROUND(AC84,4),AC85/$S83)</f>
        <v>#VALUE!</v>
      </c>
      <c r="AD83" s="198" t="e">
        <f ca="1">IF(AND($R83=2,ACOMPANHAMENTO="BM"),ROUND(AD84,4),AD85/$S83)</f>
        <v>#VALUE!</v>
      </c>
      <c r="AE83" s="198" t="e">
        <f ca="1">IF(AND($R83=2,ACOMPANHAMENTO="BM"),ROUND(AE84,4),AE85/$S83)</f>
        <v>#VALUE!</v>
      </c>
      <c r="AF83" s="198" t="e">
        <f ca="1">IF(AND($R83=2,ACOMPANHAMENTO="BM"),ROUND(AF84,4),AF85/$S83)</f>
        <v>#VALUE!</v>
      </c>
      <c r="AG83" s="198" t="e">
        <f ca="1">IF(AND($R83=2,ACOMPANHAMENTO="BM"),ROUND(AG84,4),AG85/$S83)</f>
        <v>#VALUE!</v>
      </c>
      <c r="AH83" s="198" t="e">
        <f ca="1">IF(AND($R83=2,ACOMPANHAMENTO="BM"),ROUND(AH84,4),AH85/$S83)</f>
        <v>#VALUE!</v>
      </c>
      <c r="AI83" s="198" t="e">
        <f ca="1">IF(AND($R83=2,ACOMPANHAMENTO="BM"),ROUND(AI84,4),AI85/$S83)</f>
        <v>#VALUE!</v>
      </c>
      <c r="AJ83" s="198" t="e">
        <f ca="1">IF(AND($R83=2,ACOMPANHAMENTO="BM"),ROUND(AJ84,4),AJ85/$S83)</f>
        <v>#VALUE!</v>
      </c>
      <c r="AK83" s="198" t="e">
        <f ca="1">IF(AND($R83=2,ACOMPANHAMENTO="BM"),ROUND(AK84,4),AK85/$S83)</f>
        <v>#VALUE!</v>
      </c>
      <c r="AL83" s="198" t="e">
        <f ca="1">IF(AND($R83=2,ACOMPANHAMENTO="BM"),ROUND(AL84,4),AL85/$S83)</f>
        <v>#VALUE!</v>
      </c>
      <c r="AM83" s="198" t="e">
        <f ca="1">IF(AND($R83=2,ACOMPANHAMENTO="BM"),ROUND(AM84,4),AM85/$S83)</f>
        <v>#VALUE!</v>
      </c>
      <c r="AN83" s="198" t="e">
        <f ca="1">IF(AND($R83=2,ACOMPANHAMENTO="BM"),ROUND(AN84,4),AN85/$S83)</f>
        <v>#VALUE!</v>
      </c>
      <c r="AO83" s="198" t="e">
        <f ca="1">IF(AND($R83=2,ACOMPANHAMENTO="BM"),ROUND(AO84,4),AO85/$S83)</f>
        <v>#VALUE!</v>
      </c>
      <c r="AP83" s="198" t="e">
        <f ca="1">IF(AND($R83=2,ACOMPANHAMENTO="BM"),ROUND(AP84,4),AP85/$S83)</f>
        <v>#VALUE!</v>
      </c>
      <c r="AQ83" s="198" t="e">
        <f ca="1">IF(AND($R83=2,ACOMPANHAMENTO="BM"),ROUND(AQ84,4),AQ85/$S83)</f>
        <v>#VALUE!</v>
      </c>
      <c r="AR83" s="198" t="e">
        <f ca="1">IF(AND($R83=2,ACOMPANHAMENTO="BM"),ROUND(AR84,4),AR85/$S83)</f>
        <v>#VALUE!</v>
      </c>
      <c r="AS83" s="577"/>
    </row>
    <row r="84" spans="1:45" ht="12.75" hidden="1" customHeight="1" x14ac:dyDescent="0.2">
      <c r="E84" s="645"/>
      <c r="F84" s="195">
        <f ca="1">IF(ISERROR(F83),IF(1+COUNTIF($M$13:OFFSET(M83,-1,0),1)&lt;=MAX(QCI!$D$13:$D$24),1+COUNTIF($M$13:OFFSET(M83,-1,0),1),-1),0)</f>
        <v>-1</v>
      </c>
      <c r="G84" s="195" t="str">
        <f ca="1">IF(ACOMPANHAMENTO="BM",OFFSET(G84,-1,0),"")</f>
        <v/>
      </c>
      <c r="H84" s="206" t="str">
        <f ca="1">IF(OR(S83=0,S83=""),"vazia",IF(AND(OR(ACOMPANHAMENTO="PLE",$R83&lt;&gt;2),$F84=0),"calculada","--&gt;"))</f>
        <v>vazia</v>
      </c>
      <c r="I84" s="207"/>
      <c r="J84" s="208" t="str">
        <f t="shared" ref="J84" ca="1" si="144">IF(AND(H83&lt;&gt;0,ISNUMBER(H83)),"PREENCHA ESTA LINHA --&gt;","")</f>
        <v/>
      </c>
      <c r="K84" s="208"/>
      <c r="L84" s="208"/>
      <c r="M84" s="209"/>
      <c r="N84" s="209"/>
      <c r="O84" s="209"/>
      <c r="P84" s="209"/>
      <c r="Q84" s="209"/>
      <c r="R84" s="209"/>
      <c r="S84" s="210"/>
      <c r="T84" s="211"/>
      <c r="U84" s="645"/>
      <c r="V84" s="645"/>
      <c r="W84" s="645"/>
      <c r="X84" s="645"/>
      <c r="Y84" s="645"/>
      <c r="Z84" s="645"/>
      <c r="AA84" s="645"/>
      <c r="AB84" s="645"/>
      <c r="AC84" s="645"/>
      <c r="AD84" s="645"/>
      <c r="AE84" s="645"/>
      <c r="AF84" s="645"/>
      <c r="AG84" s="645"/>
      <c r="AH84" s="645"/>
      <c r="AI84" s="645"/>
      <c r="AJ84" s="645"/>
      <c r="AK84" s="645"/>
      <c r="AL84" s="645"/>
      <c r="AM84" s="645"/>
      <c r="AN84" s="645"/>
      <c r="AO84" s="645"/>
      <c r="AP84" s="645"/>
      <c r="AQ84" s="645"/>
      <c r="AR84" s="645"/>
      <c r="AS84" s="577"/>
    </row>
    <row r="85" spans="1:45" ht="12.75" hidden="1" customHeight="1" x14ac:dyDescent="0.2">
      <c r="D85" s="576"/>
      <c r="E85" s="212">
        <f ca="1">IF($R83=2,
         IF(AND(ACOMPANHAMENTO="PLE",ISNUMBER($F83)),
                SUMIF((OFFSET(CÁLCULO!$BC$15:$BU$15,$F83,0,OFFSET(ORÇAMENTO!$D$15,CRONO!$F83,0))),CRONO!E$12,OFFSET(CÁLCULO!$AJ$15:$BB$15,$F83,0,OFFSET(ORÇAMENTO!$D$15,CRONO!$F83,0)))
                +IF(AND($F85&lt;&gt;"",$F85&lt;&gt;0),
                        SUMIF(CÁLCULO!$BC$15:$BU$131,CRONO!E$12,CÁLCULO!$AJ$15:$BB$131)/(ORÇAMENTO!$X$15-CÁLCULO.TotalAdmLocal)*CRONO!$F85,
                        0),
                 E84*$S83),
          SUMIF(OFFSET($S85,1,0,$R83-2),($M83+1)&amp;"$",OFFSET(E85,1,0,$R83-2)))</f>
        <v>0</v>
      </c>
      <c r="F85" s="195" t="str">
        <f ca="1">IF(OR($R83&lt;&gt;2,AUTOEVENTO&lt;&gt;"manual",$F84&gt;0),"",
        IF(Import.TipoArredondamento="Tradicional",
              SUMIF(OFFSET(CÁLCULO!$M$15,CRONO!$F83,0,OFFSET(ORÇAMENTO!$D$15,CRONO!$F83,0)),1,OFFSET(ORÇAMENTO!$X$15,CRONO!$F83,0,OFFSET(ORÇAMENTO!$D$15,CRONO!$F83,0))),
              0))</f>
        <v/>
      </c>
      <c r="H85" s="213"/>
      <c r="S85" s="214" t="str">
        <f t="shared" ref="S85" ca="1" si="145">M83&amp;"$"</f>
        <v>1$</v>
      </c>
      <c r="T85" s="215"/>
      <c r="U85" s="212">
        <f ca="1">IF($R83=2,
         IF(AND(ACOMPANHAMENTO="PLE",ISNUMBER($F83)),
                SUMIF((OFFSET(CÁLCULO!$BC$15:$BU$15,$F83,0,OFFSET(ORÇAMENTO!$D$15,CRONO!$F83,0))),CRONO!U$12,OFFSET(CÁLCULO!$AJ$15:$BB$15,$F83,0,OFFSET(ORÇAMENTO!$D$15,CRONO!$F83,0)))
                +IF(AND($F85&lt;&gt;"",$F85&lt;&gt;0),
                        SUMIF(CÁLCULO!$BC$15:$BU$131,CRONO!U$12,CÁLCULO!$AJ$15:$BB$131)/(ORÇAMENTO!$X$15-CÁLCULO.TotalAdmLocal)*CRONO!$F85,
                        0),
                 U84*$S83),
          SUMIF(OFFSET($S85,1,0,$R83-2),($M83+1)&amp;"$",OFFSET(U85,1,0,$R83-2)))</f>
        <v>0</v>
      </c>
      <c r="V85" s="212">
        <f ca="1">IF($R83=2,
         IF(AND(ACOMPANHAMENTO="PLE",ISNUMBER($F83)),
                SUMIF((OFFSET(CÁLCULO!$BC$15:$BU$15,$F83,0,OFFSET(ORÇAMENTO!$D$15,CRONO!$F83,0))),CRONO!V$12,OFFSET(CÁLCULO!$AJ$15:$BB$15,$F83,0,OFFSET(ORÇAMENTO!$D$15,CRONO!$F83,0)))
                +IF(AND($F85&lt;&gt;"",$F85&lt;&gt;0),
                        SUMIF(CÁLCULO!$BC$15:$BU$131,CRONO!V$12,CÁLCULO!$AJ$15:$BB$131)/(ORÇAMENTO!$X$15-CÁLCULO.TotalAdmLocal)*CRONO!$F85,
                        0),
                 V84*$S83),
          SUMIF(OFFSET($S85,1,0,$R83-2),($M83+1)&amp;"$",OFFSET(V85,1,0,$R83-2)))</f>
        <v>0</v>
      </c>
      <c r="W85" s="212">
        <f ca="1">IF($R83=2,
         IF(AND(ACOMPANHAMENTO="PLE",ISNUMBER($F83)),
                SUMIF((OFFSET(CÁLCULO!$BC$15:$BU$15,$F83,0,OFFSET(ORÇAMENTO!$D$15,CRONO!$F83,0))),CRONO!W$12,OFFSET(CÁLCULO!$AJ$15:$BB$15,$F83,0,OFFSET(ORÇAMENTO!$D$15,CRONO!$F83,0)))
                +IF(AND($F85&lt;&gt;"",$F85&lt;&gt;0),
                        SUMIF(CÁLCULO!$BC$15:$BU$131,CRONO!W$12,CÁLCULO!$AJ$15:$BB$131)/(ORÇAMENTO!$X$15-CÁLCULO.TotalAdmLocal)*CRONO!$F85,
                        0),
                 W84*$S83),
          SUMIF(OFFSET($S85,1,0,$R83-2),($M83+1)&amp;"$",OFFSET(W85,1,0,$R83-2)))</f>
        <v>0</v>
      </c>
      <c r="X85" s="212">
        <f ca="1">IF($R83=2,
         IF(AND(ACOMPANHAMENTO="PLE",ISNUMBER($F83)),
                SUMIF((OFFSET(CÁLCULO!$BC$15:$BU$15,$F83,0,OFFSET(ORÇAMENTO!$D$15,CRONO!$F83,0))),CRONO!X$12,OFFSET(CÁLCULO!$AJ$15:$BB$15,$F83,0,OFFSET(ORÇAMENTO!$D$15,CRONO!$F83,0)))
                +IF(AND($F85&lt;&gt;"",$F85&lt;&gt;0),
                        SUMIF(CÁLCULO!$BC$15:$BU$131,CRONO!X$12,CÁLCULO!$AJ$15:$BB$131)/(ORÇAMENTO!$X$15-CÁLCULO.TotalAdmLocal)*CRONO!$F85,
                        0),
                 X84*$S83),
          SUMIF(OFFSET($S85,1,0,$R83-2),($M83+1)&amp;"$",OFFSET(X85,1,0,$R83-2)))</f>
        <v>0</v>
      </c>
      <c r="Y85" s="212">
        <f ca="1">IF($R83=2,
         IF(AND(ACOMPANHAMENTO="PLE",ISNUMBER($F83)),
                SUMIF((OFFSET(CÁLCULO!$BC$15:$BU$15,$F83,0,OFFSET(ORÇAMENTO!$D$15,CRONO!$F83,0))),CRONO!Y$12,OFFSET(CÁLCULO!$AJ$15:$BB$15,$F83,0,OFFSET(ORÇAMENTO!$D$15,CRONO!$F83,0)))
                +IF(AND($F85&lt;&gt;"",$F85&lt;&gt;0),
                        SUMIF(CÁLCULO!$BC$15:$BU$131,CRONO!Y$12,CÁLCULO!$AJ$15:$BB$131)/(ORÇAMENTO!$X$15-CÁLCULO.TotalAdmLocal)*CRONO!$F85,
                        0),
                 Y84*$S83),
          SUMIF(OFFSET($S85,1,0,$R83-2),($M83+1)&amp;"$",OFFSET(Y85,1,0,$R83-2)))</f>
        <v>0</v>
      </c>
      <c r="Z85" s="212">
        <f ca="1">IF($R83=2,
         IF(AND(ACOMPANHAMENTO="PLE",ISNUMBER($F83)),
                SUMIF((OFFSET(CÁLCULO!$BC$15:$BU$15,$F83,0,OFFSET(ORÇAMENTO!$D$15,CRONO!$F83,0))),CRONO!Z$12,OFFSET(CÁLCULO!$AJ$15:$BB$15,$F83,0,OFFSET(ORÇAMENTO!$D$15,CRONO!$F83,0)))
                +IF(AND($F85&lt;&gt;"",$F85&lt;&gt;0),
                        SUMIF(CÁLCULO!$BC$15:$BU$131,CRONO!Z$12,CÁLCULO!$AJ$15:$BB$131)/(ORÇAMENTO!$X$15-CÁLCULO.TotalAdmLocal)*CRONO!$F85,
                        0),
                 Z84*$S83),
          SUMIF(OFFSET($S85,1,0,$R83-2),($M83+1)&amp;"$",OFFSET(Z85,1,0,$R83-2)))</f>
        <v>0</v>
      </c>
      <c r="AA85" s="212">
        <f ca="1">IF($R83=2,
         IF(AND(ACOMPANHAMENTO="PLE",ISNUMBER($F83)),
                SUMIF((OFFSET(CÁLCULO!$BC$15:$BU$15,$F83,0,OFFSET(ORÇAMENTO!$D$15,CRONO!$F83,0))),CRONO!AA$12,OFFSET(CÁLCULO!$AJ$15:$BB$15,$F83,0,OFFSET(ORÇAMENTO!$D$15,CRONO!$F83,0)))
                +IF(AND($F85&lt;&gt;"",$F85&lt;&gt;0),
                        SUMIF(CÁLCULO!$BC$15:$BU$131,CRONO!AA$12,CÁLCULO!$AJ$15:$BB$131)/(ORÇAMENTO!$X$15-CÁLCULO.TotalAdmLocal)*CRONO!$F85,
                        0),
                 AA84*$S83),
          SUMIF(OFFSET($S85,1,0,$R83-2),($M83+1)&amp;"$",OFFSET(AA85,1,0,$R83-2)))</f>
        <v>0</v>
      </c>
      <c r="AB85" s="212">
        <f ca="1">IF($R83=2,
         IF(AND(ACOMPANHAMENTO="PLE",ISNUMBER($F83)),
                SUMIF((OFFSET(CÁLCULO!$BC$15:$BU$15,$F83,0,OFFSET(ORÇAMENTO!$D$15,CRONO!$F83,0))),CRONO!AB$12,OFFSET(CÁLCULO!$AJ$15:$BB$15,$F83,0,OFFSET(ORÇAMENTO!$D$15,CRONO!$F83,0)))
                +IF(AND($F85&lt;&gt;"",$F85&lt;&gt;0),
                        SUMIF(CÁLCULO!$BC$15:$BU$131,CRONO!AB$12,CÁLCULO!$AJ$15:$BB$131)/(ORÇAMENTO!$X$15-CÁLCULO.TotalAdmLocal)*CRONO!$F85,
                        0),
                 AB84*$S83),
          SUMIF(OFFSET($S85,1,0,$R83-2),($M83+1)&amp;"$",OFFSET(AB85,1,0,$R83-2)))</f>
        <v>0</v>
      </c>
      <c r="AC85" s="212">
        <f ca="1">IF($R83=2,
         IF(AND(ACOMPANHAMENTO="PLE",ISNUMBER($F83)),
                SUMIF((OFFSET(CÁLCULO!$BC$15:$BU$15,$F83,0,OFFSET(ORÇAMENTO!$D$15,CRONO!$F83,0))),CRONO!AC$12,OFFSET(CÁLCULO!$AJ$15:$BB$15,$F83,0,OFFSET(ORÇAMENTO!$D$15,CRONO!$F83,0)))
                +IF(AND($F85&lt;&gt;"",$F85&lt;&gt;0),
                        SUMIF(CÁLCULO!$BC$15:$BU$131,CRONO!AC$12,CÁLCULO!$AJ$15:$BB$131)/(ORÇAMENTO!$X$15-CÁLCULO.TotalAdmLocal)*CRONO!$F85,
                        0),
                 AC84*$S83),
          SUMIF(OFFSET($S85,1,0,$R83-2),($M83+1)&amp;"$",OFFSET(AC85,1,0,$R83-2)))</f>
        <v>0</v>
      </c>
      <c r="AD85" s="212">
        <f ca="1">IF($R83=2,
         IF(AND(ACOMPANHAMENTO="PLE",ISNUMBER($F83)),
                SUMIF((OFFSET(CÁLCULO!$BC$15:$BU$15,$F83,0,OFFSET(ORÇAMENTO!$D$15,CRONO!$F83,0))),CRONO!AD$12,OFFSET(CÁLCULO!$AJ$15:$BB$15,$F83,0,OFFSET(ORÇAMENTO!$D$15,CRONO!$F83,0)))
                +IF(AND($F85&lt;&gt;"",$F85&lt;&gt;0),
                        SUMIF(CÁLCULO!$BC$15:$BU$131,CRONO!AD$12,CÁLCULO!$AJ$15:$BB$131)/(ORÇAMENTO!$X$15-CÁLCULO.TotalAdmLocal)*CRONO!$F85,
                        0),
                 AD84*$S83),
          SUMIF(OFFSET($S85,1,0,$R83-2),($M83+1)&amp;"$",OFFSET(AD85,1,0,$R83-2)))</f>
        <v>0</v>
      </c>
      <c r="AE85" s="212">
        <f ca="1">IF($R83=2,
         IF(AND(ACOMPANHAMENTO="PLE",ISNUMBER($F83)),
                SUMIF((OFFSET(CÁLCULO!$BC$15:$BU$15,$F83,0,OFFSET(ORÇAMENTO!$D$15,CRONO!$F83,0))),CRONO!AE$12,OFFSET(CÁLCULO!$AJ$15:$BB$15,$F83,0,OFFSET(ORÇAMENTO!$D$15,CRONO!$F83,0)))
                +IF(AND($F85&lt;&gt;"",$F85&lt;&gt;0),
                        SUMIF(CÁLCULO!$BC$15:$BU$131,CRONO!AE$12,CÁLCULO!$AJ$15:$BB$131)/(ORÇAMENTO!$X$15-CÁLCULO.TotalAdmLocal)*CRONO!$F85,
                        0),
                 AE84*$S83),
          SUMIF(OFFSET($S85,1,0,$R83-2),($M83+1)&amp;"$",OFFSET(AE85,1,0,$R83-2)))</f>
        <v>0</v>
      </c>
      <c r="AF85" s="212">
        <f ca="1">IF($R83=2,
         IF(AND(ACOMPANHAMENTO="PLE",ISNUMBER($F83)),
                SUMIF((OFFSET(CÁLCULO!$BC$15:$BU$15,$F83,0,OFFSET(ORÇAMENTO!$D$15,CRONO!$F83,0))),CRONO!AF$12,OFFSET(CÁLCULO!$AJ$15:$BB$15,$F83,0,OFFSET(ORÇAMENTO!$D$15,CRONO!$F83,0)))
                +IF(AND($F85&lt;&gt;"",$F85&lt;&gt;0),
                        SUMIF(CÁLCULO!$BC$15:$BU$131,CRONO!AF$12,CÁLCULO!$AJ$15:$BB$131)/(ORÇAMENTO!$X$15-CÁLCULO.TotalAdmLocal)*CRONO!$F85,
                        0),
                 AF84*$S83),
          SUMIF(OFFSET($S85,1,0,$R83-2),($M83+1)&amp;"$",OFFSET(AF85,1,0,$R83-2)))</f>
        <v>0</v>
      </c>
      <c r="AG85" s="212">
        <f ca="1">IF($R83=2,
         IF(AND(ACOMPANHAMENTO="PLE",ISNUMBER($F83)),
                SUMIF((OFFSET(CÁLCULO!$BC$15:$BU$15,$F83,0,OFFSET(ORÇAMENTO!$D$15,CRONO!$F83,0))),CRONO!AG$12,OFFSET(CÁLCULO!$AJ$15:$BB$15,$F83,0,OFFSET(ORÇAMENTO!$D$15,CRONO!$F83,0)))
                +IF(AND($F85&lt;&gt;"",$F85&lt;&gt;0),
                        SUMIF(CÁLCULO!$BC$15:$BU$131,CRONO!AG$12,CÁLCULO!$AJ$15:$BB$131)/(ORÇAMENTO!$X$15-CÁLCULO.TotalAdmLocal)*CRONO!$F85,
                        0),
                 AG84*$S83),
          SUMIF(OFFSET($S85,1,0,$R83-2),($M83+1)&amp;"$",OFFSET(AG85,1,0,$R83-2)))</f>
        <v>0</v>
      </c>
      <c r="AH85" s="212">
        <f ca="1">IF($R83=2,
         IF(AND(ACOMPANHAMENTO="PLE",ISNUMBER($F83)),
                SUMIF((OFFSET(CÁLCULO!$BC$15:$BU$15,$F83,0,OFFSET(ORÇAMENTO!$D$15,CRONO!$F83,0))),CRONO!AH$12,OFFSET(CÁLCULO!$AJ$15:$BB$15,$F83,0,OFFSET(ORÇAMENTO!$D$15,CRONO!$F83,0)))
                +IF(AND($F85&lt;&gt;"",$F85&lt;&gt;0),
                        SUMIF(CÁLCULO!$BC$15:$BU$131,CRONO!AH$12,CÁLCULO!$AJ$15:$BB$131)/(ORÇAMENTO!$X$15-CÁLCULO.TotalAdmLocal)*CRONO!$F85,
                        0),
                 AH84*$S83),
          SUMIF(OFFSET($S85,1,0,$R83-2),($M83+1)&amp;"$",OFFSET(AH85,1,0,$R83-2)))</f>
        <v>0</v>
      </c>
      <c r="AI85" s="212">
        <f ca="1">IF($R83=2,
         IF(AND(ACOMPANHAMENTO="PLE",ISNUMBER($F83)),
                SUMIF((OFFSET(CÁLCULO!$BC$15:$BU$15,$F83,0,OFFSET(ORÇAMENTO!$D$15,CRONO!$F83,0))),CRONO!AI$12,OFFSET(CÁLCULO!$AJ$15:$BB$15,$F83,0,OFFSET(ORÇAMENTO!$D$15,CRONO!$F83,0)))
                +IF(AND($F85&lt;&gt;"",$F85&lt;&gt;0),
                        SUMIF(CÁLCULO!$BC$15:$BU$131,CRONO!AI$12,CÁLCULO!$AJ$15:$BB$131)/(ORÇAMENTO!$X$15-CÁLCULO.TotalAdmLocal)*CRONO!$F85,
                        0),
                 AI84*$S83),
          SUMIF(OFFSET($S85,1,0,$R83-2),($M83+1)&amp;"$",OFFSET(AI85,1,0,$R83-2)))</f>
        <v>0</v>
      </c>
      <c r="AJ85" s="212">
        <f ca="1">IF($R83=2,
         IF(AND(ACOMPANHAMENTO="PLE",ISNUMBER($F83)),
                SUMIF((OFFSET(CÁLCULO!$BC$15:$BU$15,$F83,0,OFFSET(ORÇAMENTO!$D$15,CRONO!$F83,0))),CRONO!AJ$12,OFFSET(CÁLCULO!$AJ$15:$BB$15,$F83,0,OFFSET(ORÇAMENTO!$D$15,CRONO!$F83,0)))
                +IF(AND($F85&lt;&gt;"",$F85&lt;&gt;0),
                        SUMIF(CÁLCULO!$BC$15:$BU$131,CRONO!AJ$12,CÁLCULO!$AJ$15:$BB$131)/(ORÇAMENTO!$X$15-CÁLCULO.TotalAdmLocal)*CRONO!$F85,
                        0),
                 AJ84*$S83),
          SUMIF(OFFSET($S85,1,0,$R83-2),($M83+1)&amp;"$",OFFSET(AJ85,1,0,$R83-2)))</f>
        <v>0</v>
      </c>
      <c r="AK85" s="212">
        <f ca="1">IF($R83=2,
         IF(AND(ACOMPANHAMENTO="PLE",ISNUMBER($F83)),
                SUMIF((OFFSET(CÁLCULO!$BC$15:$BU$15,$F83,0,OFFSET(ORÇAMENTO!$D$15,CRONO!$F83,0))),CRONO!AK$12,OFFSET(CÁLCULO!$AJ$15:$BB$15,$F83,0,OFFSET(ORÇAMENTO!$D$15,CRONO!$F83,0)))
                +IF(AND($F85&lt;&gt;"",$F85&lt;&gt;0),
                        SUMIF(CÁLCULO!$BC$15:$BU$131,CRONO!AK$12,CÁLCULO!$AJ$15:$BB$131)/(ORÇAMENTO!$X$15-CÁLCULO.TotalAdmLocal)*CRONO!$F85,
                        0),
                 AK84*$S83),
          SUMIF(OFFSET($S85,1,0,$R83-2),($M83+1)&amp;"$",OFFSET(AK85,1,0,$R83-2)))</f>
        <v>0</v>
      </c>
      <c r="AL85" s="212">
        <f ca="1">IF($R83=2,
         IF(AND(ACOMPANHAMENTO="PLE",ISNUMBER($F83)),
                SUMIF((OFFSET(CÁLCULO!$BC$15:$BU$15,$F83,0,OFFSET(ORÇAMENTO!$D$15,CRONO!$F83,0))),CRONO!AL$12,OFFSET(CÁLCULO!$AJ$15:$BB$15,$F83,0,OFFSET(ORÇAMENTO!$D$15,CRONO!$F83,0)))
                +IF(AND($F85&lt;&gt;"",$F85&lt;&gt;0),
                        SUMIF(CÁLCULO!$BC$15:$BU$131,CRONO!AL$12,CÁLCULO!$AJ$15:$BB$131)/(ORÇAMENTO!$X$15-CÁLCULO.TotalAdmLocal)*CRONO!$F85,
                        0),
                 AL84*$S83),
          SUMIF(OFFSET($S85,1,0,$R83-2),($M83+1)&amp;"$",OFFSET(AL85,1,0,$R83-2)))</f>
        <v>0</v>
      </c>
      <c r="AM85" s="212">
        <f ca="1">IF($R83=2,
         IF(AND(ACOMPANHAMENTO="PLE",ISNUMBER($F83)),
                SUMIF((OFFSET(CÁLCULO!$BC$15:$BU$15,$F83,0,OFFSET(ORÇAMENTO!$D$15,CRONO!$F83,0))),CRONO!AM$12,OFFSET(CÁLCULO!$AJ$15:$BB$15,$F83,0,OFFSET(ORÇAMENTO!$D$15,CRONO!$F83,0)))
                +IF(AND($F85&lt;&gt;"",$F85&lt;&gt;0),
                        SUMIF(CÁLCULO!$BC$15:$BU$131,CRONO!AM$12,CÁLCULO!$AJ$15:$BB$131)/(ORÇAMENTO!$X$15-CÁLCULO.TotalAdmLocal)*CRONO!$F85,
                        0),
                 AM84*$S83),
          SUMIF(OFFSET($S85,1,0,$R83-2),($M83+1)&amp;"$",OFFSET(AM85,1,0,$R83-2)))</f>
        <v>0</v>
      </c>
      <c r="AN85" s="212">
        <f ca="1">IF($R83=2,
         IF(AND(ACOMPANHAMENTO="PLE",ISNUMBER($F83)),
                SUMIF((OFFSET(CÁLCULO!$BC$15:$BU$15,$F83,0,OFFSET(ORÇAMENTO!$D$15,CRONO!$F83,0))),CRONO!AN$12,OFFSET(CÁLCULO!$AJ$15:$BB$15,$F83,0,OFFSET(ORÇAMENTO!$D$15,CRONO!$F83,0)))
                +IF(AND($F85&lt;&gt;"",$F85&lt;&gt;0),
                        SUMIF(CÁLCULO!$BC$15:$BU$131,CRONO!AN$12,CÁLCULO!$AJ$15:$BB$131)/(ORÇAMENTO!$X$15-CÁLCULO.TotalAdmLocal)*CRONO!$F85,
                        0),
                 AN84*$S83),
          SUMIF(OFFSET($S85,1,0,$R83-2),($M83+1)&amp;"$",OFFSET(AN85,1,0,$R83-2)))</f>
        <v>0</v>
      </c>
      <c r="AO85" s="212">
        <f ca="1">IF($R83=2,
         IF(AND(ACOMPANHAMENTO="PLE",ISNUMBER($F83)),
                SUMIF((OFFSET(CÁLCULO!$BC$15:$BU$15,$F83,0,OFFSET(ORÇAMENTO!$D$15,CRONO!$F83,0))),CRONO!AO$12,OFFSET(CÁLCULO!$AJ$15:$BB$15,$F83,0,OFFSET(ORÇAMENTO!$D$15,CRONO!$F83,0)))
                +IF(AND($F85&lt;&gt;"",$F85&lt;&gt;0),
                        SUMIF(CÁLCULO!$BC$15:$BU$131,CRONO!AO$12,CÁLCULO!$AJ$15:$BB$131)/(ORÇAMENTO!$X$15-CÁLCULO.TotalAdmLocal)*CRONO!$F85,
                        0),
                 AO84*$S83),
          SUMIF(OFFSET($S85,1,0,$R83-2),($M83+1)&amp;"$",OFFSET(AO85,1,0,$R83-2)))</f>
        <v>0</v>
      </c>
      <c r="AP85" s="212">
        <f ca="1">IF($R83=2,
         IF(AND(ACOMPANHAMENTO="PLE",ISNUMBER($F83)),
                SUMIF((OFFSET(CÁLCULO!$BC$15:$BU$15,$F83,0,OFFSET(ORÇAMENTO!$D$15,CRONO!$F83,0))),CRONO!AP$12,OFFSET(CÁLCULO!$AJ$15:$BB$15,$F83,0,OFFSET(ORÇAMENTO!$D$15,CRONO!$F83,0)))
                +IF(AND($F85&lt;&gt;"",$F85&lt;&gt;0),
                        SUMIF(CÁLCULO!$BC$15:$BU$131,CRONO!AP$12,CÁLCULO!$AJ$15:$BB$131)/(ORÇAMENTO!$X$15-CÁLCULO.TotalAdmLocal)*CRONO!$F85,
                        0),
                 AP84*$S83),
          SUMIF(OFFSET($S85,1,0,$R83-2),($M83+1)&amp;"$",OFFSET(AP85,1,0,$R83-2)))</f>
        <v>0</v>
      </c>
      <c r="AQ85" s="212">
        <f ca="1">IF($R83=2,
         IF(AND(ACOMPANHAMENTO="PLE",ISNUMBER($F83)),
                SUMIF((OFFSET(CÁLCULO!$BC$15:$BU$15,$F83,0,OFFSET(ORÇAMENTO!$D$15,CRONO!$F83,0))),CRONO!AQ$12,OFFSET(CÁLCULO!$AJ$15:$BB$15,$F83,0,OFFSET(ORÇAMENTO!$D$15,CRONO!$F83,0)))
                +IF(AND($F85&lt;&gt;"",$F85&lt;&gt;0),
                        SUMIF(CÁLCULO!$BC$15:$BU$131,CRONO!AQ$12,CÁLCULO!$AJ$15:$BB$131)/(ORÇAMENTO!$X$15-CÁLCULO.TotalAdmLocal)*CRONO!$F85,
                        0),
                 AQ84*$S83),
          SUMIF(OFFSET($S85,1,0,$R83-2),($M83+1)&amp;"$",OFFSET(AQ85,1,0,$R83-2)))</f>
        <v>0</v>
      </c>
      <c r="AR85" s="212">
        <f ca="1">IF($R83=2,
         IF(AND(ACOMPANHAMENTO="PLE",ISNUMBER($F83)),
                SUMIF((OFFSET(CÁLCULO!$BC$15:$BU$15,$F83,0,OFFSET(ORÇAMENTO!$D$15,CRONO!$F83,0))),CRONO!AR$12,OFFSET(CÁLCULO!$AJ$15:$BB$15,$F83,0,OFFSET(ORÇAMENTO!$D$15,CRONO!$F83,0)))
                +IF(AND($F85&lt;&gt;"",$F85&lt;&gt;0),
                        SUMIF(CÁLCULO!$BC$15:$BU$131,CRONO!AR$12,CÁLCULO!$AJ$15:$BB$131)/(ORÇAMENTO!$X$15-CÁLCULO.TotalAdmLocal)*CRONO!$F85,
                        0),
                 AR84*$S83),
          SUMIF(OFFSET($S85,1,0,$R83-2),($M83+1)&amp;"$",OFFSET(AR85,1,0,$R83-2)))</f>
        <v>0</v>
      </c>
      <c r="AS85" s="577"/>
    </row>
    <row r="86" spans="1:45" x14ac:dyDescent="0.2">
      <c r="A86" s="196" t="str">
        <f t="shared" ref="A86" ca="1" si="146">IF($M86&gt;1,CONCATENATE($I86," ",$J86),"")</f>
        <v/>
      </c>
      <c r="B86" s="195">
        <f t="shared" ref="B86" ca="1" si="147">OFFSET(B86,-3,0)+1</f>
        <v>25</v>
      </c>
      <c r="C86" s="195">
        <f ca="1">IF($R86&lt;&gt;2,0,IF($S86=0,1,IF(F87&gt;0,OFFSET(QCI!$M$13,SUBSTITUTE(F87,".",""),0),OFFSET(ORÇAMENTO!$AA$15,CRONO!$F86,0))/$S86))</f>
        <v>0</v>
      </c>
      <c r="D86" s="195">
        <f ca="1">IF($R86&lt;&gt;2,0,IF($S86=0,1,IF(F87&gt;0,OFFSET(QCI!$N$13,SUBSTITUTE(F87,".",""),0),OFFSET(ORÇAMENTO!$AB$15,CRONO!$F86,0))/$S86))</f>
        <v>0</v>
      </c>
      <c r="E86" s="198" t="e">
        <f ca="1">IF(AND($R86=2,ACOMPANHAMENTO="BM"),ROUND(E87,4),E88/$S86)</f>
        <v>#VALUE!</v>
      </c>
      <c r="F86" s="195" t="e">
        <f ca="1">IF(B86&lt;=ORÇAMENTO.MáximoListaCrono,MATCH(B86,ORÇAMENTO.ListaCrono,0),NA())</f>
        <v>#N/A</v>
      </c>
      <c r="G86" s="195" t="str">
        <f t="shared" ref="G86" ca="1" si="148">IF(AND($F87&lt;&gt;-1,$S86&gt;0),"F","")</f>
        <v/>
      </c>
      <c r="H86" s="199" t="str">
        <f ca="1">IF(OR(S86=0,S86=""),"Linha",IF(AND(OR(ACOMPANHAMENTO="PLE",$R86&lt;&gt;2),$F87=0),"Linha",ROUND(1-SUM(U86:AS86),4)))</f>
        <v>Linha</v>
      </c>
      <c r="I86" s="200" t="str">
        <f ca="1">IF($F87=0,OFFSET(ORÇAMENTO!O$15,$F86,0),IF($F87&lt;&gt;-1,OFFSET(QCI!$D$13,$F87,0),""))</f>
        <v/>
      </c>
      <c r="J86" s="201" t="str">
        <f ca="1">IF($F87=0,OFFSET(ORÇAMENTO!R$15,$F86,0),IF($F87&lt;&gt;-1,OFFSET(QCI!$G$13,$F87,0),""))</f>
        <v/>
      </c>
      <c r="K86" s="201"/>
      <c r="L86" s="201"/>
      <c r="M86" s="202">
        <f ca="1">IF($F87=0,OFFSET(ORÇAMENTO!C$15,$F86,0),1)</f>
        <v>1</v>
      </c>
      <c r="N86" s="203">
        <f ca="1">IF($F87=-1,0,IF(N$13&lt;=$M86,IF(ISERROR(MATCH(N$13,OFFSET($M86,1,0,ROW($M$107)-ROW($M86)-1),0)),ROW($M$107)-ROW($M86)-1,MATCH(N$13,OFFSET($M86,1,0,ROW($M$107)-ROW($M86)-1),0)-1),0))</f>
        <v>0</v>
      </c>
      <c r="O86" s="203">
        <f ca="1">IF($F87=-1,0,IF(O$13&lt;=$M86,IF(ISERROR(MATCH(O$13,OFFSET($M86,1,0,ROW($M$107)-ROW($M86)-1),0)),ROW($M$107)-ROW($M86)-1,MATCH(O$13,OFFSET($M86,1,0,ROW($M$107)-ROW($M86)-1),0)-1),0))</f>
        <v>0</v>
      </c>
      <c r="P86" s="203">
        <f ca="1">IF($F87=-1,0,IF(P$13&lt;=$M86,IF(ISERROR(MATCH(P$13,OFFSET($M86,1,0,ROW($M$107)-ROW($M86)-1),0)),ROW($M$107)-ROW($M86)-1,MATCH(P$13,OFFSET($M86,1,0,ROW($M$107)-ROW($M86)-1),0)-1),0))</f>
        <v>0</v>
      </c>
      <c r="Q86" s="203">
        <f ca="1">IF($F87=-1,0,IF(Q$13&lt;=$M86,IF(ISERROR(MATCH(Q$13,OFFSET($M86,1,0,ROW($M$107)-ROW($M86)-1),0)),ROW($M$107)-ROW($M86)-1,MATCH(Q$13,OFFSET($M86,1,0,ROW($M$107)-ROW($M86)-1),0)-1),0))</f>
        <v>0</v>
      </c>
      <c r="R86" s="203">
        <f t="shared" ref="R86" ca="1" si="149">MIN(OFFSET(M86,0,1,,M86))</f>
        <v>0</v>
      </c>
      <c r="S86" s="204" t="str">
        <f ca="1">IF($F87=0,OFFSET(ORÇAMENTO!X$15,$F86,0),IF($F87&lt;&gt;-1,OFFSET(QCI!$O$13,$F87,0),""))</f>
        <v/>
      </c>
      <c r="T86" s="205" t="s">
        <v>266</v>
      </c>
      <c r="U86" s="198" t="e">
        <f ca="1">IF(AND($R86=2,ACOMPANHAMENTO="BM"),ROUND(U87,4),U88/$S86)</f>
        <v>#VALUE!</v>
      </c>
      <c r="V86" s="198" t="e">
        <f ca="1">IF(AND($R86=2,ACOMPANHAMENTO="BM"),ROUND(V87,4),V88/$S86)</f>
        <v>#VALUE!</v>
      </c>
      <c r="W86" s="198" t="e">
        <f ca="1">IF(AND($R86=2,ACOMPANHAMENTO="BM"),ROUND(W87,4),W88/$S86)</f>
        <v>#VALUE!</v>
      </c>
      <c r="X86" s="198" t="e">
        <f ca="1">IF(AND($R86=2,ACOMPANHAMENTO="BM"),ROUND(X87,4),X88/$S86)</f>
        <v>#VALUE!</v>
      </c>
      <c r="Y86" s="198" t="e">
        <f ca="1">IF(AND($R86=2,ACOMPANHAMENTO="BM"),ROUND(Y87,4),Y88/$S86)</f>
        <v>#VALUE!</v>
      </c>
      <c r="Z86" s="198" t="e">
        <f ca="1">IF(AND($R86=2,ACOMPANHAMENTO="BM"),ROUND(Z87,4),Z88/$S86)</f>
        <v>#VALUE!</v>
      </c>
      <c r="AA86" s="198" t="e">
        <f ca="1">IF(AND($R86=2,ACOMPANHAMENTO="BM"),ROUND(AA87,4),AA88/$S86)</f>
        <v>#VALUE!</v>
      </c>
      <c r="AB86" s="198" t="e">
        <f ca="1">IF(AND($R86=2,ACOMPANHAMENTO="BM"),ROUND(AB87,4),AB88/$S86)</f>
        <v>#VALUE!</v>
      </c>
      <c r="AC86" s="198" t="e">
        <f ca="1">IF(AND($R86=2,ACOMPANHAMENTO="BM"),ROUND(AC87,4),AC88/$S86)</f>
        <v>#VALUE!</v>
      </c>
      <c r="AD86" s="198" t="e">
        <f ca="1">IF(AND($R86=2,ACOMPANHAMENTO="BM"),ROUND(AD87,4),AD88/$S86)</f>
        <v>#VALUE!</v>
      </c>
      <c r="AE86" s="198" t="e">
        <f ca="1">IF(AND($R86=2,ACOMPANHAMENTO="BM"),ROUND(AE87,4),AE88/$S86)</f>
        <v>#VALUE!</v>
      </c>
      <c r="AF86" s="198" t="e">
        <f ca="1">IF(AND($R86=2,ACOMPANHAMENTO="BM"),ROUND(AF87,4),AF88/$S86)</f>
        <v>#VALUE!</v>
      </c>
      <c r="AG86" s="198" t="e">
        <f ca="1">IF(AND($R86=2,ACOMPANHAMENTO="BM"),ROUND(AG87,4),AG88/$S86)</f>
        <v>#VALUE!</v>
      </c>
      <c r="AH86" s="198" t="e">
        <f ca="1">IF(AND($R86=2,ACOMPANHAMENTO="BM"),ROUND(AH87,4),AH88/$S86)</f>
        <v>#VALUE!</v>
      </c>
      <c r="AI86" s="198" t="e">
        <f ca="1">IF(AND($R86=2,ACOMPANHAMENTO="BM"),ROUND(AI87,4),AI88/$S86)</f>
        <v>#VALUE!</v>
      </c>
      <c r="AJ86" s="198" t="e">
        <f ca="1">IF(AND($R86=2,ACOMPANHAMENTO="BM"),ROUND(AJ87,4),AJ88/$S86)</f>
        <v>#VALUE!</v>
      </c>
      <c r="AK86" s="198" t="e">
        <f ca="1">IF(AND($R86=2,ACOMPANHAMENTO="BM"),ROUND(AK87,4),AK88/$S86)</f>
        <v>#VALUE!</v>
      </c>
      <c r="AL86" s="198" t="e">
        <f ca="1">IF(AND($R86=2,ACOMPANHAMENTO="BM"),ROUND(AL87,4),AL88/$S86)</f>
        <v>#VALUE!</v>
      </c>
      <c r="AM86" s="198" t="e">
        <f ca="1">IF(AND($R86=2,ACOMPANHAMENTO="BM"),ROUND(AM87,4),AM88/$S86)</f>
        <v>#VALUE!</v>
      </c>
      <c r="AN86" s="198" t="e">
        <f ca="1">IF(AND($R86=2,ACOMPANHAMENTO="BM"),ROUND(AN87,4),AN88/$S86)</f>
        <v>#VALUE!</v>
      </c>
      <c r="AO86" s="198" t="e">
        <f ca="1">IF(AND($R86=2,ACOMPANHAMENTO="BM"),ROUND(AO87,4),AO88/$S86)</f>
        <v>#VALUE!</v>
      </c>
      <c r="AP86" s="198" t="e">
        <f ca="1">IF(AND($R86=2,ACOMPANHAMENTO="BM"),ROUND(AP87,4),AP88/$S86)</f>
        <v>#VALUE!</v>
      </c>
      <c r="AQ86" s="198" t="e">
        <f ca="1">IF(AND($R86=2,ACOMPANHAMENTO="BM"),ROUND(AQ87,4),AQ88/$S86)</f>
        <v>#VALUE!</v>
      </c>
      <c r="AR86" s="198" t="e">
        <f ca="1">IF(AND($R86=2,ACOMPANHAMENTO="BM"),ROUND(AR87,4),AR88/$S86)</f>
        <v>#VALUE!</v>
      </c>
      <c r="AS86" s="577"/>
    </row>
    <row r="87" spans="1:45" ht="12.75" hidden="1" customHeight="1" x14ac:dyDescent="0.2">
      <c r="E87" s="645"/>
      <c r="F87" s="195">
        <f ca="1">IF(ISERROR(F86),IF(1+COUNTIF($M$13:OFFSET(M86,-1,0),1)&lt;=MAX(QCI!$D$13:$D$24),1+COUNTIF($M$13:OFFSET(M86,-1,0),1),-1),0)</f>
        <v>-1</v>
      </c>
      <c r="G87" s="195" t="str">
        <f ca="1">IF(ACOMPANHAMENTO="BM",OFFSET(G87,-1,0),"")</f>
        <v/>
      </c>
      <c r="H87" s="206" t="str">
        <f ca="1">IF(OR(S86=0,S86=""),"vazia",IF(AND(OR(ACOMPANHAMENTO="PLE",$R86&lt;&gt;2),$F87=0),"calculada","--&gt;"))</f>
        <v>vazia</v>
      </c>
      <c r="I87" s="207"/>
      <c r="J87" s="208" t="str">
        <f t="shared" ref="J87" ca="1" si="150">IF(AND(H86&lt;&gt;0,ISNUMBER(H86)),"PREENCHA ESTA LINHA --&gt;","")</f>
        <v/>
      </c>
      <c r="K87" s="208"/>
      <c r="L87" s="208"/>
      <c r="M87" s="209"/>
      <c r="N87" s="209"/>
      <c r="O87" s="209"/>
      <c r="P87" s="209"/>
      <c r="Q87" s="209"/>
      <c r="R87" s="209"/>
      <c r="S87" s="210"/>
      <c r="T87" s="211"/>
      <c r="U87" s="645"/>
      <c r="V87" s="645"/>
      <c r="W87" s="645"/>
      <c r="X87" s="645"/>
      <c r="Y87" s="645"/>
      <c r="Z87" s="645"/>
      <c r="AA87" s="645"/>
      <c r="AB87" s="645"/>
      <c r="AC87" s="645"/>
      <c r="AD87" s="645"/>
      <c r="AE87" s="645"/>
      <c r="AF87" s="645"/>
      <c r="AG87" s="645"/>
      <c r="AH87" s="645"/>
      <c r="AI87" s="645"/>
      <c r="AJ87" s="645"/>
      <c r="AK87" s="645"/>
      <c r="AL87" s="645"/>
      <c r="AM87" s="645"/>
      <c r="AN87" s="645"/>
      <c r="AO87" s="645"/>
      <c r="AP87" s="645"/>
      <c r="AQ87" s="645"/>
      <c r="AR87" s="645"/>
      <c r="AS87" s="577"/>
    </row>
    <row r="88" spans="1:45" ht="12.75" hidden="1" customHeight="1" x14ac:dyDescent="0.2">
      <c r="D88" s="576"/>
      <c r="E88" s="212">
        <f ca="1">IF($R86=2,
         IF(AND(ACOMPANHAMENTO="PLE",ISNUMBER($F86)),
                SUMIF((OFFSET(CÁLCULO!$BC$15:$BU$15,$F86,0,OFFSET(ORÇAMENTO!$D$15,CRONO!$F86,0))),CRONO!E$12,OFFSET(CÁLCULO!$AJ$15:$BB$15,$F86,0,OFFSET(ORÇAMENTO!$D$15,CRONO!$F86,0)))
                +IF(AND($F88&lt;&gt;"",$F88&lt;&gt;0),
                        SUMIF(CÁLCULO!$BC$15:$BU$131,CRONO!E$12,CÁLCULO!$AJ$15:$BB$131)/(ORÇAMENTO!$X$15-CÁLCULO.TotalAdmLocal)*CRONO!$F88,
                        0),
                 E87*$S86),
          SUMIF(OFFSET($S88,1,0,$R86-2),($M86+1)&amp;"$",OFFSET(E88,1,0,$R86-2)))</f>
        <v>0</v>
      </c>
      <c r="F88" s="195" t="str">
        <f ca="1">IF(OR($R86&lt;&gt;2,AUTOEVENTO&lt;&gt;"manual",$F87&gt;0),"",
        IF(Import.TipoArredondamento="Tradicional",
              SUMIF(OFFSET(CÁLCULO!$M$15,CRONO!$F86,0,OFFSET(ORÇAMENTO!$D$15,CRONO!$F86,0)),1,OFFSET(ORÇAMENTO!$X$15,CRONO!$F86,0,OFFSET(ORÇAMENTO!$D$15,CRONO!$F86,0))),
              0))</f>
        <v/>
      </c>
      <c r="H88" s="213"/>
      <c r="S88" s="214" t="str">
        <f t="shared" ref="S88" ca="1" si="151">M86&amp;"$"</f>
        <v>1$</v>
      </c>
      <c r="T88" s="215"/>
      <c r="U88" s="212">
        <f ca="1">IF($R86=2,
         IF(AND(ACOMPANHAMENTO="PLE",ISNUMBER($F86)),
                SUMIF((OFFSET(CÁLCULO!$BC$15:$BU$15,$F86,0,OFFSET(ORÇAMENTO!$D$15,CRONO!$F86,0))),CRONO!U$12,OFFSET(CÁLCULO!$AJ$15:$BB$15,$F86,0,OFFSET(ORÇAMENTO!$D$15,CRONO!$F86,0)))
                +IF(AND($F88&lt;&gt;"",$F88&lt;&gt;0),
                        SUMIF(CÁLCULO!$BC$15:$BU$131,CRONO!U$12,CÁLCULO!$AJ$15:$BB$131)/(ORÇAMENTO!$X$15-CÁLCULO.TotalAdmLocal)*CRONO!$F88,
                        0),
                 U87*$S86),
          SUMIF(OFFSET($S88,1,0,$R86-2),($M86+1)&amp;"$",OFFSET(U88,1,0,$R86-2)))</f>
        <v>0</v>
      </c>
      <c r="V88" s="212">
        <f ca="1">IF($R86=2,
         IF(AND(ACOMPANHAMENTO="PLE",ISNUMBER($F86)),
                SUMIF((OFFSET(CÁLCULO!$BC$15:$BU$15,$F86,0,OFFSET(ORÇAMENTO!$D$15,CRONO!$F86,0))),CRONO!V$12,OFFSET(CÁLCULO!$AJ$15:$BB$15,$F86,0,OFFSET(ORÇAMENTO!$D$15,CRONO!$F86,0)))
                +IF(AND($F88&lt;&gt;"",$F88&lt;&gt;0),
                        SUMIF(CÁLCULO!$BC$15:$BU$131,CRONO!V$12,CÁLCULO!$AJ$15:$BB$131)/(ORÇAMENTO!$X$15-CÁLCULO.TotalAdmLocal)*CRONO!$F88,
                        0),
                 V87*$S86),
          SUMIF(OFFSET($S88,1,0,$R86-2),($M86+1)&amp;"$",OFFSET(V88,1,0,$R86-2)))</f>
        <v>0</v>
      </c>
      <c r="W88" s="212">
        <f ca="1">IF($R86=2,
         IF(AND(ACOMPANHAMENTO="PLE",ISNUMBER($F86)),
                SUMIF((OFFSET(CÁLCULO!$BC$15:$BU$15,$F86,0,OFFSET(ORÇAMENTO!$D$15,CRONO!$F86,0))),CRONO!W$12,OFFSET(CÁLCULO!$AJ$15:$BB$15,$F86,0,OFFSET(ORÇAMENTO!$D$15,CRONO!$F86,0)))
                +IF(AND($F88&lt;&gt;"",$F88&lt;&gt;0),
                        SUMIF(CÁLCULO!$BC$15:$BU$131,CRONO!W$12,CÁLCULO!$AJ$15:$BB$131)/(ORÇAMENTO!$X$15-CÁLCULO.TotalAdmLocal)*CRONO!$F88,
                        0),
                 W87*$S86),
          SUMIF(OFFSET($S88,1,0,$R86-2),($M86+1)&amp;"$",OFFSET(W88,1,0,$R86-2)))</f>
        <v>0</v>
      </c>
      <c r="X88" s="212">
        <f ca="1">IF($R86=2,
         IF(AND(ACOMPANHAMENTO="PLE",ISNUMBER($F86)),
                SUMIF((OFFSET(CÁLCULO!$BC$15:$BU$15,$F86,0,OFFSET(ORÇAMENTO!$D$15,CRONO!$F86,0))),CRONO!X$12,OFFSET(CÁLCULO!$AJ$15:$BB$15,$F86,0,OFFSET(ORÇAMENTO!$D$15,CRONO!$F86,0)))
                +IF(AND($F88&lt;&gt;"",$F88&lt;&gt;0),
                        SUMIF(CÁLCULO!$BC$15:$BU$131,CRONO!X$12,CÁLCULO!$AJ$15:$BB$131)/(ORÇAMENTO!$X$15-CÁLCULO.TotalAdmLocal)*CRONO!$F88,
                        0),
                 X87*$S86),
          SUMIF(OFFSET($S88,1,0,$R86-2),($M86+1)&amp;"$",OFFSET(X88,1,0,$R86-2)))</f>
        <v>0</v>
      </c>
      <c r="Y88" s="212">
        <f ca="1">IF($R86=2,
         IF(AND(ACOMPANHAMENTO="PLE",ISNUMBER($F86)),
                SUMIF((OFFSET(CÁLCULO!$BC$15:$BU$15,$F86,0,OFFSET(ORÇAMENTO!$D$15,CRONO!$F86,0))),CRONO!Y$12,OFFSET(CÁLCULO!$AJ$15:$BB$15,$F86,0,OFFSET(ORÇAMENTO!$D$15,CRONO!$F86,0)))
                +IF(AND($F88&lt;&gt;"",$F88&lt;&gt;0),
                        SUMIF(CÁLCULO!$BC$15:$BU$131,CRONO!Y$12,CÁLCULO!$AJ$15:$BB$131)/(ORÇAMENTO!$X$15-CÁLCULO.TotalAdmLocal)*CRONO!$F88,
                        0),
                 Y87*$S86),
          SUMIF(OFFSET($S88,1,0,$R86-2),($M86+1)&amp;"$",OFFSET(Y88,1,0,$R86-2)))</f>
        <v>0</v>
      </c>
      <c r="Z88" s="212">
        <f ca="1">IF($R86=2,
         IF(AND(ACOMPANHAMENTO="PLE",ISNUMBER($F86)),
                SUMIF((OFFSET(CÁLCULO!$BC$15:$BU$15,$F86,0,OFFSET(ORÇAMENTO!$D$15,CRONO!$F86,0))),CRONO!Z$12,OFFSET(CÁLCULO!$AJ$15:$BB$15,$F86,0,OFFSET(ORÇAMENTO!$D$15,CRONO!$F86,0)))
                +IF(AND($F88&lt;&gt;"",$F88&lt;&gt;0),
                        SUMIF(CÁLCULO!$BC$15:$BU$131,CRONO!Z$12,CÁLCULO!$AJ$15:$BB$131)/(ORÇAMENTO!$X$15-CÁLCULO.TotalAdmLocal)*CRONO!$F88,
                        0),
                 Z87*$S86),
          SUMIF(OFFSET($S88,1,0,$R86-2),($M86+1)&amp;"$",OFFSET(Z88,1,0,$R86-2)))</f>
        <v>0</v>
      </c>
      <c r="AA88" s="212">
        <f ca="1">IF($R86=2,
         IF(AND(ACOMPANHAMENTO="PLE",ISNUMBER($F86)),
                SUMIF((OFFSET(CÁLCULO!$BC$15:$BU$15,$F86,0,OFFSET(ORÇAMENTO!$D$15,CRONO!$F86,0))),CRONO!AA$12,OFFSET(CÁLCULO!$AJ$15:$BB$15,$F86,0,OFFSET(ORÇAMENTO!$D$15,CRONO!$F86,0)))
                +IF(AND($F88&lt;&gt;"",$F88&lt;&gt;0),
                        SUMIF(CÁLCULO!$BC$15:$BU$131,CRONO!AA$12,CÁLCULO!$AJ$15:$BB$131)/(ORÇAMENTO!$X$15-CÁLCULO.TotalAdmLocal)*CRONO!$F88,
                        0),
                 AA87*$S86),
          SUMIF(OFFSET($S88,1,0,$R86-2),($M86+1)&amp;"$",OFFSET(AA88,1,0,$R86-2)))</f>
        <v>0</v>
      </c>
      <c r="AB88" s="212">
        <f ca="1">IF($R86=2,
         IF(AND(ACOMPANHAMENTO="PLE",ISNUMBER($F86)),
                SUMIF((OFFSET(CÁLCULO!$BC$15:$BU$15,$F86,0,OFFSET(ORÇAMENTO!$D$15,CRONO!$F86,0))),CRONO!AB$12,OFFSET(CÁLCULO!$AJ$15:$BB$15,$F86,0,OFFSET(ORÇAMENTO!$D$15,CRONO!$F86,0)))
                +IF(AND($F88&lt;&gt;"",$F88&lt;&gt;0),
                        SUMIF(CÁLCULO!$BC$15:$BU$131,CRONO!AB$12,CÁLCULO!$AJ$15:$BB$131)/(ORÇAMENTO!$X$15-CÁLCULO.TotalAdmLocal)*CRONO!$F88,
                        0),
                 AB87*$S86),
          SUMIF(OFFSET($S88,1,0,$R86-2),($M86+1)&amp;"$",OFFSET(AB88,1,0,$R86-2)))</f>
        <v>0</v>
      </c>
      <c r="AC88" s="212">
        <f ca="1">IF($R86=2,
         IF(AND(ACOMPANHAMENTO="PLE",ISNUMBER($F86)),
                SUMIF((OFFSET(CÁLCULO!$BC$15:$BU$15,$F86,0,OFFSET(ORÇAMENTO!$D$15,CRONO!$F86,0))),CRONO!AC$12,OFFSET(CÁLCULO!$AJ$15:$BB$15,$F86,0,OFFSET(ORÇAMENTO!$D$15,CRONO!$F86,0)))
                +IF(AND($F88&lt;&gt;"",$F88&lt;&gt;0),
                        SUMIF(CÁLCULO!$BC$15:$BU$131,CRONO!AC$12,CÁLCULO!$AJ$15:$BB$131)/(ORÇAMENTO!$X$15-CÁLCULO.TotalAdmLocal)*CRONO!$F88,
                        0),
                 AC87*$S86),
          SUMIF(OFFSET($S88,1,0,$R86-2),($M86+1)&amp;"$",OFFSET(AC88,1,0,$R86-2)))</f>
        <v>0</v>
      </c>
      <c r="AD88" s="212">
        <f ca="1">IF($R86=2,
         IF(AND(ACOMPANHAMENTO="PLE",ISNUMBER($F86)),
                SUMIF((OFFSET(CÁLCULO!$BC$15:$BU$15,$F86,0,OFFSET(ORÇAMENTO!$D$15,CRONO!$F86,0))),CRONO!AD$12,OFFSET(CÁLCULO!$AJ$15:$BB$15,$F86,0,OFFSET(ORÇAMENTO!$D$15,CRONO!$F86,0)))
                +IF(AND($F88&lt;&gt;"",$F88&lt;&gt;0),
                        SUMIF(CÁLCULO!$BC$15:$BU$131,CRONO!AD$12,CÁLCULO!$AJ$15:$BB$131)/(ORÇAMENTO!$X$15-CÁLCULO.TotalAdmLocal)*CRONO!$F88,
                        0),
                 AD87*$S86),
          SUMIF(OFFSET($S88,1,0,$R86-2),($M86+1)&amp;"$",OFFSET(AD88,1,0,$R86-2)))</f>
        <v>0</v>
      </c>
      <c r="AE88" s="212">
        <f ca="1">IF($R86=2,
         IF(AND(ACOMPANHAMENTO="PLE",ISNUMBER($F86)),
                SUMIF((OFFSET(CÁLCULO!$BC$15:$BU$15,$F86,0,OFFSET(ORÇAMENTO!$D$15,CRONO!$F86,0))),CRONO!AE$12,OFFSET(CÁLCULO!$AJ$15:$BB$15,$F86,0,OFFSET(ORÇAMENTO!$D$15,CRONO!$F86,0)))
                +IF(AND($F88&lt;&gt;"",$F88&lt;&gt;0),
                        SUMIF(CÁLCULO!$BC$15:$BU$131,CRONO!AE$12,CÁLCULO!$AJ$15:$BB$131)/(ORÇAMENTO!$X$15-CÁLCULO.TotalAdmLocal)*CRONO!$F88,
                        0),
                 AE87*$S86),
          SUMIF(OFFSET($S88,1,0,$R86-2),($M86+1)&amp;"$",OFFSET(AE88,1,0,$R86-2)))</f>
        <v>0</v>
      </c>
      <c r="AF88" s="212">
        <f ca="1">IF($R86=2,
         IF(AND(ACOMPANHAMENTO="PLE",ISNUMBER($F86)),
                SUMIF((OFFSET(CÁLCULO!$BC$15:$BU$15,$F86,0,OFFSET(ORÇAMENTO!$D$15,CRONO!$F86,0))),CRONO!AF$12,OFFSET(CÁLCULO!$AJ$15:$BB$15,$F86,0,OFFSET(ORÇAMENTO!$D$15,CRONO!$F86,0)))
                +IF(AND($F88&lt;&gt;"",$F88&lt;&gt;0),
                        SUMIF(CÁLCULO!$BC$15:$BU$131,CRONO!AF$12,CÁLCULO!$AJ$15:$BB$131)/(ORÇAMENTO!$X$15-CÁLCULO.TotalAdmLocal)*CRONO!$F88,
                        0),
                 AF87*$S86),
          SUMIF(OFFSET($S88,1,0,$R86-2),($M86+1)&amp;"$",OFFSET(AF88,1,0,$R86-2)))</f>
        <v>0</v>
      </c>
      <c r="AG88" s="212">
        <f ca="1">IF($R86=2,
         IF(AND(ACOMPANHAMENTO="PLE",ISNUMBER($F86)),
                SUMIF((OFFSET(CÁLCULO!$BC$15:$BU$15,$F86,0,OFFSET(ORÇAMENTO!$D$15,CRONO!$F86,0))),CRONO!AG$12,OFFSET(CÁLCULO!$AJ$15:$BB$15,$F86,0,OFFSET(ORÇAMENTO!$D$15,CRONO!$F86,0)))
                +IF(AND($F88&lt;&gt;"",$F88&lt;&gt;0),
                        SUMIF(CÁLCULO!$BC$15:$BU$131,CRONO!AG$12,CÁLCULO!$AJ$15:$BB$131)/(ORÇAMENTO!$X$15-CÁLCULO.TotalAdmLocal)*CRONO!$F88,
                        0),
                 AG87*$S86),
          SUMIF(OFFSET($S88,1,0,$R86-2),($M86+1)&amp;"$",OFFSET(AG88,1,0,$R86-2)))</f>
        <v>0</v>
      </c>
      <c r="AH88" s="212">
        <f ca="1">IF($R86=2,
         IF(AND(ACOMPANHAMENTO="PLE",ISNUMBER($F86)),
                SUMIF((OFFSET(CÁLCULO!$BC$15:$BU$15,$F86,0,OFFSET(ORÇAMENTO!$D$15,CRONO!$F86,0))),CRONO!AH$12,OFFSET(CÁLCULO!$AJ$15:$BB$15,$F86,0,OFFSET(ORÇAMENTO!$D$15,CRONO!$F86,0)))
                +IF(AND($F88&lt;&gt;"",$F88&lt;&gt;0),
                        SUMIF(CÁLCULO!$BC$15:$BU$131,CRONO!AH$12,CÁLCULO!$AJ$15:$BB$131)/(ORÇAMENTO!$X$15-CÁLCULO.TotalAdmLocal)*CRONO!$F88,
                        0),
                 AH87*$S86),
          SUMIF(OFFSET($S88,1,0,$R86-2),($M86+1)&amp;"$",OFFSET(AH88,1,0,$R86-2)))</f>
        <v>0</v>
      </c>
      <c r="AI88" s="212">
        <f ca="1">IF($R86=2,
         IF(AND(ACOMPANHAMENTO="PLE",ISNUMBER($F86)),
                SUMIF((OFFSET(CÁLCULO!$BC$15:$BU$15,$F86,0,OFFSET(ORÇAMENTO!$D$15,CRONO!$F86,0))),CRONO!AI$12,OFFSET(CÁLCULO!$AJ$15:$BB$15,$F86,0,OFFSET(ORÇAMENTO!$D$15,CRONO!$F86,0)))
                +IF(AND($F88&lt;&gt;"",$F88&lt;&gt;0),
                        SUMIF(CÁLCULO!$BC$15:$BU$131,CRONO!AI$12,CÁLCULO!$AJ$15:$BB$131)/(ORÇAMENTO!$X$15-CÁLCULO.TotalAdmLocal)*CRONO!$F88,
                        0),
                 AI87*$S86),
          SUMIF(OFFSET($S88,1,0,$R86-2),($M86+1)&amp;"$",OFFSET(AI88,1,0,$R86-2)))</f>
        <v>0</v>
      </c>
      <c r="AJ88" s="212">
        <f ca="1">IF($R86=2,
         IF(AND(ACOMPANHAMENTO="PLE",ISNUMBER($F86)),
                SUMIF((OFFSET(CÁLCULO!$BC$15:$BU$15,$F86,0,OFFSET(ORÇAMENTO!$D$15,CRONO!$F86,0))),CRONO!AJ$12,OFFSET(CÁLCULO!$AJ$15:$BB$15,$F86,0,OFFSET(ORÇAMENTO!$D$15,CRONO!$F86,0)))
                +IF(AND($F88&lt;&gt;"",$F88&lt;&gt;0),
                        SUMIF(CÁLCULO!$BC$15:$BU$131,CRONO!AJ$12,CÁLCULO!$AJ$15:$BB$131)/(ORÇAMENTO!$X$15-CÁLCULO.TotalAdmLocal)*CRONO!$F88,
                        0),
                 AJ87*$S86),
          SUMIF(OFFSET($S88,1,0,$R86-2),($M86+1)&amp;"$",OFFSET(AJ88,1,0,$R86-2)))</f>
        <v>0</v>
      </c>
      <c r="AK88" s="212">
        <f ca="1">IF($R86=2,
         IF(AND(ACOMPANHAMENTO="PLE",ISNUMBER($F86)),
                SUMIF((OFFSET(CÁLCULO!$BC$15:$BU$15,$F86,0,OFFSET(ORÇAMENTO!$D$15,CRONO!$F86,0))),CRONO!AK$12,OFFSET(CÁLCULO!$AJ$15:$BB$15,$F86,0,OFFSET(ORÇAMENTO!$D$15,CRONO!$F86,0)))
                +IF(AND($F88&lt;&gt;"",$F88&lt;&gt;0),
                        SUMIF(CÁLCULO!$BC$15:$BU$131,CRONO!AK$12,CÁLCULO!$AJ$15:$BB$131)/(ORÇAMENTO!$X$15-CÁLCULO.TotalAdmLocal)*CRONO!$F88,
                        0),
                 AK87*$S86),
          SUMIF(OFFSET($S88,1,0,$R86-2),($M86+1)&amp;"$",OFFSET(AK88,1,0,$R86-2)))</f>
        <v>0</v>
      </c>
      <c r="AL88" s="212">
        <f ca="1">IF($R86=2,
         IF(AND(ACOMPANHAMENTO="PLE",ISNUMBER($F86)),
                SUMIF((OFFSET(CÁLCULO!$BC$15:$BU$15,$F86,0,OFFSET(ORÇAMENTO!$D$15,CRONO!$F86,0))),CRONO!AL$12,OFFSET(CÁLCULO!$AJ$15:$BB$15,$F86,0,OFFSET(ORÇAMENTO!$D$15,CRONO!$F86,0)))
                +IF(AND($F88&lt;&gt;"",$F88&lt;&gt;0),
                        SUMIF(CÁLCULO!$BC$15:$BU$131,CRONO!AL$12,CÁLCULO!$AJ$15:$BB$131)/(ORÇAMENTO!$X$15-CÁLCULO.TotalAdmLocal)*CRONO!$F88,
                        0),
                 AL87*$S86),
          SUMIF(OFFSET($S88,1,0,$R86-2),($M86+1)&amp;"$",OFFSET(AL88,1,0,$R86-2)))</f>
        <v>0</v>
      </c>
      <c r="AM88" s="212">
        <f ca="1">IF($R86=2,
         IF(AND(ACOMPANHAMENTO="PLE",ISNUMBER($F86)),
                SUMIF((OFFSET(CÁLCULO!$BC$15:$BU$15,$F86,0,OFFSET(ORÇAMENTO!$D$15,CRONO!$F86,0))),CRONO!AM$12,OFFSET(CÁLCULO!$AJ$15:$BB$15,$F86,0,OFFSET(ORÇAMENTO!$D$15,CRONO!$F86,0)))
                +IF(AND($F88&lt;&gt;"",$F88&lt;&gt;0),
                        SUMIF(CÁLCULO!$BC$15:$BU$131,CRONO!AM$12,CÁLCULO!$AJ$15:$BB$131)/(ORÇAMENTO!$X$15-CÁLCULO.TotalAdmLocal)*CRONO!$F88,
                        0),
                 AM87*$S86),
          SUMIF(OFFSET($S88,1,0,$R86-2),($M86+1)&amp;"$",OFFSET(AM88,1,0,$R86-2)))</f>
        <v>0</v>
      </c>
      <c r="AN88" s="212">
        <f ca="1">IF($R86=2,
         IF(AND(ACOMPANHAMENTO="PLE",ISNUMBER($F86)),
                SUMIF((OFFSET(CÁLCULO!$BC$15:$BU$15,$F86,0,OFFSET(ORÇAMENTO!$D$15,CRONO!$F86,0))),CRONO!AN$12,OFFSET(CÁLCULO!$AJ$15:$BB$15,$F86,0,OFFSET(ORÇAMENTO!$D$15,CRONO!$F86,0)))
                +IF(AND($F88&lt;&gt;"",$F88&lt;&gt;0),
                        SUMIF(CÁLCULO!$BC$15:$BU$131,CRONO!AN$12,CÁLCULO!$AJ$15:$BB$131)/(ORÇAMENTO!$X$15-CÁLCULO.TotalAdmLocal)*CRONO!$F88,
                        0),
                 AN87*$S86),
          SUMIF(OFFSET($S88,1,0,$R86-2),($M86+1)&amp;"$",OFFSET(AN88,1,0,$R86-2)))</f>
        <v>0</v>
      </c>
      <c r="AO88" s="212">
        <f ca="1">IF($R86=2,
         IF(AND(ACOMPANHAMENTO="PLE",ISNUMBER($F86)),
                SUMIF((OFFSET(CÁLCULO!$BC$15:$BU$15,$F86,0,OFFSET(ORÇAMENTO!$D$15,CRONO!$F86,0))),CRONO!AO$12,OFFSET(CÁLCULO!$AJ$15:$BB$15,$F86,0,OFFSET(ORÇAMENTO!$D$15,CRONO!$F86,0)))
                +IF(AND($F88&lt;&gt;"",$F88&lt;&gt;0),
                        SUMIF(CÁLCULO!$BC$15:$BU$131,CRONO!AO$12,CÁLCULO!$AJ$15:$BB$131)/(ORÇAMENTO!$X$15-CÁLCULO.TotalAdmLocal)*CRONO!$F88,
                        0),
                 AO87*$S86),
          SUMIF(OFFSET($S88,1,0,$R86-2),($M86+1)&amp;"$",OFFSET(AO88,1,0,$R86-2)))</f>
        <v>0</v>
      </c>
      <c r="AP88" s="212">
        <f ca="1">IF($R86=2,
         IF(AND(ACOMPANHAMENTO="PLE",ISNUMBER($F86)),
                SUMIF((OFFSET(CÁLCULO!$BC$15:$BU$15,$F86,0,OFFSET(ORÇAMENTO!$D$15,CRONO!$F86,0))),CRONO!AP$12,OFFSET(CÁLCULO!$AJ$15:$BB$15,$F86,0,OFFSET(ORÇAMENTO!$D$15,CRONO!$F86,0)))
                +IF(AND($F88&lt;&gt;"",$F88&lt;&gt;0),
                        SUMIF(CÁLCULO!$BC$15:$BU$131,CRONO!AP$12,CÁLCULO!$AJ$15:$BB$131)/(ORÇAMENTO!$X$15-CÁLCULO.TotalAdmLocal)*CRONO!$F88,
                        0),
                 AP87*$S86),
          SUMIF(OFFSET($S88,1,0,$R86-2),($M86+1)&amp;"$",OFFSET(AP88,1,0,$R86-2)))</f>
        <v>0</v>
      </c>
      <c r="AQ88" s="212">
        <f ca="1">IF($R86=2,
         IF(AND(ACOMPANHAMENTO="PLE",ISNUMBER($F86)),
                SUMIF((OFFSET(CÁLCULO!$BC$15:$BU$15,$F86,0,OFFSET(ORÇAMENTO!$D$15,CRONO!$F86,0))),CRONO!AQ$12,OFFSET(CÁLCULO!$AJ$15:$BB$15,$F86,0,OFFSET(ORÇAMENTO!$D$15,CRONO!$F86,0)))
                +IF(AND($F88&lt;&gt;"",$F88&lt;&gt;0),
                        SUMIF(CÁLCULO!$BC$15:$BU$131,CRONO!AQ$12,CÁLCULO!$AJ$15:$BB$131)/(ORÇAMENTO!$X$15-CÁLCULO.TotalAdmLocal)*CRONO!$F88,
                        0),
                 AQ87*$S86),
          SUMIF(OFFSET($S88,1,0,$R86-2),($M86+1)&amp;"$",OFFSET(AQ88,1,0,$R86-2)))</f>
        <v>0</v>
      </c>
      <c r="AR88" s="212">
        <f ca="1">IF($R86=2,
         IF(AND(ACOMPANHAMENTO="PLE",ISNUMBER($F86)),
                SUMIF((OFFSET(CÁLCULO!$BC$15:$BU$15,$F86,0,OFFSET(ORÇAMENTO!$D$15,CRONO!$F86,0))),CRONO!AR$12,OFFSET(CÁLCULO!$AJ$15:$BB$15,$F86,0,OFFSET(ORÇAMENTO!$D$15,CRONO!$F86,0)))
                +IF(AND($F88&lt;&gt;"",$F88&lt;&gt;0),
                        SUMIF(CÁLCULO!$BC$15:$BU$131,CRONO!AR$12,CÁLCULO!$AJ$15:$BB$131)/(ORÇAMENTO!$X$15-CÁLCULO.TotalAdmLocal)*CRONO!$F88,
                        0),
                 AR87*$S86),
          SUMIF(OFFSET($S88,1,0,$R86-2),($M86+1)&amp;"$",OFFSET(AR88,1,0,$R86-2)))</f>
        <v>0</v>
      </c>
      <c r="AS88" s="577"/>
    </row>
    <row r="89" spans="1:45" x14ac:dyDescent="0.2">
      <c r="A89" s="196" t="str">
        <f t="shared" ref="A89" ca="1" si="152">IF($M89&gt;1,CONCATENATE($I89," ",$J89),"")</f>
        <v/>
      </c>
      <c r="B89" s="195">
        <f t="shared" ref="B89" ca="1" si="153">OFFSET(B89,-3,0)+1</f>
        <v>26</v>
      </c>
      <c r="C89" s="195">
        <f ca="1">IF($R89&lt;&gt;2,0,IF($S89=0,1,IF(F90&gt;0,OFFSET(QCI!$M$13,SUBSTITUTE(F90,".",""),0),OFFSET(ORÇAMENTO!$AA$15,CRONO!$F89,0))/$S89))</f>
        <v>0</v>
      </c>
      <c r="D89" s="195">
        <f ca="1">IF($R89&lt;&gt;2,0,IF($S89=0,1,IF(F90&gt;0,OFFSET(QCI!$N$13,SUBSTITUTE(F90,".",""),0),OFFSET(ORÇAMENTO!$AB$15,CRONO!$F89,0))/$S89))</f>
        <v>0</v>
      </c>
      <c r="E89" s="198" t="e">
        <f ca="1">IF(AND($R89=2,ACOMPANHAMENTO="BM"),ROUND(E90,4),E91/$S89)</f>
        <v>#VALUE!</v>
      </c>
      <c r="F89" s="195" t="e">
        <f ca="1">IF(B89&lt;=ORÇAMENTO.MáximoListaCrono,MATCH(B89,ORÇAMENTO.ListaCrono,0),NA())</f>
        <v>#N/A</v>
      </c>
      <c r="G89" s="195" t="str">
        <f t="shared" ref="G89" ca="1" si="154">IF(AND($F90&lt;&gt;-1,$S89&gt;0),"F","")</f>
        <v/>
      </c>
      <c r="H89" s="199" t="str">
        <f ca="1">IF(OR(S89=0,S89=""),"Linha",IF(AND(OR(ACOMPANHAMENTO="PLE",$R89&lt;&gt;2),$F90=0),"Linha",ROUND(1-SUM(U89:AS89),4)))</f>
        <v>Linha</v>
      </c>
      <c r="I89" s="200" t="str">
        <f ca="1">IF($F90=0,OFFSET(ORÇAMENTO!O$15,$F89,0),IF($F90&lt;&gt;-1,OFFSET(QCI!$D$13,$F90,0),""))</f>
        <v/>
      </c>
      <c r="J89" s="201" t="str">
        <f ca="1">IF($F90=0,OFFSET(ORÇAMENTO!R$15,$F89,0),IF($F90&lt;&gt;-1,OFFSET(QCI!$G$13,$F90,0),""))</f>
        <v/>
      </c>
      <c r="K89" s="201"/>
      <c r="L89" s="201"/>
      <c r="M89" s="202">
        <f ca="1">IF($F90=0,OFFSET(ORÇAMENTO!C$15,$F89,0),1)</f>
        <v>1</v>
      </c>
      <c r="N89" s="203">
        <f ca="1">IF($F90=-1,0,IF(N$13&lt;=$M89,IF(ISERROR(MATCH(N$13,OFFSET($M89,1,0,ROW($M$107)-ROW($M89)-1),0)),ROW($M$107)-ROW($M89)-1,MATCH(N$13,OFFSET($M89,1,0,ROW($M$107)-ROW($M89)-1),0)-1),0))</f>
        <v>0</v>
      </c>
      <c r="O89" s="203">
        <f ca="1">IF($F90=-1,0,IF(O$13&lt;=$M89,IF(ISERROR(MATCH(O$13,OFFSET($M89,1,0,ROW($M$107)-ROW($M89)-1),0)),ROW($M$107)-ROW($M89)-1,MATCH(O$13,OFFSET($M89,1,0,ROW($M$107)-ROW($M89)-1),0)-1),0))</f>
        <v>0</v>
      </c>
      <c r="P89" s="203">
        <f ca="1">IF($F90=-1,0,IF(P$13&lt;=$M89,IF(ISERROR(MATCH(P$13,OFFSET($M89,1,0,ROW($M$107)-ROW($M89)-1),0)),ROW($M$107)-ROW($M89)-1,MATCH(P$13,OFFSET($M89,1,0,ROW($M$107)-ROW($M89)-1),0)-1),0))</f>
        <v>0</v>
      </c>
      <c r="Q89" s="203">
        <f ca="1">IF($F90=-1,0,IF(Q$13&lt;=$M89,IF(ISERROR(MATCH(Q$13,OFFSET($M89,1,0,ROW($M$107)-ROW($M89)-1),0)),ROW($M$107)-ROW($M89)-1,MATCH(Q$13,OFFSET($M89,1,0,ROW($M$107)-ROW($M89)-1),0)-1),0))</f>
        <v>0</v>
      </c>
      <c r="R89" s="203">
        <f t="shared" ref="R89" ca="1" si="155">MIN(OFFSET(M89,0,1,,M89))</f>
        <v>0</v>
      </c>
      <c r="S89" s="204" t="str">
        <f ca="1">IF($F90=0,OFFSET(ORÇAMENTO!X$15,$F89,0),IF($F90&lt;&gt;-1,OFFSET(QCI!$O$13,$F90,0),""))</f>
        <v/>
      </c>
      <c r="T89" s="205" t="s">
        <v>266</v>
      </c>
      <c r="U89" s="198" t="e">
        <f ca="1">IF(AND($R89=2,ACOMPANHAMENTO="BM"),ROUND(U90,4),U91/$S89)</f>
        <v>#VALUE!</v>
      </c>
      <c r="V89" s="198" t="e">
        <f ca="1">IF(AND($R89=2,ACOMPANHAMENTO="BM"),ROUND(V90,4),V91/$S89)</f>
        <v>#VALUE!</v>
      </c>
      <c r="W89" s="198" t="e">
        <f ca="1">IF(AND($R89=2,ACOMPANHAMENTO="BM"),ROUND(W90,4),W91/$S89)</f>
        <v>#VALUE!</v>
      </c>
      <c r="X89" s="198" t="e">
        <f ca="1">IF(AND($R89=2,ACOMPANHAMENTO="BM"),ROUND(X90,4),X91/$S89)</f>
        <v>#VALUE!</v>
      </c>
      <c r="Y89" s="198" t="e">
        <f ca="1">IF(AND($R89=2,ACOMPANHAMENTO="BM"),ROUND(Y90,4),Y91/$S89)</f>
        <v>#VALUE!</v>
      </c>
      <c r="Z89" s="198" t="e">
        <f ca="1">IF(AND($R89=2,ACOMPANHAMENTO="BM"),ROUND(Z90,4),Z91/$S89)</f>
        <v>#VALUE!</v>
      </c>
      <c r="AA89" s="198" t="e">
        <f ca="1">IF(AND($R89=2,ACOMPANHAMENTO="BM"),ROUND(AA90,4),AA91/$S89)</f>
        <v>#VALUE!</v>
      </c>
      <c r="AB89" s="198" t="e">
        <f ca="1">IF(AND($R89=2,ACOMPANHAMENTO="BM"),ROUND(AB90,4),AB91/$S89)</f>
        <v>#VALUE!</v>
      </c>
      <c r="AC89" s="198" t="e">
        <f ca="1">IF(AND($R89=2,ACOMPANHAMENTO="BM"),ROUND(AC90,4),AC91/$S89)</f>
        <v>#VALUE!</v>
      </c>
      <c r="AD89" s="198" t="e">
        <f ca="1">IF(AND($R89=2,ACOMPANHAMENTO="BM"),ROUND(AD90,4),AD91/$S89)</f>
        <v>#VALUE!</v>
      </c>
      <c r="AE89" s="198" t="e">
        <f ca="1">IF(AND($R89=2,ACOMPANHAMENTO="BM"),ROUND(AE90,4),AE91/$S89)</f>
        <v>#VALUE!</v>
      </c>
      <c r="AF89" s="198" t="e">
        <f ca="1">IF(AND($R89=2,ACOMPANHAMENTO="BM"),ROUND(AF90,4),AF91/$S89)</f>
        <v>#VALUE!</v>
      </c>
      <c r="AG89" s="198" t="e">
        <f ca="1">IF(AND($R89=2,ACOMPANHAMENTO="BM"),ROUND(AG90,4),AG91/$S89)</f>
        <v>#VALUE!</v>
      </c>
      <c r="AH89" s="198" t="e">
        <f ca="1">IF(AND($R89=2,ACOMPANHAMENTO="BM"),ROUND(AH90,4),AH91/$S89)</f>
        <v>#VALUE!</v>
      </c>
      <c r="AI89" s="198" t="e">
        <f ca="1">IF(AND($R89=2,ACOMPANHAMENTO="BM"),ROUND(AI90,4),AI91/$S89)</f>
        <v>#VALUE!</v>
      </c>
      <c r="AJ89" s="198" t="e">
        <f ca="1">IF(AND($R89=2,ACOMPANHAMENTO="BM"),ROUND(AJ90,4),AJ91/$S89)</f>
        <v>#VALUE!</v>
      </c>
      <c r="AK89" s="198" t="e">
        <f ca="1">IF(AND($R89=2,ACOMPANHAMENTO="BM"),ROUND(AK90,4),AK91/$S89)</f>
        <v>#VALUE!</v>
      </c>
      <c r="AL89" s="198" t="e">
        <f ca="1">IF(AND($R89=2,ACOMPANHAMENTO="BM"),ROUND(AL90,4),AL91/$S89)</f>
        <v>#VALUE!</v>
      </c>
      <c r="AM89" s="198" t="e">
        <f ca="1">IF(AND($R89=2,ACOMPANHAMENTO="BM"),ROUND(AM90,4),AM91/$S89)</f>
        <v>#VALUE!</v>
      </c>
      <c r="AN89" s="198" t="e">
        <f ca="1">IF(AND($R89=2,ACOMPANHAMENTO="BM"),ROUND(AN90,4),AN91/$S89)</f>
        <v>#VALUE!</v>
      </c>
      <c r="AO89" s="198" t="e">
        <f ca="1">IF(AND($R89=2,ACOMPANHAMENTO="BM"),ROUND(AO90,4),AO91/$S89)</f>
        <v>#VALUE!</v>
      </c>
      <c r="AP89" s="198" t="e">
        <f ca="1">IF(AND($R89=2,ACOMPANHAMENTO="BM"),ROUND(AP90,4),AP91/$S89)</f>
        <v>#VALUE!</v>
      </c>
      <c r="AQ89" s="198" t="e">
        <f ca="1">IF(AND($R89=2,ACOMPANHAMENTO="BM"),ROUND(AQ90,4),AQ91/$S89)</f>
        <v>#VALUE!</v>
      </c>
      <c r="AR89" s="198" t="e">
        <f ca="1">IF(AND($R89=2,ACOMPANHAMENTO="BM"),ROUND(AR90,4),AR91/$S89)</f>
        <v>#VALUE!</v>
      </c>
      <c r="AS89" s="577"/>
    </row>
    <row r="90" spans="1:45" ht="12.75" hidden="1" customHeight="1" x14ac:dyDescent="0.2">
      <c r="E90" s="645"/>
      <c r="F90" s="195">
        <f ca="1">IF(ISERROR(F89),IF(1+COUNTIF($M$13:OFFSET(M89,-1,0),1)&lt;=MAX(QCI!$D$13:$D$24),1+COUNTIF($M$13:OFFSET(M89,-1,0),1),-1),0)</f>
        <v>-1</v>
      </c>
      <c r="G90" s="195" t="str">
        <f ca="1">IF(ACOMPANHAMENTO="BM",OFFSET(G90,-1,0),"")</f>
        <v/>
      </c>
      <c r="H90" s="206" t="str">
        <f ca="1">IF(OR(S89=0,S89=""),"vazia",IF(AND(OR(ACOMPANHAMENTO="PLE",$R89&lt;&gt;2),$F90=0),"calculada","--&gt;"))</f>
        <v>vazia</v>
      </c>
      <c r="I90" s="207"/>
      <c r="J90" s="208" t="str">
        <f t="shared" ref="J90" ca="1" si="156">IF(AND(H89&lt;&gt;0,ISNUMBER(H89)),"PREENCHA ESTA LINHA --&gt;","")</f>
        <v/>
      </c>
      <c r="K90" s="208"/>
      <c r="L90" s="208"/>
      <c r="M90" s="209"/>
      <c r="N90" s="209"/>
      <c r="O90" s="209"/>
      <c r="P90" s="209"/>
      <c r="Q90" s="209"/>
      <c r="R90" s="209"/>
      <c r="S90" s="210"/>
      <c r="T90" s="211"/>
      <c r="U90" s="645"/>
      <c r="V90" s="645"/>
      <c r="W90" s="645"/>
      <c r="X90" s="645"/>
      <c r="Y90" s="645"/>
      <c r="Z90" s="645"/>
      <c r="AA90" s="645"/>
      <c r="AB90" s="645"/>
      <c r="AC90" s="645"/>
      <c r="AD90" s="645"/>
      <c r="AE90" s="645"/>
      <c r="AF90" s="645"/>
      <c r="AG90" s="645"/>
      <c r="AH90" s="645"/>
      <c r="AI90" s="645"/>
      <c r="AJ90" s="645"/>
      <c r="AK90" s="645"/>
      <c r="AL90" s="645"/>
      <c r="AM90" s="645"/>
      <c r="AN90" s="645"/>
      <c r="AO90" s="645"/>
      <c r="AP90" s="645"/>
      <c r="AQ90" s="645"/>
      <c r="AR90" s="645"/>
      <c r="AS90" s="577"/>
    </row>
    <row r="91" spans="1:45" ht="12.75" hidden="1" customHeight="1" x14ac:dyDescent="0.2">
      <c r="D91" s="576"/>
      <c r="E91" s="212">
        <f ca="1">IF($R89=2,
         IF(AND(ACOMPANHAMENTO="PLE",ISNUMBER($F89)),
                SUMIF((OFFSET(CÁLCULO!$BC$15:$BU$15,$F89,0,OFFSET(ORÇAMENTO!$D$15,CRONO!$F89,0))),CRONO!E$12,OFFSET(CÁLCULO!$AJ$15:$BB$15,$F89,0,OFFSET(ORÇAMENTO!$D$15,CRONO!$F89,0)))
                +IF(AND($F91&lt;&gt;"",$F91&lt;&gt;0),
                        SUMIF(CÁLCULO!$BC$15:$BU$131,CRONO!E$12,CÁLCULO!$AJ$15:$BB$131)/(ORÇAMENTO!$X$15-CÁLCULO.TotalAdmLocal)*CRONO!$F91,
                        0),
                 E90*$S89),
          SUMIF(OFFSET($S91,1,0,$R89-2),($M89+1)&amp;"$",OFFSET(E91,1,0,$R89-2)))</f>
        <v>0</v>
      </c>
      <c r="F91" s="195" t="str">
        <f ca="1">IF(OR($R89&lt;&gt;2,AUTOEVENTO&lt;&gt;"manual",$F90&gt;0),"",
        IF(Import.TipoArredondamento="Tradicional",
              SUMIF(OFFSET(CÁLCULO!$M$15,CRONO!$F89,0,OFFSET(ORÇAMENTO!$D$15,CRONO!$F89,0)),1,OFFSET(ORÇAMENTO!$X$15,CRONO!$F89,0,OFFSET(ORÇAMENTO!$D$15,CRONO!$F89,0))),
              0))</f>
        <v/>
      </c>
      <c r="H91" s="213"/>
      <c r="S91" s="214" t="str">
        <f t="shared" ref="S91" ca="1" si="157">M89&amp;"$"</f>
        <v>1$</v>
      </c>
      <c r="T91" s="215"/>
      <c r="U91" s="212">
        <f ca="1">IF($R89=2,
         IF(AND(ACOMPANHAMENTO="PLE",ISNUMBER($F89)),
                SUMIF((OFFSET(CÁLCULO!$BC$15:$BU$15,$F89,0,OFFSET(ORÇAMENTO!$D$15,CRONO!$F89,0))),CRONO!U$12,OFFSET(CÁLCULO!$AJ$15:$BB$15,$F89,0,OFFSET(ORÇAMENTO!$D$15,CRONO!$F89,0)))
                +IF(AND($F91&lt;&gt;"",$F91&lt;&gt;0),
                        SUMIF(CÁLCULO!$BC$15:$BU$131,CRONO!U$12,CÁLCULO!$AJ$15:$BB$131)/(ORÇAMENTO!$X$15-CÁLCULO.TotalAdmLocal)*CRONO!$F91,
                        0),
                 U90*$S89),
          SUMIF(OFFSET($S91,1,0,$R89-2),($M89+1)&amp;"$",OFFSET(U91,1,0,$R89-2)))</f>
        <v>0</v>
      </c>
      <c r="V91" s="212">
        <f ca="1">IF($R89=2,
         IF(AND(ACOMPANHAMENTO="PLE",ISNUMBER($F89)),
                SUMIF((OFFSET(CÁLCULO!$BC$15:$BU$15,$F89,0,OFFSET(ORÇAMENTO!$D$15,CRONO!$F89,0))),CRONO!V$12,OFFSET(CÁLCULO!$AJ$15:$BB$15,$F89,0,OFFSET(ORÇAMENTO!$D$15,CRONO!$F89,0)))
                +IF(AND($F91&lt;&gt;"",$F91&lt;&gt;0),
                        SUMIF(CÁLCULO!$BC$15:$BU$131,CRONO!V$12,CÁLCULO!$AJ$15:$BB$131)/(ORÇAMENTO!$X$15-CÁLCULO.TotalAdmLocal)*CRONO!$F91,
                        0),
                 V90*$S89),
          SUMIF(OFFSET($S91,1,0,$R89-2),($M89+1)&amp;"$",OFFSET(V91,1,0,$R89-2)))</f>
        <v>0</v>
      </c>
      <c r="W91" s="212">
        <f ca="1">IF($R89=2,
         IF(AND(ACOMPANHAMENTO="PLE",ISNUMBER($F89)),
                SUMIF((OFFSET(CÁLCULO!$BC$15:$BU$15,$F89,0,OFFSET(ORÇAMENTO!$D$15,CRONO!$F89,0))),CRONO!W$12,OFFSET(CÁLCULO!$AJ$15:$BB$15,$F89,0,OFFSET(ORÇAMENTO!$D$15,CRONO!$F89,0)))
                +IF(AND($F91&lt;&gt;"",$F91&lt;&gt;0),
                        SUMIF(CÁLCULO!$BC$15:$BU$131,CRONO!W$12,CÁLCULO!$AJ$15:$BB$131)/(ORÇAMENTO!$X$15-CÁLCULO.TotalAdmLocal)*CRONO!$F91,
                        0),
                 W90*$S89),
          SUMIF(OFFSET($S91,1,0,$R89-2),($M89+1)&amp;"$",OFFSET(W91,1,0,$R89-2)))</f>
        <v>0</v>
      </c>
      <c r="X91" s="212">
        <f ca="1">IF($R89=2,
         IF(AND(ACOMPANHAMENTO="PLE",ISNUMBER($F89)),
                SUMIF((OFFSET(CÁLCULO!$BC$15:$BU$15,$F89,0,OFFSET(ORÇAMENTO!$D$15,CRONO!$F89,0))),CRONO!X$12,OFFSET(CÁLCULO!$AJ$15:$BB$15,$F89,0,OFFSET(ORÇAMENTO!$D$15,CRONO!$F89,0)))
                +IF(AND($F91&lt;&gt;"",$F91&lt;&gt;0),
                        SUMIF(CÁLCULO!$BC$15:$BU$131,CRONO!X$12,CÁLCULO!$AJ$15:$BB$131)/(ORÇAMENTO!$X$15-CÁLCULO.TotalAdmLocal)*CRONO!$F91,
                        0),
                 X90*$S89),
          SUMIF(OFFSET($S91,1,0,$R89-2),($M89+1)&amp;"$",OFFSET(X91,1,0,$R89-2)))</f>
        <v>0</v>
      </c>
      <c r="Y91" s="212">
        <f ca="1">IF($R89=2,
         IF(AND(ACOMPANHAMENTO="PLE",ISNUMBER($F89)),
                SUMIF((OFFSET(CÁLCULO!$BC$15:$BU$15,$F89,0,OFFSET(ORÇAMENTO!$D$15,CRONO!$F89,0))),CRONO!Y$12,OFFSET(CÁLCULO!$AJ$15:$BB$15,$F89,0,OFFSET(ORÇAMENTO!$D$15,CRONO!$F89,0)))
                +IF(AND($F91&lt;&gt;"",$F91&lt;&gt;0),
                        SUMIF(CÁLCULO!$BC$15:$BU$131,CRONO!Y$12,CÁLCULO!$AJ$15:$BB$131)/(ORÇAMENTO!$X$15-CÁLCULO.TotalAdmLocal)*CRONO!$F91,
                        0),
                 Y90*$S89),
          SUMIF(OFFSET($S91,1,0,$R89-2),($M89+1)&amp;"$",OFFSET(Y91,1,0,$R89-2)))</f>
        <v>0</v>
      </c>
      <c r="Z91" s="212">
        <f ca="1">IF($R89=2,
         IF(AND(ACOMPANHAMENTO="PLE",ISNUMBER($F89)),
                SUMIF((OFFSET(CÁLCULO!$BC$15:$BU$15,$F89,0,OFFSET(ORÇAMENTO!$D$15,CRONO!$F89,0))),CRONO!Z$12,OFFSET(CÁLCULO!$AJ$15:$BB$15,$F89,0,OFFSET(ORÇAMENTO!$D$15,CRONO!$F89,0)))
                +IF(AND($F91&lt;&gt;"",$F91&lt;&gt;0),
                        SUMIF(CÁLCULO!$BC$15:$BU$131,CRONO!Z$12,CÁLCULO!$AJ$15:$BB$131)/(ORÇAMENTO!$X$15-CÁLCULO.TotalAdmLocal)*CRONO!$F91,
                        0),
                 Z90*$S89),
          SUMIF(OFFSET($S91,1,0,$R89-2),($M89+1)&amp;"$",OFFSET(Z91,1,0,$R89-2)))</f>
        <v>0</v>
      </c>
      <c r="AA91" s="212">
        <f ca="1">IF($R89=2,
         IF(AND(ACOMPANHAMENTO="PLE",ISNUMBER($F89)),
                SUMIF((OFFSET(CÁLCULO!$BC$15:$BU$15,$F89,0,OFFSET(ORÇAMENTO!$D$15,CRONO!$F89,0))),CRONO!AA$12,OFFSET(CÁLCULO!$AJ$15:$BB$15,$F89,0,OFFSET(ORÇAMENTO!$D$15,CRONO!$F89,0)))
                +IF(AND($F91&lt;&gt;"",$F91&lt;&gt;0),
                        SUMIF(CÁLCULO!$BC$15:$BU$131,CRONO!AA$12,CÁLCULO!$AJ$15:$BB$131)/(ORÇAMENTO!$X$15-CÁLCULO.TotalAdmLocal)*CRONO!$F91,
                        0),
                 AA90*$S89),
          SUMIF(OFFSET($S91,1,0,$R89-2),($M89+1)&amp;"$",OFFSET(AA91,1,0,$R89-2)))</f>
        <v>0</v>
      </c>
      <c r="AB91" s="212">
        <f ca="1">IF($R89=2,
         IF(AND(ACOMPANHAMENTO="PLE",ISNUMBER($F89)),
                SUMIF((OFFSET(CÁLCULO!$BC$15:$BU$15,$F89,0,OFFSET(ORÇAMENTO!$D$15,CRONO!$F89,0))),CRONO!AB$12,OFFSET(CÁLCULO!$AJ$15:$BB$15,$F89,0,OFFSET(ORÇAMENTO!$D$15,CRONO!$F89,0)))
                +IF(AND($F91&lt;&gt;"",$F91&lt;&gt;0),
                        SUMIF(CÁLCULO!$BC$15:$BU$131,CRONO!AB$12,CÁLCULO!$AJ$15:$BB$131)/(ORÇAMENTO!$X$15-CÁLCULO.TotalAdmLocal)*CRONO!$F91,
                        0),
                 AB90*$S89),
          SUMIF(OFFSET($S91,1,0,$R89-2),($M89+1)&amp;"$",OFFSET(AB91,1,0,$R89-2)))</f>
        <v>0</v>
      </c>
      <c r="AC91" s="212">
        <f ca="1">IF($R89=2,
         IF(AND(ACOMPANHAMENTO="PLE",ISNUMBER($F89)),
                SUMIF((OFFSET(CÁLCULO!$BC$15:$BU$15,$F89,0,OFFSET(ORÇAMENTO!$D$15,CRONO!$F89,0))),CRONO!AC$12,OFFSET(CÁLCULO!$AJ$15:$BB$15,$F89,0,OFFSET(ORÇAMENTO!$D$15,CRONO!$F89,0)))
                +IF(AND($F91&lt;&gt;"",$F91&lt;&gt;0),
                        SUMIF(CÁLCULO!$BC$15:$BU$131,CRONO!AC$12,CÁLCULO!$AJ$15:$BB$131)/(ORÇAMENTO!$X$15-CÁLCULO.TotalAdmLocal)*CRONO!$F91,
                        0),
                 AC90*$S89),
          SUMIF(OFFSET($S91,1,0,$R89-2),($M89+1)&amp;"$",OFFSET(AC91,1,0,$R89-2)))</f>
        <v>0</v>
      </c>
      <c r="AD91" s="212">
        <f ca="1">IF($R89=2,
         IF(AND(ACOMPANHAMENTO="PLE",ISNUMBER($F89)),
                SUMIF((OFFSET(CÁLCULO!$BC$15:$BU$15,$F89,0,OFFSET(ORÇAMENTO!$D$15,CRONO!$F89,0))),CRONO!AD$12,OFFSET(CÁLCULO!$AJ$15:$BB$15,$F89,0,OFFSET(ORÇAMENTO!$D$15,CRONO!$F89,0)))
                +IF(AND($F91&lt;&gt;"",$F91&lt;&gt;0),
                        SUMIF(CÁLCULO!$BC$15:$BU$131,CRONO!AD$12,CÁLCULO!$AJ$15:$BB$131)/(ORÇAMENTO!$X$15-CÁLCULO.TotalAdmLocal)*CRONO!$F91,
                        0),
                 AD90*$S89),
          SUMIF(OFFSET($S91,1,0,$R89-2),($M89+1)&amp;"$",OFFSET(AD91,1,0,$R89-2)))</f>
        <v>0</v>
      </c>
      <c r="AE91" s="212">
        <f ca="1">IF($R89=2,
         IF(AND(ACOMPANHAMENTO="PLE",ISNUMBER($F89)),
                SUMIF((OFFSET(CÁLCULO!$BC$15:$BU$15,$F89,0,OFFSET(ORÇAMENTO!$D$15,CRONO!$F89,0))),CRONO!AE$12,OFFSET(CÁLCULO!$AJ$15:$BB$15,$F89,0,OFFSET(ORÇAMENTO!$D$15,CRONO!$F89,0)))
                +IF(AND($F91&lt;&gt;"",$F91&lt;&gt;0),
                        SUMIF(CÁLCULO!$BC$15:$BU$131,CRONO!AE$12,CÁLCULO!$AJ$15:$BB$131)/(ORÇAMENTO!$X$15-CÁLCULO.TotalAdmLocal)*CRONO!$F91,
                        0),
                 AE90*$S89),
          SUMIF(OFFSET($S91,1,0,$R89-2),($M89+1)&amp;"$",OFFSET(AE91,1,0,$R89-2)))</f>
        <v>0</v>
      </c>
      <c r="AF91" s="212">
        <f ca="1">IF($R89=2,
         IF(AND(ACOMPANHAMENTO="PLE",ISNUMBER($F89)),
                SUMIF((OFFSET(CÁLCULO!$BC$15:$BU$15,$F89,0,OFFSET(ORÇAMENTO!$D$15,CRONO!$F89,0))),CRONO!AF$12,OFFSET(CÁLCULO!$AJ$15:$BB$15,$F89,0,OFFSET(ORÇAMENTO!$D$15,CRONO!$F89,0)))
                +IF(AND($F91&lt;&gt;"",$F91&lt;&gt;0),
                        SUMIF(CÁLCULO!$BC$15:$BU$131,CRONO!AF$12,CÁLCULO!$AJ$15:$BB$131)/(ORÇAMENTO!$X$15-CÁLCULO.TotalAdmLocal)*CRONO!$F91,
                        0),
                 AF90*$S89),
          SUMIF(OFFSET($S91,1,0,$R89-2),($M89+1)&amp;"$",OFFSET(AF91,1,0,$R89-2)))</f>
        <v>0</v>
      </c>
      <c r="AG91" s="212">
        <f ca="1">IF($R89=2,
         IF(AND(ACOMPANHAMENTO="PLE",ISNUMBER($F89)),
                SUMIF((OFFSET(CÁLCULO!$BC$15:$BU$15,$F89,0,OFFSET(ORÇAMENTO!$D$15,CRONO!$F89,0))),CRONO!AG$12,OFFSET(CÁLCULO!$AJ$15:$BB$15,$F89,0,OFFSET(ORÇAMENTO!$D$15,CRONO!$F89,0)))
                +IF(AND($F91&lt;&gt;"",$F91&lt;&gt;0),
                        SUMIF(CÁLCULO!$BC$15:$BU$131,CRONO!AG$12,CÁLCULO!$AJ$15:$BB$131)/(ORÇAMENTO!$X$15-CÁLCULO.TotalAdmLocal)*CRONO!$F91,
                        0),
                 AG90*$S89),
          SUMIF(OFFSET($S91,1,0,$R89-2),($M89+1)&amp;"$",OFFSET(AG91,1,0,$R89-2)))</f>
        <v>0</v>
      </c>
      <c r="AH91" s="212">
        <f ca="1">IF($R89=2,
         IF(AND(ACOMPANHAMENTO="PLE",ISNUMBER($F89)),
                SUMIF((OFFSET(CÁLCULO!$BC$15:$BU$15,$F89,0,OFFSET(ORÇAMENTO!$D$15,CRONO!$F89,0))),CRONO!AH$12,OFFSET(CÁLCULO!$AJ$15:$BB$15,$F89,0,OFFSET(ORÇAMENTO!$D$15,CRONO!$F89,0)))
                +IF(AND($F91&lt;&gt;"",$F91&lt;&gt;0),
                        SUMIF(CÁLCULO!$BC$15:$BU$131,CRONO!AH$12,CÁLCULO!$AJ$15:$BB$131)/(ORÇAMENTO!$X$15-CÁLCULO.TotalAdmLocal)*CRONO!$F91,
                        0),
                 AH90*$S89),
          SUMIF(OFFSET($S91,1,0,$R89-2),($M89+1)&amp;"$",OFFSET(AH91,1,0,$R89-2)))</f>
        <v>0</v>
      </c>
      <c r="AI91" s="212">
        <f ca="1">IF($R89=2,
         IF(AND(ACOMPANHAMENTO="PLE",ISNUMBER($F89)),
                SUMIF((OFFSET(CÁLCULO!$BC$15:$BU$15,$F89,0,OFFSET(ORÇAMENTO!$D$15,CRONO!$F89,0))),CRONO!AI$12,OFFSET(CÁLCULO!$AJ$15:$BB$15,$F89,0,OFFSET(ORÇAMENTO!$D$15,CRONO!$F89,0)))
                +IF(AND($F91&lt;&gt;"",$F91&lt;&gt;0),
                        SUMIF(CÁLCULO!$BC$15:$BU$131,CRONO!AI$12,CÁLCULO!$AJ$15:$BB$131)/(ORÇAMENTO!$X$15-CÁLCULO.TotalAdmLocal)*CRONO!$F91,
                        0),
                 AI90*$S89),
          SUMIF(OFFSET($S91,1,0,$R89-2),($M89+1)&amp;"$",OFFSET(AI91,1,0,$R89-2)))</f>
        <v>0</v>
      </c>
      <c r="AJ91" s="212">
        <f ca="1">IF($R89=2,
         IF(AND(ACOMPANHAMENTO="PLE",ISNUMBER($F89)),
                SUMIF((OFFSET(CÁLCULO!$BC$15:$BU$15,$F89,0,OFFSET(ORÇAMENTO!$D$15,CRONO!$F89,0))),CRONO!AJ$12,OFFSET(CÁLCULO!$AJ$15:$BB$15,$F89,0,OFFSET(ORÇAMENTO!$D$15,CRONO!$F89,0)))
                +IF(AND($F91&lt;&gt;"",$F91&lt;&gt;0),
                        SUMIF(CÁLCULO!$BC$15:$BU$131,CRONO!AJ$12,CÁLCULO!$AJ$15:$BB$131)/(ORÇAMENTO!$X$15-CÁLCULO.TotalAdmLocal)*CRONO!$F91,
                        0),
                 AJ90*$S89),
          SUMIF(OFFSET($S91,1,0,$R89-2),($M89+1)&amp;"$",OFFSET(AJ91,1,0,$R89-2)))</f>
        <v>0</v>
      </c>
      <c r="AK91" s="212">
        <f ca="1">IF($R89=2,
         IF(AND(ACOMPANHAMENTO="PLE",ISNUMBER($F89)),
                SUMIF((OFFSET(CÁLCULO!$BC$15:$BU$15,$F89,0,OFFSET(ORÇAMENTO!$D$15,CRONO!$F89,0))),CRONO!AK$12,OFFSET(CÁLCULO!$AJ$15:$BB$15,$F89,0,OFFSET(ORÇAMENTO!$D$15,CRONO!$F89,0)))
                +IF(AND($F91&lt;&gt;"",$F91&lt;&gt;0),
                        SUMIF(CÁLCULO!$BC$15:$BU$131,CRONO!AK$12,CÁLCULO!$AJ$15:$BB$131)/(ORÇAMENTO!$X$15-CÁLCULO.TotalAdmLocal)*CRONO!$F91,
                        0),
                 AK90*$S89),
          SUMIF(OFFSET($S91,1,0,$R89-2),($M89+1)&amp;"$",OFFSET(AK91,1,0,$R89-2)))</f>
        <v>0</v>
      </c>
      <c r="AL91" s="212">
        <f ca="1">IF($R89=2,
         IF(AND(ACOMPANHAMENTO="PLE",ISNUMBER($F89)),
                SUMIF((OFFSET(CÁLCULO!$BC$15:$BU$15,$F89,0,OFFSET(ORÇAMENTO!$D$15,CRONO!$F89,0))),CRONO!AL$12,OFFSET(CÁLCULO!$AJ$15:$BB$15,$F89,0,OFFSET(ORÇAMENTO!$D$15,CRONO!$F89,0)))
                +IF(AND($F91&lt;&gt;"",$F91&lt;&gt;0),
                        SUMIF(CÁLCULO!$BC$15:$BU$131,CRONO!AL$12,CÁLCULO!$AJ$15:$BB$131)/(ORÇAMENTO!$X$15-CÁLCULO.TotalAdmLocal)*CRONO!$F91,
                        0),
                 AL90*$S89),
          SUMIF(OFFSET($S91,1,0,$R89-2),($M89+1)&amp;"$",OFFSET(AL91,1,0,$R89-2)))</f>
        <v>0</v>
      </c>
      <c r="AM91" s="212">
        <f ca="1">IF($R89=2,
         IF(AND(ACOMPANHAMENTO="PLE",ISNUMBER($F89)),
                SUMIF((OFFSET(CÁLCULO!$BC$15:$BU$15,$F89,0,OFFSET(ORÇAMENTO!$D$15,CRONO!$F89,0))),CRONO!AM$12,OFFSET(CÁLCULO!$AJ$15:$BB$15,$F89,0,OFFSET(ORÇAMENTO!$D$15,CRONO!$F89,0)))
                +IF(AND($F91&lt;&gt;"",$F91&lt;&gt;0),
                        SUMIF(CÁLCULO!$BC$15:$BU$131,CRONO!AM$12,CÁLCULO!$AJ$15:$BB$131)/(ORÇAMENTO!$X$15-CÁLCULO.TotalAdmLocal)*CRONO!$F91,
                        0),
                 AM90*$S89),
          SUMIF(OFFSET($S91,1,0,$R89-2),($M89+1)&amp;"$",OFFSET(AM91,1,0,$R89-2)))</f>
        <v>0</v>
      </c>
      <c r="AN91" s="212">
        <f ca="1">IF($R89=2,
         IF(AND(ACOMPANHAMENTO="PLE",ISNUMBER($F89)),
                SUMIF((OFFSET(CÁLCULO!$BC$15:$BU$15,$F89,0,OFFSET(ORÇAMENTO!$D$15,CRONO!$F89,0))),CRONO!AN$12,OFFSET(CÁLCULO!$AJ$15:$BB$15,$F89,0,OFFSET(ORÇAMENTO!$D$15,CRONO!$F89,0)))
                +IF(AND($F91&lt;&gt;"",$F91&lt;&gt;0),
                        SUMIF(CÁLCULO!$BC$15:$BU$131,CRONO!AN$12,CÁLCULO!$AJ$15:$BB$131)/(ORÇAMENTO!$X$15-CÁLCULO.TotalAdmLocal)*CRONO!$F91,
                        0),
                 AN90*$S89),
          SUMIF(OFFSET($S91,1,0,$R89-2),($M89+1)&amp;"$",OFFSET(AN91,1,0,$R89-2)))</f>
        <v>0</v>
      </c>
      <c r="AO91" s="212">
        <f ca="1">IF($R89=2,
         IF(AND(ACOMPANHAMENTO="PLE",ISNUMBER($F89)),
                SUMIF((OFFSET(CÁLCULO!$BC$15:$BU$15,$F89,0,OFFSET(ORÇAMENTO!$D$15,CRONO!$F89,0))),CRONO!AO$12,OFFSET(CÁLCULO!$AJ$15:$BB$15,$F89,0,OFFSET(ORÇAMENTO!$D$15,CRONO!$F89,0)))
                +IF(AND($F91&lt;&gt;"",$F91&lt;&gt;0),
                        SUMIF(CÁLCULO!$BC$15:$BU$131,CRONO!AO$12,CÁLCULO!$AJ$15:$BB$131)/(ORÇAMENTO!$X$15-CÁLCULO.TotalAdmLocal)*CRONO!$F91,
                        0),
                 AO90*$S89),
          SUMIF(OFFSET($S91,1,0,$R89-2),($M89+1)&amp;"$",OFFSET(AO91,1,0,$R89-2)))</f>
        <v>0</v>
      </c>
      <c r="AP91" s="212">
        <f ca="1">IF($R89=2,
         IF(AND(ACOMPANHAMENTO="PLE",ISNUMBER($F89)),
                SUMIF((OFFSET(CÁLCULO!$BC$15:$BU$15,$F89,0,OFFSET(ORÇAMENTO!$D$15,CRONO!$F89,0))),CRONO!AP$12,OFFSET(CÁLCULO!$AJ$15:$BB$15,$F89,0,OFFSET(ORÇAMENTO!$D$15,CRONO!$F89,0)))
                +IF(AND($F91&lt;&gt;"",$F91&lt;&gt;0),
                        SUMIF(CÁLCULO!$BC$15:$BU$131,CRONO!AP$12,CÁLCULO!$AJ$15:$BB$131)/(ORÇAMENTO!$X$15-CÁLCULO.TotalAdmLocal)*CRONO!$F91,
                        0),
                 AP90*$S89),
          SUMIF(OFFSET($S91,1,0,$R89-2),($M89+1)&amp;"$",OFFSET(AP91,1,0,$R89-2)))</f>
        <v>0</v>
      </c>
      <c r="AQ91" s="212">
        <f ca="1">IF($R89=2,
         IF(AND(ACOMPANHAMENTO="PLE",ISNUMBER($F89)),
                SUMIF((OFFSET(CÁLCULO!$BC$15:$BU$15,$F89,0,OFFSET(ORÇAMENTO!$D$15,CRONO!$F89,0))),CRONO!AQ$12,OFFSET(CÁLCULO!$AJ$15:$BB$15,$F89,0,OFFSET(ORÇAMENTO!$D$15,CRONO!$F89,0)))
                +IF(AND($F91&lt;&gt;"",$F91&lt;&gt;0),
                        SUMIF(CÁLCULO!$BC$15:$BU$131,CRONO!AQ$12,CÁLCULO!$AJ$15:$BB$131)/(ORÇAMENTO!$X$15-CÁLCULO.TotalAdmLocal)*CRONO!$F91,
                        0),
                 AQ90*$S89),
          SUMIF(OFFSET($S91,1,0,$R89-2),($M89+1)&amp;"$",OFFSET(AQ91,1,0,$R89-2)))</f>
        <v>0</v>
      </c>
      <c r="AR91" s="212">
        <f ca="1">IF($R89=2,
         IF(AND(ACOMPANHAMENTO="PLE",ISNUMBER($F89)),
                SUMIF((OFFSET(CÁLCULO!$BC$15:$BU$15,$F89,0,OFFSET(ORÇAMENTO!$D$15,CRONO!$F89,0))),CRONO!AR$12,OFFSET(CÁLCULO!$AJ$15:$BB$15,$F89,0,OFFSET(ORÇAMENTO!$D$15,CRONO!$F89,0)))
                +IF(AND($F91&lt;&gt;"",$F91&lt;&gt;0),
                        SUMIF(CÁLCULO!$BC$15:$BU$131,CRONO!AR$12,CÁLCULO!$AJ$15:$BB$131)/(ORÇAMENTO!$X$15-CÁLCULO.TotalAdmLocal)*CRONO!$F91,
                        0),
                 AR90*$S89),
          SUMIF(OFFSET($S91,1,0,$R89-2),($M89+1)&amp;"$",OFFSET(AR91,1,0,$R89-2)))</f>
        <v>0</v>
      </c>
      <c r="AS91" s="577"/>
    </row>
    <row r="92" spans="1:45" x14ac:dyDescent="0.2">
      <c r="A92" s="196" t="str">
        <f t="shared" ref="A92" ca="1" si="158">IF($M92&gt;1,CONCATENATE($I92," ",$J92),"")</f>
        <v/>
      </c>
      <c r="B92" s="195">
        <f t="shared" ref="B92" ca="1" si="159">OFFSET(B92,-3,0)+1</f>
        <v>27</v>
      </c>
      <c r="C92" s="195">
        <f ca="1">IF($R92&lt;&gt;2,0,IF($S92=0,1,IF(F93&gt;0,OFFSET(QCI!$M$13,SUBSTITUTE(F93,".",""),0),OFFSET(ORÇAMENTO!$AA$15,CRONO!$F92,0))/$S92))</f>
        <v>0</v>
      </c>
      <c r="D92" s="195">
        <f ca="1">IF($R92&lt;&gt;2,0,IF($S92=0,1,IF(F93&gt;0,OFFSET(QCI!$N$13,SUBSTITUTE(F93,".",""),0),OFFSET(ORÇAMENTO!$AB$15,CRONO!$F92,0))/$S92))</f>
        <v>0</v>
      </c>
      <c r="E92" s="198" t="e">
        <f ca="1">IF(AND($R92=2,ACOMPANHAMENTO="BM"),ROUND(E93,4),E94/$S92)</f>
        <v>#VALUE!</v>
      </c>
      <c r="F92" s="195" t="e">
        <f ca="1">IF(B92&lt;=ORÇAMENTO.MáximoListaCrono,MATCH(B92,ORÇAMENTO.ListaCrono,0),NA())</f>
        <v>#N/A</v>
      </c>
      <c r="G92" s="195" t="str">
        <f t="shared" ref="G92" ca="1" si="160">IF(AND($F93&lt;&gt;-1,$S92&gt;0),"F","")</f>
        <v/>
      </c>
      <c r="H92" s="199" t="str">
        <f ca="1">IF(OR(S92=0,S92=""),"Linha",IF(AND(OR(ACOMPANHAMENTO="PLE",$R92&lt;&gt;2),$F93=0),"Linha",ROUND(1-SUM(U92:AS92),4)))</f>
        <v>Linha</v>
      </c>
      <c r="I92" s="200" t="str">
        <f ca="1">IF($F93=0,OFFSET(ORÇAMENTO!O$15,$F92,0),IF($F93&lt;&gt;-1,OFFSET(QCI!$D$13,$F93,0),""))</f>
        <v/>
      </c>
      <c r="J92" s="201" t="str">
        <f ca="1">IF($F93=0,OFFSET(ORÇAMENTO!R$15,$F92,0),IF($F93&lt;&gt;-1,OFFSET(QCI!$G$13,$F93,0),""))</f>
        <v/>
      </c>
      <c r="K92" s="201"/>
      <c r="L92" s="201"/>
      <c r="M92" s="202">
        <f ca="1">IF($F93=0,OFFSET(ORÇAMENTO!C$15,$F92,0),1)</f>
        <v>1</v>
      </c>
      <c r="N92" s="203">
        <f ca="1">IF($F93=-1,0,IF(N$13&lt;=$M92,IF(ISERROR(MATCH(N$13,OFFSET($M92,1,0,ROW($M$107)-ROW($M92)-1),0)),ROW($M$107)-ROW($M92)-1,MATCH(N$13,OFFSET($M92,1,0,ROW($M$107)-ROW($M92)-1),0)-1),0))</f>
        <v>0</v>
      </c>
      <c r="O92" s="203">
        <f ca="1">IF($F93=-1,0,IF(O$13&lt;=$M92,IF(ISERROR(MATCH(O$13,OFFSET($M92,1,0,ROW($M$107)-ROW($M92)-1),0)),ROW($M$107)-ROW($M92)-1,MATCH(O$13,OFFSET($M92,1,0,ROW($M$107)-ROW($M92)-1),0)-1),0))</f>
        <v>0</v>
      </c>
      <c r="P92" s="203">
        <f ca="1">IF($F93=-1,0,IF(P$13&lt;=$M92,IF(ISERROR(MATCH(P$13,OFFSET($M92,1,0,ROW($M$107)-ROW($M92)-1),0)),ROW($M$107)-ROW($M92)-1,MATCH(P$13,OFFSET($M92,1,0,ROW($M$107)-ROW($M92)-1),0)-1),0))</f>
        <v>0</v>
      </c>
      <c r="Q92" s="203">
        <f ca="1">IF($F93=-1,0,IF(Q$13&lt;=$M92,IF(ISERROR(MATCH(Q$13,OFFSET($M92,1,0,ROW($M$107)-ROW($M92)-1),0)),ROW($M$107)-ROW($M92)-1,MATCH(Q$13,OFFSET($M92,1,0,ROW($M$107)-ROW($M92)-1),0)-1),0))</f>
        <v>0</v>
      </c>
      <c r="R92" s="203">
        <f t="shared" ref="R92" ca="1" si="161">MIN(OFFSET(M92,0,1,,M92))</f>
        <v>0</v>
      </c>
      <c r="S92" s="204" t="str">
        <f ca="1">IF($F93=0,OFFSET(ORÇAMENTO!X$15,$F92,0),IF($F93&lt;&gt;-1,OFFSET(QCI!$O$13,$F93,0),""))</f>
        <v/>
      </c>
      <c r="T92" s="205" t="s">
        <v>266</v>
      </c>
      <c r="U92" s="198" t="e">
        <f ca="1">IF(AND($R92=2,ACOMPANHAMENTO="BM"),ROUND(U93,4),U94/$S92)</f>
        <v>#VALUE!</v>
      </c>
      <c r="V92" s="198" t="e">
        <f ca="1">IF(AND($R92=2,ACOMPANHAMENTO="BM"),ROUND(V93,4),V94/$S92)</f>
        <v>#VALUE!</v>
      </c>
      <c r="W92" s="198" t="e">
        <f ca="1">IF(AND($R92=2,ACOMPANHAMENTO="BM"),ROUND(W93,4),W94/$S92)</f>
        <v>#VALUE!</v>
      </c>
      <c r="X92" s="198" t="e">
        <f ca="1">IF(AND($R92=2,ACOMPANHAMENTO="BM"),ROUND(X93,4),X94/$S92)</f>
        <v>#VALUE!</v>
      </c>
      <c r="Y92" s="198" t="e">
        <f ca="1">IF(AND($R92=2,ACOMPANHAMENTO="BM"),ROUND(Y93,4),Y94/$S92)</f>
        <v>#VALUE!</v>
      </c>
      <c r="Z92" s="198" t="e">
        <f ca="1">IF(AND($R92=2,ACOMPANHAMENTO="BM"),ROUND(Z93,4),Z94/$S92)</f>
        <v>#VALUE!</v>
      </c>
      <c r="AA92" s="198" t="e">
        <f ca="1">IF(AND($R92=2,ACOMPANHAMENTO="BM"),ROUND(AA93,4),AA94/$S92)</f>
        <v>#VALUE!</v>
      </c>
      <c r="AB92" s="198" t="e">
        <f ca="1">IF(AND($R92=2,ACOMPANHAMENTO="BM"),ROUND(AB93,4),AB94/$S92)</f>
        <v>#VALUE!</v>
      </c>
      <c r="AC92" s="198" t="e">
        <f ca="1">IF(AND($R92=2,ACOMPANHAMENTO="BM"),ROUND(AC93,4),AC94/$S92)</f>
        <v>#VALUE!</v>
      </c>
      <c r="AD92" s="198" t="e">
        <f ca="1">IF(AND($R92=2,ACOMPANHAMENTO="BM"),ROUND(AD93,4),AD94/$S92)</f>
        <v>#VALUE!</v>
      </c>
      <c r="AE92" s="198" t="e">
        <f ca="1">IF(AND($R92=2,ACOMPANHAMENTO="BM"),ROUND(AE93,4),AE94/$S92)</f>
        <v>#VALUE!</v>
      </c>
      <c r="AF92" s="198" t="e">
        <f ca="1">IF(AND($R92=2,ACOMPANHAMENTO="BM"),ROUND(AF93,4),AF94/$S92)</f>
        <v>#VALUE!</v>
      </c>
      <c r="AG92" s="198" t="e">
        <f ca="1">IF(AND($R92=2,ACOMPANHAMENTO="BM"),ROUND(AG93,4),AG94/$S92)</f>
        <v>#VALUE!</v>
      </c>
      <c r="AH92" s="198" t="e">
        <f ca="1">IF(AND($R92=2,ACOMPANHAMENTO="BM"),ROUND(AH93,4),AH94/$S92)</f>
        <v>#VALUE!</v>
      </c>
      <c r="AI92" s="198" t="e">
        <f ca="1">IF(AND($R92=2,ACOMPANHAMENTO="BM"),ROUND(AI93,4),AI94/$S92)</f>
        <v>#VALUE!</v>
      </c>
      <c r="AJ92" s="198" t="e">
        <f ca="1">IF(AND($R92=2,ACOMPANHAMENTO="BM"),ROUND(AJ93,4),AJ94/$S92)</f>
        <v>#VALUE!</v>
      </c>
      <c r="AK92" s="198" t="e">
        <f ca="1">IF(AND($R92=2,ACOMPANHAMENTO="BM"),ROUND(AK93,4),AK94/$S92)</f>
        <v>#VALUE!</v>
      </c>
      <c r="AL92" s="198" t="e">
        <f ca="1">IF(AND($R92=2,ACOMPANHAMENTO="BM"),ROUND(AL93,4),AL94/$S92)</f>
        <v>#VALUE!</v>
      </c>
      <c r="AM92" s="198" t="e">
        <f ca="1">IF(AND($R92=2,ACOMPANHAMENTO="BM"),ROUND(AM93,4),AM94/$S92)</f>
        <v>#VALUE!</v>
      </c>
      <c r="AN92" s="198" t="e">
        <f ca="1">IF(AND($R92=2,ACOMPANHAMENTO="BM"),ROUND(AN93,4),AN94/$S92)</f>
        <v>#VALUE!</v>
      </c>
      <c r="AO92" s="198" t="e">
        <f ca="1">IF(AND($R92=2,ACOMPANHAMENTO="BM"),ROUND(AO93,4),AO94/$S92)</f>
        <v>#VALUE!</v>
      </c>
      <c r="AP92" s="198" t="e">
        <f ca="1">IF(AND($R92=2,ACOMPANHAMENTO="BM"),ROUND(AP93,4),AP94/$S92)</f>
        <v>#VALUE!</v>
      </c>
      <c r="AQ92" s="198" t="e">
        <f ca="1">IF(AND($R92=2,ACOMPANHAMENTO="BM"),ROUND(AQ93,4),AQ94/$S92)</f>
        <v>#VALUE!</v>
      </c>
      <c r="AR92" s="198" t="e">
        <f ca="1">IF(AND($R92=2,ACOMPANHAMENTO="BM"),ROUND(AR93,4),AR94/$S92)</f>
        <v>#VALUE!</v>
      </c>
      <c r="AS92" s="577"/>
    </row>
    <row r="93" spans="1:45" ht="12.75" hidden="1" customHeight="1" x14ac:dyDescent="0.2">
      <c r="E93" s="645"/>
      <c r="F93" s="195">
        <f ca="1">IF(ISERROR(F92),IF(1+COUNTIF($M$13:OFFSET(M92,-1,0),1)&lt;=MAX(QCI!$D$13:$D$24),1+COUNTIF($M$13:OFFSET(M92,-1,0),1),-1),0)</f>
        <v>-1</v>
      </c>
      <c r="G93" s="195" t="str">
        <f ca="1">IF(ACOMPANHAMENTO="BM",OFFSET(G93,-1,0),"")</f>
        <v/>
      </c>
      <c r="H93" s="206" t="str">
        <f ca="1">IF(OR(S92=0,S92=""),"vazia",IF(AND(OR(ACOMPANHAMENTO="PLE",$R92&lt;&gt;2),$F93=0),"calculada","--&gt;"))</f>
        <v>vazia</v>
      </c>
      <c r="I93" s="207"/>
      <c r="J93" s="208" t="str">
        <f t="shared" ref="J93" ca="1" si="162">IF(AND(H92&lt;&gt;0,ISNUMBER(H92)),"PREENCHA ESTA LINHA --&gt;","")</f>
        <v/>
      </c>
      <c r="K93" s="208"/>
      <c r="L93" s="208"/>
      <c r="M93" s="209"/>
      <c r="N93" s="209"/>
      <c r="O93" s="209"/>
      <c r="P93" s="209"/>
      <c r="Q93" s="209"/>
      <c r="R93" s="209"/>
      <c r="S93" s="210"/>
      <c r="T93" s="211"/>
      <c r="U93" s="645"/>
      <c r="V93" s="645"/>
      <c r="W93" s="645"/>
      <c r="X93" s="645"/>
      <c r="Y93" s="645"/>
      <c r="Z93" s="645"/>
      <c r="AA93" s="645"/>
      <c r="AB93" s="645"/>
      <c r="AC93" s="645"/>
      <c r="AD93" s="645"/>
      <c r="AE93" s="645"/>
      <c r="AF93" s="645"/>
      <c r="AG93" s="645"/>
      <c r="AH93" s="645"/>
      <c r="AI93" s="645"/>
      <c r="AJ93" s="645"/>
      <c r="AK93" s="645"/>
      <c r="AL93" s="645"/>
      <c r="AM93" s="645"/>
      <c r="AN93" s="645"/>
      <c r="AO93" s="645"/>
      <c r="AP93" s="645"/>
      <c r="AQ93" s="645"/>
      <c r="AR93" s="645"/>
      <c r="AS93" s="577"/>
    </row>
    <row r="94" spans="1:45" ht="12.75" hidden="1" customHeight="1" x14ac:dyDescent="0.2">
      <c r="D94" s="576"/>
      <c r="E94" s="212">
        <f ca="1">IF($R92=2,
         IF(AND(ACOMPANHAMENTO="PLE",ISNUMBER($F92)),
                SUMIF((OFFSET(CÁLCULO!$BC$15:$BU$15,$F92,0,OFFSET(ORÇAMENTO!$D$15,CRONO!$F92,0))),CRONO!E$12,OFFSET(CÁLCULO!$AJ$15:$BB$15,$F92,0,OFFSET(ORÇAMENTO!$D$15,CRONO!$F92,0)))
                +IF(AND($F94&lt;&gt;"",$F94&lt;&gt;0),
                        SUMIF(CÁLCULO!$BC$15:$BU$131,CRONO!E$12,CÁLCULO!$AJ$15:$BB$131)/(ORÇAMENTO!$X$15-CÁLCULO.TotalAdmLocal)*CRONO!$F94,
                        0),
                 E93*$S92),
          SUMIF(OFFSET($S94,1,0,$R92-2),($M92+1)&amp;"$",OFFSET(E94,1,0,$R92-2)))</f>
        <v>0</v>
      </c>
      <c r="F94" s="195" t="str">
        <f ca="1">IF(OR($R92&lt;&gt;2,AUTOEVENTO&lt;&gt;"manual",$F93&gt;0),"",
        IF(Import.TipoArredondamento="Tradicional",
              SUMIF(OFFSET(CÁLCULO!$M$15,CRONO!$F92,0,OFFSET(ORÇAMENTO!$D$15,CRONO!$F92,0)),1,OFFSET(ORÇAMENTO!$X$15,CRONO!$F92,0,OFFSET(ORÇAMENTO!$D$15,CRONO!$F92,0))),
              0))</f>
        <v/>
      </c>
      <c r="H94" s="213"/>
      <c r="S94" s="214" t="str">
        <f t="shared" ref="S94" ca="1" si="163">M92&amp;"$"</f>
        <v>1$</v>
      </c>
      <c r="T94" s="215"/>
      <c r="U94" s="212">
        <f ca="1">IF($R92=2,
         IF(AND(ACOMPANHAMENTO="PLE",ISNUMBER($F92)),
                SUMIF((OFFSET(CÁLCULO!$BC$15:$BU$15,$F92,0,OFFSET(ORÇAMENTO!$D$15,CRONO!$F92,0))),CRONO!U$12,OFFSET(CÁLCULO!$AJ$15:$BB$15,$F92,0,OFFSET(ORÇAMENTO!$D$15,CRONO!$F92,0)))
                +IF(AND($F94&lt;&gt;"",$F94&lt;&gt;0),
                        SUMIF(CÁLCULO!$BC$15:$BU$131,CRONO!U$12,CÁLCULO!$AJ$15:$BB$131)/(ORÇAMENTO!$X$15-CÁLCULO.TotalAdmLocal)*CRONO!$F94,
                        0),
                 U93*$S92),
          SUMIF(OFFSET($S94,1,0,$R92-2),($M92+1)&amp;"$",OFFSET(U94,1,0,$R92-2)))</f>
        <v>0</v>
      </c>
      <c r="V94" s="212">
        <f ca="1">IF($R92=2,
         IF(AND(ACOMPANHAMENTO="PLE",ISNUMBER($F92)),
                SUMIF((OFFSET(CÁLCULO!$BC$15:$BU$15,$F92,0,OFFSET(ORÇAMENTO!$D$15,CRONO!$F92,0))),CRONO!V$12,OFFSET(CÁLCULO!$AJ$15:$BB$15,$F92,0,OFFSET(ORÇAMENTO!$D$15,CRONO!$F92,0)))
                +IF(AND($F94&lt;&gt;"",$F94&lt;&gt;0),
                        SUMIF(CÁLCULO!$BC$15:$BU$131,CRONO!V$12,CÁLCULO!$AJ$15:$BB$131)/(ORÇAMENTO!$X$15-CÁLCULO.TotalAdmLocal)*CRONO!$F94,
                        0),
                 V93*$S92),
          SUMIF(OFFSET($S94,1,0,$R92-2),($M92+1)&amp;"$",OFFSET(V94,1,0,$R92-2)))</f>
        <v>0</v>
      </c>
      <c r="W94" s="212">
        <f ca="1">IF($R92=2,
         IF(AND(ACOMPANHAMENTO="PLE",ISNUMBER($F92)),
                SUMIF((OFFSET(CÁLCULO!$BC$15:$BU$15,$F92,0,OFFSET(ORÇAMENTO!$D$15,CRONO!$F92,0))),CRONO!W$12,OFFSET(CÁLCULO!$AJ$15:$BB$15,$F92,0,OFFSET(ORÇAMENTO!$D$15,CRONO!$F92,0)))
                +IF(AND($F94&lt;&gt;"",$F94&lt;&gt;0),
                        SUMIF(CÁLCULO!$BC$15:$BU$131,CRONO!W$12,CÁLCULO!$AJ$15:$BB$131)/(ORÇAMENTO!$X$15-CÁLCULO.TotalAdmLocal)*CRONO!$F94,
                        0),
                 W93*$S92),
          SUMIF(OFFSET($S94,1,0,$R92-2),($M92+1)&amp;"$",OFFSET(W94,1,0,$R92-2)))</f>
        <v>0</v>
      </c>
      <c r="X94" s="212">
        <f ca="1">IF($R92=2,
         IF(AND(ACOMPANHAMENTO="PLE",ISNUMBER($F92)),
                SUMIF((OFFSET(CÁLCULO!$BC$15:$BU$15,$F92,0,OFFSET(ORÇAMENTO!$D$15,CRONO!$F92,0))),CRONO!X$12,OFFSET(CÁLCULO!$AJ$15:$BB$15,$F92,0,OFFSET(ORÇAMENTO!$D$15,CRONO!$F92,0)))
                +IF(AND($F94&lt;&gt;"",$F94&lt;&gt;0),
                        SUMIF(CÁLCULO!$BC$15:$BU$131,CRONO!X$12,CÁLCULO!$AJ$15:$BB$131)/(ORÇAMENTO!$X$15-CÁLCULO.TotalAdmLocal)*CRONO!$F94,
                        0),
                 X93*$S92),
          SUMIF(OFFSET($S94,1,0,$R92-2),($M92+1)&amp;"$",OFFSET(X94,1,0,$R92-2)))</f>
        <v>0</v>
      </c>
      <c r="Y94" s="212">
        <f ca="1">IF($R92=2,
         IF(AND(ACOMPANHAMENTO="PLE",ISNUMBER($F92)),
                SUMIF((OFFSET(CÁLCULO!$BC$15:$BU$15,$F92,0,OFFSET(ORÇAMENTO!$D$15,CRONO!$F92,0))),CRONO!Y$12,OFFSET(CÁLCULO!$AJ$15:$BB$15,$F92,0,OFFSET(ORÇAMENTO!$D$15,CRONO!$F92,0)))
                +IF(AND($F94&lt;&gt;"",$F94&lt;&gt;0),
                        SUMIF(CÁLCULO!$BC$15:$BU$131,CRONO!Y$12,CÁLCULO!$AJ$15:$BB$131)/(ORÇAMENTO!$X$15-CÁLCULO.TotalAdmLocal)*CRONO!$F94,
                        0),
                 Y93*$S92),
          SUMIF(OFFSET($S94,1,0,$R92-2),($M92+1)&amp;"$",OFFSET(Y94,1,0,$R92-2)))</f>
        <v>0</v>
      </c>
      <c r="Z94" s="212">
        <f ca="1">IF($R92=2,
         IF(AND(ACOMPANHAMENTO="PLE",ISNUMBER($F92)),
                SUMIF((OFFSET(CÁLCULO!$BC$15:$BU$15,$F92,0,OFFSET(ORÇAMENTO!$D$15,CRONO!$F92,0))),CRONO!Z$12,OFFSET(CÁLCULO!$AJ$15:$BB$15,$F92,0,OFFSET(ORÇAMENTO!$D$15,CRONO!$F92,0)))
                +IF(AND($F94&lt;&gt;"",$F94&lt;&gt;0),
                        SUMIF(CÁLCULO!$BC$15:$BU$131,CRONO!Z$12,CÁLCULO!$AJ$15:$BB$131)/(ORÇAMENTO!$X$15-CÁLCULO.TotalAdmLocal)*CRONO!$F94,
                        0),
                 Z93*$S92),
          SUMIF(OFFSET($S94,1,0,$R92-2),($M92+1)&amp;"$",OFFSET(Z94,1,0,$R92-2)))</f>
        <v>0</v>
      </c>
      <c r="AA94" s="212">
        <f ca="1">IF($R92=2,
         IF(AND(ACOMPANHAMENTO="PLE",ISNUMBER($F92)),
                SUMIF((OFFSET(CÁLCULO!$BC$15:$BU$15,$F92,0,OFFSET(ORÇAMENTO!$D$15,CRONO!$F92,0))),CRONO!AA$12,OFFSET(CÁLCULO!$AJ$15:$BB$15,$F92,0,OFFSET(ORÇAMENTO!$D$15,CRONO!$F92,0)))
                +IF(AND($F94&lt;&gt;"",$F94&lt;&gt;0),
                        SUMIF(CÁLCULO!$BC$15:$BU$131,CRONO!AA$12,CÁLCULO!$AJ$15:$BB$131)/(ORÇAMENTO!$X$15-CÁLCULO.TotalAdmLocal)*CRONO!$F94,
                        0),
                 AA93*$S92),
          SUMIF(OFFSET($S94,1,0,$R92-2),($M92+1)&amp;"$",OFFSET(AA94,1,0,$R92-2)))</f>
        <v>0</v>
      </c>
      <c r="AB94" s="212">
        <f ca="1">IF($R92=2,
         IF(AND(ACOMPANHAMENTO="PLE",ISNUMBER($F92)),
                SUMIF((OFFSET(CÁLCULO!$BC$15:$BU$15,$F92,0,OFFSET(ORÇAMENTO!$D$15,CRONO!$F92,0))),CRONO!AB$12,OFFSET(CÁLCULO!$AJ$15:$BB$15,$F92,0,OFFSET(ORÇAMENTO!$D$15,CRONO!$F92,0)))
                +IF(AND($F94&lt;&gt;"",$F94&lt;&gt;0),
                        SUMIF(CÁLCULO!$BC$15:$BU$131,CRONO!AB$12,CÁLCULO!$AJ$15:$BB$131)/(ORÇAMENTO!$X$15-CÁLCULO.TotalAdmLocal)*CRONO!$F94,
                        0),
                 AB93*$S92),
          SUMIF(OFFSET($S94,1,0,$R92-2),($M92+1)&amp;"$",OFFSET(AB94,1,0,$R92-2)))</f>
        <v>0</v>
      </c>
      <c r="AC94" s="212">
        <f ca="1">IF($R92=2,
         IF(AND(ACOMPANHAMENTO="PLE",ISNUMBER($F92)),
                SUMIF((OFFSET(CÁLCULO!$BC$15:$BU$15,$F92,0,OFFSET(ORÇAMENTO!$D$15,CRONO!$F92,0))),CRONO!AC$12,OFFSET(CÁLCULO!$AJ$15:$BB$15,$F92,0,OFFSET(ORÇAMENTO!$D$15,CRONO!$F92,0)))
                +IF(AND($F94&lt;&gt;"",$F94&lt;&gt;0),
                        SUMIF(CÁLCULO!$BC$15:$BU$131,CRONO!AC$12,CÁLCULO!$AJ$15:$BB$131)/(ORÇAMENTO!$X$15-CÁLCULO.TotalAdmLocal)*CRONO!$F94,
                        0),
                 AC93*$S92),
          SUMIF(OFFSET($S94,1,0,$R92-2),($M92+1)&amp;"$",OFFSET(AC94,1,0,$R92-2)))</f>
        <v>0</v>
      </c>
      <c r="AD94" s="212">
        <f ca="1">IF($R92=2,
         IF(AND(ACOMPANHAMENTO="PLE",ISNUMBER($F92)),
                SUMIF((OFFSET(CÁLCULO!$BC$15:$BU$15,$F92,0,OFFSET(ORÇAMENTO!$D$15,CRONO!$F92,0))),CRONO!AD$12,OFFSET(CÁLCULO!$AJ$15:$BB$15,$F92,0,OFFSET(ORÇAMENTO!$D$15,CRONO!$F92,0)))
                +IF(AND($F94&lt;&gt;"",$F94&lt;&gt;0),
                        SUMIF(CÁLCULO!$BC$15:$BU$131,CRONO!AD$12,CÁLCULO!$AJ$15:$BB$131)/(ORÇAMENTO!$X$15-CÁLCULO.TotalAdmLocal)*CRONO!$F94,
                        0),
                 AD93*$S92),
          SUMIF(OFFSET($S94,1,0,$R92-2),($M92+1)&amp;"$",OFFSET(AD94,1,0,$R92-2)))</f>
        <v>0</v>
      </c>
      <c r="AE94" s="212">
        <f ca="1">IF($R92=2,
         IF(AND(ACOMPANHAMENTO="PLE",ISNUMBER($F92)),
                SUMIF((OFFSET(CÁLCULO!$BC$15:$BU$15,$F92,0,OFFSET(ORÇAMENTO!$D$15,CRONO!$F92,0))),CRONO!AE$12,OFFSET(CÁLCULO!$AJ$15:$BB$15,$F92,0,OFFSET(ORÇAMENTO!$D$15,CRONO!$F92,0)))
                +IF(AND($F94&lt;&gt;"",$F94&lt;&gt;0),
                        SUMIF(CÁLCULO!$BC$15:$BU$131,CRONO!AE$12,CÁLCULO!$AJ$15:$BB$131)/(ORÇAMENTO!$X$15-CÁLCULO.TotalAdmLocal)*CRONO!$F94,
                        0),
                 AE93*$S92),
          SUMIF(OFFSET($S94,1,0,$R92-2),($M92+1)&amp;"$",OFFSET(AE94,1,0,$R92-2)))</f>
        <v>0</v>
      </c>
      <c r="AF94" s="212">
        <f ca="1">IF($R92=2,
         IF(AND(ACOMPANHAMENTO="PLE",ISNUMBER($F92)),
                SUMIF((OFFSET(CÁLCULO!$BC$15:$BU$15,$F92,0,OFFSET(ORÇAMENTO!$D$15,CRONO!$F92,0))),CRONO!AF$12,OFFSET(CÁLCULO!$AJ$15:$BB$15,$F92,0,OFFSET(ORÇAMENTO!$D$15,CRONO!$F92,0)))
                +IF(AND($F94&lt;&gt;"",$F94&lt;&gt;0),
                        SUMIF(CÁLCULO!$BC$15:$BU$131,CRONO!AF$12,CÁLCULO!$AJ$15:$BB$131)/(ORÇAMENTO!$X$15-CÁLCULO.TotalAdmLocal)*CRONO!$F94,
                        0),
                 AF93*$S92),
          SUMIF(OFFSET($S94,1,0,$R92-2),($M92+1)&amp;"$",OFFSET(AF94,1,0,$R92-2)))</f>
        <v>0</v>
      </c>
      <c r="AG94" s="212">
        <f ca="1">IF($R92=2,
         IF(AND(ACOMPANHAMENTO="PLE",ISNUMBER($F92)),
                SUMIF((OFFSET(CÁLCULO!$BC$15:$BU$15,$F92,0,OFFSET(ORÇAMENTO!$D$15,CRONO!$F92,0))),CRONO!AG$12,OFFSET(CÁLCULO!$AJ$15:$BB$15,$F92,0,OFFSET(ORÇAMENTO!$D$15,CRONO!$F92,0)))
                +IF(AND($F94&lt;&gt;"",$F94&lt;&gt;0),
                        SUMIF(CÁLCULO!$BC$15:$BU$131,CRONO!AG$12,CÁLCULO!$AJ$15:$BB$131)/(ORÇAMENTO!$X$15-CÁLCULO.TotalAdmLocal)*CRONO!$F94,
                        0),
                 AG93*$S92),
          SUMIF(OFFSET($S94,1,0,$R92-2),($M92+1)&amp;"$",OFFSET(AG94,1,0,$R92-2)))</f>
        <v>0</v>
      </c>
      <c r="AH94" s="212">
        <f ca="1">IF($R92=2,
         IF(AND(ACOMPANHAMENTO="PLE",ISNUMBER($F92)),
                SUMIF((OFFSET(CÁLCULO!$BC$15:$BU$15,$F92,0,OFFSET(ORÇAMENTO!$D$15,CRONO!$F92,0))),CRONO!AH$12,OFFSET(CÁLCULO!$AJ$15:$BB$15,$F92,0,OFFSET(ORÇAMENTO!$D$15,CRONO!$F92,0)))
                +IF(AND($F94&lt;&gt;"",$F94&lt;&gt;0),
                        SUMIF(CÁLCULO!$BC$15:$BU$131,CRONO!AH$12,CÁLCULO!$AJ$15:$BB$131)/(ORÇAMENTO!$X$15-CÁLCULO.TotalAdmLocal)*CRONO!$F94,
                        0),
                 AH93*$S92),
          SUMIF(OFFSET($S94,1,0,$R92-2),($M92+1)&amp;"$",OFFSET(AH94,1,0,$R92-2)))</f>
        <v>0</v>
      </c>
      <c r="AI94" s="212">
        <f ca="1">IF($R92=2,
         IF(AND(ACOMPANHAMENTO="PLE",ISNUMBER($F92)),
                SUMIF((OFFSET(CÁLCULO!$BC$15:$BU$15,$F92,0,OFFSET(ORÇAMENTO!$D$15,CRONO!$F92,0))),CRONO!AI$12,OFFSET(CÁLCULO!$AJ$15:$BB$15,$F92,0,OFFSET(ORÇAMENTO!$D$15,CRONO!$F92,0)))
                +IF(AND($F94&lt;&gt;"",$F94&lt;&gt;0),
                        SUMIF(CÁLCULO!$BC$15:$BU$131,CRONO!AI$12,CÁLCULO!$AJ$15:$BB$131)/(ORÇAMENTO!$X$15-CÁLCULO.TotalAdmLocal)*CRONO!$F94,
                        0),
                 AI93*$S92),
          SUMIF(OFFSET($S94,1,0,$R92-2),($M92+1)&amp;"$",OFFSET(AI94,1,0,$R92-2)))</f>
        <v>0</v>
      </c>
      <c r="AJ94" s="212">
        <f ca="1">IF($R92=2,
         IF(AND(ACOMPANHAMENTO="PLE",ISNUMBER($F92)),
                SUMIF((OFFSET(CÁLCULO!$BC$15:$BU$15,$F92,0,OFFSET(ORÇAMENTO!$D$15,CRONO!$F92,0))),CRONO!AJ$12,OFFSET(CÁLCULO!$AJ$15:$BB$15,$F92,0,OFFSET(ORÇAMENTO!$D$15,CRONO!$F92,0)))
                +IF(AND($F94&lt;&gt;"",$F94&lt;&gt;0),
                        SUMIF(CÁLCULO!$BC$15:$BU$131,CRONO!AJ$12,CÁLCULO!$AJ$15:$BB$131)/(ORÇAMENTO!$X$15-CÁLCULO.TotalAdmLocal)*CRONO!$F94,
                        0),
                 AJ93*$S92),
          SUMIF(OFFSET($S94,1,0,$R92-2),($M92+1)&amp;"$",OFFSET(AJ94,1,0,$R92-2)))</f>
        <v>0</v>
      </c>
      <c r="AK94" s="212">
        <f ca="1">IF($R92=2,
         IF(AND(ACOMPANHAMENTO="PLE",ISNUMBER($F92)),
                SUMIF((OFFSET(CÁLCULO!$BC$15:$BU$15,$F92,0,OFFSET(ORÇAMENTO!$D$15,CRONO!$F92,0))),CRONO!AK$12,OFFSET(CÁLCULO!$AJ$15:$BB$15,$F92,0,OFFSET(ORÇAMENTO!$D$15,CRONO!$F92,0)))
                +IF(AND($F94&lt;&gt;"",$F94&lt;&gt;0),
                        SUMIF(CÁLCULO!$BC$15:$BU$131,CRONO!AK$12,CÁLCULO!$AJ$15:$BB$131)/(ORÇAMENTO!$X$15-CÁLCULO.TotalAdmLocal)*CRONO!$F94,
                        0),
                 AK93*$S92),
          SUMIF(OFFSET($S94,1,0,$R92-2),($M92+1)&amp;"$",OFFSET(AK94,1,0,$R92-2)))</f>
        <v>0</v>
      </c>
      <c r="AL94" s="212">
        <f ca="1">IF($R92=2,
         IF(AND(ACOMPANHAMENTO="PLE",ISNUMBER($F92)),
                SUMIF((OFFSET(CÁLCULO!$BC$15:$BU$15,$F92,0,OFFSET(ORÇAMENTO!$D$15,CRONO!$F92,0))),CRONO!AL$12,OFFSET(CÁLCULO!$AJ$15:$BB$15,$F92,0,OFFSET(ORÇAMENTO!$D$15,CRONO!$F92,0)))
                +IF(AND($F94&lt;&gt;"",$F94&lt;&gt;0),
                        SUMIF(CÁLCULO!$BC$15:$BU$131,CRONO!AL$12,CÁLCULO!$AJ$15:$BB$131)/(ORÇAMENTO!$X$15-CÁLCULO.TotalAdmLocal)*CRONO!$F94,
                        0),
                 AL93*$S92),
          SUMIF(OFFSET($S94,1,0,$R92-2),($M92+1)&amp;"$",OFFSET(AL94,1,0,$R92-2)))</f>
        <v>0</v>
      </c>
      <c r="AM94" s="212">
        <f ca="1">IF($R92=2,
         IF(AND(ACOMPANHAMENTO="PLE",ISNUMBER($F92)),
                SUMIF((OFFSET(CÁLCULO!$BC$15:$BU$15,$F92,0,OFFSET(ORÇAMENTO!$D$15,CRONO!$F92,0))),CRONO!AM$12,OFFSET(CÁLCULO!$AJ$15:$BB$15,$F92,0,OFFSET(ORÇAMENTO!$D$15,CRONO!$F92,0)))
                +IF(AND($F94&lt;&gt;"",$F94&lt;&gt;0),
                        SUMIF(CÁLCULO!$BC$15:$BU$131,CRONO!AM$12,CÁLCULO!$AJ$15:$BB$131)/(ORÇAMENTO!$X$15-CÁLCULO.TotalAdmLocal)*CRONO!$F94,
                        0),
                 AM93*$S92),
          SUMIF(OFFSET($S94,1,0,$R92-2),($M92+1)&amp;"$",OFFSET(AM94,1,0,$R92-2)))</f>
        <v>0</v>
      </c>
      <c r="AN94" s="212">
        <f ca="1">IF($R92=2,
         IF(AND(ACOMPANHAMENTO="PLE",ISNUMBER($F92)),
                SUMIF((OFFSET(CÁLCULO!$BC$15:$BU$15,$F92,0,OFFSET(ORÇAMENTO!$D$15,CRONO!$F92,0))),CRONO!AN$12,OFFSET(CÁLCULO!$AJ$15:$BB$15,$F92,0,OFFSET(ORÇAMENTO!$D$15,CRONO!$F92,0)))
                +IF(AND($F94&lt;&gt;"",$F94&lt;&gt;0),
                        SUMIF(CÁLCULO!$BC$15:$BU$131,CRONO!AN$12,CÁLCULO!$AJ$15:$BB$131)/(ORÇAMENTO!$X$15-CÁLCULO.TotalAdmLocal)*CRONO!$F94,
                        0),
                 AN93*$S92),
          SUMIF(OFFSET($S94,1,0,$R92-2),($M92+1)&amp;"$",OFFSET(AN94,1,0,$R92-2)))</f>
        <v>0</v>
      </c>
      <c r="AO94" s="212">
        <f ca="1">IF($R92=2,
         IF(AND(ACOMPANHAMENTO="PLE",ISNUMBER($F92)),
                SUMIF((OFFSET(CÁLCULO!$BC$15:$BU$15,$F92,0,OFFSET(ORÇAMENTO!$D$15,CRONO!$F92,0))),CRONO!AO$12,OFFSET(CÁLCULO!$AJ$15:$BB$15,$F92,0,OFFSET(ORÇAMENTO!$D$15,CRONO!$F92,0)))
                +IF(AND($F94&lt;&gt;"",$F94&lt;&gt;0),
                        SUMIF(CÁLCULO!$BC$15:$BU$131,CRONO!AO$12,CÁLCULO!$AJ$15:$BB$131)/(ORÇAMENTO!$X$15-CÁLCULO.TotalAdmLocal)*CRONO!$F94,
                        0),
                 AO93*$S92),
          SUMIF(OFFSET($S94,1,0,$R92-2),($M92+1)&amp;"$",OFFSET(AO94,1,0,$R92-2)))</f>
        <v>0</v>
      </c>
      <c r="AP94" s="212">
        <f ca="1">IF($R92=2,
         IF(AND(ACOMPANHAMENTO="PLE",ISNUMBER($F92)),
                SUMIF((OFFSET(CÁLCULO!$BC$15:$BU$15,$F92,0,OFFSET(ORÇAMENTO!$D$15,CRONO!$F92,0))),CRONO!AP$12,OFFSET(CÁLCULO!$AJ$15:$BB$15,$F92,0,OFFSET(ORÇAMENTO!$D$15,CRONO!$F92,0)))
                +IF(AND($F94&lt;&gt;"",$F94&lt;&gt;0),
                        SUMIF(CÁLCULO!$BC$15:$BU$131,CRONO!AP$12,CÁLCULO!$AJ$15:$BB$131)/(ORÇAMENTO!$X$15-CÁLCULO.TotalAdmLocal)*CRONO!$F94,
                        0),
                 AP93*$S92),
          SUMIF(OFFSET($S94,1,0,$R92-2),($M92+1)&amp;"$",OFFSET(AP94,1,0,$R92-2)))</f>
        <v>0</v>
      </c>
      <c r="AQ94" s="212">
        <f ca="1">IF($R92=2,
         IF(AND(ACOMPANHAMENTO="PLE",ISNUMBER($F92)),
                SUMIF((OFFSET(CÁLCULO!$BC$15:$BU$15,$F92,0,OFFSET(ORÇAMENTO!$D$15,CRONO!$F92,0))),CRONO!AQ$12,OFFSET(CÁLCULO!$AJ$15:$BB$15,$F92,0,OFFSET(ORÇAMENTO!$D$15,CRONO!$F92,0)))
                +IF(AND($F94&lt;&gt;"",$F94&lt;&gt;0),
                        SUMIF(CÁLCULO!$BC$15:$BU$131,CRONO!AQ$12,CÁLCULO!$AJ$15:$BB$131)/(ORÇAMENTO!$X$15-CÁLCULO.TotalAdmLocal)*CRONO!$F94,
                        0),
                 AQ93*$S92),
          SUMIF(OFFSET($S94,1,0,$R92-2),($M92+1)&amp;"$",OFFSET(AQ94,1,0,$R92-2)))</f>
        <v>0</v>
      </c>
      <c r="AR94" s="212">
        <f ca="1">IF($R92=2,
         IF(AND(ACOMPANHAMENTO="PLE",ISNUMBER($F92)),
                SUMIF((OFFSET(CÁLCULO!$BC$15:$BU$15,$F92,0,OFFSET(ORÇAMENTO!$D$15,CRONO!$F92,0))),CRONO!AR$12,OFFSET(CÁLCULO!$AJ$15:$BB$15,$F92,0,OFFSET(ORÇAMENTO!$D$15,CRONO!$F92,0)))
                +IF(AND($F94&lt;&gt;"",$F94&lt;&gt;0),
                        SUMIF(CÁLCULO!$BC$15:$BU$131,CRONO!AR$12,CÁLCULO!$AJ$15:$BB$131)/(ORÇAMENTO!$X$15-CÁLCULO.TotalAdmLocal)*CRONO!$F94,
                        0),
                 AR93*$S92),
          SUMIF(OFFSET($S94,1,0,$R92-2),($M92+1)&amp;"$",OFFSET(AR94,1,0,$R92-2)))</f>
        <v>0</v>
      </c>
      <c r="AS94" s="577"/>
    </row>
    <row r="95" spans="1:45" x14ac:dyDescent="0.2">
      <c r="A95" s="196" t="str">
        <f t="shared" ref="A95" ca="1" si="164">IF($M95&gt;1,CONCATENATE($I95," ",$J95),"")</f>
        <v/>
      </c>
      <c r="B95" s="195">
        <f t="shared" ref="B95" ca="1" si="165">OFFSET(B95,-3,0)+1</f>
        <v>28</v>
      </c>
      <c r="C95" s="195">
        <f ca="1">IF($R95&lt;&gt;2,0,IF($S95=0,1,IF(F96&gt;0,OFFSET(QCI!$M$13,SUBSTITUTE(F96,".",""),0),OFFSET(ORÇAMENTO!$AA$15,CRONO!$F95,0))/$S95))</f>
        <v>0</v>
      </c>
      <c r="D95" s="195">
        <f ca="1">IF($R95&lt;&gt;2,0,IF($S95=0,1,IF(F96&gt;0,OFFSET(QCI!$N$13,SUBSTITUTE(F96,".",""),0),OFFSET(ORÇAMENTO!$AB$15,CRONO!$F95,0))/$S95))</f>
        <v>0</v>
      </c>
      <c r="E95" s="198" t="e">
        <f ca="1">IF(AND($R95=2,ACOMPANHAMENTO="BM"),ROUND(E96,4),E97/$S95)</f>
        <v>#VALUE!</v>
      </c>
      <c r="F95" s="195" t="e">
        <f ca="1">IF(B95&lt;=ORÇAMENTO.MáximoListaCrono,MATCH(B95,ORÇAMENTO.ListaCrono,0),NA())</f>
        <v>#N/A</v>
      </c>
      <c r="G95" s="195" t="str">
        <f t="shared" ref="G95" ca="1" si="166">IF(AND($F96&lt;&gt;-1,$S95&gt;0),"F","")</f>
        <v/>
      </c>
      <c r="H95" s="199" t="str">
        <f ca="1">IF(OR(S95=0,S95=""),"Linha",IF(AND(OR(ACOMPANHAMENTO="PLE",$R95&lt;&gt;2),$F96=0),"Linha",ROUND(1-SUM(U95:AS95),4)))</f>
        <v>Linha</v>
      </c>
      <c r="I95" s="200" t="str">
        <f ca="1">IF($F96=0,OFFSET(ORÇAMENTO!O$15,$F95,0),IF($F96&lt;&gt;-1,OFFSET(QCI!$D$13,$F96,0),""))</f>
        <v/>
      </c>
      <c r="J95" s="201" t="str">
        <f ca="1">IF($F96=0,OFFSET(ORÇAMENTO!R$15,$F95,0),IF($F96&lt;&gt;-1,OFFSET(QCI!$G$13,$F96,0),""))</f>
        <v/>
      </c>
      <c r="K95" s="201"/>
      <c r="L95" s="201"/>
      <c r="M95" s="202">
        <f ca="1">IF($F96=0,OFFSET(ORÇAMENTO!C$15,$F95,0),1)</f>
        <v>1</v>
      </c>
      <c r="N95" s="203">
        <f ca="1">IF($F96=-1,0,IF(N$13&lt;=$M95,IF(ISERROR(MATCH(N$13,OFFSET($M95,1,0,ROW($M$107)-ROW($M95)-1),0)),ROW($M$107)-ROW($M95)-1,MATCH(N$13,OFFSET($M95,1,0,ROW($M$107)-ROW($M95)-1),0)-1),0))</f>
        <v>0</v>
      </c>
      <c r="O95" s="203">
        <f ca="1">IF($F96=-1,0,IF(O$13&lt;=$M95,IF(ISERROR(MATCH(O$13,OFFSET($M95,1,0,ROW($M$107)-ROW($M95)-1),0)),ROW($M$107)-ROW($M95)-1,MATCH(O$13,OFFSET($M95,1,0,ROW($M$107)-ROW($M95)-1),0)-1),0))</f>
        <v>0</v>
      </c>
      <c r="P95" s="203">
        <f ca="1">IF($F96=-1,0,IF(P$13&lt;=$M95,IF(ISERROR(MATCH(P$13,OFFSET($M95,1,0,ROW($M$107)-ROW($M95)-1),0)),ROW($M$107)-ROW($M95)-1,MATCH(P$13,OFFSET($M95,1,0,ROW($M$107)-ROW($M95)-1),0)-1),0))</f>
        <v>0</v>
      </c>
      <c r="Q95" s="203">
        <f ca="1">IF($F96=-1,0,IF(Q$13&lt;=$M95,IF(ISERROR(MATCH(Q$13,OFFSET($M95,1,0,ROW($M$107)-ROW($M95)-1),0)),ROW($M$107)-ROW($M95)-1,MATCH(Q$13,OFFSET($M95,1,0,ROW($M$107)-ROW($M95)-1),0)-1),0))</f>
        <v>0</v>
      </c>
      <c r="R95" s="203">
        <f t="shared" ref="R95" ca="1" si="167">MIN(OFFSET(M95,0,1,,M95))</f>
        <v>0</v>
      </c>
      <c r="S95" s="204" t="str">
        <f ca="1">IF($F96=0,OFFSET(ORÇAMENTO!X$15,$F95,0),IF($F96&lt;&gt;-1,OFFSET(QCI!$O$13,$F96,0),""))</f>
        <v/>
      </c>
      <c r="T95" s="205" t="s">
        <v>266</v>
      </c>
      <c r="U95" s="198" t="e">
        <f ca="1">IF(AND($R95=2,ACOMPANHAMENTO="BM"),ROUND(U96,4),U97/$S95)</f>
        <v>#VALUE!</v>
      </c>
      <c r="V95" s="198" t="e">
        <f ca="1">IF(AND($R95=2,ACOMPANHAMENTO="BM"),ROUND(V96,4),V97/$S95)</f>
        <v>#VALUE!</v>
      </c>
      <c r="W95" s="198" t="e">
        <f ca="1">IF(AND($R95=2,ACOMPANHAMENTO="BM"),ROUND(W96,4),W97/$S95)</f>
        <v>#VALUE!</v>
      </c>
      <c r="X95" s="198" t="e">
        <f ca="1">IF(AND($R95=2,ACOMPANHAMENTO="BM"),ROUND(X96,4),X97/$S95)</f>
        <v>#VALUE!</v>
      </c>
      <c r="Y95" s="198" t="e">
        <f ca="1">IF(AND($R95=2,ACOMPANHAMENTO="BM"),ROUND(Y96,4),Y97/$S95)</f>
        <v>#VALUE!</v>
      </c>
      <c r="Z95" s="198" t="e">
        <f ca="1">IF(AND($R95=2,ACOMPANHAMENTO="BM"),ROUND(Z96,4),Z97/$S95)</f>
        <v>#VALUE!</v>
      </c>
      <c r="AA95" s="198" t="e">
        <f ca="1">IF(AND($R95=2,ACOMPANHAMENTO="BM"),ROUND(AA96,4),AA97/$S95)</f>
        <v>#VALUE!</v>
      </c>
      <c r="AB95" s="198" t="e">
        <f ca="1">IF(AND($R95=2,ACOMPANHAMENTO="BM"),ROUND(AB96,4),AB97/$S95)</f>
        <v>#VALUE!</v>
      </c>
      <c r="AC95" s="198" t="e">
        <f ca="1">IF(AND($R95=2,ACOMPANHAMENTO="BM"),ROUND(AC96,4),AC97/$S95)</f>
        <v>#VALUE!</v>
      </c>
      <c r="AD95" s="198" t="e">
        <f ca="1">IF(AND($R95=2,ACOMPANHAMENTO="BM"),ROUND(AD96,4),AD97/$S95)</f>
        <v>#VALUE!</v>
      </c>
      <c r="AE95" s="198" t="e">
        <f ca="1">IF(AND($R95=2,ACOMPANHAMENTO="BM"),ROUND(AE96,4),AE97/$S95)</f>
        <v>#VALUE!</v>
      </c>
      <c r="AF95" s="198" t="e">
        <f ca="1">IF(AND($R95=2,ACOMPANHAMENTO="BM"),ROUND(AF96,4),AF97/$S95)</f>
        <v>#VALUE!</v>
      </c>
      <c r="AG95" s="198" t="e">
        <f ca="1">IF(AND($R95=2,ACOMPANHAMENTO="BM"),ROUND(AG96,4),AG97/$S95)</f>
        <v>#VALUE!</v>
      </c>
      <c r="AH95" s="198" t="e">
        <f ca="1">IF(AND($R95=2,ACOMPANHAMENTO="BM"),ROUND(AH96,4),AH97/$S95)</f>
        <v>#VALUE!</v>
      </c>
      <c r="AI95" s="198" t="e">
        <f ca="1">IF(AND($R95=2,ACOMPANHAMENTO="BM"),ROUND(AI96,4),AI97/$S95)</f>
        <v>#VALUE!</v>
      </c>
      <c r="AJ95" s="198" t="e">
        <f ca="1">IF(AND($R95=2,ACOMPANHAMENTO="BM"),ROUND(AJ96,4),AJ97/$S95)</f>
        <v>#VALUE!</v>
      </c>
      <c r="AK95" s="198" t="e">
        <f ca="1">IF(AND($R95=2,ACOMPANHAMENTO="BM"),ROUND(AK96,4),AK97/$S95)</f>
        <v>#VALUE!</v>
      </c>
      <c r="AL95" s="198" t="e">
        <f ca="1">IF(AND($R95=2,ACOMPANHAMENTO="BM"),ROUND(AL96,4),AL97/$S95)</f>
        <v>#VALUE!</v>
      </c>
      <c r="AM95" s="198" t="e">
        <f ca="1">IF(AND($R95=2,ACOMPANHAMENTO="BM"),ROUND(AM96,4),AM97/$S95)</f>
        <v>#VALUE!</v>
      </c>
      <c r="AN95" s="198" t="e">
        <f ca="1">IF(AND($R95=2,ACOMPANHAMENTO="BM"),ROUND(AN96,4),AN97/$S95)</f>
        <v>#VALUE!</v>
      </c>
      <c r="AO95" s="198" t="e">
        <f ca="1">IF(AND($R95=2,ACOMPANHAMENTO="BM"),ROUND(AO96,4),AO97/$S95)</f>
        <v>#VALUE!</v>
      </c>
      <c r="AP95" s="198" t="e">
        <f ca="1">IF(AND($R95=2,ACOMPANHAMENTO="BM"),ROUND(AP96,4),AP97/$S95)</f>
        <v>#VALUE!</v>
      </c>
      <c r="AQ95" s="198" t="e">
        <f ca="1">IF(AND($R95=2,ACOMPANHAMENTO="BM"),ROUND(AQ96,4),AQ97/$S95)</f>
        <v>#VALUE!</v>
      </c>
      <c r="AR95" s="198" t="e">
        <f ca="1">IF(AND($R95=2,ACOMPANHAMENTO="BM"),ROUND(AR96,4),AR97/$S95)</f>
        <v>#VALUE!</v>
      </c>
      <c r="AS95" s="577"/>
    </row>
    <row r="96" spans="1:45" ht="12.75" hidden="1" customHeight="1" x14ac:dyDescent="0.2">
      <c r="E96" s="645"/>
      <c r="F96" s="195">
        <f ca="1">IF(ISERROR(F95),IF(1+COUNTIF($M$13:OFFSET(M95,-1,0),1)&lt;=MAX(QCI!$D$13:$D$24),1+COUNTIF($M$13:OFFSET(M95,-1,0),1),-1),0)</f>
        <v>-1</v>
      </c>
      <c r="G96" s="195" t="str">
        <f ca="1">IF(ACOMPANHAMENTO="BM",OFFSET(G96,-1,0),"")</f>
        <v/>
      </c>
      <c r="H96" s="206" t="str">
        <f ca="1">IF(OR(S95=0,S95=""),"vazia",IF(AND(OR(ACOMPANHAMENTO="PLE",$R95&lt;&gt;2),$F96=0),"calculada","--&gt;"))</f>
        <v>vazia</v>
      </c>
      <c r="I96" s="207"/>
      <c r="J96" s="208" t="str">
        <f t="shared" ref="J96" ca="1" si="168">IF(AND(H95&lt;&gt;0,ISNUMBER(H95)),"PREENCHA ESTA LINHA --&gt;","")</f>
        <v/>
      </c>
      <c r="K96" s="208"/>
      <c r="L96" s="208"/>
      <c r="M96" s="209"/>
      <c r="N96" s="209"/>
      <c r="O96" s="209"/>
      <c r="P96" s="209"/>
      <c r="Q96" s="209"/>
      <c r="R96" s="209"/>
      <c r="S96" s="210"/>
      <c r="T96" s="211"/>
      <c r="U96" s="645"/>
      <c r="V96" s="645"/>
      <c r="W96" s="645"/>
      <c r="X96" s="645"/>
      <c r="Y96" s="645"/>
      <c r="Z96" s="645"/>
      <c r="AA96" s="645"/>
      <c r="AB96" s="645"/>
      <c r="AC96" s="645"/>
      <c r="AD96" s="645"/>
      <c r="AE96" s="645"/>
      <c r="AF96" s="645"/>
      <c r="AG96" s="645"/>
      <c r="AH96" s="645"/>
      <c r="AI96" s="645"/>
      <c r="AJ96" s="645"/>
      <c r="AK96" s="645"/>
      <c r="AL96" s="645"/>
      <c r="AM96" s="645"/>
      <c r="AN96" s="645"/>
      <c r="AO96" s="645"/>
      <c r="AP96" s="645"/>
      <c r="AQ96" s="645"/>
      <c r="AR96" s="645"/>
      <c r="AS96" s="577"/>
    </row>
    <row r="97" spans="1:45" ht="12.75" hidden="1" customHeight="1" x14ac:dyDescent="0.2">
      <c r="D97" s="576"/>
      <c r="E97" s="212">
        <f ca="1">IF($R95=2,
         IF(AND(ACOMPANHAMENTO="PLE",ISNUMBER($F95)),
                SUMIF((OFFSET(CÁLCULO!$BC$15:$BU$15,$F95,0,OFFSET(ORÇAMENTO!$D$15,CRONO!$F95,0))),CRONO!E$12,OFFSET(CÁLCULO!$AJ$15:$BB$15,$F95,0,OFFSET(ORÇAMENTO!$D$15,CRONO!$F95,0)))
                +IF(AND($F97&lt;&gt;"",$F97&lt;&gt;0),
                        SUMIF(CÁLCULO!$BC$15:$BU$131,CRONO!E$12,CÁLCULO!$AJ$15:$BB$131)/(ORÇAMENTO!$X$15-CÁLCULO.TotalAdmLocal)*CRONO!$F97,
                        0),
                 E96*$S95),
          SUMIF(OFFSET($S97,1,0,$R95-2),($M95+1)&amp;"$",OFFSET(E97,1,0,$R95-2)))</f>
        <v>0</v>
      </c>
      <c r="F97" s="195" t="str">
        <f ca="1">IF(OR($R95&lt;&gt;2,AUTOEVENTO&lt;&gt;"manual",$F96&gt;0),"",
        IF(Import.TipoArredondamento="Tradicional",
              SUMIF(OFFSET(CÁLCULO!$M$15,CRONO!$F95,0,OFFSET(ORÇAMENTO!$D$15,CRONO!$F95,0)),1,OFFSET(ORÇAMENTO!$X$15,CRONO!$F95,0,OFFSET(ORÇAMENTO!$D$15,CRONO!$F95,0))),
              0))</f>
        <v/>
      </c>
      <c r="H97" s="213"/>
      <c r="S97" s="214" t="str">
        <f t="shared" ref="S97" ca="1" si="169">M95&amp;"$"</f>
        <v>1$</v>
      </c>
      <c r="T97" s="215"/>
      <c r="U97" s="212">
        <f ca="1">IF($R95=2,
         IF(AND(ACOMPANHAMENTO="PLE",ISNUMBER($F95)),
                SUMIF((OFFSET(CÁLCULO!$BC$15:$BU$15,$F95,0,OFFSET(ORÇAMENTO!$D$15,CRONO!$F95,0))),CRONO!U$12,OFFSET(CÁLCULO!$AJ$15:$BB$15,$F95,0,OFFSET(ORÇAMENTO!$D$15,CRONO!$F95,0)))
                +IF(AND($F97&lt;&gt;"",$F97&lt;&gt;0),
                        SUMIF(CÁLCULO!$BC$15:$BU$131,CRONO!U$12,CÁLCULO!$AJ$15:$BB$131)/(ORÇAMENTO!$X$15-CÁLCULO.TotalAdmLocal)*CRONO!$F97,
                        0),
                 U96*$S95),
          SUMIF(OFFSET($S97,1,0,$R95-2),($M95+1)&amp;"$",OFFSET(U97,1,0,$R95-2)))</f>
        <v>0</v>
      </c>
      <c r="V97" s="212">
        <f ca="1">IF($R95=2,
         IF(AND(ACOMPANHAMENTO="PLE",ISNUMBER($F95)),
                SUMIF((OFFSET(CÁLCULO!$BC$15:$BU$15,$F95,0,OFFSET(ORÇAMENTO!$D$15,CRONO!$F95,0))),CRONO!V$12,OFFSET(CÁLCULO!$AJ$15:$BB$15,$F95,0,OFFSET(ORÇAMENTO!$D$15,CRONO!$F95,0)))
                +IF(AND($F97&lt;&gt;"",$F97&lt;&gt;0),
                        SUMIF(CÁLCULO!$BC$15:$BU$131,CRONO!V$12,CÁLCULO!$AJ$15:$BB$131)/(ORÇAMENTO!$X$15-CÁLCULO.TotalAdmLocal)*CRONO!$F97,
                        0),
                 V96*$S95),
          SUMIF(OFFSET($S97,1,0,$R95-2),($M95+1)&amp;"$",OFFSET(V97,1,0,$R95-2)))</f>
        <v>0</v>
      </c>
      <c r="W97" s="212">
        <f ca="1">IF($R95=2,
         IF(AND(ACOMPANHAMENTO="PLE",ISNUMBER($F95)),
                SUMIF((OFFSET(CÁLCULO!$BC$15:$BU$15,$F95,0,OFFSET(ORÇAMENTO!$D$15,CRONO!$F95,0))),CRONO!W$12,OFFSET(CÁLCULO!$AJ$15:$BB$15,$F95,0,OFFSET(ORÇAMENTO!$D$15,CRONO!$F95,0)))
                +IF(AND($F97&lt;&gt;"",$F97&lt;&gt;0),
                        SUMIF(CÁLCULO!$BC$15:$BU$131,CRONO!W$12,CÁLCULO!$AJ$15:$BB$131)/(ORÇAMENTO!$X$15-CÁLCULO.TotalAdmLocal)*CRONO!$F97,
                        0),
                 W96*$S95),
          SUMIF(OFFSET($S97,1,0,$R95-2),($M95+1)&amp;"$",OFFSET(W97,1,0,$R95-2)))</f>
        <v>0</v>
      </c>
      <c r="X97" s="212">
        <f ca="1">IF($R95=2,
         IF(AND(ACOMPANHAMENTO="PLE",ISNUMBER($F95)),
                SUMIF((OFFSET(CÁLCULO!$BC$15:$BU$15,$F95,0,OFFSET(ORÇAMENTO!$D$15,CRONO!$F95,0))),CRONO!X$12,OFFSET(CÁLCULO!$AJ$15:$BB$15,$F95,0,OFFSET(ORÇAMENTO!$D$15,CRONO!$F95,0)))
                +IF(AND($F97&lt;&gt;"",$F97&lt;&gt;0),
                        SUMIF(CÁLCULO!$BC$15:$BU$131,CRONO!X$12,CÁLCULO!$AJ$15:$BB$131)/(ORÇAMENTO!$X$15-CÁLCULO.TotalAdmLocal)*CRONO!$F97,
                        0),
                 X96*$S95),
          SUMIF(OFFSET($S97,1,0,$R95-2),($M95+1)&amp;"$",OFFSET(X97,1,0,$R95-2)))</f>
        <v>0</v>
      </c>
      <c r="Y97" s="212">
        <f ca="1">IF($R95=2,
         IF(AND(ACOMPANHAMENTO="PLE",ISNUMBER($F95)),
                SUMIF((OFFSET(CÁLCULO!$BC$15:$BU$15,$F95,0,OFFSET(ORÇAMENTO!$D$15,CRONO!$F95,0))),CRONO!Y$12,OFFSET(CÁLCULO!$AJ$15:$BB$15,$F95,0,OFFSET(ORÇAMENTO!$D$15,CRONO!$F95,0)))
                +IF(AND($F97&lt;&gt;"",$F97&lt;&gt;0),
                        SUMIF(CÁLCULO!$BC$15:$BU$131,CRONO!Y$12,CÁLCULO!$AJ$15:$BB$131)/(ORÇAMENTO!$X$15-CÁLCULO.TotalAdmLocal)*CRONO!$F97,
                        0),
                 Y96*$S95),
          SUMIF(OFFSET($S97,1,0,$R95-2),($M95+1)&amp;"$",OFFSET(Y97,1,0,$R95-2)))</f>
        <v>0</v>
      </c>
      <c r="Z97" s="212">
        <f ca="1">IF($R95=2,
         IF(AND(ACOMPANHAMENTO="PLE",ISNUMBER($F95)),
                SUMIF((OFFSET(CÁLCULO!$BC$15:$BU$15,$F95,0,OFFSET(ORÇAMENTO!$D$15,CRONO!$F95,0))),CRONO!Z$12,OFFSET(CÁLCULO!$AJ$15:$BB$15,$F95,0,OFFSET(ORÇAMENTO!$D$15,CRONO!$F95,0)))
                +IF(AND($F97&lt;&gt;"",$F97&lt;&gt;0),
                        SUMIF(CÁLCULO!$BC$15:$BU$131,CRONO!Z$12,CÁLCULO!$AJ$15:$BB$131)/(ORÇAMENTO!$X$15-CÁLCULO.TotalAdmLocal)*CRONO!$F97,
                        0),
                 Z96*$S95),
          SUMIF(OFFSET($S97,1,0,$R95-2),($M95+1)&amp;"$",OFFSET(Z97,1,0,$R95-2)))</f>
        <v>0</v>
      </c>
      <c r="AA97" s="212">
        <f ca="1">IF($R95=2,
         IF(AND(ACOMPANHAMENTO="PLE",ISNUMBER($F95)),
                SUMIF((OFFSET(CÁLCULO!$BC$15:$BU$15,$F95,0,OFFSET(ORÇAMENTO!$D$15,CRONO!$F95,0))),CRONO!AA$12,OFFSET(CÁLCULO!$AJ$15:$BB$15,$F95,0,OFFSET(ORÇAMENTO!$D$15,CRONO!$F95,0)))
                +IF(AND($F97&lt;&gt;"",$F97&lt;&gt;0),
                        SUMIF(CÁLCULO!$BC$15:$BU$131,CRONO!AA$12,CÁLCULO!$AJ$15:$BB$131)/(ORÇAMENTO!$X$15-CÁLCULO.TotalAdmLocal)*CRONO!$F97,
                        0),
                 AA96*$S95),
          SUMIF(OFFSET($S97,1,0,$R95-2),($M95+1)&amp;"$",OFFSET(AA97,1,0,$R95-2)))</f>
        <v>0</v>
      </c>
      <c r="AB97" s="212">
        <f ca="1">IF($R95=2,
         IF(AND(ACOMPANHAMENTO="PLE",ISNUMBER($F95)),
                SUMIF((OFFSET(CÁLCULO!$BC$15:$BU$15,$F95,0,OFFSET(ORÇAMENTO!$D$15,CRONO!$F95,0))),CRONO!AB$12,OFFSET(CÁLCULO!$AJ$15:$BB$15,$F95,0,OFFSET(ORÇAMENTO!$D$15,CRONO!$F95,0)))
                +IF(AND($F97&lt;&gt;"",$F97&lt;&gt;0),
                        SUMIF(CÁLCULO!$BC$15:$BU$131,CRONO!AB$12,CÁLCULO!$AJ$15:$BB$131)/(ORÇAMENTO!$X$15-CÁLCULO.TotalAdmLocal)*CRONO!$F97,
                        0),
                 AB96*$S95),
          SUMIF(OFFSET($S97,1,0,$R95-2),($M95+1)&amp;"$",OFFSET(AB97,1,0,$R95-2)))</f>
        <v>0</v>
      </c>
      <c r="AC97" s="212">
        <f ca="1">IF($R95=2,
         IF(AND(ACOMPANHAMENTO="PLE",ISNUMBER($F95)),
                SUMIF((OFFSET(CÁLCULO!$BC$15:$BU$15,$F95,0,OFFSET(ORÇAMENTO!$D$15,CRONO!$F95,0))),CRONO!AC$12,OFFSET(CÁLCULO!$AJ$15:$BB$15,$F95,0,OFFSET(ORÇAMENTO!$D$15,CRONO!$F95,0)))
                +IF(AND($F97&lt;&gt;"",$F97&lt;&gt;0),
                        SUMIF(CÁLCULO!$BC$15:$BU$131,CRONO!AC$12,CÁLCULO!$AJ$15:$BB$131)/(ORÇAMENTO!$X$15-CÁLCULO.TotalAdmLocal)*CRONO!$F97,
                        0),
                 AC96*$S95),
          SUMIF(OFFSET($S97,1,0,$R95-2),($M95+1)&amp;"$",OFFSET(AC97,1,0,$R95-2)))</f>
        <v>0</v>
      </c>
      <c r="AD97" s="212">
        <f ca="1">IF($R95=2,
         IF(AND(ACOMPANHAMENTO="PLE",ISNUMBER($F95)),
                SUMIF((OFFSET(CÁLCULO!$BC$15:$BU$15,$F95,0,OFFSET(ORÇAMENTO!$D$15,CRONO!$F95,0))),CRONO!AD$12,OFFSET(CÁLCULO!$AJ$15:$BB$15,$F95,0,OFFSET(ORÇAMENTO!$D$15,CRONO!$F95,0)))
                +IF(AND($F97&lt;&gt;"",$F97&lt;&gt;0),
                        SUMIF(CÁLCULO!$BC$15:$BU$131,CRONO!AD$12,CÁLCULO!$AJ$15:$BB$131)/(ORÇAMENTO!$X$15-CÁLCULO.TotalAdmLocal)*CRONO!$F97,
                        0),
                 AD96*$S95),
          SUMIF(OFFSET($S97,1,0,$R95-2),($M95+1)&amp;"$",OFFSET(AD97,1,0,$R95-2)))</f>
        <v>0</v>
      </c>
      <c r="AE97" s="212">
        <f ca="1">IF($R95=2,
         IF(AND(ACOMPANHAMENTO="PLE",ISNUMBER($F95)),
                SUMIF((OFFSET(CÁLCULO!$BC$15:$BU$15,$F95,0,OFFSET(ORÇAMENTO!$D$15,CRONO!$F95,0))),CRONO!AE$12,OFFSET(CÁLCULO!$AJ$15:$BB$15,$F95,0,OFFSET(ORÇAMENTO!$D$15,CRONO!$F95,0)))
                +IF(AND($F97&lt;&gt;"",$F97&lt;&gt;0),
                        SUMIF(CÁLCULO!$BC$15:$BU$131,CRONO!AE$12,CÁLCULO!$AJ$15:$BB$131)/(ORÇAMENTO!$X$15-CÁLCULO.TotalAdmLocal)*CRONO!$F97,
                        0),
                 AE96*$S95),
          SUMIF(OFFSET($S97,1,0,$R95-2),($M95+1)&amp;"$",OFFSET(AE97,1,0,$R95-2)))</f>
        <v>0</v>
      </c>
      <c r="AF97" s="212">
        <f ca="1">IF($R95=2,
         IF(AND(ACOMPANHAMENTO="PLE",ISNUMBER($F95)),
                SUMIF((OFFSET(CÁLCULO!$BC$15:$BU$15,$F95,0,OFFSET(ORÇAMENTO!$D$15,CRONO!$F95,0))),CRONO!AF$12,OFFSET(CÁLCULO!$AJ$15:$BB$15,$F95,0,OFFSET(ORÇAMENTO!$D$15,CRONO!$F95,0)))
                +IF(AND($F97&lt;&gt;"",$F97&lt;&gt;0),
                        SUMIF(CÁLCULO!$BC$15:$BU$131,CRONO!AF$12,CÁLCULO!$AJ$15:$BB$131)/(ORÇAMENTO!$X$15-CÁLCULO.TotalAdmLocal)*CRONO!$F97,
                        0),
                 AF96*$S95),
          SUMIF(OFFSET($S97,1,0,$R95-2),($M95+1)&amp;"$",OFFSET(AF97,1,0,$R95-2)))</f>
        <v>0</v>
      </c>
      <c r="AG97" s="212">
        <f ca="1">IF($R95=2,
         IF(AND(ACOMPANHAMENTO="PLE",ISNUMBER($F95)),
                SUMIF((OFFSET(CÁLCULO!$BC$15:$BU$15,$F95,0,OFFSET(ORÇAMENTO!$D$15,CRONO!$F95,0))),CRONO!AG$12,OFFSET(CÁLCULO!$AJ$15:$BB$15,$F95,0,OFFSET(ORÇAMENTO!$D$15,CRONO!$F95,0)))
                +IF(AND($F97&lt;&gt;"",$F97&lt;&gt;0),
                        SUMIF(CÁLCULO!$BC$15:$BU$131,CRONO!AG$12,CÁLCULO!$AJ$15:$BB$131)/(ORÇAMENTO!$X$15-CÁLCULO.TotalAdmLocal)*CRONO!$F97,
                        0),
                 AG96*$S95),
          SUMIF(OFFSET($S97,1,0,$R95-2),($M95+1)&amp;"$",OFFSET(AG97,1,0,$R95-2)))</f>
        <v>0</v>
      </c>
      <c r="AH97" s="212">
        <f ca="1">IF($R95=2,
         IF(AND(ACOMPANHAMENTO="PLE",ISNUMBER($F95)),
                SUMIF((OFFSET(CÁLCULO!$BC$15:$BU$15,$F95,0,OFFSET(ORÇAMENTO!$D$15,CRONO!$F95,0))),CRONO!AH$12,OFFSET(CÁLCULO!$AJ$15:$BB$15,$F95,0,OFFSET(ORÇAMENTO!$D$15,CRONO!$F95,0)))
                +IF(AND($F97&lt;&gt;"",$F97&lt;&gt;0),
                        SUMIF(CÁLCULO!$BC$15:$BU$131,CRONO!AH$12,CÁLCULO!$AJ$15:$BB$131)/(ORÇAMENTO!$X$15-CÁLCULO.TotalAdmLocal)*CRONO!$F97,
                        0),
                 AH96*$S95),
          SUMIF(OFFSET($S97,1,0,$R95-2),($M95+1)&amp;"$",OFFSET(AH97,1,0,$R95-2)))</f>
        <v>0</v>
      </c>
      <c r="AI97" s="212">
        <f ca="1">IF($R95=2,
         IF(AND(ACOMPANHAMENTO="PLE",ISNUMBER($F95)),
                SUMIF((OFFSET(CÁLCULO!$BC$15:$BU$15,$F95,0,OFFSET(ORÇAMENTO!$D$15,CRONO!$F95,0))),CRONO!AI$12,OFFSET(CÁLCULO!$AJ$15:$BB$15,$F95,0,OFFSET(ORÇAMENTO!$D$15,CRONO!$F95,0)))
                +IF(AND($F97&lt;&gt;"",$F97&lt;&gt;0),
                        SUMIF(CÁLCULO!$BC$15:$BU$131,CRONO!AI$12,CÁLCULO!$AJ$15:$BB$131)/(ORÇAMENTO!$X$15-CÁLCULO.TotalAdmLocal)*CRONO!$F97,
                        0),
                 AI96*$S95),
          SUMIF(OFFSET($S97,1,0,$R95-2),($M95+1)&amp;"$",OFFSET(AI97,1,0,$R95-2)))</f>
        <v>0</v>
      </c>
      <c r="AJ97" s="212">
        <f ca="1">IF($R95=2,
         IF(AND(ACOMPANHAMENTO="PLE",ISNUMBER($F95)),
                SUMIF((OFFSET(CÁLCULO!$BC$15:$BU$15,$F95,0,OFFSET(ORÇAMENTO!$D$15,CRONO!$F95,0))),CRONO!AJ$12,OFFSET(CÁLCULO!$AJ$15:$BB$15,$F95,0,OFFSET(ORÇAMENTO!$D$15,CRONO!$F95,0)))
                +IF(AND($F97&lt;&gt;"",$F97&lt;&gt;0),
                        SUMIF(CÁLCULO!$BC$15:$BU$131,CRONO!AJ$12,CÁLCULO!$AJ$15:$BB$131)/(ORÇAMENTO!$X$15-CÁLCULO.TotalAdmLocal)*CRONO!$F97,
                        0),
                 AJ96*$S95),
          SUMIF(OFFSET($S97,1,0,$R95-2),($M95+1)&amp;"$",OFFSET(AJ97,1,0,$R95-2)))</f>
        <v>0</v>
      </c>
      <c r="AK97" s="212">
        <f ca="1">IF($R95=2,
         IF(AND(ACOMPANHAMENTO="PLE",ISNUMBER($F95)),
                SUMIF((OFFSET(CÁLCULO!$BC$15:$BU$15,$F95,0,OFFSET(ORÇAMENTO!$D$15,CRONO!$F95,0))),CRONO!AK$12,OFFSET(CÁLCULO!$AJ$15:$BB$15,$F95,0,OFFSET(ORÇAMENTO!$D$15,CRONO!$F95,0)))
                +IF(AND($F97&lt;&gt;"",$F97&lt;&gt;0),
                        SUMIF(CÁLCULO!$BC$15:$BU$131,CRONO!AK$12,CÁLCULO!$AJ$15:$BB$131)/(ORÇAMENTO!$X$15-CÁLCULO.TotalAdmLocal)*CRONO!$F97,
                        0),
                 AK96*$S95),
          SUMIF(OFFSET($S97,1,0,$R95-2),($M95+1)&amp;"$",OFFSET(AK97,1,0,$R95-2)))</f>
        <v>0</v>
      </c>
      <c r="AL97" s="212">
        <f ca="1">IF($R95=2,
         IF(AND(ACOMPANHAMENTO="PLE",ISNUMBER($F95)),
                SUMIF((OFFSET(CÁLCULO!$BC$15:$BU$15,$F95,0,OFFSET(ORÇAMENTO!$D$15,CRONO!$F95,0))),CRONO!AL$12,OFFSET(CÁLCULO!$AJ$15:$BB$15,$F95,0,OFFSET(ORÇAMENTO!$D$15,CRONO!$F95,0)))
                +IF(AND($F97&lt;&gt;"",$F97&lt;&gt;0),
                        SUMIF(CÁLCULO!$BC$15:$BU$131,CRONO!AL$12,CÁLCULO!$AJ$15:$BB$131)/(ORÇAMENTO!$X$15-CÁLCULO.TotalAdmLocal)*CRONO!$F97,
                        0),
                 AL96*$S95),
          SUMIF(OFFSET($S97,1,0,$R95-2),($M95+1)&amp;"$",OFFSET(AL97,1,0,$R95-2)))</f>
        <v>0</v>
      </c>
      <c r="AM97" s="212">
        <f ca="1">IF($R95=2,
         IF(AND(ACOMPANHAMENTO="PLE",ISNUMBER($F95)),
                SUMIF((OFFSET(CÁLCULO!$BC$15:$BU$15,$F95,0,OFFSET(ORÇAMENTO!$D$15,CRONO!$F95,0))),CRONO!AM$12,OFFSET(CÁLCULO!$AJ$15:$BB$15,$F95,0,OFFSET(ORÇAMENTO!$D$15,CRONO!$F95,0)))
                +IF(AND($F97&lt;&gt;"",$F97&lt;&gt;0),
                        SUMIF(CÁLCULO!$BC$15:$BU$131,CRONO!AM$12,CÁLCULO!$AJ$15:$BB$131)/(ORÇAMENTO!$X$15-CÁLCULO.TotalAdmLocal)*CRONO!$F97,
                        0),
                 AM96*$S95),
          SUMIF(OFFSET($S97,1,0,$R95-2),($M95+1)&amp;"$",OFFSET(AM97,1,0,$R95-2)))</f>
        <v>0</v>
      </c>
      <c r="AN97" s="212">
        <f ca="1">IF($R95=2,
         IF(AND(ACOMPANHAMENTO="PLE",ISNUMBER($F95)),
                SUMIF((OFFSET(CÁLCULO!$BC$15:$BU$15,$F95,0,OFFSET(ORÇAMENTO!$D$15,CRONO!$F95,0))),CRONO!AN$12,OFFSET(CÁLCULO!$AJ$15:$BB$15,$F95,0,OFFSET(ORÇAMENTO!$D$15,CRONO!$F95,0)))
                +IF(AND($F97&lt;&gt;"",$F97&lt;&gt;0),
                        SUMIF(CÁLCULO!$BC$15:$BU$131,CRONO!AN$12,CÁLCULO!$AJ$15:$BB$131)/(ORÇAMENTO!$X$15-CÁLCULO.TotalAdmLocal)*CRONO!$F97,
                        0),
                 AN96*$S95),
          SUMIF(OFFSET($S97,1,0,$R95-2),($M95+1)&amp;"$",OFFSET(AN97,1,0,$R95-2)))</f>
        <v>0</v>
      </c>
      <c r="AO97" s="212">
        <f ca="1">IF($R95=2,
         IF(AND(ACOMPANHAMENTO="PLE",ISNUMBER($F95)),
                SUMIF((OFFSET(CÁLCULO!$BC$15:$BU$15,$F95,0,OFFSET(ORÇAMENTO!$D$15,CRONO!$F95,0))),CRONO!AO$12,OFFSET(CÁLCULO!$AJ$15:$BB$15,$F95,0,OFFSET(ORÇAMENTO!$D$15,CRONO!$F95,0)))
                +IF(AND($F97&lt;&gt;"",$F97&lt;&gt;0),
                        SUMIF(CÁLCULO!$BC$15:$BU$131,CRONO!AO$12,CÁLCULO!$AJ$15:$BB$131)/(ORÇAMENTO!$X$15-CÁLCULO.TotalAdmLocal)*CRONO!$F97,
                        0),
                 AO96*$S95),
          SUMIF(OFFSET($S97,1,0,$R95-2),($M95+1)&amp;"$",OFFSET(AO97,1,0,$R95-2)))</f>
        <v>0</v>
      </c>
      <c r="AP97" s="212">
        <f ca="1">IF($R95=2,
         IF(AND(ACOMPANHAMENTO="PLE",ISNUMBER($F95)),
                SUMIF((OFFSET(CÁLCULO!$BC$15:$BU$15,$F95,0,OFFSET(ORÇAMENTO!$D$15,CRONO!$F95,0))),CRONO!AP$12,OFFSET(CÁLCULO!$AJ$15:$BB$15,$F95,0,OFFSET(ORÇAMENTO!$D$15,CRONO!$F95,0)))
                +IF(AND($F97&lt;&gt;"",$F97&lt;&gt;0),
                        SUMIF(CÁLCULO!$BC$15:$BU$131,CRONO!AP$12,CÁLCULO!$AJ$15:$BB$131)/(ORÇAMENTO!$X$15-CÁLCULO.TotalAdmLocal)*CRONO!$F97,
                        0),
                 AP96*$S95),
          SUMIF(OFFSET($S97,1,0,$R95-2),($M95+1)&amp;"$",OFFSET(AP97,1,0,$R95-2)))</f>
        <v>0</v>
      </c>
      <c r="AQ97" s="212">
        <f ca="1">IF($R95=2,
         IF(AND(ACOMPANHAMENTO="PLE",ISNUMBER($F95)),
                SUMIF((OFFSET(CÁLCULO!$BC$15:$BU$15,$F95,0,OFFSET(ORÇAMENTO!$D$15,CRONO!$F95,0))),CRONO!AQ$12,OFFSET(CÁLCULO!$AJ$15:$BB$15,$F95,0,OFFSET(ORÇAMENTO!$D$15,CRONO!$F95,0)))
                +IF(AND($F97&lt;&gt;"",$F97&lt;&gt;0),
                        SUMIF(CÁLCULO!$BC$15:$BU$131,CRONO!AQ$12,CÁLCULO!$AJ$15:$BB$131)/(ORÇAMENTO!$X$15-CÁLCULO.TotalAdmLocal)*CRONO!$F97,
                        0),
                 AQ96*$S95),
          SUMIF(OFFSET($S97,1,0,$R95-2),($M95+1)&amp;"$",OFFSET(AQ97,1,0,$R95-2)))</f>
        <v>0</v>
      </c>
      <c r="AR97" s="212">
        <f ca="1">IF($R95=2,
         IF(AND(ACOMPANHAMENTO="PLE",ISNUMBER($F95)),
                SUMIF((OFFSET(CÁLCULO!$BC$15:$BU$15,$F95,0,OFFSET(ORÇAMENTO!$D$15,CRONO!$F95,0))),CRONO!AR$12,OFFSET(CÁLCULO!$AJ$15:$BB$15,$F95,0,OFFSET(ORÇAMENTO!$D$15,CRONO!$F95,0)))
                +IF(AND($F97&lt;&gt;"",$F97&lt;&gt;0),
                        SUMIF(CÁLCULO!$BC$15:$BU$131,CRONO!AR$12,CÁLCULO!$AJ$15:$BB$131)/(ORÇAMENTO!$X$15-CÁLCULO.TotalAdmLocal)*CRONO!$F97,
                        0),
                 AR96*$S95),
          SUMIF(OFFSET($S97,1,0,$R95-2),($M95+1)&amp;"$",OFFSET(AR97,1,0,$R95-2)))</f>
        <v>0</v>
      </c>
      <c r="AS97" s="577"/>
    </row>
    <row r="98" spans="1:45" x14ac:dyDescent="0.2">
      <c r="A98" s="196" t="str">
        <f t="shared" ref="A98" ca="1" si="170">IF($M98&gt;1,CONCATENATE($I98," ",$J98),"")</f>
        <v/>
      </c>
      <c r="B98" s="195">
        <f t="shared" ref="B98" ca="1" si="171">OFFSET(B98,-3,0)+1</f>
        <v>29</v>
      </c>
      <c r="C98" s="195">
        <f ca="1">IF($R98&lt;&gt;2,0,IF($S98=0,1,IF(F99&gt;0,OFFSET(QCI!$M$13,SUBSTITUTE(F99,".",""),0),OFFSET(ORÇAMENTO!$AA$15,CRONO!$F98,0))/$S98))</f>
        <v>0</v>
      </c>
      <c r="D98" s="195">
        <f ca="1">IF($R98&lt;&gt;2,0,IF($S98=0,1,IF(F99&gt;0,OFFSET(QCI!$N$13,SUBSTITUTE(F99,".",""),0),OFFSET(ORÇAMENTO!$AB$15,CRONO!$F98,0))/$S98))</f>
        <v>0</v>
      </c>
      <c r="E98" s="198" t="e">
        <f ca="1">IF(AND($R98=2,ACOMPANHAMENTO="BM"),ROUND(E99,4),E100/$S98)</f>
        <v>#VALUE!</v>
      </c>
      <c r="F98" s="195" t="e">
        <f ca="1">IF(B98&lt;=ORÇAMENTO.MáximoListaCrono,MATCH(B98,ORÇAMENTO.ListaCrono,0),NA())</f>
        <v>#N/A</v>
      </c>
      <c r="G98" s="195" t="str">
        <f t="shared" ref="G98" ca="1" si="172">IF(AND($F99&lt;&gt;-1,$S98&gt;0),"F","")</f>
        <v/>
      </c>
      <c r="H98" s="199" t="str">
        <f ca="1">IF(OR(S98=0,S98=""),"Linha",IF(AND(OR(ACOMPANHAMENTO="PLE",$R98&lt;&gt;2),$F99=0),"Linha",ROUND(1-SUM(U98:AS98),4)))</f>
        <v>Linha</v>
      </c>
      <c r="I98" s="200" t="str">
        <f ca="1">IF($F99=0,OFFSET(ORÇAMENTO!O$15,$F98,0),IF($F99&lt;&gt;-1,OFFSET(QCI!$D$13,$F99,0),""))</f>
        <v/>
      </c>
      <c r="J98" s="201" t="str">
        <f ca="1">IF($F99=0,OFFSET(ORÇAMENTO!R$15,$F98,0),IF($F99&lt;&gt;-1,OFFSET(QCI!$G$13,$F99,0),""))</f>
        <v/>
      </c>
      <c r="K98" s="201"/>
      <c r="L98" s="201"/>
      <c r="M98" s="202">
        <f ca="1">IF($F99=0,OFFSET(ORÇAMENTO!C$15,$F98,0),1)</f>
        <v>1</v>
      </c>
      <c r="N98" s="203">
        <f ca="1">IF($F99=-1,0,IF(N$13&lt;=$M98,IF(ISERROR(MATCH(N$13,OFFSET($M98,1,0,ROW($M$107)-ROW($M98)-1),0)),ROW($M$107)-ROW($M98)-1,MATCH(N$13,OFFSET($M98,1,0,ROW($M$107)-ROW($M98)-1),0)-1),0))</f>
        <v>0</v>
      </c>
      <c r="O98" s="203">
        <f ca="1">IF($F99=-1,0,IF(O$13&lt;=$M98,IF(ISERROR(MATCH(O$13,OFFSET($M98,1,0,ROW($M$107)-ROW($M98)-1),0)),ROW($M$107)-ROW($M98)-1,MATCH(O$13,OFFSET($M98,1,0,ROW($M$107)-ROW($M98)-1),0)-1),0))</f>
        <v>0</v>
      </c>
      <c r="P98" s="203">
        <f ca="1">IF($F99=-1,0,IF(P$13&lt;=$M98,IF(ISERROR(MATCH(P$13,OFFSET($M98,1,0,ROW($M$107)-ROW($M98)-1),0)),ROW($M$107)-ROW($M98)-1,MATCH(P$13,OFFSET($M98,1,0,ROW($M$107)-ROW($M98)-1),0)-1),0))</f>
        <v>0</v>
      </c>
      <c r="Q98" s="203">
        <f ca="1">IF($F99=-1,0,IF(Q$13&lt;=$M98,IF(ISERROR(MATCH(Q$13,OFFSET($M98,1,0,ROW($M$107)-ROW($M98)-1),0)),ROW($M$107)-ROW($M98)-1,MATCH(Q$13,OFFSET($M98,1,0,ROW($M$107)-ROW($M98)-1),0)-1),0))</f>
        <v>0</v>
      </c>
      <c r="R98" s="203">
        <f t="shared" ref="R98" ca="1" si="173">MIN(OFFSET(M98,0,1,,M98))</f>
        <v>0</v>
      </c>
      <c r="S98" s="204" t="str">
        <f ca="1">IF($F99=0,OFFSET(ORÇAMENTO!X$15,$F98,0),IF($F99&lt;&gt;-1,OFFSET(QCI!$O$13,$F99,0),""))</f>
        <v/>
      </c>
      <c r="T98" s="205" t="s">
        <v>266</v>
      </c>
      <c r="U98" s="198" t="e">
        <f ca="1">IF(AND($R98=2,ACOMPANHAMENTO="BM"),ROUND(U99,4),U100/$S98)</f>
        <v>#VALUE!</v>
      </c>
      <c r="V98" s="198" t="e">
        <f ca="1">IF(AND($R98=2,ACOMPANHAMENTO="BM"),ROUND(V99,4),V100/$S98)</f>
        <v>#VALUE!</v>
      </c>
      <c r="W98" s="198" t="e">
        <f ca="1">IF(AND($R98=2,ACOMPANHAMENTO="BM"),ROUND(W99,4),W100/$S98)</f>
        <v>#VALUE!</v>
      </c>
      <c r="X98" s="198" t="e">
        <f ca="1">IF(AND($R98=2,ACOMPANHAMENTO="BM"),ROUND(X99,4),X100/$S98)</f>
        <v>#VALUE!</v>
      </c>
      <c r="Y98" s="198" t="e">
        <f ca="1">IF(AND($R98=2,ACOMPANHAMENTO="BM"),ROUND(Y99,4),Y100/$S98)</f>
        <v>#VALUE!</v>
      </c>
      <c r="Z98" s="198" t="e">
        <f ca="1">IF(AND($R98=2,ACOMPANHAMENTO="BM"),ROUND(Z99,4),Z100/$S98)</f>
        <v>#VALUE!</v>
      </c>
      <c r="AA98" s="198" t="e">
        <f ca="1">IF(AND($R98=2,ACOMPANHAMENTO="BM"),ROUND(AA99,4),AA100/$S98)</f>
        <v>#VALUE!</v>
      </c>
      <c r="AB98" s="198" t="e">
        <f ca="1">IF(AND($R98=2,ACOMPANHAMENTO="BM"),ROUND(AB99,4),AB100/$S98)</f>
        <v>#VALUE!</v>
      </c>
      <c r="AC98" s="198" t="e">
        <f ca="1">IF(AND($R98=2,ACOMPANHAMENTO="BM"),ROUND(AC99,4),AC100/$S98)</f>
        <v>#VALUE!</v>
      </c>
      <c r="AD98" s="198" t="e">
        <f ca="1">IF(AND($R98=2,ACOMPANHAMENTO="BM"),ROUND(AD99,4),AD100/$S98)</f>
        <v>#VALUE!</v>
      </c>
      <c r="AE98" s="198" t="e">
        <f ca="1">IF(AND($R98=2,ACOMPANHAMENTO="BM"),ROUND(AE99,4),AE100/$S98)</f>
        <v>#VALUE!</v>
      </c>
      <c r="AF98" s="198" t="e">
        <f ca="1">IF(AND($R98=2,ACOMPANHAMENTO="BM"),ROUND(AF99,4),AF100/$S98)</f>
        <v>#VALUE!</v>
      </c>
      <c r="AG98" s="198" t="e">
        <f ca="1">IF(AND($R98=2,ACOMPANHAMENTO="BM"),ROUND(AG99,4),AG100/$S98)</f>
        <v>#VALUE!</v>
      </c>
      <c r="AH98" s="198" t="e">
        <f ca="1">IF(AND($R98=2,ACOMPANHAMENTO="BM"),ROUND(AH99,4),AH100/$S98)</f>
        <v>#VALUE!</v>
      </c>
      <c r="AI98" s="198" t="e">
        <f ca="1">IF(AND($R98=2,ACOMPANHAMENTO="BM"),ROUND(AI99,4),AI100/$S98)</f>
        <v>#VALUE!</v>
      </c>
      <c r="AJ98" s="198" t="e">
        <f ca="1">IF(AND($R98=2,ACOMPANHAMENTO="BM"),ROUND(AJ99,4),AJ100/$S98)</f>
        <v>#VALUE!</v>
      </c>
      <c r="AK98" s="198" t="e">
        <f ca="1">IF(AND($R98=2,ACOMPANHAMENTO="BM"),ROUND(AK99,4),AK100/$S98)</f>
        <v>#VALUE!</v>
      </c>
      <c r="AL98" s="198" t="e">
        <f ca="1">IF(AND($R98=2,ACOMPANHAMENTO="BM"),ROUND(AL99,4),AL100/$S98)</f>
        <v>#VALUE!</v>
      </c>
      <c r="AM98" s="198" t="e">
        <f ca="1">IF(AND($R98=2,ACOMPANHAMENTO="BM"),ROUND(AM99,4),AM100/$S98)</f>
        <v>#VALUE!</v>
      </c>
      <c r="AN98" s="198" t="e">
        <f ca="1">IF(AND($R98=2,ACOMPANHAMENTO="BM"),ROUND(AN99,4),AN100/$S98)</f>
        <v>#VALUE!</v>
      </c>
      <c r="AO98" s="198" t="e">
        <f ca="1">IF(AND($R98=2,ACOMPANHAMENTO="BM"),ROUND(AO99,4),AO100/$S98)</f>
        <v>#VALUE!</v>
      </c>
      <c r="AP98" s="198" t="e">
        <f ca="1">IF(AND($R98=2,ACOMPANHAMENTO="BM"),ROUND(AP99,4),AP100/$S98)</f>
        <v>#VALUE!</v>
      </c>
      <c r="AQ98" s="198" t="e">
        <f ca="1">IF(AND($R98=2,ACOMPANHAMENTO="BM"),ROUND(AQ99,4),AQ100/$S98)</f>
        <v>#VALUE!</v>
      </c>
      <c r="AR98" s="198" t="e">
        <f ca="1">IF(AND($R98=2,ACOMPANHAMENTO="BM"),ROUND(AR99,4),AR100/$S98)</f>
        <v>#VALUE!</v>
      </c>
      <c r="AS98" s="577"/>
    </row>
    <row r="99" spans="1:45" ht="12.75" hidden="1" customHeight="1" x14ac:dyDescent="0.2">
      <c r="E99" s="645"/>
      <c r="F99" s="195">
        <f ca="1">IF(ISERROR(F98),IF(1+COUNTIF($M$13:OFFSET(M98,-1,0),1)&lt;=MAX(QCI!$D$13:$D$24),1+COUNTIF($M$13:OFFSET(M98,-1,0),1),-1),0)</f>
        <v>-1</v>
      </c>
      <c r="G99" s="195" t="str">
        <f ca="1">IF(ACOMPANHAMENTO="BM",OFFSET(G99,-1,0),"")</f>
        <v/>
      </c>
      <c r="H99" s="206" t="str">
        <f ca="1">IF(OR(S98=0,S98=""),"vazia",IF(AND(OR(ACOMPANHAMENTO="PLE",$R98&lt;&gt;2),$F99=0),"calculada","--&gt;"))</f>
        <v>vazia</v>
      </c>
      <c r="I99" s="207"/>
      <c r="J99" s="208" t="str">
        <f t="shared" ref="J99" ca="1" si="174">IF(AND(H98&lt;&gt;0,ISNUMBER(H98)),"PREENCHA ESTA LINHA --&gt;","")</f>
        <v/>
      </c>
      <c r="K99" s="208"/>
      <c r="L99" s="208"/>
      <c r="M99" s="209"/>
      <c r="N99" s="209"/>
      <c r="O99" s="209"/>
      <c r="P99" s="209"/>
      <c r="Q99" s="209"/>
      <c r="R99" s="209"/>
      <c r="S99" s="210"/>
      <c r="T99" s="211"/>
      <c r="U99" s="645"/>
      <c r="V99" s="645"/>
      <c r="W99" s="645"/>
      <c r="X99" s="645"/>
      <c r="Y99" s="645"/>
      <c r="Z99" s="645"/>
      <c r="AA99" s="645"/>
      <c r="AB99" s="645"/>
      <c r="AC99" s="645"/>
      <c r="AD99" s="645"/>
      <c r="AE99" s="645"/>
      <c r="AF99" s="645"/>
      <c r="AG99" s="645"/>
      <c r="AH99" s="645"/>
      <c r="AI99" s="645"/>
      <c r="AJ99" s="645"/>
      <c r="AK99" s="645"/>
      <c r="AL99" s="645"/>
      <c r="AM99" s="645"/>
      <c r="AN99" s="645"/>
      <c r="AO99" s="645"/>
      <c r="AP99" s="645"/>
      <c r="AQ99" s="645"/>
      <c r="AR99" s="645"/>
      <c r="AS99" s="577"/>
    </row>
    <row r="100" spans="1:45" ht="12.75" hidden="1" customHeight="1" x14ac:dyDescent="0.2">
      <c r="D100" s="576"/>
      <c r="E100" s="212">
        <f ca="1">IF($R98=2,
         IF(AND(ACOMPANHAMENTO="PLE",ISNUMBER($F98)),
                SUMIF((OFFSET(CÁLCULO!$BC$15:$BU$15,$F98,0,OFFSET(ORÇAMENTO!$D$15,CRONO!$F98,0))),CRONO!E$12,OFFSET(CÁLCULO!$AJ$15:$BB$15,$F98,0,OFFSET(ORÇAMENTO!$D$15,CRONO!$F98,0)))
                +IF(AND($F100&lt;&gt;"",$F100&lt;&gt;0),
                        SUMIF(CÁLCULO!$BC$15:$BU$131,CRONO!E$12,CÁLCULO!$AJ$15:$BB$131)/(ORÇAMENTO!$X$15-CÁLCULO.TotalAdmLocal)*CRONO!$F100,
                        0),
                 E99*$S98),
          SUMIF(OFFSET($S100,1,0,$R98-2),($M98+1)&amp;"$",OFFSET(E100,1,0,$R98-2)))</f>
        <v>0</v>
      </c>
      <c r="F100" s="195" t="str">
        <f ca="1">IF(OR($R98&lt;&gt;2,AUTOEVENTO&lt;&gt;"manual",$F99&gt;0),"",
        IF(Import.TipoArredondamento="Tradicional",
              SUMIF(OFFSET(CÁLCULO!$M$15,CRONO!$F98,0,OFFSET(ORÇAMENTO!$D$15,CRONO!$F98,0)),1,OFFSET(ORÇAMENTO!$X$15,CRONO!$F98,0,OFFSET(ORÇAMENTO!$D$15,CRONO!$F98,0))),
              0))</f>
        <v/>
      </c>
      <c r="H100" s="213"/>
      <c r="S100" s="214" t="str">
        <f t="shared" ref="S100" ca="1" si="175">M98&amp;"$"</f>
        <v>1$</v>
      </c>
      <c r="T100" s="215"/>
      <c r="U100" s="212">
        <f ca="1">IF($R98=2,
         IF(AND(ACOMPANHAMENTO="PLE",ISNUMBER($F98)),
                SUMIF((OFFSET(CÁLCULO!$BC$15:$BU$15,$F98,0,OFFSET(ORÇAMENTO!$D$15,CRONO!$F98,0))),CRONO!U$12,OFFSET(CÁLCULO!$AJ$15:$BB$15,$F98,0,OFFSET(ORÇAMENTO!$D$15,CRONO!$F98,0)))
                +IF(AND($F100&lt;&gt;"",$F100&lt;&gt;0),
                        SUMIF(CÁLCULO!$BC$15:$BU$131,CRONO!U$12,CÁLCULO!$AJ$15:$BB$131)/(ORÇAMENTO!$X$15-CÁLCULO.TotalAdmLocal)*CRONO!$F100,
                        0),
                 U99*$S98),
          SUMIF(OFFSET($S100,1,0,$R98-2),($M98+1)&amp;"$",OFFSET(U100,1,0,$R98-2)))</f>
        <v>0</v>
      </c>
      <c r="V100" s="212">
        <f ca="1">IF($R98=2,
         IF(AND(ACOMPANHAMENTO="PLE",ISNUMBER($F98)),
                SUMIF((OFFSET(CÁLCULO!$BC$15:$BU$15,$F98,0,OFFSET(ORÇAMENTO!$D$15,CRONO!$F98,0))),CRONO!V$12,OFFSET(CÁLCULO!$AJ$15:$BB$15,$F98,0,OFFSET(ORÇAMENTO!$D$15,CRONO!$F98,0)))
                +IF(AND($F100&lt;&gt;"",$F100&lt;&gt;0),
                        SUMIF(CÁLCULO!$BC$15:$BU$131,CRONO!V$12,CÁLCULO!$AJ$15:$BB$131)/(ORÇAMENTO!$X$15-CÁLCULO.TotalAdmLocal)*CRONO!$F100,
                        0),
                 V99*$S98),
          SUMIF(OFFSET($S100,1,0,$R98-2),($M98+1)&amp;"$",OFFSET(V100,1,0,$R98-2)))</f>
        <v>0</v>
      </c>
      <c r="W100" s="212">
        <f ca="1">IF($R98=2,
         IF(AND(ACOMPANHAMENTO="PLE",ISNUMBER($F98)),
                SUMIF((OFFSET(CÁLCULO!$BC$15:$BU$15,$F98,0,OFFSET(ORÇAMENTO!$D$15,CRONO!$F98,0))),CRONO!W$12,OFFSET(CÁLCULO!$AJ$15:$BB$15,$F98,0,OFFSET(ORÇAMENTO!$D$15,CRONO!$F98,0)))
                +IF(AND($F100&lt;&gt;"",$F100&lt;&gt;0),
                        SUMIF(CÁLCULO!$BC$15:$BU$131,CRONO!W$12,CÁLCULO!$AJ$15:$BB$131)/(ORÇAMENTO!$X$15-CÁLCULO.TotalAdmLocal)*CRONO!$F100,
                        0),
                 W99*$S98),
          SUMIF(OFFSET($S100,1,0,$R98-2),($M98+1)&amp;"$",OFFSET(W100,1,0,$R98-2)))</f>
        <v>0</v>
      </c>
      <c r="X100" s="212">
        <f ca="1">IF($R98=2,
         IF(AND(ACOMPANHAMENTO="PLE",ISNUMBER($F98)),
                SUMIF((OFFSET(CÁLCULO!$BC$15:$BU$15,$F98,0,OFFSET(ORÇAMENTO!$D$15,CRONO!$F98,0))),CRONO!X$12,OFFSET(CÁLCULO!$AJ$15:$BB$15,$F98,0,OFFSET(ORÇAMENTO!$D$15,CRONO!$F98,0)))
                +IF(AND($F100&lt;&gt;"",$F100&lt;&gt;0),
                        SUMIF(CÁLCULO!$BC$15:$BU$131,CRONO!X$12,CÁLCULO!$AJ$15:$BB$131)/(ORÇAMENTO!$X$15-CÁLCULO.TotalAdmLocal)*CRONO!$F100,
                        0),
                 X99*$S98),
          SUMIF(OFFSET($S100,1,0,$R98-2),($M98+1)&amp;"$",OFFSET(X100,1,0,$R98-2)))</f>
        <v>0</v>
      </c>
      <c r="Y100" s="212">
        <f ca="1">IF($R98=2,
         IF(AND(ACOMPANHAMENTO="PLE",ISNUMBER($F98)),
                SUMIF((OFFSET(CÁLCULO!$BC$15:$BU$15,$F98,0,OFFSET(ORÇAMENTO!$D$15,CRONO!$F98,0))),CRONO!Y$12,OFFSET(CÁLCULO!$AJ$15:$BB$15,$F98,0,OFFSET(ORÇAMENTO!$D$15,CRONO!$F98,0)))
                +IF(AND($F100&lt;&gt;"",$F100&lt;&gt;0),
                        SUMIF(CÁLCULO!$BC$15:$BU$131,CRONO!Y$12,CÁLCULO!$AJ$15:$BB$131)/(ORÇAMENTO!$X$15-CÁLCULO.TotalAdmLocal)*CRONO!$F100,
                        0),
                 Y99*$S98),
          SUMIF(OFFSET($S100,1,0,$R98-2),($M98+1)&amp;"$",OFFSET(Y100,1,0,$R98-2)))</f>
        <v>0</v>
      </c>
      <c r="Z100" s="212">
        <f ca="1">IF($R98=2,
         IF(AND(ACOMPANHAMENTO="PLE",ISNUMBER($F98)),
                SUMIF((OFFSET(CÁLCULO!$BC$15:$BU$15,$F98,0,OFFSET(ORÇAMENTO!$D$15,CRONO!$F98,0))),CRONO!Z$12,OFFSET(CÁLCULO!$AJ$15:$BB$15,$F98,0,OFFSET(ORÇAMENTO!$D$15,CRONO!$F98,0)))
                +IF(AND($F100&lt;&gt;"",$F100&lt;&gt;0),
                        SUMIF(CÁLCULO!$BC$15:$BU$131,CRONO!Z$12,CÁLCULO!$AJ$15:$BB$131)/(ORÇAMENTO!$X$15-CÁLCULO.TotalAdmLocal)*CRONO!$F100,
                        0),
                 Z99*$S98),
          SUMIF(OFFSET($S100,1,0,$R98-2),($M98+1)&amp;"$",OFFSET(Z100,1,0,$R98-2)))</f>
        <v>0</v>
      </c>
      <c r="AA100" s="212">
        <f ca="1">IF($R98=2,
         IF(AND(ACOMPANHAMENTO="PLE",ISNUMBER($F98)),
                SUMIF((OFFSET(CÁLCULO!$BC$15:$BU$15,$F98,0,OFFSET(ORÇAMENTO!$D$15,CRONO!$F98,0))),CRONO!AA$12,OFFSET(CÁLCULO!$AJ$15:$BB$15,$F98,0,OFFSET(ORÇAMENTO!$D$15,CRONO!$F98,0)))
                +IF(AND($F100&lt;&gt;"",$F100&lt;&gt;0),
                        SUMIF(CÁLCULO!$BC$15:$BU$131,CRONO!AA$12,CÁLCULO!$AJ$15:$BB$131)/(ORÇAMENTO!$X$15-CÁLCULO.TotalAdmLocal)*CRONO!$F100,
                        0),
                 AA99*$S98),
          SUMIF(OFFSET($S100,1,0,$R98-2),($M98+1)&amp;"$",OFFSET(AA100,1,0,$R98-2)))</f>
        <v>0</v>
      </c>
      <c r="AB100" s="212">
        <f ca="1">IF($R98=2,
         IF(AND(ACOMPANHAMENTO="PLE",ISNUMBER($F98)),
                SUMIF((OFFSET(CÁLCULO!$BC$15:$BU$15,$F98,0,OFFSET(ORÇAMENTO!$D$15,CRONO!$F98,0))),CRONO!AB$12,OFFSET(CÁLCULO!$AJ$15:$BB$15,$F98,0,OFFSET(ORÇAMENTO!$D$15,CRONO!$F98,0)))
                +IF(AND($F100&lt;&gt;"",$F100&lt;&gt;0),
                        SUMIF(CÁLCULO!$BC$15:$BU$131,CRONO!AB$12,CÁLCULO!$AJ$15:$BB$131)/(ORÇAMENTO!$X$15-CÁLCULO.TotalAdmLocal)*CRONO!$F100,
                        0),
                 AB99*$S98),
          SUMIF(OFFSET($S100,1,0,$R98-2),($M98+1)&amp;"$",OFFSET(AB100,1,0,$R98-2)))</f>
        <v>0</v>
      </c>
      <c r="AC100" s="212">
        <f ca="1">IF($R98=2,
         IF(AND(ACOMPANHAMENTO="PLE",ISNUMBER($F98)),
                SUMIF((OFFSET(CÁLCULO!$BC$15:$BU$15,$F98,0,OFFSET(ORÇAMENTO!$D$15,CRONO!$F98,0))),CRONO!AC$12,OFFSET(CÁLCULO!$AJ$15:$BB$15,$F98,0,OFFSET(ORÇAMENTO!$D$15,CRONO!$F98,0)))
                +IF(AND($F100&lt;&gt;"",$F100&lt;&gt;0),
                        SUMIF(CÁLCULO!$BC$15:$BU$131,CRONO!AC$12,CÁLCULO!$AJ$15:$BB$131)/(ORÇAMENTO!$X$15-CÁLCULO.TotalAdmLocal)*CRONO!$F100,
                        0),
                 AC99*$S98),
          SUMIF(OFFSET($S100,1,0,$R98-2),($M98+1)&amp;"$",OFFSET(AC100,1,0,$R98-2)))</f>
        <v>0</v>
      </c>
      <c r="AD100" s="212">
        <f ca="1">IF($R98=2,
         IF(AND(ACOMPANHAMENTO="PLE",ISNUMBER($F98)),
                SUMIF((OFFSET(CÁLCULO!$BC$15:$BU$15,$F98,0,OFFSET(ORÇAMENTO!$D$15,CRONO!$F98,0))),CRONO!AD$12,OFFSET(CÁLCULO!$AJ$15:$BB$15,$F98,0,OFFSET(ORÇAMENTO!$D$15,CRONO!$F98,0)))
                +IF(AND($F100&lt;&gt;"",$F100&lt;&gt;0),
                        SUMIF(CÁLCULO!$BC$15:$BU$131,CRONO!AD$12,CÁLCULO!$AJ$15:$BB$131)/(ORÇAMENTO!$X$15-CÁLCULO.TotalAdmLocal)*CRONO!$F100,
                        0),
                 AD99*$S98),
          SUMIF(OFFSET($S100,1,0,$R98-2),($M98+1)&amp;"$",OFFSET(AD100,1,0,$R98-2)))</f>
        <v>0</v>
      </c>
      <c r="AE100" s="212">
        <f ca="1">IF($R98=2,
         IF(AND(ACOMPANHAMENTO="PLE",ISNUMBER($F98)),
                SUMIF((OFFSET(CÁLCULO!$BC$15:$BU$15,$F98,0,OFFSET(ORÇAMENTO!$D$15,CRONO!$F98,0))),CRONO!AE$12,OFFSET(CÁLCULO!$AJ$15:$BB$15,$F98,0,OFFSET(ORÇAMENTO!$D$15,CRONO!$F98,0)))
                +IF(AND($F100&lt;&gt;"",$F100&lt;&gt;0),
                        SUMIF(CÁLCULO!$BC$15:$BU$131,CRONO!AE$12,CÁLCULO!$AJ$15:$BB$131)/(ORÇAMENTO!$X$15-CÁLCULO.TotalAdmLocal)*CRONO!$F100,
                        0),
                 AE99*$S98),
          SUMIF(OFFSET($S100,1,0,$R98-2),($M98+1)&amp;"$",OFFSET(AE100,1,0,$R98-2)))</f>
        <v>0</v>
      </c>
      <c r="AF100" s="212">
        <f ca="1">IF($R98=2,
         IF(AND(ACOMPANHAMENTO="PLE",ISNUMBER($F98)),
                SUMIF((OFFSET(CÁLCULO!$BC$15:$BU$15,$F98,0,OFFSET(ORÇAMENTO!$D$15,CRONO!$F98,0))),CRONO!AF$12,OFFSET(CÁLCULO!$AJ$15:$BB$15,$F98,0,OFFSET(ORÇAMENTO!$D$15,CRONO!$F98,0)))
                +IF(AND($F100&lt;&gt;"",$F100&lt;&gt;0),
                        SUMIF(CÁLCULO!$BC$15:$BU$131,CRONO!AF$12,CÁLCULO!$AJ$15:$BB$131)/(ORÇAMENTO!$X$15-CÁLCULO.TotalAdmLocal)*CRONO!$F100,
                        0),
                 AF99*$S98),
          SUMIF(OFFSET($S100,1,0,$R98-2),($M98+1)&amp;"$",OFFSET(AF100,1,0,$R98-2)))</f>
        <v>0</v>
      </c>
      <c r="AG100" s="212">
        <f ca="1">IF($R98=2,
         IF(AND(ACOMPANHAMENTO="PLE",ISNUMBER($F98)),
                SUMIF((OFFSET(CÁLCULO!$BC$15:$BU$15,$F98,0,OFFSET(ORÇAMENTO!$D$15,CRONO!$F98,0))),CRONO!AG$12,OFFSET(CÁLCULO!$AJ$15:$BB$15,$F98,0,OFFSET(ORÇAMENTO!$D$15,CRONO!$F98,0)))
                +IF(AND($F100&lt;&gt;"",$F100&lt;&gt;0),
                        SUMIF(CÁLCULO!$BC$15:$BU$131,CRONO!AG$12,CÁLCULO!$AJ$15:$BB$131)/(ORÇAMENTO!$X$15-CÁLCULO.TotalAdmLocal)*CRONO!$F100,
                        0),
                 AG99*$S98),
          SUMIF(OFFSET($S100,1,0,$R98-2),($M98+1)&amp;"$",OFFSET(AG100,1,0,$R98-2)))</f>
        <v>0</v>
      </c>
      <c r="AH100" s="212">
        <f ca="1">IF($R98=2,
         IF(AND(ACOMPANHAMENTO="PLE",ISNUMBER($F98)),
                SUMIF((OFFSET(CÁLCULO!$BC$15:$BU$15,$F98,0,OFFSET(ORÇAMENTO!$D$15,CRONO!$F98,0))),CRONO!AH$12,OFFSET(CÁLCULO!$AJ$15:$BB$15,$F98,0,OFFSET(ORÇAMENTO!$D$15,CRONO!$F98,0)))
                +IF(AND($F100&lt;&gt;"",$F100&lt;&gt;0),
                        SUMIF(CÁLCULO!$BC$15:$BU$131,CRONO!AH$12,CÁLCULO!$AJ$15:$BB$131)/(ORÇAMENTO!$X$15-CÁLCULO.TotalAdmLocal)*CRONO!$F100,
                        0),
                 AH99*$S98),
          SUMIF(OFFSET($S100,1,0,$R98-2),($M98+1)&amp;"$",OFFSET(AH100,1,0,$R98-2)))</f>
        <v>0</v>
      </c>
      <c r="AI100" s="212">
        <f ca="1">IF($R98=2,
         IF(AND(ACOMPANHAMENTO="PLE",ISNUMBER($F98)),
                SUMIF((OFFSET(CÁLCULO!$BC$15:$BU$15,$F98,0,OFFSET(ORÇAMENTO!$D$15,CRONO!$F98,0))),CRONO!AI$12,OFFSET(CÁLCULO!$AJ$15:$BB$15,$F98,0,OFFSET(ORÇAMENTO!$D$15,CRONO!$F98,0)))
                +IF(AND($F100&lt;&gt;"",$F100&lt;&gt;0),
                        SUMIF(CÁLCULO!$BC$15:$BU$131,CRONO!AI$12,CÁLCULO!$AJ$15:$BB$131)/(ORÇAMENTO!$X$15-CÁLCULO.TotalAdmLocal)*CRONO!$F100,
                        0),
                 AI99*$S98),
          SUMIF(OFFSET($S100,1,0,$R98-2),($M98+1)&amp;"$",OFFSET(AI100,1,0,$R98-2)))</f>
        <v>0</v>
      </c>
      <c r="AJ100" s="212">
        <f ca="1">IF($R98=2,
         IF(AND(ACOMPANHAMENTO="PLE",ISNUMBER($F98)),
                SUMIF((OFFSET(CÁLCULO!$BC$15:$BU$15,$F98,0,OFFSET(ORÇAMENTO!$D$15,CRONO!$F98,0))),CRONO!AJ$12,OFFSET(CÁLCULO!$AJ$15:$BB$15,$F98,0,OFFSET(ORÇAMENTO!$D$15,CRONO!$F98,0)))
                +IF(AND($F100&lt;&gt;"",$F100&lt;&gt;0),
                        SUMIF(CÁLCULO!$BC$15:$BU$131,CRONO!AJ$12,CÁLCULO!$AJ$15:$BB$131)/(ORÇAMENTO!$X$15-CÁLCULO.TotalAdmLocal)*CRONO!$F100,
                        0),
                 AJ99*$S98),
          SUMIF(OFFSET($S100,1,0,$R98-2),($M98+1)&amp;"$",OFFSET(AJ100,1,0,$R98-2)))</f>
        <v>0</v>
      </c>
      <c r="AK100" s="212">
        <f ca="1">IF($R98=2,
         IF(AND(ACOMPANHAMENTO="PLE",ISNUMBER($F98)),
                SUMIF((OFFSET(CÁLCULO!$BC$15:$BU$15,$F98,0,OFFSET(ORÇAMENTO!$D$15,CRONO!$F98,0))),CRONO!AK$12,OFFSET(CÁLCULO!$AJ$15:$BB$15,$F98,0,OFFSET(ORÇAMENTO!$D$15,CRONO!$F98,0)))
                +IF(AND($F100&lt;&gt;"",$F100&lt;&gt;0),
                        SUMIF(CÁLCULO!$BC$15:$BU$131,CRONO!AK$12,CÁLCULO!$AJ$15:$BB$131)/(ORÇAMENTO!$X$15-CÁLCULO.TotalAdmLocal)*CRONO!$F100,
                        0),
                 AK99*$S98),
          SUMIF(OFFSET($S100,1,0,$R98-2),($M98+1)&amp;"$",OFFSET(AK100,1,0,$R98-2)))</f>
        <v>0</v>
      </c>
      <c r="AL100" s="212">
        <f ca="1">IF($R98=2,
         IF(AND(ACOMPANHAMENTO="PLE",ISNUMBER($F98)),
                SUMIF((OFFSET(CÁLCULO!$BC$15:$BU$15,$F98,0,OFFSET(ORÇAMENTO!$D$15,CRONO!$F98,0))),CRONO!AL$12,OFFSET(CÁLCULO!$AJ$15:$BB$15,$F98,0,OFFSET(ORÇAMENTO!$D$15,CRONO!$F98,0)))
                +IF(AND($F100&lt;&gt;"",$F100&lt;&gt;0),
                        SUMIF(CÁLCULO!$BC$15:$BU$131,CRONO!AL$12,CÁLCULO!$AJ$15:$BB$131)/(ORÇAMENTO!$X$15-CÁLCULO.TotalAdmLocal)*CRONO!$F100,
                        0),
                 AL99*$S98),
          SUMIF(OFFSET($S100,1,0,$R98-2),($M98+1)&amp;"$",OFFSET(AL100,1,0,$R98-2)))</f>
        <v>0</v>
      </c>
      <c r="AM100" s="212">
        <f ca="1">IF($R98=2,
         IF(AND(ACOMPANHAMENTO="PLE",ISNUMBER($F98)),
                SUMIF((OFFSET(CÁLCULO!$BC$15:$BU$15,$F98,0,OFFSET(ORÇAMENTO!$D$15,CRONO!$F98,0))),CRONO!AM$12,OFFSET(CÁLCULO!$AJ$15:$BB$15,$F98,0,OFFSET(ORÇAMENTO!$D$15,CRONO!$F98,0)))
                +IF(AND($F100&lt;&gt;"",$F100&lt;&gt;0),
                        SUMIF(CÁLCULO!$BC$15:$BU$131,CRONO!AM$12,CÁLCULO!$AJ$15:$BB$131)/(ORÇAMENTO!$X$15-CÁLCULO.TotalAdmLocal)*CRONO!$F100,
                        0),
                 AM99*$S98),
          SUMIF(OFFSET($S100,1,0,$R98-2),($M98+1)&amp;"$",OFFSET(AM100,1,0,$R98-2)))</f>
        <v>0</v>
      </c>
      <c r="AN100" s="212">
        <f ca="1">IF($R98=2,
         IF(AND(ACOMPANHAMENTO="PLE",ISNUMBER($F98)),
                SUMIF((OFFSET(CÁLCULO!$BC$15:$BU$15,$F98,0,OFFSET(ORÇAMENTO!$D$15,CRONO!$F98,0))),CRONO!AN$12,OFFSET(CÁLCULO!$AJ$15:$BB$15,$F98,0,OFFSET(ORÇAMENTO!$D$15,CRONO!$F98,0)))
                +IF(AND($F100&lt;&gt;"",$F100&lt;&gt;0),
                        SUMIF(CÁLCULO!$BC$15:$BU$131,CRONO!AN$12,CÁLCULO!$AJ$15:$BB$131)/(ORÇAMENTO!$X$15-CÁLCULO.TotalAdmLocal)*CRONO!$F100,
                        0),
                 AN99*$S98),
          SUMIF(OFFSET($S100,1,0,$R98-2),($M98+1)&amp;"$",OFFSET(AN100,1,0,$R98-2)))</f>
        <v>0</v>
      </c>
      <c r="AO100" s="212">
        <f ca="1">IF($R98=2,
         IF(AND(ACOMPANHAMENTO="PLE",ISNUMBER($F98)),
                SUMIF((OFFSET(CÁLCULO!$BC$15:$BU$15,$F98,0,OFFSET(ORÇAMENTO!$D$15,CRONO!$F98,0))),CRONO!AO$12,OFFSET(CÁLCULO!$AJ$15:$BB$15,$F98,0,OFFSET(ORÇAMENTO!$D$15,CRONO!$F98,0)))
                +IF(AND($F100&lt;&gt;"",$F100&lt;&gt;0),
                        SUMIF(CÁLCULO!$BC$15:$BU$131,CRONO!AO$12,CÁLCULO!$AJ$15:$BB$131)/(ORÇAMENTO!$X$15-CÁLCULO.TotalAdmLocal)*CRONO!$F100,
                        0),
                 AO99*$S98),
          SUMIF(OFFSET($S100,1,0,$R98-2),($M98+1)&amp;"$",OFFSET(AO100,1,0,$R98-2)))</f>
        <v>0</v>
      </c>
      <c r="AP100" s="212">
        <f ca="1">IF($R98=2,
         IF(AND(ACOMPANHAMENTO="PLE",ISNUMBER($F98)),
                SUMIF((OFFSET(CÁLCULO!$BC$15:$BU$15,$F98,0,OFFSET(ORÇAMENTO!$D$15,CRONO!$F98,0))),CRONO!AP$12,OFFSET(CÁLCULO!$AJ$15:$BB$15,$F98,0,OFFSET(ORÇAMENTO!$D$15,CRONO!$F98,0)))
                +IF(AND($F100&lt;&gt;"",$F100&lt;&gt;0),
                        SUMIF(CÁLCULO!$BC$15:$BU$131,CRONO!AP$12,CÁLCULO!$AJ$15:$BB$131)/(ORÇAMENTO!$X$15-CÁLCULO.TotalAdmLocal)*CRONO!$F100,
                        0),
                 AP99*$S98),
          SUMIF(OFFSET($S100,1,0,$R98-2),($M98+1)&amp;"$",OFFSET(AP100,1,0,$R98-2)))</f>
        <v>0</v>
      </c>
      <c r="AQ100" s="212">
        <f ca="1">IF($R98=2,
         IF(AND(ACOMPANHAMENTO="PLE",ISNUMBER($F98)),
                SUMIF((OFFSET(CÁLCULO!$BC$15:$BU$15,$F98,0,OFFSET(ORÇAMENTO!$D$15,CRONO!$F98,0))),CRONO!AQ$12,OFFSET(CÁLCULO!$AJ$15:$BB$15,$F98,0,OFFSET(ORÇAMENTO!$D$15,CRONO!$F98,0)))
                +IF(AND($F100&lt;&gt;"",$F100&lt;&gt;0),
                        SUMIF(CÁLCULO!$BC$15:$BU$131,CRONO!AQ$12,CÁLCULO!$AJ$15:$BB$131)/(ORÇAMENTO!$X$15-CÁLCULO.TotalAdmLocal)*CRONO!$F100,
                        0),
                 AQ99*$S98),
          SUMIF(OFFSET($S100,1,0,$R98-2),($M98+1)&amp;"$",OFFSET(AQ100,1,0,$R98-2)))</f>
        <v>0</v>
      </c>
      <c r="AR100" s="212">
        <f ca="1">IF($R98=2,
         IF(AND(ACOMPANHAMENTO="PLE",ISNUMBER($F98)),
                SUMIF((OFFSET(CÁLCULO!$BC$15:$BU$15,$F98,0,OFFSET(ORÇAMENTO!$D$15,CRONO!$F98,0))),CRONO!AR$12,OFFSET(CÁLCULO!$AJ$15:$BB$15,$F98,0,OFFSET(ORÇAMENTO!$D$15,CRONO!$F98,0)))
                +IF(AND($F100&lt;&gt;"",$F100&lt;&gt;0),
                        SUMIF(CÁLCULO!$BC$15:$BU$131,CRONO!AR$12,CÁLCULO!$AJ$15:$BB$131)/(ORÇAMENTO!$X$15-CÁLCULO.TotalAdmLocal)*CRONO!$F100,
                        0),
                 AR99*$S98),
          SUMIF(OFFSET($S100,1,0,$R98-2),($M98+1)&amp;"$",OFFSET(AR100,1,0,$R98-2)))</f>
        <v>0</v>
      </c>
      <c r="AS100" s="577"/>
    </row>
    <row r="101" spans="1:45" x14ac:dyDescent="0.2">
      <c r="A101" s="196" t="str">
        <f t="shared" ref="A101" ca="1" si="176">IF($M101&gt;1,CONCATENATE($I101," ",$J101),"")</f>
        <v/>
      </c>
      <c r="B101" s="195">
        <f t="shared" ref="B101" ca="1" si="177">OFFSET(B101,-3,0)+1</f>
        <v>30</v>
      </c>
      <c r="C101" s="195">
        <f ca="1">IF($R101&lt;&gt;2,0,IF($S101=0,1,IF(F102&gt;0,OFFSET(QCI!$M$13,SUBSTITUTE(F102,".",""),0),OFFSET(ORÇAMENTO!$AA$15,CRONO!$F101,0))/$S101))</f>
        <v>0</v>
      </c>
      <c r="D101" s="195">
        <f ca="1">IF($R101&lt;&gt;2,0,IF($S101=0,1,IF(F102&gt;0,OFFSET(QCI!$N$13,SUBSTITUTE(F102,".",""),0),OFFSET(ORÇAMENTO!$AB$15,CRONO!$F101,0))/$S101))</f>
        <v>0</v>
      </c>
      <c r="E101" s="198" t="e">
        <f ca="1">IF(AND($R101=2,ACOMPANHAMENTO="BM"),ROUND(E102,4),E103/$S101)</f>
        <v>#VALUE!</v>
      </c>
      <c r="F101" s="195" t="e">
        <f ca="1">IF(B101&lt;=ORÇAMENTO.MáximoListaCrono,MATCH(B101,ORÇAMENTO.ListaCrono,0),NA())</f>
        <v>#N/A</v>
      </c>
      <c r="G101" s="195" t="str">
        <f t="shared" ref="G101" ca="1" si="178">IF(AND($F102&lt;&gt;-1,$S101&gt;0),"F","")</f>
        <v/>
      </c>
      <c r="H101" s="199" t="str">
        <f ca="1">IF(OR(S101=0,S101=""),"Linha",IF(AND(OR(ACOMPANHAMENTO="PLE",$R101&lt;&gt;2),$F102=0),"Linha",ROUND(1-SUM(U101:AS101),4)))</f>
        <v>Linha</v>
      </c>
      <c r="I101" s="200" t="str">
        <f ca="1">IF($F102=0,OFFSET(ORÇAMENTO!O$15,$F101,0),IF($F102&lt;&gt;-1,OFFSET(QCI!$D$13,$F102,0),""))</f>
        <v/>
      </c>
      <c r="J101" s="201" t="str">
        <f ca="1">IF($F102=0,OFFSET(ORÇAMENTO!R$15,$F101,0),IF($F102&lt;&gt;-1,OFFSET(QCI!$G$13,$F102,0),""))</f>
        <v/>
      </c>
      <c r="K101" s="201"/>
      <c r="L101" s="201"/>
      <c r="M101" s="202">
        <f ca="1">IF($F102=0,OFFSET(ORÇAMENTO!C$15,$F101,0),1)</f>
        <v>1</v>
      </c>
      <c r="N101" s="203">
        <f ca="1">IF($F102=-1,0,IF(N$13&lt;=$M101,IF(ISERROR(MATCH(N$13,OFFSET($M101,1,0,ROW($M$107)-ROW($M101)-1),0)),ROW($M$107)-ROW($M101)-1,MATCH(N$13,OFFSET($M101,1,0,ROW($M$107)-ROW($M101)-1),0)-1),0))</f>
        <v>0</v>
      </c>
      <c r="O101" s="203">
        <f ca="1">IF($F102=-1,0,IF(O$13&lt;=$M101,IF(ISERROR(MATCH(O$13,OFFSET($M101,1,0,ROW($M$107)-ROW($M101)-1),0)),ROW($M$107)-ROW($M101)-1,MATCH(O$13,OFFSET($M101,1,0,ROW($M$107)-ROW($M101)-1),0)-1),0))</f>
        <v>0</v>
      </c>
      <c r="P101" s="203">
        <f ca="1">IF($F102=-1,0,IF(P$13&lt;=$M101,IF(ISERROR(MATCH(P$13,OFFSET($M101,1,0,ROW($M$107)-ROW($M101)-1),0)),ROW($M$107)-ROW($M101)-1,MATCH(P$13,OFFSET($M101,1,0,ROW($M$107)-ROW($M101)-1),0)-1),0))</f>
        <v>0</v>
      </c>
      <c r="Q101" s="203">
        <f ca="1">IF($F102=-1,0,IF(Q$13&lt;=$M101,IF(ISERROR(MATCH(Q$13,OFFSET($M101,1,0,ROW($M$107)-ROW($M101)-1),0)),ROW($M$107)-ROW($M101)-1,MATCH(Q$13,OFFSET($M101,1,0,ROW($M$107)-ROW($M101)-1),0)-1),0))</f>
        <v>0</v>
      </c>
      <c r="R101" s="203">
        <f t="shared" ref="R101" ca="1" si="179">MIN(OFFSET(M101,0,1,,M101))</f>
        <v>0</v>
      </c>
      <c r="S101" s="204" t="str">
        <f ca="1">IF($F102=0,OFFSET(ORÇAMENTO!X$15,$F101,0),IF($F102&lt;&gt;-1,OFFSET(QCI!$O$13,$F102,0),""))</f>
        <v/>
      </c>
      <c r="T101" s="205" t="s">
        <v>266</v>
      </c>
      <c r="U101" s="198" t="e">
        <f ca="1">IF(AND($R101=2,ACOMPANHAMENTO="BM"),ROUND(U102,4),U103/$S101)</f>
        <v>#VALUE!</v>
      </c>
      <c r="V101" s="198" t="e">
        <f ca="1">IF(AND($R101=2,ACOMPANHAMENTO="BM"),ROUND(V102,4),V103/$S101)</f>
        <v>#VALUE!</v>
      </c>
      <c r="W101" s="198" t="e">
        <f ca="1">IF(AND($R101=2,ACOMPANHAMENTO="BM"),ROUND(W102,4),W103/$S101)</f>
        <v>#VALUE!</v>
      </c>
      <c r="X101" s="198" t="e">
        <f ca="1">IF(AND($R101=2,ACOMPANHAMENTO="BM"),ROUND(X102,4),X103/$S101)</f>
        <v>#VALUE!</v>
      </c>
      <c r="Y101" s="198" t="e">
        <f ca="1">IF(AND($R101=2,ACOMPANHAMENTO="BM"),ROUND(Y102,4),Y103/$S101)</f>
        <v>#VALUE!</v>
      </c>
      <c r="Z101" s="198" t="e">
        <f ca="1">IF(AND($R101=2,ACOMPANHAMENTO="BM"),ROUND(Z102,4),Z103/$S101)</f>
        <v>#VALUE!</v>
      </c>
      <c r="AA101" s="198" t="e">
        <f ca="1">IF(AND($R101=2,ACOMPANHAMENTO="BM"),ROUND(AA102,4),AA103/$S101)</f>
        <v>#VALUE!</v>
      </c>
      <c r="AB101" s="198" t="e">
        <f ca="1">IF(AND($R101=2,ACOMPANHAMENTO="BM"),ROUND(AB102,4),AB103/$S101)</f>
        <v>#VALUE!</v>
      </c>
      <c r="AC101" s="198" t="e">
        <f ca="1">IF(AND($R101=2,ACOMPANHAMENTO="BM"),ROUND(AC102,4),AC103/$S101)</f>
        <v>#VALUE!</v>
      </c>
      <c r="AD101" s="198" t="e">
        <f ca="1">IF(AND($R101=2,ACOMPANHAMENTO="BM"),ROUND(AD102,4),AD103/$S101)</f>
        <v>#VALUE!</v>
      </c>
      <c r="AE101" s="198" t="e">
        <f ca="1">IF(AND($R101=2,ACOMPANHAMENTO="BM"),ROUND(AE102,4),AE103/$S101)</f>
        <v>#VALUE!</v>
      </c>
      <c r="AF101" s="198" t="e">
        <f ca="1">IF(AND($R101=2,ACOMPANHAMENTO="BM"),ROUND(AF102,4),AF103/$S101)</f>
        <v>#VALUE!</v>
      </c>
      <c r="AG101" s="198" t="e">
        <f ca="1">IF(AND($R101=2,ACOMPANHAMENTO="BM"),ROUND(AG102,4),AG103/$S101)</f>
        <v>#VALUE!</v>
      </c>
      <c r="AH101" s="198" t="e">
        <f ca="1">IF(AND($R101=2,ACOMPANHAMENTO="BM"),ROUND(AH102,4),AH103/$S101)</f>
        <v>#VALUE!</v>
      </c>
      <c r="AI101" s="198" t="e">
        <f ca="1">IF(AND($R101=2,ACOMPANHAMENTO="BM"),ROUND(AI102,4),AI103/$S101)</f>
        <v>#VALUE!</v>
      </c>
      <c r="AJ101" s="198" t="e">
        <f ca="1">IF(AND($R101=2,ACOMPANHAMENTO="BM"),ROUND(AJ102,4),AJ103/$S101)</f>
        <v>#VALUE!</v>
      </c>
      <c r="AK101" s="198" t="e">
        <f ca="1">IF(AND($R101=2,ACOMPANHAMENTO="BM"),ROUND(AK102,4),AK103/$S101)</f>
        <v>#VALUE!</v>
      </c>
      <c r="AL101" s="198" t="e">
        <f ca="1">IF(AND($R101=2,ACOMPANHAMENTO="BM"),ROUND(AL102,4),AL103/$S101)</f>
        <v>#VALUE!</v>
      </c>
      <c r="AM101" s="198" t="e">
        <f ca="1">IF(AND($R101=2,ACOMPANHAMENTO="BM"),ROUND(AM102,4),AM103/$S101)</f>
        <v>#VALUE!</v>
      </c>
      <c r="AN101" s="198" t="e">
        <f ca="1">IF(AND($R101=2,ACOMPANHAMENTO="BM"),ROUND(AN102,4),AN103/$S101)</f>
        <v>#VALUE!</v>
      </c>
      <c r="AO101" s="198" t="e">
        <f ca="1">IF(AND($R101=2,ACOMPANHAMENTO="BM"),ROUND(AO102,4),AO103/$S101)</f>
        <v>#VALUE!</v>
      </c>
      <c r="AP101" s="198" t="e">
        <f ca="1">IF(AND($R101=2,ACOMPANHAMENTO="BM"),ROUND(AP102,4),AP103/$S101)</f>
        <v>#VALUE!</v>
      </c>
      <c r="AQ101" s="198" t="e">
        <f ca="1">IF(AND($R101=2,ACOMPANHAMENTO="BM"),ROUND(AQ102,4),AQ103/$S101)</f>
        <v>#VALUE!</v>
      </c>
      <c r="AR101" s="198" t="e">
        <f ca="1">IF(AND($R101=2,ACOMPANHAMENTO="BM"),ROUND(AR102,4),AR103/$S101)</f>
        <v>#VALUE!</v>
      </c>
      <c r="AS101" s="577"/>
    </row>
    <row r="102" spans="1:45" ht="12.75" hidden="1" customHeight="1" x14ac:dyDescent="0.2">
      <c r="E102" s="645"/>
      <c r="F102" s="195">
        <f ca="1">IF(ISERROR(F101),IF(1+COUNTIF($M$13:OFFSET(M101,-1,0),1)&lt;=MAX(QCI!$D$13:$D$24),1+COUNTIF($M$13:OFFSET(M101,-1,0),1),-1),0)</f>
        <v>-1</v>
      </c>
      <c r="G102" s="195" t="str">
        <f ca="1">IF(ACOMPANHAMENTO="BM",OFFSET(G102,-1,0),"")</f>
        <v/>
      </c>
      <c r="H102" s="206" t="str">
        <f ca="1">IF(OR(S101=0,S101=""),"vazia",IF(AND(OR(ACOMPANHAMENTO="PLE",$R101&lt;&gt;2),$F102=0),"calculada","--&gt;"))</f>
        <v>vazia</v>
      </c>
      <c r="I102" s="207"/>
      <c r="J102" s="208" t="str">
        <f t="shared" ref="J102" ca="1" si="180">IF(AND(H101&lt;&gt;0,ISNUMBER(H101)),"PREENCHA ESTA LINHA --&gt;","")</f>
        <v/>
      </c>
      <c r="K102" s="208"/>
      <c r="L102" s="208"/>
      <c r="M102" s="209"/>
      <c r="N102" s="209"/>
      <c r="O102" s="209"/>
      <c r="P102" s="209"/>
      <c r="Q102" s="209"/>
      <c r="R102" s="209"/>
      <c r="S102" s="210"/>
      <c r="T102" s="211"/>
      <c r="U102" s="645"/>
      <c r="V102" s="645"/>
      <c r="W102" s="645"/>
      <c r="X102" s="645"/>
      <c r="Y102" s="645"/>
      <c r="Z102" s="645"/>
      <c r="AA102" s="645"/>
      <c r="AB102" s="645"/>
      <c r="AC102" s="645"/>
      <c r="AD102" s="645"/>
      <c r="AE102" s="645"/>
      <c r="AF102" s="645"/>
      <c r="AG102" s="645"/>
      <c r="AH102" s="645"/>
      <c r="AI102" s="645"/>
      <c r="AJ102" s="645"/>
      <c r="AK102" s="645"/>
      <c r="AL102" s="645"/>
      <c r="AM102" s="645"/>
      <c r="AN102" s="645"/>
      <c r="AO102" s="645"/>
      <c r="AP102" s="645"/>
      <c r="AQ102" s="645"/>
      <c r="AR102" s="645"/>
      <c r="AS102" s="577"/>
    </row>
    <row r="103" spans="1:45" ht="12.75" hidden="1" customHeight="1" x14ac:dyDescent="0.2">
      <c r="D103" s="576"/>
      <c r="E103" s="212">
        <f ca="1">IF($R101=2,
         IF(AND(ACOMPANHAMENTO="PLE",ISNUMBER($F101)),
                SUMIF((OFFSET(CÁLCULO!$BC$15:$BU$15,$F101,0,OFFSET(ORÇAMENTO!$D$15,CRONO!$F101,0))),CRONO!E$12,OFFSET(CÁLCULO!$AJ$15:$BB$15,$F101,0,OFFSET(ORÇAMENTO!$D$15,CRONO!$F101,0)))
                +IF(AND($F103&lt;&gt;"",$F103&lt;&gt;0),
                        SUMIF(CÁLCULO!$BC$15:$BU$131,CRONO!E$12,CÁLCULO!$AJ$15:$BB$131)/(ORÇAMENTO!$X$15-CÁLCULO.TotalAdmLocal)*CRONO!$F103,
                        0),
                 E102*$S101),
          SUMIF(OFFSET($S103,1,0,$R101-2),($M101+1)&amp;"$",OFFSET(E103,1,0,$R101-2)))</f>
        <v>0</v>
      </c>
      <c r="F103" s="195" t="str">
        <f ca="1">IF(OR($R101&lt;&gt;2,AUTOEVENTO&lt;&gt;"manual",$F102&gt;0),"",
        IF(Import.TipoArredondamento="Tradicional",
              SUMIF(OFFSET(CÁLCULO!$M$15,CRONO!$F101,0,OFFSET(ORÇAMENTO!$D$15,CRONO!$F101,0)),1,OFFSET(ORÇAMENTO!$X$15,CRONO!$F101,0,OFFSET(ORÇAMENTO!$D$15,CRONO!$F101,0))),
              0))</f>
        <v/>
      </c>
      <c r="H103" s="213"/>
      <c r="S103" s="214" t="str">
        <f t="shared" ref="S103" ca="1" si="181">M101&amp;"$"</f>
        <v>1$</v>
      </c>
      <c r="T103" s="215"/>
      <c r="U103" s="212">
        <f ca="1">IF($R101=2,
         IF(AND(ACOMPANHAMENTO="PLE",ISNUMBER($F101)),
                SUMIF((OFFSET(CÁLCULO!$BC$15:$BU$15,$F101,0,OFFSET(ORÇAMENTO!$D$15,CRONO!$F101,0))),CRONO!U$12,OFFSET(CÁLCULO!$AJ$15:$BB$15,$F101,0,OFFSET(ORÇAMENTO!$D$15,CRONO!$F101,0)))
                +IF(AND($F103&lt;&gt;"",$F103&lt;&gt;0),
                        SUMIF(CÁLCULO!$BC$15:$BU$131,CRONO!U$12,CÁLCULO!$AJ$15:$BB$131)/(ORÇAMENTO!$X$15-CÁLCULO.TotalAdmLocal)*CRONO!$F103,
                        0),
                 U102*$S101),
          SUMIF(OFFSET($S103,1,0,$R101-2),($M101+1)&amp;"$",OFFSET(U103,1,0,$R101-2)))</f>
        <v>0</v>
      </c>
      <c r="V103" s="212">
        <f ca="1">IF($R101=2,
         IF(AND(ACOMPANHAMENTO="PLE",ISNUMBER($F101)),
                SUMIF((OFFSET(CÁLCULO!$BC$15:$BU$15,$F101,0,OFFSET(ORÇAMENTO!$D$15,CRONO!$F101,0))),CRONO!V$12,OFFSET(CÁLCULO!$AJ$15:$BB$15,$F101,0,OFFSET(ORÇAMENTO!$D$15,CRONO!$F101,0)))
                +IF(AND($F103&lt;&gt;"",$F103&lt;&gt;0),
                        SUMIF(CÁLCULO!$BC$15:$BU$131,CRONO!V$12,CÁLCULO!$AJ$15:$BB$131)/(ORÇAMENTO!$X$15-CÁLCULO.TotalAdmLocal)*CRONO!$F103,
                        0),
                 V102*$S101),
          SUMIF(OFFSET($S103,1,0,$R101-2),($M101+1)&amp;"$",OFFSET(V103,1,0,$R101-2)))</f>
        <v>0</v>
      </c>
      <c r="W103" s="212">
        <f ca="1">IF($R101=2,
         IF(AND(ACOMPANHAMENTO="PLE",ISNUMBER($F101)),
                SUMIF((OFFSET(CÁLCULO!$BC$15:$BU$15,$F101,0,OFFSET(ORÇAMENTO!$D$15,CRONO!$F101,0))),CRONO!W$12,OFFSET(CÁLCULO!$AJ$15:$BB$15,$F101,0,OFFSET(ORÇAMENTO!$D$15,CRONO!$F101,0)))
                +IF(AND($F103&lt;&gt;"",$F103&lt;&gt;0),
                        SUMIF(CÁLCULO!$BC$15:$BU$131,CRONO!W$12,CÁLCULO!$AJ$15:$BB$131)/(ORÇAMENTO!$X$15-CÁLCULO.TotalAdmLocal)*CRONO!$F103,
                        0),
                 W102*$S101),
          SUMIF(OFFSET($S103,1,0,$R101-2),($M101+1)&amp;"$",OFFSET(W103,1,0,$R101-2)))</f>
        <v>0</v>
      </c>
      <c r="X103" s="212">
        <f ca="1">IF($R101=2,
         IF(AND(ACOMPANHAMENTO="PLE",ISNUMBER($F101)),
                SUMIF((OFFSET(CÁLCULO!$BC$15:$BU$15,$F101,0,OFFSET(ORÇAMENTO!$D$15,CRONO!$F101,0))),CRONO!X$12,OFFSET(CÁLCULO!$AJ$15:$BB$15,$F101,0,OFFSET(ORÇAMENTO!$D$15,CRONO!$F101,0)))
                +IF(AND($F103&lt;&gt;"",$F103&lt;&gt;0),
                        SUMIF(CÁLCULO!$BC$15:$BU$131,CRONO!X$12,CÁLCULO!$AJ$15:$BB$131)/(ORÇAMENTO!$X$15-CÁLCULO.TotalAdmLocal)*CRONO!$F103,
                        0),
                 X102*$S101),
          SUMIF(OFFSET($S103,1,0,$R101-2),($M101+1)&amp;"$",OFFSET(X103,1,0,$R101-2)))</f>
        <v>0</v>
      </c>
      <c r="Y103" s="212">
        <f ca="1">IF($R101=2,
         IF(AND(ACOMPANHAMENTO="PLE",ISNUMBER($F101)),
                SUMIF((OFFSET(CÁLCULO!$BC$15:$BU$15,$F101,0,OFFSET(ORÇAMENTO!$D$15,CRONO!$F101,0))),CRONO!Y$12,OFFSET(CÁLCULO!$AJ$15:$BB$15,$F101,0,OFFSET(ORÇAMENTO!$D$15,CRONO!$F101,0)))
                +IF(AND($F103&lt;&gt;"",$F103&lt;&gt;0),
                        SUMIF(CÁLCULO!$BC$15:$BU$131,CRONO!Y$12,CÁLCULO!$AJ$15:$BB$131)/(ORÇAMENTO!$X$15-CÁLCULO.TotalAdmLocal)*CRONO!$F103,
                        0),
                 Y102*$S101),
          SUMIF(OFFSET($S103,1,0,$R101-2),($M101+1)&amp;"$",OFFSET(Y103,1,0,$R101-2)))</f>
        <v>0</v>
      </c>
      <c r="Z103" s="212">
        <f ca="1">IF($R101=2,
         IF(AND(ACOMPANHAMENTO="PLE",ISNUMBER($F101)),
                SUMIF((OFFSET(CÁLCULO!$BC$15:$BU$15,$F101,0,OFFSET(ORÇAMENTO!$D$15,CRONO!$F101,0))),CRONO!Z$12,OFFSET(CÁLCULO!$AJ$15:$BB$15,$F101,0,OFFSET(ORÇAMENTO!$D$15,CRONO!$F101,0)))
                +IF(AND($F103&lt;&gt;"",$F103&lt;&gt;0),
                        SUMIF(CÁLCULO!$BC$15:$BU$131,CRONO!Z$12,CÁLCULO!$AJ$15:$BB$131)/(ORÇAMENTO!$X$15-CÁLCULO.TotalAdmLocal)*CRONO!$F103,
                        0),
                 Z102*$S101),
          SUMIF(OFFSET($S103,1,0,$R101-2),($M101+1)&amp;"$",OFFSET(Z103,1,0,$R101-2)))</f>
        <v>0</v>
      </c>
      <c r="AA103" s="212">
        <f ca="1">IF($R101=2,
         IF(AND(ACOMPANHAMENTO="PLE",ISNUMBER($F101)),
                SUMIF((OFFSET(CÁLCULO!$BC$15:$BU$15,$F101,0,OFFSET(ORÇAMENTO!$D$15,CRONO!$F101,0))),CRONO!AA$12,OFFSET(CÁLCULO!$AJ$15:$BB$15,$F101,0,OFFSET(ORÇAMENTO!$D$15,CRONO!$F101,0)))
                +IF(AND($F103&lt;&gt;"",$F103&lt;&gt;0),
                        SUMIF(CÁLCULO!$BC$15:$BU$131,CRONO!AA$12,CÁLCULO!$AJ$15:$BB$131)/(ORÇAMENTO!$X$15-CÁLCULO.TotalAdmLocal)*CRONO!$F103,
                        0),
                 AA102*$S101),
          SUMIF(OFFSET($S103,1,0,$R101-2),($M101+1)&amp;"$",OFFSET(AA103,1,0,$R101-2)))</f>
        <v>0</v>
      </c>
      <c r="AB103" s="212">
        <f ca="1">IF($R101=2,
         IF(AND(ACOMPANHAMENTO="PLE",ISNUMBER($F101)),
                SUMIF((OFFSET(CÁLCULO!$BC$15:$BU$15,$F101,0,OFFSET(ORÇAMENTO!$D$15,CRONO!$F101,0))),CRONO!AB$12,OFFSET(CÁLCULO!$AJ$15:$BB$15,$F101,0,OFFSET(ORÇAMENTO!$D$15,CRONO!$F101,0)))
                +IF(AND($F103&lt;&gt;"",$F103&lt;&gt;0),
                        SUMIF(CÁLCULO!$BC$15:$BU$131,CRONO!AB$12,CÁLCULO!$AJ$15:$BB$131)/(ORÇAMENTO!$X$15-CÁLCULO.TotalAdmLocal)*CRONO!$F103,
                        0),
                 AB102*$S101),
          SUMIF(OFFSET($S103,1,0,$R101-2),($M101+1)&amp;"$",OFFSET(AB103,1,0,$R101-2)))</f>
        <v>0</v>
      </c>
      <c r="AC103" s="212">
        <f ca="1">IF($R101=2,
         IF(AND(ACOMPANHAMENTO="PLE",ISNUMBER($F101)),
                SUMIF((OFFSET(CÁLCULO!$BC$15:$BU$15,$F101,0,OFFSET(ORÇAMENTO!$D$15,CRONO!$F101,0))),CRONO!AC$12,OFFSET(CÁLCULO!$AJ$15:$BB$15,$F101,0,OFFSET(ORÇAMENTO!$D$15,CRONO!$F101,0)))
                +IF(AND($F103&lt;&gt;"",$F103&lt;&gt;0),
                        SUMIF(CÁLCULO!$BC$15:$BU$131,CRONO!AC$12,CÁLCULO!$AJ$15:$BB$131)/(ORÇAMENTO!$X$15-CÁLCULO.TotalAdmLocal)*CRONO!$F103,
                        0),
                 AC102*$S101),
          SUMIF(OFFSET($S103,1,0,$R101-2),($M101+1)&amp;"$",OFFSET(AC103,1,0,$R101-2)))</f>
        <v>0</v>
      </c>
      <c r="AD103" s="212">
        <f ca="1">IF($R101=2,
         IF(AND(ACOMPANHAMENTO="PLE",ISNUMBER($F101)),
                SUMIF((OFFSET(CÁLCULO!$BC$15:$BU$15,$F101,0,OFFSET(ORÇAMENTO!$D$15,CRONO!$F101,0))),CRONO!AD$12,OFFSET(CÁLCULO!$AJ$15:$BB$15,$F101,0,OFFSET(ORÇAMENTO!$D$15,CRONO!$F101,0)))
                +IF(AND($F103&lt;&gt;"",$F103&lt;&gt;0),
                        SUMIF(CÁLCULO!$BC$15:$BU$131,CRONO!AD$12,CÁLCULO!$AJ$15:$BB$131)/(ORÇAMENTO!$X$15-CÁLCULO.TotalAdmLocal)*CRONO!$F103,
                        0),
                 AD102*$S101),
          SUMIF(OFFSET($S103,1,0,$R101-2),($M101+1)&amp;"$",OFFSET(AD103,1,0,$R101-2)))</f>
        <v>0</v>
      </c>
      <c r="AE103" s="212">
        <f ca="1">IF($R101=2,
         IF(AND(ACOMPANHAMENTO="PLE",ISNUMBER($F101)),
                SUMIF((OFFSET(CÁLCULO!$BC$15:$BU$15,$F101,0,OFFSET(ORÇAMENTO!$D$15,CRONO!$F101,0))),CRONO!AE$12,OFFSET(CÁLCULO!$AJ$15:$BB$15,$F101,0,OFFSET(ORÇAMENTO!$D$15,CRONO!$F101,0)))
                +IF(AND($F103&lt;&gt;"",$F103&lt;&gt;0),
                        SUMIF(CÁLCULO!$BC$15:$BU$131,CRONO!AE$12,CÁLCULO!$AJ$15:$BB$131)/(ORÇAMENTO!$X$15-CÁLCULO.TotalAdmLocal)*CRONO!$F103,
                        0),
                 AE102*$S101),
          SUMIF(OFFSET($S103,1,0,$R101-2),($M101+1)&amp;"$",OFFSET(AE103,1,0,$R101-2)))</f>
        <v>0</v>
      </c>
      <c r="AF103" s="212">
        <f ca="1">IF($R101=2,
         IF(AND(ACOMPANHAMENTO="PLE",ISNUMBER($F101)),
                SUMIF((OFFSET(CÁLCULO!$BC$15:$BU$15,$F101,0,OFFSET(ORÇAMENTO!$D$15,CRONO!$F101,0))),CRONO!AF$12,OFFSET(CÁLCULO!$AJ$15:$BB$15,$F101,0,OFFSET(ORÇAMENTO!$D$15,CRONO!$F101,0)))
                +IF(AND($F103&lt;&gt;"",$F103&lt;&gt;0),
                        SUMIF(CÁLCULO!$BC$15:$BU$131,CRONO!AF$12,CÁLCULO!$AJ$15:$BB$131)/(ORÇAMENTO!$X$15-CÁLCULO.TotalAdmLocal)*CRONO!$F103,
                        0),
                 AF102*$S101),
          SUMIF(OFFSET($S103,1,0,$R101-2),($M101+1)&amp;"$",OFFSET(AF103,1,0,$R101-2)))</f>
        <v>0</v>
      </c>
      <c r="AG103" s="212">
        <f ca="1">IF($R101=2,
         IF(AND(ACOMPANHAMENTO="PLE",ISNUMBER($F101)),
                SUMIF((OFFSET(CÁLCULO!$BC$15:$BU$15,$F101,0,OFFSET(ORÇAMENTO!$D$15,CRONO!$F101,0))),CRONO!AG$12,OFFSET(CÁLCULO!$AJ$15:$BB$15,$F101,0,OFFSET(ORÇAMENTO!$D$15,CRONO!$F101,0)))
                +IF(AND($F103&lt;&gt;"",$F103&lt;&gt;0),
                        SUMIF(CÁLCULO!$BC$15:$BU$131,CRONO!AG$12,CÁLCULO!$AJ$15:$BB$131)/(ORÇAMENTO!$X$15-CÁLCULO.TotalAdmLocal)*CRONO!$F103,
                        0),
                 AG102*$S101),
          SUMIF(OFFSET($S103,1,0,$R101-2),($M101+1)&amp;"$",OFFSET(AG103,1,0,$R101-2)))</f>
        <v>0</v>
      </c>
      <c r="AH103" s="212">
        <f ca="1">IF($R101=2,
         IF(AND(ACOMPANHAMENTO="PLE",ISNUMBER($F101)),
                SUMIF((OFFSET(CÁLCULO!$BC$15:$BU$15,$F101,0,OFFSET(ORÇAMENTO!$D$15,CRONO!$F101,0))),CRONO!AH$12,OFFSET(CÁLCULO!$AJ$15:$BB$15,$F101,0,OFFSET(ORÇAMENTO!$D$15,CRONO!$F101,0)))
                +IF(AND($F103&lt;&gt;"",$F103&lt;&gt;0),
                        SUMIF(CÁLCULO!$BC$15:$BU$131,CRONO!AH$12,CÁLCULO!$AJ$15:$BB$131)/(ORÇAMENTO!$X$15-CÁLCULO.TotalAdmLocal)*CRONO!$F103,
                        0),
                 AH102*$S101),
          SUMIF(OFFSET($S103,1,0,$R101-2),($M101+1)&amp;"$",OFFSET(AH103,1,0,$R101-2)))</f>
        <v>0</v>
      </c>
      <c r="AI103" s="212">
        <f ca="1">IF($R101=2,
         IF(AND(ACOMPANHAMENTO="PLE",ISNUMBER($F101)),
                SUMIF((OFFSET(CÁLCULO!$BC$15:$BU$15,$F101,0,OFFSET(ORÇAMENTO!$D$15,CRONO!$F101,0))),CRONO!AI$12,OFFSET(CÁLCULO!$AJ$15:$BB$15,$F101,0,OFFSET(ORÇAMENTO!$D$15,CRONO!$F101,0)))
                +IF(AND($F103&lt;&gt;"",$F103&lt;&gt;0),
                        SUMIF(CÁLCULO!$BC$15:$BU$131,CRONO!AI$12,CÁLCULO!$AJ$15:$BB$131)/(ORÇAMENTO!$X$15-CÁLCULO.TotalAdmLocal)*CRONO!$F103,
                        0),
                 AI102*$S101),
          SUMIF(OFFSET($S103,1,0,$R101-2),($M101+1)&amp;"$",OFFSET(AI103,1,0,$R101-2)))</f>
        <v>0</v>
      </c>
      <c r="AJ103" s="212">
        <f ca="1">IF($R101=2,
         IF(AND(ACOMPANHAMENTO="PLE",ISNUMBER($F101)),
                SUMIF((OFFSET(CÁLCULO!$BC$15:$BU$15,$F101,0,OFFSET(ORÇAMENTO!$D$15,CRONO!$F101,0))),CRONO!AJ$12,OFFSET(CÁLCULO!$AJ$15:$BB$15,$F101,0,OFFSET(ORÇAMENTO!$D$15,CRONO!$F101,0)))
                +IF(AND($F103&lt;&gt;"",$F103&lt;&gt;0),
                        SUMIF(CÁLCULO!$BC$15:$BU$131,CRONO!AJ$12,CÁLCULO!$AJ$15:$BB$131)/(ORÇAMENTO!$X$15-CÁLCULO.TotalAdmLocal)*CRONO!$F103,
                        0),
                 AJ102*$S101),
          SUMIF(OFFSET($S103,1,0,$R101-2),($M101+1)&amp;"$",OFFSET(AJ103,1,0,$R101-2)))</f>
        <v>0</v>
      </c>
      <c r="AK103" s="212">
        <f ca="1">IF($R101=2,
         IF(AND(ACOMPANHAMENTO="PLE",ISNUMBER($F101)),
                SUMIF((OFFSET(CÁLCULO!$BC$15:$BU$15,$F101,0,OFFSET(ORÇAMENTO!$D$15,CRONO!$F101,0))),CRONO!AK$12,OFFSET(CÁLCULO!$AJ$15:$BB$15,$F101,0,OFFSET(ORÇAMENTO!$D$15,CRONO!$F101,0)))
                +IF(AND($F103&lt;&gt;"",$F103&lt;&gt;0),
                        SUMIF(CÁLCULO!$BC$15:$BU$131,CRONO!AK$12,CÁLCULO!$AJ$15:$BB$131)/(ORÇAMENTO!$X$15-CÁLCULO.TotalAdmLocal)*CRONO!$F103,
                        0),
                 AK102*$S101),
          SUMIF(OFFSET($S103,1,0,$R101-2),($M101+1)&amp;"$",OFFSET(AK103,1,0,$R101-2)))</f>
        <v>0</v>
      </c>
      <c r="AL103" s="212">
        <f ca="1">IF($R101=2,
         IF(AND(ACOMPANHAMENTO="PLE",ISNUMBER($F101)),
                SUMIF((OFFSET(CÁLCULO!$BC$15:$BU$15,$F101,0,OFFSET(ORÇAMENTO!$D$15,CRONO!$F101,0))),CRONO!AL$12,OFFSET(CÁLCULO!$AJ$15:$BB$15,$F101,0,OFFSET(ORÇAMENTO!$D$15,CRONO!$F101,0)))
                +IF(AND($F103&lt;&gt;"",$F103&lt;&gt;0),
                        SUMIF(CÁLCULO!$BC$15:$BU$131,CRONO!AL$12,CÁLCULO!$AJ$15:$BB$131)/(ORÇAMENTO!$X$15-CÁLCULO.TotalAdmLocal)*CRONO!$F103,
                        0),
                 AL102*$S101),
          SUMIF(OFFSET($S103,1,0,$R101-2),($M101+1)&amp;"$",OFFSET(AL103,1,0,$R101-2)))</f>
        <v>0</v>
      </c>
      <c r="AM103" s="212">
        <f ca="1">IF($R101=2,
         IF(AND(ACOMPANHAMENTO="PLE",ISNUMBER($F101)),
                SUMIF((OFFSET(CÁLCULO!$BC$15:$BU$15,$F101,0,OFFSET(ORÇAMENTO!$D$15,CRONO!$F101,0))),CRONO!AM$12,OFFSET(CÁLCULO!$AJ$15:$BB$15,$F101,0,OFFSET(ORÇAMENTO!$D$15,CRONO!$F101,0)))
                +IF(AND($F103&lt;&gt;"",$F103&lt;&gt;0),
                        SUMIF(CÁLCULO!$BC$15:$BU$131,CRONO!AM$12,CÁLCULO!$AJ$15:$BB$131)/(ORÇAMENTO!$X$15-CÁLCULO.TotalAdmLocal)*CRONO!$F103,
                        0),
                 AM102*$S101),
          SUMIF(OFFSET($S103,1,0,$R101-2),($M101+1)&amp;"$",OFFSET(AM103,1,0,$R101-2)))</f>
        <v>0</v>
      </c>
      <c r="AN103" s="212">
        <f ca="1">IF($R101=2,
         IF(AND(ACOMPANHAMENTO="PLE",ISNUMBER($F101)),
                SUMIF((OFFSET(CÁLCULO!$BC$15:$BU$15,$F101,0,OFFSET(ORÇAMENTO!$D$15,CRONO!$F101,0))),CRONO!AN$12,OFFSET(CÁLCULO!$AJ$15:$BB$15,$F101,0,OFFSET(ORÇAMENTO!$D$15,CRONO!$F101,0)))
                +IF(AND($F103&lt;&gt;"",$F103&lt;&gt;0),
                        SUMIF(CÁLCULO!$BC$15:$BU$131,CRONO!AN$12,CÁLCULO!$AJ$15:$BB$131)/(ORÇAMENTO!$X$15-CÁLCULO.TotalAdmLocal)*CRONO!$F103,
                        0),
                 AN102*$S101),
          SUMIF(OFFSET($S103,1,0,$R101-2),($M101+1)&amp;"$",OFFSET(AN103,1,0,$R101-2)))</f>
        <v>0</v>
      </c>
      <c r="AO103" s="212">
        <f ca="1">IF($R101=2,
         IF(AND(ACOMPANHAMENTO="PLE",ISNUMBER($F101)),
                SUMIF((OFFSET(CÁLCULO!$BC$15:$BU$15,$F101,0,OFFSET(ORÇAMENTO!$D$15,CRONO!$F101,0))),CRONO!AO$12,OFFSET(CÁLCULO!$AJ$15:$BB$15,$F101,0,OFFSET(ORÇAMENTO!$D$15,CRONO!$F101,0)))
                +IF(AND($F103&lt;&gt;"",$F103&lt;&gt;0),
                        SUMIF(CÁLCULO!$BC$15:$BU$131,CRONO!AO$12,CÁLCULO!$AJ$15:$BB$131)/(ORÇAMENTO!$X$15-CÁLCULO.TotalAdmLocal)*CRONO!$F103,
                        0),
                 AO102*$S101),
          SUMIF(OFFSET($S103,1,0,$R101-2),($M101+1)&amp;"$",OFFSET(AO103,1,0,$R101-2)))</f>
        <v>0</v>
      </c>
      <c r="AP103" s="212">
        <f ca="1">IF($R101=2,
         IF(AND(ACOMPANHAMENTO="PLE",ISNUMBER($F101)),
                SUMIF((OFFSET(CÁLCULO!$BC$15:$BU$15,$F101,0,OFFSET(ORÇAMENTO!$D$15,CRONO!$F101,0))),CRONO!AP$12,OFFSET(CÁLCULO!$AJ$15:$BB$15,$F101,0,OFFSET(ORÇAMENTO!$D$15,CRONO!$F101,0)))
                +IF(AND($F103&lt;&gt;"",$F103&lt;&gt;0),
                        SUMIF(CÁLCULO!$BC$15:$BU$131,CRONO!AP$12,CÁLCULO!$AJ$15:$BB$131)/(ORÇAMENTO!$X$15-CÁLCULO.TotalAdmLocal)*CRONO!$F103,
                        0),
                 AP102*$S101),
          SUMIF(OFFSET($S103,1,0,$R101-2),($M101+1)&amp;"$",OFFSET(AP103,1,0,$R101-2)))</f>
        <v>0</v>
      </c>
      <c r="AQ103" s="212">
        <f ca="1">IF($R101=2,
         IF(AND(ACOMPANHAMENTO="PLE",ISNUMBER($F101)),
                SUMIF((OFFSET(CÁLCULO!$BC$15:$BU$15,$F101,0,OFFSET(ORÇAMENTO!$D$15,CRONO!$F101,0))),CRONO!AQ$12,OFFSET(CÁLCULO!$AJ$15:$BB$15,$F101,0,OFFSET(ORÇAMENTO!$D$15,CRONO!$F101,0)))
                +IF(AND($F103&lt;&gt;"",$F103&lt;&gt;0),
                        SUMIF(CÁLCULO!$BC$15:$BU$131,CRONO!AQ$12,CÁLCULO!$AJ$15:$BB$131)/(ORÇAMENTO!$X$15-CÁLCULO.TotalAdmLocal)*CRONO!$F103,
                        0),
                 AQ102*$S101),
          SUMIF(OFFSET($S103,1,0,$R101-2),($M101+1)&amp;"$",OFFSET(AQ103,1,0,$R101-2)))</f>
        <v>0</v>
      </c>
      <c r="AR103" s="212">
        <f ca="1">IF($R101=2,
         IF(AND(ACOMPANHAMENTO="PLE",ISNUMBER($F101)),
                SUMIF((OFFSET(CÁLCULO!$BC$15:$BU$15,$F101,0,OFFSET(ORÇAMENTO!$D$15,CRONO!$F101,0))),CRONO!AR$12,OFFSET(CÁLCULO!$AJ$15:$BB$15,$F101,0,OFFSET(ORÇAMENTO!$D$15,CRONO!$F101,0)))
                +IF(AND($F103&lt;&gt;"",$F103&lt;&gt;0),
                        SUMIF(CÁLCULO!$BC$15:$BU$131,CRONO!AR$12,CÁLCULO!$AJ$15:$BB$131)/(ORÇAMENTO!$X$15-CÁLCULO.TotalAdmLocal)*CRONO!$F103,
                        0),
                 AR102*$S101),
          SUMIF(OFFSET($S103,1,0,$R101-2),($M101+1)&amp;"$",OFFSET(AR103,1,0,$R101-2)))</f>
        <v>0</v>
      </c>
      <c r="AS103" s="577"/>
    </row>
    <row r="104" spans="1:45" x14ac:dyDescent="0.2">
      <c r="A104" s="196" t="str">
        <f t="shared" ref="A104" ca="1" si="182">IF($M104&gt;1,CONCATENATE($I104," ",$J104),"")</f>
        <v/>
      </c>
      <c r="B104" s="195">
        <f t="shared" ref="B104" ca="1" si="183">OFFSET(B104,-3,0)+1</f>
        <v>31</v>
      </c>
      <c r="C104" s="195">
        <f ca="1">IF($R104&lt;&gt;2,0,IF($S104=0,1,IF(F105&gt;0,OFFSET(QCI!$M$13,SUBSTITUTE(F105,".",""),0),OFFSET(ORÇAMENTO!$AA$15,CRONO!$F104,0))/$S104))</f>
        <v>0</v>
      </c>
      <c r="D104" s="195">
        <f ca="1">IF($R104&lt;&gt;2,0,IF($S104=0,1,IF(F105&gt;0,OFFSET(QCI!$N$13,SUBSTITUTE(F105,".",""),0),OFFSET(ORÇAMENTO!$AB$15,CRONO!$F104,0))/$S104))</f>
        <v>0</v>
      </c>
      <c r="E104" s="198" t="e">
        <f ca="1">IF(AND($R104=2,ACOMPANHAMENTO="BM"),ROUND(E105,4),E106/$S104)</f>
        <v>#VALUE!</v>
      </c>
      <c r="F104" s="195" t="e">
        <f ca="1">IF(B104&lt;=ORÇAMENTO.MáximoListaCrono,MATCH(B104,ORÇAMENTO.ListaCrono,0),NA())</f>
        <v>#N/A</v>
      </c>
      <c r="G104" s="195" t="str">
        <f t="shared" ref="G104" ca="1" si="184">IF(AND($F105&lt;&gt;-1,$S104&gt;0),"F","")</f>
        <v/>
      </c>
      <c r="H104" s="199" t="str">
        <f ca="1">IF(OR(S104=0,S104=""),"Linha",IF(AND(OR(ACOMPANHAMENTO="PLE",$R104&lt;&gt;2),$F105=0),"Linha",ROUND(1-SUM(U104:AS104),4)))</f>
        <v>Linha</v>
      </c>
      <c r="I104" s="200" t="str">
        <f ca="1">IF($F105=0,OFFSET(ORÇAMENTO!O$15,$F104,0),IF($F105&lt;&gt;-1,OFFSET(QCI!$D$13,$F105,0),""))</f>
        <v/>
      </c>
      <c r="J104" s="201" t="str">
        <f ca="1">IF($F105=0,OFFSET(ORÇAMENTO!R$15,$F104,0),IF($F105&lt;&gt;-1,OFFSET(QCI!$G$13,$F105,0),""))</f>
        <v/>
      </c>
      <c r="K104" s="201"/>
      <c r="L104" s="201"/>
      <c r="M104" s="202">
        <f ca="1">IF($F105=0,OFFSET(ORÇAMENTO!C$15,$F104,0),1)</f>
        <v>1</v>
      </c>
      <c r="N104" s="203">
        <f ca="1">IF($F105=-1,0,IF(N$13&lt;=$M104,IF(ISERROR(MATCH(N$13,OFFSET($M104,1,0,ROW($M$107)-ROW($M104)-1),0)),ROW($M$107)-ROW($M104)-1,MATCH(N$13,OFFSET($M104,1,0,ROW($M$107)-ROW($M104)-1),0)-1),0))</f>
        <v>0</v>
      </c>
      <c r="O104" s="203">
        <f ca="1">IF($F105=-1,0,IF(O$13&lt;=$M104,IF(ISERROR(MATCH(O$13,OFFSET($M104,1,0,ROW($M$107)-ROW($M104)-1),0)),ROW($M$107)-ROW($M104)-1,MATCH(O$13,OFFSET($M104,1,0,ROW($M$107)-ROW($M104)-1),0)-1),0))</f>
        <v>0</v>
      </c>
      <c r="P104" s="203">
        <f ca="1">IF($F105=-1,0,IF(P$13&lt;=$M104,IF(ISERROR(MATCH(P$13,OFFSET($M104,1,0,ROW($M$107)-ROW($M104)-1),0)),ROW($M$107)-ROW($M104)-1,MATCH(P$13,OFFSET($M104,1,0,ROW($M$107)-ROW($M104)-1),0)-1),0))</f>
        <v>0</v>
      </c>
      <c r="Q104" s="203">
        <f ca="1">IF($F105=-1,0,IF(Q$13&lt;=$M104,IF(ISERROR(MATCH(Q$13,OFFSET($M104,1,0,ROW($M$107)-ROW($M104)-1),0)),ROW($M$107)-ROW($M104)-1,MATCH(Q$13,OFFSET($M104,1,0,ROW($M$107)-ROW($M104)-1),0)-1),0))</f>
        <v>0</v>
      </c>
      <c r="R104" s="203">
        <f t="shared" ref="R104" ca="1" si="185">MIN(OFFSET(M104,0,1,,M104))</f>
        <v>0</v>
      </c>
      <c r="S104" s="204" t="str">
        <f ca="1">IF($F105=0,OFFSET(ORÇAMENTO!X$15,$F104,0),IF($F105&lt;&gt;-1,OFFSET(QCI!$O$13,$F105,0),""))</f>
        <v/>
      </c>
      <c r="T104" s="205" t="s">
        <v>266</v>
      </c>
      <c r="U104" s="198" t="e">
        <f ca="1">IF(AND($R104=2,ACOMPANHAMENTO="BM"),ROUND(U105,4),U106/$S104)</f>
        <v>#VALUE!</v>
      </c>
      <c r="V104" s="198" t="e">
        <f ca="1">IF(AND($R104=2,ACOMPANHAMENTO="BM"),ROUND(V105,4),V106/$S104)</f>
        <v>#VALUE!</v>
      </c>
      <c r="W104" s="198" t="e">
        <f ca="1">IF(AND($R104=2,ACOMPANHAMENTO="BM"),ROUND(W105,4),W106/$S104)</f>
        <v>#VALUE!</v>
      </c>
      <c r="X104" s="198" t="e">
        <f ca="1">IF(AND($R104=2,ACOMPANHAMENTO="BM"),ROUND(X105,4),X106/$S104)</f>
        <v>#VALUE!</v>
      </c>
      <c r="Y104" s="198" t="e">
        <f ca="1">IF(AND($R104=2,ACOMPANHAMENTO="BM"),ROUND(Y105,4),Y106/$S104)</f>
        <v>#VALUE!</v>
      </c>
      <c r="Z104" s="198" t="e">
        <f ca="1">IF(AND($R104=2,ACOMPANHAMENTO="BM"),ROUND(Z105,4),Z106/$S104)</f>
        <v>#VALUE!</v>
      </c>
      <c r="AA104" s="198" t="e">
        <f ca="1">IF(AND($R104=2,ACOMPANHAMENTO="BM"),ROUND(AA105,4),AA106/$S104)</f>
        <v>#VALUE!</v>
      </c>
      <c r="AB104" s="198" t="e">
        <f ca="1">IF(AND($R104=2,ACOMPANHAMENTO="BM"),ROUND(AB105,4),AB106/$S104)</f>
        <v>#VALUE!</v>
      </c>
      <c r="AC104" s="198" t="e">
        <f ca="1">IF(AND($R104=2,ACOMPANHAMENTO="BM"),ROUND(AC105,4),AC106/$S104)</f>
        <v>#VALUE!</v>
      </c>
      <c r="AD104" s="198" t="e">
        <f ca="1">IF(AND($R104=2,ACOMPANHAMENTO="BM"),ROUND(AD105,4),AD106/$S104)</f>
        <v>#VALUE!</v>
      </c>
      <c r="AE104" s="198" t="e">
        <f ca="1">IF(AND($R104=2,ACOMPANHAMENTO="BM"),ROUND(AE105,4),AE106/$S104)</f>
        <v>#VALUE!</v>
      </c>
      <c r="AF104" s="198" t="e">
        <f ca="1">IF(AND($R104=2,ACOMPANHAMENTO="BM"),ROUND(AF105,4),AF106/$S104)</f>
        <v>#VALUE!</v>
      </c>
      <c r="AG104" s="198" t="e">
        <f ca="1">IF(AND($R104=2,ACOMPANHAMENTO="BM"),ROUND(AG105,4),AG106/$S104)</f>
        <v>#VALUE!</v>
      </c>
      <c r="AH104" s="198" t="e">
        <f ca="1">IF(AND($R104=2,ACOMPANHAMENTO="BM"),ROUND(AH105,4),AH106/$S104)</f>
        <v>#VALUE!</v>
      </c>
      <c r="AI104" s="198" t="e">
        <f ca="1">IF(AND($R104=2,ACOMPANHAMENTO="BM"),ROUND(AI105,4),AI106/$S104)</f>
        <v>#VALUE!</v>
      </c>
      <c r="AJ104" s="198" t="e">
        <f ca="1">IF(AND($R104=2,ACOMPANHAMENTO="BM"),ROUND(AJ105,4),AJ106/$S104)</f>
        <v>#VALUE!</v>
      </c>
      <c r="AK104" s="198" t="e">
        <f ca="1">IF(AND($R104=2,ACOMPANHAMENTO="BM"),ROUND(AK105,4),AK106/$S104)</f>
        <v>#VALUE!</v>
      </c>
      <c r="AL104" s="198" t="e">
        <f ca="1">IF(AND($R104=2,ACOMPANHAMENTO="BM"),ROUND(AL105,4),AL106/$S104)</f>
        <v>#VALUE!</v>
      </c>
      <c r="AM104" s="198" t="e">
        <f ca="1">IF(AND($R104=2,ACOMPANHAMENTO="BM"),ROUND(AM105,4),AM106/$S104)</f>
        <v>#VALUE!</v>
      </c>
      <c r="AN104" s="198" t="e">
        <f ca="1">IF(AND($R104=2,ACOMPANHAMENTO="BM"),ROUND(AN105,4),AN106/$S104)</f>
        <v>#VALUE!</v>
      </c>
      <c r="AO104" s="198" t="e">
        <f ca="1">IF(AND($R104=2,ACOMPANHAMENTO="BM"),ROUND(AO105,4),AO106/$S104)</f>
        <v>#VALUE!</v>
      </c>
      <c r="AP104" s="198" t="e">
        <f ca="1">IF(AND($R104=2,ACOMPANHAMENTO="BM"),ROUND(AP105,4),AP106/$S104)</f>
        <v>#VALUE!</v>
      </c>
      <c r="AQ104" s="198" t="e">
        <f ca="1">IF(AND($R104=2,ACOMPANHAMENTO="BM"),ROUND(AQ105,4),AQ106/$S104)</f>
        <v>#VALUE!</v>
      </c>
      <c r="AR104" s="198" t="e">
        <f ca="1">IF(AND($R104=2,ACOMPANHAMENTO="BM"),ROUND(AR105,4),AR106/$S104)</f>
        <v>#VALUE!</v>
      </c>
      <c r="AS104" s="577"/>
    </row>
    <row r="105" spans="1:45" ht="12.75" hidden="1" customHeight="1" x14ac:dyDescent="0.2">
      <c r="E105" s="645"/>
      <c r="F105" s="195">
        <f ca="1">IF(ISERROR(F104),IF(1+COUNTIF($M$13:OFFSET(M104,-1,0),1)&lt;=MAX(QCI!$D$13:$D$24),1+COUNTIF($M$13:OFFSET(M104,-1,0),1),-1),0)</f>
        <v>-1</v>
      </c>
      <c r="G105" s="195" t="str">
        <f ca="1">IF(ACOMPANHAMENTO="BM",OFFSET(G105,-1,0),"")</f>
        <v/>
      </c>
      <c r="H105" s="206" t="str">
        <f ca="1">IF(OR(S104=0,S104=""),"vazia",IF(AND(OR(ACOMPANHAMENTO="PLE",$R104&lt;&gt;2),$F105=0),"calculada","--&gt;"))</f>
        <v>vazia</v>
      </c>
      <c r="I105" s="207"/>
      <c r="J105" s="208" t="str">
        <f t="shared" ref="J105" ca="1" si="186">IF(AND(H104&lt;&gt;0,ISNUMBER(H104)),"PREENCHA ESTA LINHA --&gt;","")</f>
        <v/>
      </c>
      <c r="K105" s="208"/>
      <c r="L105" s="208"/>
      <c r="M105" s="209"/>
      <c r="N105" s="209"/>
      <c r="O105" s="209"/>
      <c r="P105" s="209"/>
      <c r="Q105" s="209"/>
      <c r="R105" s="209"/>
      <c r="S105" s="210"/>
      <c r="T105" s="211"/>
      <c r="U105" s="645"/>
      <c r="V105" s="645"/>
      <c r="W105" s="645"/>
      <c r="X105" s="645"/>
      <c r="Y105" s="645"/>
      <c r="Z105" s="645"/>
      <c r="AA105" s="645"/>
      <c r="AB105" s="645"/>
      <c r="AC105" s="645"/>
      <c r="AD105" s="645"/>
      <c r="AE105" s="645"/>
      <c r="AF105" s="645"/>
      <c r="AG105" s="645"/>
      <c r="AH105" s="645"/>
      <c r="AI105" s="645"/>
      <c r="AJ105" s="645"/>
      <c r="AK105" s="645"/>
      <c r="AL105" s="645"/>
      <c r="AM105" s="645"/>
      <c r="AN105" s="645"/>
      <c r="AO105" s="645"/>
      <c r="AP105" s="645"/>
      <c r="AQ105" s="645"/>
      <c r="AR105" s="645"/>
      <c r="AS105" s="577"/>
    </row>
    <row r="106" spans="1:45" ht="12.75" hidden="1" customHeight="1" x14ac:dyDescent="0.2">
      <c r="D106" s="576"/>
      <c r="E106" s="212">
        <f ca="1">IF($R104=2,
         IF(AND(ACOMPANHAMENTO="PLE",ISNUMBER($F104)),
                SUMIF((OFFSET(CÁLCULO!$BC$15:$BU$15,$F104,0,OFFSET(ORÇAMENTO!$D$15,CRONO!$F104,0))),CRONO!E$12,OFFSET(CÁLCULO!$AJ$15:$BB$15,$F104,0,OFFSET(ORÇAMENTO!$D$15,CRONO!$F104,0)))
                +IF(AND($F106&lt;&gt;"",$F106&lt;&gt;0),
                        SUMIF(CÁLCULO!$BC$15:$BU$131,CRONO!E$12,CÁLCULO!$AJ$15:$BB$131)/(ORÇAMENTO!$X$15-CÁLCULO.TotalAdmLocal)*CRONO!$F106,
                        0),
                 E105*$S104),
          SUMIF(OFFSET($S106,1,0,$R104-2),($M104+1)&amp;"$",OFFSET(E106,1,0,$R104-2)))</f>
        <v>0</v>
      </c>
      <c r="F106" s="195" t="str">
        <f ca="1">IF(OR($R104&lt;&gt;2,AUTOEVENTO&lt;&gt;"manual",$F105&gt;0),"",
        IF(Import.TipoArredondamento="Tradicional",
              SUMIF(OFFSET(CÁLCULO!$M$15,CRONO!$F104,0,OFFSET(ORÇAMENTO!$D$15,CRONO!$F104,0)),1,OFFSET(ORÇAMENTO!$X$15,CRONO!$F104,0,OFFSET(ORÇAMENTO!$D$15,CRONO!$F104,0))),
              0))</f>
        <v/>
      </c>
      <c r="H106" s="213"/>
      <c r="S106" s="214" t="str">
        <f t="shared" ref="S106" ca="1" si="187">M104&amp;"$"</f>
        <v>1$</v>
      </c>
      <c r="T106" s="215"/>
      <c r="U106" s="212">
        <f ca="1">IF($R104=2,
         IF(AND(ACOMPANHAMENTO="PLE",ISNUMBER($F104)),
                SUMIF((OFFSET(CÁLCULO!$BC$15:$BU$15,$F104,0,OFFSET(ORÇAMENTO!$D$15,CRONO!$F104,0))),CRONO!U$12,OFFSET(CÁLCULO!$AJ$15:$BB$15,$F104,0,OFFSET(ORÇAMENTO!$D$15,CRONO!$F104,0)))
                +IF(AND($F106&lt;&gt;"",$F106&lt;&gt;0),
                        SUMIF(CÁLCULO!$BC$15:$BU$131,CRONO!U$12,CÁLCULO!$AJ$15:$BB$131)/(ORÇAMENTO!$X$15-CÁLCULO.TotalAdmLocal)*CRONO!$F106,
                        0),
                 U105*$S104),
          SUMIF(OFFSET($S106,1,0,$R104-2),($M104+1)&amp;"$",OFFSET(U106,1,0,$R104-2)))</f>
        <v>0</v>
      </c>
      <c r="V106" s="212">
        <f ca="1">IF($R104=2,
         IF(AND(ACOMPANHAMENTO="PLE",ISNUMBER($F104)),
                SUMIF((OFFSET(CÁLCULO!$BC$15:$BU$15,$F104,0,OFFSET(ORÇAMENTO!$D$15,CRONO!$F104,0))),CRONO!V$12,OFFSET(CÁLCULO!$AJ$15:$BB$15,$F104,0,OFFSET(ORÇAMENTO!$D$15,CRONO!$F104,0)))
                +IF(AND($F106&lt;&gt;"",$F106&lt;&gt;0),
                        SUMIF(CÁLCULO!$BC$15:$BU$131,CRONO!V$12,CÁLCULO!$AJ$15:$BB$131)/(ORÇAMENTO!$X$15-CÁLCULO.TotalAdmLocal)*CRONO!$F106,
                        0),
                 V105*$S104),
          SUMIF(OFFSET($S106,1,0,$R104-2),($M104+1)&amp;"$",OFFSET(V106,1,0,$R104-2)))</f>
        <v>0</v>
      </c>
      <c r="W106" s="212">
        <f ca="1">IF($R104=2,
         IF(AND(ACOMPANHAMENTO="PLE",ISNUMBER($F104)),
                SUMIF((OFFSET(CÁLCULO!$BC$15:$BU$15,$F104,0,OFFSET(ORÇAMENTO!$D$15,CRONO!$F104,0))),CRONO!W$12,OFFSET(CÁLCULO!$AJ$15:$BB$15,$F104,0,OFFSET(ORÇAMENTO!$D$15,CRONO!$F104,0)))
                +IF(AND($F106&lt;&gt;"",$F106&lt;&gt;0),
                        SUMIF(CÁLCULO!$BC$15:$BU$131,CRONO!W$12,CÁLCULO!$AJ$15:$BB$131)/(ORÇAMENTO!$X$15-CÁLCULO.TotalAdmLocal)*CRONO!$F106,
                        0),
                 W105*$S104),
          SUMIF(OFFSET($S106,1,0,$R104-2),($M104+1)&amp;"$",OFFSET(W106,1,0,$R104-2)))</f>
        <v>0</v>
      </c>
      <c r="X106" s="212">
        <f ca="1">IF($R104=2,
         IF(AND(ACOMPANHAMENTO="PLE",ISNUMBER($F104)),
                SUMIF((OFFSET(CÁLCULO!$BC$15:$BU$15,$F104,0,OFFSET(ORÇAMENTO!$D$15,CRONO!$F104,0))),CRONO!X$12,OFFSET(CÁLCULO!$AJ$15:$BB$15,$F104,0,OFFSET(ORÇAMENTO!$D$15,CRONO!$F104,0)))
                +IF(AND($F106&lt;&gt;"",$F106&lt;&gt;0),
                        SUMIF(CÁLCULO!$BC$15:$BU$131,CRONO!X$12,CÁLCULO!$AJ$15:$BB$131)/(ORÇAMENTO!$X$15-CÁLCULO.TotalAdmLocal)*CRONO!$F106,
                        0),
                 X105*$S104),
          SUMIF(OFFSET($S106,1,0,$R104-2),($M104+1)&amp;"$",OFFSET(X106,1,0,$R104-2)))</f>
        <v>0</v>
      </c>
      <c r="Y106" s="212">
        <f ca="1">IF($R104=2,
         IF(AND(ACOMPANHAMENTO="PLE",ISNUMBER($F104)),
                SUMIF((OFFSET(CÁLCULO!$BC$15:$BU$15,$F104,0,OFFSET(ORÇAMENTO!$D$15,CRONO!$F104,0))),CRONO!Y$12,OFFSET(CÁLCULO!$AJ$15:$BB$15,$F104,0,OFFSET(ORÇAMENTO!$D$15,CRONO!$F104,0)))
                +IF(AND($F106&lt;&gt;"",$F106&lt;&gt;0),
                        SUMIF(CÁLCULO!$BC$15:$BU$131,CRONO!Y$12,CÁLCULO!$AJ$15:$BB$131)/(ORÇAMENTO!$X$15-CÁLCULO.TotalAdmLocal)*CRONO!$F106,
                        0),
                 Y105*$S104),
          SUMIF(OFFSET($S106,1,0,$R104-2),($M104+1)&amp;"$",OFFSET(Y106,1,0,$R104-2)))</f>
        <v>0</v>
      </c>
      <c r="Z106" s="212">
        <f ca="1">IF($R104=2,
         IF(AND(ACOMPANHAMENTO="PLE",ISNUMBER($F104)),
                SUMIF((OFFSET(CÁLCULO!$BC$15:$BU$15,$F104,0,OFFSET(ORÇAMENTO!$D$15,CRONO!$F104,0))),CRONO!Z$12,OFFSET(CÁLCULO!$AJ$15:$BB$15,$F104,0,OFFSET(ORÇAMENTO!$D$15,CRONO!$F104,0)))
                +IF(AND($F106&lt;&gt;"",$F106&lt;&gt;0),
                        SUMIF(CÁLCULO!$BC$15:$BU$131,CRONO!Z$12,CÁLCULO!$AJ$15:$BB$131)/(ORÇAMENTO!$X$15-CÁLCULO.TotalAdmLocal)*CRONO!$F106,
                        0),
                 Z105*$S104),
          SUMIF(OFFSET($S106,1,0,$R104-2),($M104+1)&amp;"$",OFFSET(Z106,1,0,$R104-2)))</f>
        <v>0</v>
      </c>
      <c r="AA106" s="212">
        <f ca="1">IF($R104=2,
         IF(AND(ACOMPANHAMENTO="PLE",ISNUMBER($F104)),
                SUMIF((OFFSET(CÁLCULO!$BC$15:$BU$15,$F104,0,OFFSET(ORÇAMENTO!$D$15,CRONO!$F104,0))),CRONO!AA$12,OFFSET(CÁLCULO!$AJ$15:$BB$15,$F104,0,OFFSET(ORÇAMENTO!$D$15,CRONO!$F104,0)))
                +IF(AND($F106&lt;&gt;"",$F106&lt;&gt;0),
                        SUMIF(CÁLCULO!$BC$15:$BU$131,CRONO!AA$12,CÁLCULO!$AJ$15:$BB$131)/(ORÇAMENTO!$X$15-CÁLCULO.TotalAdmLocal)*CRONO!$F106,
                        0),
                 AA105*$S104),
          SUMIF(OFFSET($S106,1,0,$R104-2),($M104+1)&amp;"$",OFFSET(AA106,1,0,$R104-2)))</f>
        <v>0</v>
      </c>
      <c r="AB106" s="212">
        <f ca="1">IF($R104=2,
         IF(AND(ACOMPANHAMENTO="PLE",ISNUMBER($F104)),
                SUMIF((OFFSET(CÁLCULO!$BC$15:$BU$15,$F104,0,OFFSET(ORÇAMENTO!$D$15,CRONO!$F104,0))),CRONO!AB$12,OFFSET(CÁLCULO!$AJ$15:$BB$15,$F104,0,OFFSET(ORÇAMENTO!$D$15,CRONO!$F104,0)))
                +IF(AND($F106&lt;&gt;"",$F106&lt;&gt;0),
                        SUMIF(CÁLCULO!$BC$15:$BU$131,CRONO!AB$12,CÁLCULO!$AJ$15:$BB$131)/(ORÇAMENTO!$X$15-CÁLCULO.TotalAdmLocal)*CRONO!$F106,
                        0),
                 AB105*$S104),
          SUMIF(OFFSET($S106,1,0,$R104-2),($M104+1)&amp;"$",OFFSET(AB106,1,0,$R104-2)))</f>
        <v>0</v>
      </c>
      <c r="AC106" s="212">
        <f ca="1">IF($R104=2,
         IF(AND(ACOMPANHAMENTO="PLE",ISNUMBER($F104)),
                SUMIF((OFFSET(CÁLCULO!$BC$15:$BU$15,$F104,0,OFFSET(ORÇAMENTO!$D$15,CRONO!$F104,0))),CRONO!AC$12,OFFSET(CÁLCULO!$AJ$15:$BB$15,$F104,0,OFFSET(ORÇAMENTO!$D$15,CRONO!$F104,0)))
                +IF(AND($F106&lt;&gt;"",$F106&lt;&gt;0),
                        SUMIF(CÁLCULO!$BC$15:$BU$131,CRONO!AC$12,CÁLCULO!$AJ$15:$BB$131)/(ORÇAMENTO!$X$15-CÁLCULO.TotalAdmLocal)*CRONO!$F106,
                        0),
                 AC105*$S104),
          SUMIF(OFFSET($S106,1,0,$R104-2),($M104+1)&amp;"$",OFFSET(AC106,1,0,$R104-2)))</f>
        <v>0</v>
      </c>
      <c r="AD106" s="212">
        <f ca="1">IF($R104=2,
         IF(AND(ACOMPANHAMENTO="PLE",ISNUMBER($F104)),
                SUMIF((OFFSET(CÁLCULO!$BC$15:$BU$15,$F104,0,OFFSET(ORÇAMENTO!$D$15,CRONO!$F104,0))),CRONO!AD$12,OFFSET(CÁLCULO!$AJ$15:$BB$15,$F104,0,OFFSET(ORÇAMENTO!$D$15,CRONO!$F104,0)))
                +IF(AND($F106&lt;&gt;"",$F106&lt;&gt;0),
                        SUMIF(CÁLCULO!$BC$15:$BU$131,CRONO!AD$12,CÁLCULO!$AJ$15:$BB$131)/(ORÇAMENTO!$X$15-CÁLCULO.TotalAdmLocal)*CRONO!$F106,
                        0),
                 AD105*$S104),
          SUMIF(OFFSET($S106,1,0,$R104-2),($M104+1)&amp;"$",OFFSET(AD106,1,0,$R104-2)))</f>
        <v>0</v>
      </c>
      <c r="AE106" s="212">
        <f ca="1">IF($R104=2,
         IF(AND(ACOMPANHAMENTO="PLE",ISNUMBER($F104)),
                SUMIF((OFFSET(CÁLCULO!$BC$15:$BU$15,$F104,0,OFFSET(ORÇAMENTO!$D$15,CRONO!$F104,0))),CRONO!AE$12,OFFSET(CÁLCULO!$AJ$15:$BB$15,$F104,0,OFFSET(ORÇAMENTO!$D$15,CRONO!$F104,0)))
                +IF(AND($F106&lt;&gt;"",$F106&lt;&gt;0),
                        SUMIF(CÁLCULO!$BC$15:$BU$131,CRONO!AE$12,CÁLCULO!$AJ$15:$BB$131)/(ORÇAMENTO!$X$15-CÁLCULO.TotalAdmLocal)*CRONO!$F106,
                        0),
                 AE105*$S104),
          SUMIF(OFFSET($S106,1,0,$R104-2),($M104+1)&amp;"$",OFFSET(AE106,1,0,$R104-2)))</f>
        <v>0</v>
      </c>
      <c r="AF106" s="212">
        <f ca="1">IF($R104=2,
         IF(AND(ACOMPANHAMENTO="PLE",ISNUMBER($F104)),
                SUMIF((OFFSET(CÁLCULO!$BC$15:$BU$15,$F104,0,OFFSET(ORÇAMENTO!$D$15,CRONO!$F104,0))),CRONO!AF$12,OFFSET(CÁLCULO!$AJ$15:$BB$15,$F104,0,OFFSET(ORÇAMENTO!$D$15,CRONO!$F104,0)))
                +IF(AND($F106&lt;&gt;"",$F106&lt;&gt;0),
                        SUMIF(CÁLCULO!$BC$15:$BU$131,CRONO!AF$12,CÁLCULO!$AJ$15:$BB$131)/(ORÇAMENTO!$X$15-CÁLCULO.TotalAdmLocal)*CRONO!$F106,
                        0),
                 AF105*$S104),
          SUMIF(OFFSET($S106,1,0,$R104-2),($M104+1)&amp;"$",OFFSET(AF106,1,0,$R104-2)))</f>
        <v>0</v>
      </c>
      <c r="AG106" s="212">
        <f ca="1">IF($R104=2,
         IF(AND(ACOMPANHAMENTO="PLE",ISNUMBER($F104)),
                SUMIF((OFFSET(CÁLCULO!$BC$15:$BU$15,$F104,0,OFFSET(ORÇAMENTO!$D$15,CRONO!$F104,0))),CRONO!AG$12,OFFSET(CÁLCULO!$AJ$15:$BB$15,$F104,0,OFFSET(ORÇAMENTO!$D$15,CRONO!$F104,0)))
                +IF(AND($F106&lt;&gt;"",$F106&lt;&gt;0),
                        SUMIF(CÁLCULO!$BC$15:$BU$131,CRONO!AG$12,CÁLCULO!$AJ$15:$BB$131)/(ORÇAMENTO!$X$15-CÁLCULO.TotalAdmLocal)*CRONO!$F106,
                        0),
                 AG105*$S104),
          SUMIF(OFFSET($S106,1,0,$R104-2),($M104+1)&amp;"$",OFFSET(AG106,1,0,$R104-2)))</f>
        <v>0</v>
      </c>
      <c r="AH106" s="212">
        <f ca="1">IF($R104=2,
         IF(AND(ACOMPANHAMENTO="PLE",ISNUMBER($F104)),
                SUMIF((OFFSET(CÁLCULO!$BC$15:$BU$15,$F104,0,OFFSET(ORÇAMENTO!$D$15,CRONO!$F104,0))),CRONO!AH$12,OFFSET(CÁLCULO!$AJ$15:$BB$15,$F104,0,OFFSET(ORÇAMENTO!$D$15,CRONO!$F104,0)))
                +IF(AND($F106&lt;&gt;"",$F106&lt;&gt;0),
                        SUMIF(CÁLCULO!$BC$15:$BU$131,CRONO!AH$12,CÁLCULO!$AJ$15:$BB$131)/(ORÇAMENTO!$X$15-CÁLCULO.TotalAdmLocal)*CRONO!$F106,
                        0),
                 AH105*$S104),
          SUMIF(OFFSET($S106,1,0,$R104-2),($M104+1)&amp;"$",OFFSET(AH106,1,0,$R104-2)))</f>
        <v>0</v>
      </c>
      <c r="AI106" s="212">
        <f ca="1">IF($R104=2,
         IF(AND(ACOMPANHAMENTO="PLE",ISNUMBER($F104)),
                SUMIF((OFFSET(CÁLCULO!$BC$15:$BU$15,$F104,0,OFFSET(ORÇAMENTO!$D$15,CRONO!$F104,0))),CRONO!AI$12,OFFSET(CÁLCULO!$AJ$15:$BB$15,$F104,0,OFFSET(ORÇAMENTO!$D$15,CRONO!$F104,0)))
                +IF(AND($F106&lt;&gt;"",$F106&lt;&gt;0),
                        SUMIF(CÁLCULO!$BC$15:$BU$131,CRONO!AI$12,CÁLCULO!$AJ$15:$BB$131)/(ORÇAMENTO!$X$15-CÁLCULO.TotalAdmLocal)*CRONO!$F106,
                        0),
                 AI105*$S104),
          SUMIF(OFFSET($S106,1,0,$R104-2),($M104+1)&amp;"$",OFFSET(AI106,1,0,$R104-2)))</f>
        <v>0</v>
      </c>
      <c r="AJ106" s="212">
        <f ca="1">IF($R104=2,
         IF(AND(ACOMPANHAMENTO="PLE",ISNUMBER($F104)),
                SUMIF((OFFSET(CÁLCULO!$BC$15:$BU$15,$F104,0,OFFSET(ORÇAMENTO!$D$15,CRONO!$F104,0))),CRONO!AJ$12,OFFSET(CÁLCULO!$AJ$15:$BB$15,$F104,0,OFFSET(ORÇAMENTO!$D$15,CRONO!$F104,0)))
                +IF(AND($F106&lt;&gt;"",$F106&lt;&gt;0),
                        SUMIF(CÁLCULO!$BC$15:$BU$131,CRONO!AJ$12,CÁLCULO!$AJ$15:$BB$131)/(ORÇAMENTO!$X$15-CÁLCULO.TotalAdmLocal)*CRONO!$F106,
                        0),
                 AJ105*$S104),
          SUMIF(OFFSET($S106,1,0,$R104-2),($M104+1)&amp;"$",OFFSET(AJ106,1,0,$R104-2)))</f>
        <v>0</v>
      </c>
      <c r="AK106" s="212">
        <f ca="1">IF($R104=2,
         IF(AND(ACOMPANHAMENTO="PLE",ISNUMBER($F104)),
                SUMIF((OFFSET(CÁLCULO!$BC$15:$BU$15,$F104,0,OFFSET(ORÇAMENTO!$D$15,CRONO!$F104,0))),CRONO!AK$12,OFFSET(CÁLCULO!$AJ$15:$BB$15,$F104,0,OFFSET(ORÇAMENTO!$D$15,CRONO!$F104,0)))
                +IF(AND($F106&lt;&gt;"",$F106&lt;&gt;0),
                        SUMIF(CÁLCULO!$BC$15:$BU$131,CRONO!AK$12,CÁLCULO!$AJ$15:$BB$131)/(ORÇAMENTO!$X$15-CÁLCULO.TotalAdmLocal)*CRONO!$F106,
                        0),
                 AK105*$S104),
          SUMIF(OFFSET($S106,1,0,$R104-2),($M104+1)&amp;"$",OFFSET(AK106,1,0,$R104-2)))</f>
        <v>0</v>
      </c>
      <c r="AL106" s="212">
        <f ca="1">IF($R104=2,
         IF(AND(ACOMPANHAMENTO="PLE",ISNUMBER($F104)),
                SUMIF((OFFSET(CÁLCULO!$BC$15:$BU$15,$F104,0,OFFSET(ORÇAMENTO!$D$15,CRONO!$F104,0))),CRONO!AL$12,OFFSET(CÁLCULO!$AJ$15:$BB$15,$F104,0,OFFSET(ORÇAMENTO!$D$15,CRONO!$F104,0)))
                +IF(AND($F106&lt;&gt;"",$F106&lt;&gt;0),
                        SUMIF(CÁLCULO!$BC$15:$BU$131,CRONO!AL$12,CÁLCULO!$AJ$15:$BB$131)/(ORÇAMENTO!$X$15-CÁLCULO.TotalAdmLocal)*CRONO!$F106,
                        0),
                 AL105*$S104),
          SUMIF(OFFSET($S106,1,0,$R104-2),($M104+1)&amp;"$",OFFSET(AL106,1,0,$R104-2)))</f>
        <v>0</v>
      </c>
      <c r="AM106" s="212">
        <f ca="1">IF($R104=2,
         IF(AND(ACOMPANHAMENTO="PLE",ISNUMBER($F104)),
                SUMIF((OFFSET(CÁLCULO!$BC$15:$BU$15,$F104,0,OFFSET(ORÇAMENTO!$D$15,CRONO!$F104,0))),CRONO!AM$12,OFFSET(CÁLCULO!$AJ$15:$BB$15,$F104,0,OFFSET(ORÇAMENTO!$D$15,CRONO!$F104,0)))
                +IF(AND($F106&lt;&gt;"",$F106&lt;&gt;0),
                        SUMIF(CÁLCULO!$BC$15:$BU$131,CRONO!AM$12,CÁLCULO!$AJ$15:$BB$131)/(ORÇAMENTO!$X$15-CÁLCULO.TotalAdmLocal)*CRONO!$F106,
                        0),
                 AM105*$S104),
          SUMIF(OFFSET($S106,1,0,$R104-2),($M104+1)&amp;"$",OFFSET(AM106,1,0,$R104-2)))</f>
        <v>0</v>
      </c>
      <c r="AN106" s="212">
        <f ca="1">IF($R104=2,
         IF(AND(ACOMPANHAMENTO="PLE",ISNUMBER($F104)),
                SUMIF((OFFSET(CÁLCULO!$BC$15:$BU$15,$F104,0,OFFSET(ORÇAMENTO!$D$15,CRONO!$F104,0))),CRONO!AN$12,OFFSET(CÁLCULO!$AJ$15:$BB$15,$F104,0,OFFSET(ORÇAMENTO!$D$15,CRONO!$F104,0)))
                +IF(AND($F106&lt;&gt;"",$F106&lt;&gt;0),
                        SUMIF(CÁLCULO!$BC$15:$BU$131,CRONO!AN$12,CÁLCULO!$AJ$15:$BB$131)/(ORÇAMENTO!$X$15-CÁLCULO.TotalAdmLocal)*CRONO!$F106,
                        0),
                 AN105*$S104),
          SUMIF(OFFSET($S106,1,0,$R104-2),($M104+1)&amp;"$",OFFSET(AN106,1,0,$R104-2)))</f>
        <v>0</v>
      </c>
      <c r="AO106" s="212">
        <f ca="1">IF($R104=2,
         IF(AND(ACOMPANHAMENTO="PLE",ISNUMBER($F104)),
                SUMIF((OFFSET(CÁLCULO!$BC$15:$BU$15,$F104,0,OFFSET(ORÇAMENTO!$D$15,CRONO!$F104,0))),CRONO!AO$12,OFFSET(CÁLCULO!$AJ$15:$BB$15,$F104,0,OFFSET(ORÇAMENTO!$D$15,CRONO!$F104,0)))
                +IF(AND($F106&lt;&gt;"",$F106&lt;&gt;0),
                        SUMIF(CÁLCULO!$BC$15:$BU$131,CRONO!AO$12,CÁLCULO!$AJ$15:$BB$131)/(ORÇAMENTO!$X$15-CÁLCULO.TotalAdmLocal)*CRONO!$F106,
                        0),
                 AO105*$S104),
          SUMIF(OFFSET($S106,1,0,$R104-2),($M104+1)&amp;"$",OFFSET(AO106,1,0,$R104-2)))</f>
        <v>0</v>
      </c>
      <c r="AP106" s="212">
        <f ca="1">IF($R104=2,
         IF(AND(ACOMPANHAMENTO="PLE",ISNUMBER($F104)),
                SUMIF((OFFSET(CÁLCULO!$BC$15:$BU$15,$F104,0,OFFSET(ORÇAMENTO!$D$15,CRONO!$F104,0))),CRONO!AP$12,OFFSET(CÁLCULO!$AJ$15:$BB$15,$F104,0,OFFSET(ORÇAMENTO!$D$15,CRONO!$F104,0)))
                +IF(AND($F106&lt;&gt;"",$F106&lt;&gt;0),
                        SUMIF(CÁLCULO!$BC$15:$BU$131,CRONO!AP$12,CÁLCULO!$AJ$15:$BB$131)/(ORÇAMENTO!$X$15-CÁLCULO.TotalAdmLocal)*CRONO!$F106,
                        0),
                 AP105*$S104),
          SUMIF(OFFSET($S106,1,0,$R104-2),($M104+1)&amp;"$",OFFSET(AP106,1,0,$R104-2)))</f>
        <v>0</v>
      </c>
      <c r="AQ106" s="212">
        <f ca="1">IF($R104=2,
         IF(AND(ACOMPANHAMENTO="PLE",ISNUMBER($F104)),
                SUMIF((OFFSET(CÁLCULO!$BC$15:$BU$15,$F104,0,OFFSET(ORÇAMENTO!$D$15,CRONO!$F104,0))),CRONO!AQ$12,OFFSET(CÁLCULO!$AJ$15:$BB$15,$F104,0,OFFSET(ORÇAMENTO!$D$15,CRONO!$F104,0)))
                +IF(AND($F106&lt;&gt;"",$F106&lt;&gt;0),
                        SUMIF(CÁLCULO!$BC$15:$BU$131,CRONO!AQ$12,CÁLCULO!$AJ$15:$BB$131)/(ORÇAMENTO!$X$15-CÁLCULO.TotalAdmLocal)*CRONO!$F106,
                        0),
                 AQ105*$S104),
          SUMIF(OFFSET($S106,1,0,$R104-2),($M104+1)&amp;"$",OFFSET(AQ106,1,0,$R104-2)))</f>
        <v>0</v>
      </c>
      <c r="AR106" s="212">
        <f ca="1">IF($R104=2,
         IF(AND(ACOMPANHAMENTO="PLE",ISNUMBER($F104)),
                SUMIF((OFFSET(CÁLCULO!$BC$15:$BU$15,$F104,0,OFFSET(ORÇAMENTO!$D$15,CRONO!$F104,0))),CRONO!AR$12,OFFSET(CÁLCULO!$AJ$15:$BB$15,$F104,0,OFFSET(ORÇAMENTO!$D$15,CRONO!$F104,0)))
                +IF(AND($F106&lt;&gt;"",$F106&lt;&gt;0),
                        SUMIF(CÁLCULO!$BC$15:$BU$131,CRONO!AR$12,CÁLCULO!$AJ$15:$BB$131)/(ORÇAMENTO!$X$15-CÁLCULO.TotalAdmLocal)*CRONO!$F106,
                        0),
                 AR105*$S104),
          SUMIF(OFFSET($S106,1,0,$R104-2),($M104+1)&amp;"$",OFFSET(AR106,1,0,$R104-2)))</f>
        <v>0</v>
      </c>
      <c r="AS106" s="577"/>
    </row>
    <row r="107" spans="1:45" ht="5.45" customHeight="1" x14ac:dyDescent="0.2">
      <c r="E107" s="457"/>
      <c r="G107" s="195" t="s">
        <v>244</v>
      </c>
      <c r="H107" s="458"/>
      <c r="I107" s="459"/>
      <c r="J107" s="460"/>
      <c r="K107" s="460"/>
      <c r="L107" s="460"/>
      <c r="M107" s="461" t="s">
        <v>277</v>
      </c>
      <c r="N107" s="461"/>
      <c r="O107" s="461"/>
      <c r="P107" s="461"/>
      <c r="Q107" s="461"/>
      <c r="R107" s="461"/>
      <c r="S107" s="462"/>
      <c r="T107" s="462"/>
      <c r="U107" s="460"/>
      <c r="V107" s="460"/>
      <c r="W107" s="460"/>
      <c r="X107" s="460"/>
      <c r="Y107" s="460"/>
      <c r="Z107" s="460"/>
      <c r="AA107" s="460"/>
      <c r="AB107" s="460"/>
      <c r="AC107" s="460"/>
      <c r="AD107" s="460"/>
      <c r="AE107" s="460"/>
      <c r="AF107" s="460"/>
      <c r="AG107" s="460"/>
      <c r="AH107" s="460"/>
      <c r="AI107" s="460"/>
      <c r="AJ107" s="460"/>
      <c r="AK107" s="460"/>
      <c r="AL107" s="460"/>
      <c r="AM107" s="460"/>
      <c r="AN107" s="460"/>
      <c r="AO107" s="460"/>
      <c r="AP107" s="460"/>
      <c r="AQ107" s="460"/>
      <c r="AR107" s="460"/>
      <c r="AS107" s="577"/>
    </row>
    <row r="108" spans="1:45" ht="12.75" customHeight="1" x14ac:dyDescent="0.2">
      <c r="E108" s="571">
        <f ca="1">E112/$R$108</f>
        <v>8.1464021754990373E-2</v>
      </c>
      <c r="G108" s="195" t="s">
        <v>244</v>
      </c>
      <c r="I108" s="670" t="str">
        <f ca="1">"Total:    R$ "&amp;TEXT(R108,"#.##0,00")</f>
        <v>Total:    R$ 1.343.349,71</v>
      </c>
      <c r="J108" s="670"/>
      <c r="K108" s="670"/>
      <c r="L108" s="237"/>
      <c r="R108" s="238">
        <f ca="1">SUMIF(M12:M107,1,S12:S107)</f>
        <v>1343349.71</v>
      </c>
      <c r="S108" s="239"/>
      <c r="T108" s="240" t="s">
        <v>278</v>
      </c>
      <c r="U108" s="571">
        <f t="shared" ref="U108:AF108" ca="1" si="188">ROUND(U112,2)/$R$108</f>
        <v>8.1464021754990373E-2</v>
      </c>
      <c r="V108" s="571">
        <f t="shared" ca="1" si="188"/>
        <v>0.524111603076164</v>
      </c>
      <c r="W108" s="571">
        <f t="shared" ca="1" si="188"/>
        <v>0.21630413721531974</v>
      </c>
      <c r="X108" s="571">
        <f t="shared" ca="1" si="188"/>
        <v>9.3543869525977721E-2</v>
      </c>
      <c r="Y108" s="571">
        <f t="shared" ca="1" si="188"/>
        <v>8.4576368427548176E-2</v>
      </c>
      <c r="Z108" s="571">
        <f t="shared" ca="1" si="188"/>
        <v>0</v>
      </c>
      <c r="AA108" s="571">
        <f t="shared" ca="1" si="188"/>
        <v>0</v>
      </c>
      <c r="AB108" s="571">
        <f t="shared" ca="1" si="188"/>
        <v>0</v>
      </c>
      <c r="AC108" s="571">
        <f t="shared" ca="1" si="188"/>
        <v>0</v>
      </c>
      <c r="AD108" s="571">
        <f t="shared" ca="1" si="188"/>
        <v>0</v>
      </c>
      <c r="AE108" s="571">
        <f t="shared" ca="1" si="188"/>
        <v>0</v>
      </c>
      <c r="AF108" s="582">
        <f t="shared" ca="1" si="188"/>
        <v>0</v>
      </c>
      <c r="AG108" s="571">
        <f t="shared" ref="AG108:AR108" ca="1" si="189">ROUND(AG112,2)/$R$108</f>
        <v>1</v>
      </c>
      <c r="AH108" s="571">
        <f t="shared" ca="1" si="189"/>
        <v>0</v>
      </c>
      <c r="AI108" s="571">
        <f t="shared" ca="1" si="189"/>
        <v>0</v>
      </c>
      <c r="AJ108" s="571">
        <f t="shared" ca="1" si="189"/>
        <v>0</v>
      </c>
      <c r="AK108" s="571">
        <f t="shared" ca="1" si="189"/>
        <v>0</v>
      </c>
      <c r="AL108" s="571">
        <f t="shared" ca="1" si="189"/>
        <v>0</v>
      </c>
      <c r="AM108" s="571">
        <f t="shared" ca="1" si="189"/>
        <v>0</v>
      </c>
      <c r="AN108" s="571">
        <f t="shared" ca="1" si="189"/>
        <v>0</v>
      </c>
      <c r="AO108" s="571">
        <f t="shared" ca="1" si="189"/>
        <v>0</v>
      </c>
      <c r="AP108" s="571">
        <f t="shared" ca="1" si="189"/>
        <v>0</v>
      </c>
      <c r="AQ108" s="571">
        <f t="shared" ca="1" si="189"/>
        <v>0</v>
      </c>
      <c r="AR108" s="582">
        <f t="shared" ca="1" si="189"/>
        <v>0</v>
      </c>
      <c r="AS108" s="577"/>
    </row>
    <row r="109" spans="1:45" ht="15" customHeight="1" x14ac:dyDescent="0.2">
      <c r="E109" s="241">
        <f ca="1">ROUND(E114,2)-ROUND(D114,2)</f>
        <v>0</v>
      </c>
      <c r="G109" s="195" t="s">
        <v>244</v>
      </c>
      <c r="I109" s="670"/>
      <c r="J109" s="670"/>
      <c r="K109" s="670"/>
      <c r="L109" s="242"/>
      <c r="R109" s="238"/>
      <c r="S109" s="243"/>
      <c r="T109" s="244" t="str">
        <f>IF(import.recurso="FGTS","Financiamento:","Repasse:")</f>
        <v>Repasse:</v>
      </c>
      <c r="U109" s="241">
        <f ca="1">ROUND(U114,2)</f>
        <v>0</v>
      </c>
      <c r="V109" s="241">
        <f t="shared" ref="V109:AF109" ca="1" si="190">ROUND(V114,2)-ROUND(U114,2)</f>
        <v>0</v>
      </c>
      <c r="W109" s="241">
        <f t="shared" ca="1" si="190"/>
        <v>0</v>
      </c>
      <c r="X109" s="241">
        <f t="shared" ca="1" si="190"/>
        <v>0</v>
      </c>
      <c r="Y109" s="241">
        <f t="shared" ca="1" si="190"/>
        <v>0</v>
      </c>
      <c r="Z109" s="241">
        <f t="shared" ca="1" si="190"/>
        <v>0</v>
      </c>
      <c r="AA109" s="241">
        <f t="shared" ca="1" si="190"/>
        <v>0</v>
      </c>
      <c r="AB109" s="241">
        <f t="shared" ca="1" si="190"/>
        <v>0</v>
      </c>
      <c r="AC109" s="241">
        <f t="shared" ca="1" si="190"/>
        <v>0</v>
      </c>
      <c r="AD109" s="241">
        <f t="shared" ca="1" si="190"/>
        <v>0</v>
      </c>
      <c r="AE109" s="241">
        <f t="shared" ca="1" si="190"/>
        <v>0</v>
      </c>
      <c r="AF109" s="583">
        <f t="shared" ca="1" si="190"/>
        <v>0</v>
      </c>
      <c r="AG109" s="241">
        <f ca="1">ROUND(AG114,2)</f>
        <v>1343349.71</v>
      </c>
      <c r="AH109" s="241">
        <f t="shared" ref="AH109:AH112" ca="1" si="191">ROUND(AH114,2)-ROUND(AG114,2)</f>
        <v>0</v>
      </c>
      <c r="AI109" s="241">
        <f t="shared" ref="AI109:AI112" ca="1" si="192">ROUND(AI114,2)-ROUND(AH114,2)</f>
        <v>0</v>
      </c>
      <c r="AJ109" s="241">
        <f t="shared" ref="AJ109:AJ112" ca="1" si="193">ROUND(AJ114,2)-ROUND(AI114,2)</f>
        <v>0</v>
      </c>
      <c r="AK109" s="241">
        <f t="shared" ref="AK109:AK112" ca="1" si="194">ROUND(AK114,2)-ROUND(AJ114,2)</f>
        <v>0</v>
      </c>
      <c r="AL109" s="241">
        <f t="shared" ref="AL109:AL112" ca="1" si="195">ROUND(AL114,2)-ROUND(AK114,2)</f>
        <v>0</v>
      </c>
      <c r="AM109" s="241">
        <f t="shared" ref="AM109:AM112" ca="1" si="196">ROUND(AM114,2)-ROUND(AL114,2)</f>
        <v>0</v>
      </c>
      <c r="AN109" s="241">
        <f t="shared" ref="AN109:AN112" ca="1" si="197">ROUND(AN114,2)-ROUND(AM114,2)</f>
        <v>0</v>
      </c>
      <c r="AO109" s="241">
        <f t="shared" ref="AO109:AO112" ca="1" si="198">ROUND(AO114,2)-ROUND(AN114,2)</f>
        <v>0</v>
      </c>
      <c r="AP109" s="241">
        <f t="shared" ref="AP109:AP112" ca="1" si="199">ROUND(AP114,2)-ROUND(AO114,2)</f>
        <v>0</v>
      </c>
      <c r="AQ109" s="241">
        <f t="shared" ref="AQ109:AQ112" ca="1" si="200">ROUND(AQ114,2)-ROUND(AP114,2)</f>
        <v>0</v>
      </c>
      <c r="AR109" s="583">
        <f t="shared" ref="AR109:AR112" ca="1" si="201">ROUND(AR114,2)-ROUND(AQ114,2)</f>
        <v>0</v>
      </c>
      <c r="AS109" s="577"/>
    </row>
    <row r="110" spans="1:45" ht="12.75" customHeight="1" x14ac:dyDescent="0.2">
      <c r="E110" s="572">
        <f ca="1">ROUND(E115,2)-ROUND(D115,2)</f>
        <v>109434.67</v>
      </c>
      <c r="G110" s="195" t="s">
        <v>244</v>
      </c>
      <c r="I110" s="245"/>
      <c r="L110" s="246" t="s">
        <v>279</v>
      </c>
      <c r="R110" s="238"/>
      <c r="S110" s="247"/>
      <c r="T110" s="248" t="s">
        <v>280</v>
      </c>
      <c r="U110" s="572">
        <f ca="1">ROUND(U115,2)</f>
        <v>109434.67</v>
      </c>
      <c r="V110" s="572">
        <f t="shared" ref="V110:AF110" ca="1" si="202">ROUND(V115,2)-ROUND(U115,2)</f>
        <v>704065.16999999993</v>
      </c>
      <c r="W110" s="572">
        <f t="shared" ca="1" si="202"/>
        <v>290572.09999999998</v>
      </c>
      <c r="X110" s="572">
        <f t="shared" ca="1" si="202"/>
        <v>125662.13000000012</v>
      </c>
      <c r="Y110" s="572">
        <f t="shared" ca="1" si="202"/>
        <v>113615.6399999999</v>
      </c>
      <c r="Z110" s="572">
        <f t="shared" ca="1" si="202"/>
        <v>0</v>
      </c>
      <c r="AA110" s="572">
        <f t="shared" ca="1" si="202"/>
        <v>0</v>
      </c>
      <c r="AB110" s="572">
        <f t="shared" ca="1" si="202"/>
        <v>0</v>
      </c>
      <c r="AC110" s="572">
        <f t="shared" ca="1" si="202"/>
        <v>0</v>
      </c>
      <c r="AD110" s="572">
        <f t="shared" ca="1" si="202"/>
        <v>0</v>
      </c>
      <c r="AE110" s="572">
        <f t="shared" ca="1" si="202"/>
        <v>0</v>
      </c>
      <c r="AF110" s="584">
        <f t="shared" ca="1" si="202"/>
        <v>0</v>
      </c>
      <c r="AG110" s="572">
        <f ca="1">ROUND(AG115,2)</f>
        <v>0</v>
      </c>
      <c r="AH110" s="572">
        <f t="shared" ca="1" si="191"/>
        <v>0</v>
      </c>
      <c r="AI110" s="572">
        <f t="shared" ca="1" si="192"/>
        <v>0</v>
      </c>
      <c r="AJ110" s="572">
        <f t="shared" ca="1" si="193"/>
        <v>0</v>
      </c>
      <c r="AK110" s="572">
        <f t="shared" ca="1" si="194"/>
        <v>0</v>
      </c>
      <c r="AL110" s="572">
        <f t="shared" ca="1" si="195"/>
        <v>0</v>
      </c>
      <c r="AM110" s="572">
        <f t="shared" ca="1" si="196"/>
        <v>0</v>
      </c>
      <c r="AN110" s="572">
        <f t="shared" ca="1" si="197"/>
        <v>0</v>
      </c>
      <c r="AO110" s="572">
        <f t="shared" ca="1" si="198"/>
        <v>0</v>
      </c>
      <c r="AP110" s="572">
        <f t="shared" ca="1" si="199"/>
        <v>0</v>
      </c>
      <c r="AQ110" s="572">
        <f t="shared" ca="1" si="200"/>
        <v>0</v>
      </c>
      <c r="AR110" s="584">
        <f t="shared" ca="1" si="201"/>
        <v>0</v>
      </c>
      <c r="AS110" s="577"/>
    </row>
    <row r="111" spans="1:45" x14ac:dyDescent="0.2">
      <c r="E111" s="249">
        <f ca="1">ROUND(E116,2)-ROUND(D116,2)</f>
        <v>0</v>
      </c>
      <c r="G111" s="195" t="s">
        <v>244</v>
      </c>
      <c r="I111" s="245"/>
      <c r="L111" s="246"/>
      <c r="R111" s="238"/>
      <c r="S111" s="250"/>
      <c r="T111" s="251" t="s">
        <v>281</v>
      </c>
      <c r="U111" s="249">
        <f ca="1">ROUND(U116,2)</f>
        <v>0</v>
      </c>
      <c r="V111" s="249">
        <f t="shared" ref="V111:AF111" ca="1" si="203">ROUND(V116,2)-ROUND(U116,2)</f>
        <v>0</v>
      </c>
      <c r="W111" s="249">
        <f t="shared" ca="1" si="203"/>
        <v>0</v>
      </c>
      <c r="X111" s="249">
        <f t="shared" ca="1" si="203"/>
        <v>0</v>
      </c>
      <c r="Y111" s="249">
        <f t="shared" ca="1" si="203"/>
        <v>0</v>
      </c>
      <c r="Z111" s="249">
        <f t="shared" ca="1" si="203"/>
        <v>0</v>
      </c>
      <c r="AA111" s="249">
        <f t="shared" ca="1" si="203"/>
        <v>0</v>
      </c>
      <c r="AB111" s="249">
        <f t="shared" ca="1" si="203"/>
        <v>0</v>
      </c>
      <c r="AC111" s="249">
        <f t="shared" ca="1" si="203"/>
        <v>0</v>
      </c>
      <c r="AD111" s="249">
        <f t="shared" ca="1" si="203"/>
        <v>0</v>
      </c>
      <c r="AE111" s="249">
        <f t="shared" ca="1" si="203"/>
        <v>0</v>
      </c>
      <c r="AF111" s="585">
        <f t="shared" ca="1" si="203"/>
        <v>0</v>
      </c>
      <c r="AG111" s="249">
        <f ca="1">ROUND(AG116,2)</f>
        <v>0</v>
      </c>
      <c r="AH111" s="249">
        <f t="shared" ca="1" si="191"/>
        <v>0</v>
      </c>
      <c r="AI111" s="249">
        <f t="shared" ca="1" si="192"/>
        <v>0</v>
      </c>
      <c r="AJ111" s="249">
        <f t="shared" ca="1" si="193"/>
        <v>0</v>
      </c>
      <c r="AK111" s="249">
        <f t="shared" ca="1" si="194"/>
        <v>0</v>
      </c>
      <c r="AL111" s="249">
        <f t="shared" ca="1" si="195"/>
        <v>0</v>
      </c>
      <c r="AM111" s="249">
        <f t="shared" ca="1" si="196"/>
        <v>0</v>
      </c>
      <c r="AN111" s="249">
        <f t="shared" ca="1" si="197"/>
        <v>0</v>
      </c>
      <c r="AO111" s="249">
        <f t="shared" ca="1" si="198"/>
        <v>0</v>
      </c>
      <c r="AP111" s="249">
        <f t="shared" ca="1" si="199"/>
        <v>0</v>
      </c>
      <c r="AQ111" s="249">
        <f t="shared" ca="1" si="200"/>
        <v>0</v>
      </c>
      <c r="AR111" s="585">
        <f t="shared" ca="1" si="201"/>
        <v>0</v>
      </c>
      <c r="AS111" s="577"/>
    </row>
    <row r="112" spans="1:45" x14ac:dyDescent="0.2">
      <c r="E112" s="573">
        <f ca="1">ROUND(E117,2)-ROUND(D118,2)</f>
        <v>109434.67</v>
      </c>
      <c r="G112" s="195" t="s">
        <v>244</v>
      </c>
      <c r="H112" s="579"/>
      <c r="L112" s="252"/>
      <c r="S112" s="253"/>
      <c r="T112" s="254" t="s">
        <v>282</v>
      </c>
      <c r="U112" s="573">
        <f ca="1">ROUND(U117,2)</f>
        <v>109434.67</v>
      </c>
      <c r="V112" s="573">
        <f t="shared" ref="V112:AF112" ca="1" si="204">ROUND(V117,2)-ROUND(U117,2)</f>
        <v>704065.16999999993</v>
      </c>
      <c r="W112" s="573">
        <f t="shared" ca="1" si="204"/>
        <v>290572.09999999998</v>
      </c>
      <c r="X112" s="573">
        <f t="shared" ca="1" si="204"/>
        <v>125662.13000000012</v>
      </c>
      <c r="Y112" s="573">
        <f t="shared" ca="1" si="204"/>
        <v>113615.6399999999</v>
      </c>
      <c r="Z112" s="573">
        <f t="shared" ca="1" si="204"/>
        <v>0</v>
      </c>
      <c r="AA112" s="573">
        <f t="shared" ca="1" si="204"/>
        <v>0</v>
      </c>
      <c r="AB112" s="573">
        <f t="shared" ca="1" si="204"/>
        <v>0</v>
      </c>
      <c r="AC112" s="573">
        <f t="shared" ca="1" si="204"/>
        <v>0</v>
      </c>
      <c r="AD112" s="573">
        <f t="shared" ca="1" si="204"/>
        <v>0</v>
      </c>
      <c r="AE112" s="573">
        <f t="shared" ca="1" si="204"/>
        <v>0</v>
      </c>
      <c r="AF112" s="586">
        <f t="shared" ca="1" si="204"/>
        <v>0</v>
      </c>
      <c r="AG112" s="573">
        <f ca="1">ROUND(AG117,2)</f>
        <v>1343349.71</v>
      </c>
      <c r="AH112" s="573">
        <f t="shared" ca="1" si="191"/>
        <v>0</v>
      </c>
      <c r="AI112" s="573">
        <f t="shared" ca="1" si="192"/>
        <v>0</v>
      </c>
      <c r="AJ112" s="573">
        <f t="shared" ca="1" si="193"/>
        <v>0</v>
      </c>
      <c r="AK112" s="573">
        <f t="shared" ca="1" si="194"/>
        <v>0</v>
      </c>
      <c r="AL112" s="573">
        <f t="shared" ca="1" si="195"/>
        <v>0</v>
      </c>
      <c r="AM112" s="573">
        <f t="shared" ca="1" si="196"/>
        <v>0</v>
      </c>
      <c r="AN112" s="573">
        <f t="shared" ca="1" si="197"/>
        <v>0</v>
      </c>
      <c r="AO112" s="573">
        <f t="shared" ca="1" si="198"/>
        <v>0</v>
      </c>
      <c r="AP112" s="573">
        <f t="shared" ca="1" si="199"/>
        <v>0</v>
      </c>
      <c r="AQ112" s="573">
        <f t="shared" ca="1" si="200"/>
        <v>0</v>
      </c>
      <c r="AR112" s="586">
        <f t="shared" ca="1" si="201"/>
        <v>0</v>
      </c>
      <c r="AS112" s="577"/>
    </row>
    <row r="113" spans="4:45" x14ac:dyDescent="0.2">
      <c r="E113" s="571">
        <f ca="1">ROUND(E117,2)/$R$108</f>
        <v>8.1464021754990373E-2</v>
      </c>
      <c r="G113" s="195" t="s">
        <v>244</v>
      </c>
      <c r="L113" s="237"/>
      <c r="S113" s="239"/>
      <c r="T113" s="240" t="s">
        <v>278</v>
      </c>
      <c r="U113" s="571">
        <f t="shared" ref="U113:AF113" ca="1" si="205">ROUND(U117,2)/$R$108</f>
        <v>8.1464021754990373E-2</v>
      </c>
      <c r="V113" s="571">
        <f t="shared" ca="1" si="205"/>
        <v>0.60557562483115435</v>
      </c>
      <c r="W113" s="571">
        <f t="shared" ca="1" si="205"/>
        <v>0.82187976204647406</v>
      </c>
      <c r="X113" s="571">
        <f t="shared" ca="1" si="205"/>
        <v>0.91542363157245188</v>
      </c>
      <c r="Y113" s="571">
        <f t="shared" ca="1" si="205"/>
        <v>1</v>
      </c>
      <c r="Z113" s="571">
        <f t="shared" ca="1" si="205"/>
        <v>1</v>
      </c>
      <c r="AA113" s="571">
        <f t="shared" ca="1" si="205"/>
        <v>1</v>
      </c>
      <c r="AB113" s="571">
        <f t="shared" ca="1" si="205"/>
        <v>1</v>
      </c>
      <c r="AC113" s="571">
        <f t="shared" ca="1" si="205"/>
        <v>1</v>
      </c>
      <c r="AD113" s="571">
        <f t="shared" ca="1" si="205"/>
        <v>1</v>
      </c>
      <c r="AE113" s="571">
        <f t="shared" ca="1" si="205"/>
        <v>1</v>
      </c>
      <c r="AF113" s="582">
        <f t="shared" ca="1" si="205"/>
        <v>1</v>
      </c>
      <c r="AG113" s="571">
        <f t="shared" ref="AG113:AR113" ca="1" si="206">ROUND(AG117,2)/$R$108</f>
        <v>1</v>
      </c>
      <c r="AH113" s="571">
        <f t="shared" ca="1" si="206"/>
        <v>1</v>
      </c>
      <c r="AI113" s="571">
        <f t="shared" ca="1" si="206"/>
        <v>1</v>
      </c>
      <c r="AJ113" s="571">
        <f t="shared" ca="1" si="206"/>
        <v>1</v>
      </c>
      <c r="AK113" s="571">
        <f t="shared" ca="1" si="206"/>
        <v>1</v>
      </c>
      <c r="AL113" s="571">
        <f t="shared" ca="1" si="206"/>
        <v>1</v>
      </c>
      <c r="AM113" s="571">
        <f t="shared" ca="1" si="206"/>
        <v>1</v>
      </c>
      <c r="AN113" s="571">
        <f t="shared" ca="1" si="206"/>
        <v>1</v>
      </c>
      <c r="AO113" s="571">
        <f t="shared" ca="1" si="206"/>
        <v>1</v>
      </c>
      <c r="AP113" s="571">
        <f t="shared" ca="1" si="206"/>
        <v>1</v>
      </c>
      <c r="AQ113" s="571">
        <f t="shared" ca="1" si="206"/>
        <v>1</v>
      </c>
      <c r="AR113" s="582">
        <f t="shared" ca="1" si="206"/>
        <v>1</v>
      </c>
      <c r="AS113" s="577"/>
    </row>
    <row r="114" spans="4:45" x14ac:dyDescent="0.2">
      <c r="E114" s="241">
        <f ca="1">ROUND(E117-E116-E115,2)</f>
        <v>0</v>
      </c>
      <c r="G114" s="195" t="s">
        <v>244</v>
      </c>
      <c r="L114" s="242"/>
      <c r="S114" s="243"/>
      <c r="T114" s="244" t="str">
        <f>IF(import.recurso="FGTS","Financiamento:","Repasse:")</f>
        <v>Repasse:</v>
      </c>
      <c r="U114" s="241">
        <f t="shared" ref="U114:AF114" ca="1" si="207">ROUND(U117-U116-U115,2)</f>
        <v>0</v>
      </c>
      <c r="V114" s="241">
        <f t="shared" ca="1" si="207"/>
        <v>0</v>
      </c>
      <c r="W114" s="241">
        <f t="shared" ca="1" si="207"/>
        <v>0</v>
      </c>
      <c r="X114" s="241">
        <f t="shared" ca="1" si="207"/>
        <v>0</v>
      </c>
      <c r="Y114" s="241">
        <f t="shared" ca="1" si="207"/>
        <v>0</v>
      </c>
      <c r="Z114" s="241">
        <f t="shared" ca="1" si="207"/>
        <v>0</v>
      </c>
      <c r="AA114" s="241">
        <f t="shared" ca="1" si="207"/>
        <v>0</v>
      </c>
      <c r="AB114" s="241">
        <f t="shared" ca="1" si="207"/>
        <v>0</v>
      </c>
      <c r="AC114" s="241">
        <f t="shared" ca="1" si="207"/>
        <v>0</v>
      </c>
      <c r="AD114" s="241">
        <f t="shared" ca="1" si="207"/>
        <v>0</v>
      </c>
      <c r="AE114" s="241">
        <f t="shared" ca="1" si="207"/>
        <v>0</v>
      </c>
      <c r="AF114" s="583">
        <f t="shared" ca="1" si="207"/>
        <v>0</v>
      </c>
      <c r="AG114" s="241">
        <f t="shared" ref="AG114:AR114" ca="1" si="208">ROUND(AG117-AG116-AG115,2)</f>
        <v>1343349.71</v>
      </c>
      <c r="AH114" s="241">
        <f t="shared" ca="1" si="208"/>
        <v>1343349.71</v>
      </c>
      <c r="AI114" s="241">
        <f t="shared" ca="1" si="208"/>
        <v>1343349.71</v>
      </c>
      <c r="AJ114" s="241">
        <f t="shared" ca="1" si="208"/>
        <v>1343349.71</v>
      </c>
      <c r="AK114" s="241">
        <f t="shared" ca="1" si="208"/>
        <v>1343349.71</v>
      </c>
      <c r="AL114" s="241">
        <f t="shared" ca="1" si="208"/>
        <v>1343349.71</v>
      </c>
      <c r="AM114" s="241">
        <f t="shared" ca="1" si="208"/>
        <v>1343349.71</v>
      </c>
      <c r="AN114" s="241">
        <f t="shared" ca="1" si="208"/>
        <v>1343349.71</v>
      </c>
      <c r="AO114" s="241">
        <f t="shared" ca="1" si="208"/>
        <v>1343349.71</v>
      </c>
      <c r="AP114" s="241">
        <f t="shared" ca="1" si="208"/>
        <v>1343349.71</v>
      </c>
      <c r="AQ114" s="241">
        <f t="shared" ca="1" si="208"/>
        <v>1343349.71</v>
      </c>
      <c r="AR114" s="583">
        <f t="shared" ca="1" si="208"/>
        <v>1343349.71</v>
      </c>
      <c r="AS114" s="577"/>
    </row>
    <row r="115" spans="4:45" x14ac:dyDescent="0.2">
      <c r="E115" s="572">
        <f t="array" aca="1" ref="E115" ca="1">D115+SUM((OFFSET($C$13,1,0):OFFSET($C$107,-3,0))*IF(ISNUMBER(OFFSET(E$11,5,0):OFFSET(E$107,-1,0)),OFFSET(E$11,5,0):OFFSET(E$107,-1,0),0))</f>
        <v>109434.67</v>
      </c>
      <c r="G115" s="195" t="s">
        <v>244</v>
      </c>
      <c r="L115" s="246" t="s">
        <v>283</v>
      </c>
      <c r="S115" s="247"/>
      <c r="T115" s="248" t="s">
        <v>280</v>
      </c>
      <c r="U115" s="572" cm="1">
        <f t="array" aca="1" ref="U115" ca="1">SUM((OFFSET($C$13,1,0):OFFSET($C$107,-3,0))*IF(ISNUMBER(OFFSET(U$11,5,0):OFFSET(U$107,-1,0)),OFFSET(U$11,5,0):OFFSET(U$107,-1,0),0))</f>
        <v>109434.67</v>
      </c>
      <c r="V115" s="572">
        <f t="array" aca="1" ref="V115" ca="1">U115+SUM((OFFSET($C$13,1,0):OFFSET($C$107,-3,0))*IF(ISNUMBER(OFFSET(V$11,5,0):OFFSET(V$107,-1,0)),OFFSET(V$11,5,0):OFFSET(V$107,-1,0),0))</f>
        <v>813499.84000000008</v>
      </c>
      <c r="W115" s="572">
        <f t="array" aca="1" ref="W115" ca="1">V115+SUM((OFFSET($C$13,1,0):OFFSET($C$107,-3,0))*IF(ISNUMBER(OFFSET(W$11,5,0):OFFSET(W$107,-1,0)),OFFSET(W$11,5,0):OFFSET(W$107,-1,0),0))</f>
        <v>1104071.94</v>
      </c>
      <c r="X115" s="572">
        <f t="array" aca="1" ref="X115" ca="1">W115+SUM((OFFSET($C$13,1,0):OFFSET($C$107,-3,0))*IF(ISNUMBER(OFFSET(X$11,5,0):OFFSET(X$107,-1,0)),OFFSET(X$11,5,0):OFFSET(X$107,-1,0),0))</f>
        <v>1229734.0699999998</v>
      </c>
      <c r="Y115" s="572">
        <f t="array" aca="1" ref="Y115" ca="1">X115+SUM((OFFSET($C$13,1,0):OFFSET($C$107,-3,0))*IF(ISNUMBER(OFFSET(Y$11,5,0):OFFSET(Y$107,-1,0)),OFFSET(Y$11,5,0):OFFSET(Y$107,-1,0),0))</f>
        <v>1343349.7099999997</v>
      </c>
      <c r="Z115" s="572">
        <f t="array" aca="1" ref="Z115" ca="1">Y115+SUM((OFFSET($C$13,1,0):OFFSET($C$107,-3,0))*IF(ISNUMBER(OFFSET(Z$11,5,0):OFFSET(Z$107,-1,0)),OFFSET(Z$11,5,0):OFFSET(Z$107,-1,0),0))</f>
        <v>1343349.7099999997</v>
      </c>
      <c r="AA115" s="572">
        <f t="array" aca="1" ref="AA115" ca="1">Z115+SUM((OFFSET($C$13,1,0):OFFSET($C$107,-3,0))*IF(ISNUMBER(OFFSET(AA$11,5,0):OFFSET(AA$107,-1,0)),OFFSET(AA$11,5,0):OFFSET(AA$107,-1,0),0))</f>
        <v>1343349.7099999997</v>
      </c>
      <c r="AB115" s="572">
        <f t="array" aca="1" ref="AB115" ca="1">AA115+SUM((OFFSET($C$13,1,0):OFFSET($C$107,-3,0))*IF(ISNUMBER(OFFSET(AB$11,5,0):OFFSET(AB$107,-1,0)),OFFSET(AB$11,5,0):OFFSET(AB$107,-1,0),0))</f>
        <v>1343349.7099999997</v>
      </c>
      <c r="AC115" s="572">
        <f t="array" aca="1" ref="AC115" ca="1">AB115+SUM((OFFSET($C$13,1,0):OFFSET($C$107,-3,0))*IF(ISNUMBER(OFFSET(AC$11,5,0):OFFSET(AC$107,-1,0)),OFFSET(AC$11,5,0):OFFSET(AC$107,-1,0),0))</f>
        <v>1343349.7099999997</v>
      </c>
      <c r="AD115" s="572">
        <f t="array" aca="1" ref="AD115" ca="1">AC115+SUM((OFFSET($C$13,1,0):OFFSET($C$107,-3,0))*IF(ISNUMBER(OFFSET(AD$11,5,0):OFFSET(AD$107,-1,0)),OFFSET(AD$11,5,0):OFFSET(AD$107,-1,0),0))</f>
        <v>1343349.7099999997</v>
      </c>
      <c r="AE115" s="572">
        <f t="array" aca="1" ref="AE115" ca="1">AD115+SUM((OFFSET($C$13,1,0):OFFSET($C$107,-3,0))*IF(ISNUMBER(OFFSET(AE$11,5,0):OFFSET(AE$107,-1,0)),OFFSET(AE$11,5,0):OFFSET(AE$107,-1,0),0))</f>
        <v>1343349.7099999997</v>
      </c>
      <c r="AF115" s="584">
        <f t="array" aca="1" ref="AF115" ca="1">AE115+SUM((OFFSET($C$13,1,0):OFFSET($C$107,-3,0))*IF(ISNUMBER(OFFSET(AF$11,5,0):OFFSET(AF$107,-1,0)),OFFSET(AF$11,5,0):OFFSET(AF$107,-1,0),0))</f>
        <v>1343349.7099999997</v>
      </c>
      <c r="AG115" s="572" cm="1">
        <f t="array" aca="1" ref="AG115" ca="1">SUM((OFFSET($C$13,1,0):OFFSET($C$107,-3,0))*IF(ISNUMBER(OFFSET(AG$11,5,0):OFFSET(AG$107,-1,0)),OFFSET(AG$11,5,0):OFFSET(AG$107,-1,0),0))</f>
        <v>0</v>
      </c>
      <c r="AH115" s="572">
        <f t="array" aca="1" ref="AH115" ca="1">AG115+SUM((OFFSET($C$13,1,0):OFFSET($C$107,-3,0))*IF(ISNUMBER(OFFSET(AH$11,5,0):OFFSET(AH$107,-1,0)),OFFSET(AH$11,5,0):OFFSET(AH$107,-1,0),0))</f>
        <v>0</v>
      </c>
      <c r="AI115" s="572">
        <f t="array" aca="1" ref="AI115" ca="1">AH115+SUM((OFFSET($C$13,1,0):OFFSET($C$107,-3,0))*IF(ISNUMBER(OFFSET(AI$11,5,0):OFFSET(AI$107,-1,0)),OFFSET(AI$11,5,0):OFFSET(AI$107,-1,0),0))</f>
        <v>0</v>
      </c>
      <c r="AJ115" s="572">
        <f t="array" aca="1" ref="AJ115" ca="1">AI115+SUM((OFFSET($C$13,1,0):OFFSET($C$107,-3,0))*IF(ISNUMBER(OFFSET(AJ$11,5,0):OFFSET(AJ$107,-1,0)),OFFSET(AJ$11,5,0):OFFSET(AJ$107,-1,0),0))</f>
        <v>0</v>
      </c>
      <c r="AK115" s="572">
        <f t="array" aca="1" ref="AK115" ca="1">AJ115+SUM((OFFSET($C$13,1,0):OFFSET($C$107,-3,0))*IF(ISNUMBER(OFFSET(AK$11,5,0):OFFSET(AK$107,-1,0)),OFFSET(AK$11,5,0):OFFSET(AK$107,-1,0),0))</f>
        <v>0</v>
      </c>
      <c r="AL115" s="572">
        <f t="array" aca="1" ref="AL115" ca="1">AK115+SUM((OFFSET($C$13,1,0):OFFSET($C$107,-3,0))*IF(ISNUMBER(OFFSET(AL$11,5,0):OFFSET(AL$107,-1,0)),OFFSET(AL$11,5,0):OFFSET(AL$107,-1,0),0))</f>
        <v>0</v>
      </c>
      <c r="AM115" s="572">
        <f t="array" aca="1" ref="AM115" ca="1">AL115+SUM((OFFSET($C$13,1,0):OFFSET($C$107,-3,0))*IF(ISNUMBER(OFFSET(AM$11,5,0):OFFSET(AM$107,-1,0)),OFFSET(AM$11,5,0):OFFSET(AM$107,-1,0),0))</f>
        <v>0</v>
      </c>
      <c r="AN115" s="572">
        <f t="array" aca="1" ref="AN115" ca="1">AM115+SUM((OFFSET($C$13,1,0):OFFSET($C$107,-3,0))*IF(ISNUMBER(OFFSET(AN$11,5,0):OFFSET(AN$107,-1,0)),OFFSET(AN$11,5,0):OFFSET(AN$107,-1,0),0))</f>
        <v>0</v>
      </c>
      <c r="AO115" s="572">
        <f t="array" aca="1" ref="AO115" ca="1">AN115+SUM((OFFSET($C$13,1,0):OFFSET($C$107,-3,0))*IF(ISNUMBER(OFFSET(AO$11,5,0):OFFSET(AO$107,-1,0)),OFFSET(AO$11,5,0):OFFSET(AO$107,-1,0),0))</f>
        <v>0</v>
      </c>
      <c r="AP115" s="572">
        <f t="array" aca="1" ref="AP115" ca="1">AO115+SUM((OFFSET($C$13,1,0):OFFSET($C$107,-3,0))*IF(ISNUMBER(OFFSET(AP$11,5,0):OFFSET(AP$107,-1,0)),OFFSET(AP$11,5,0):OFFSET(AP$107,-1,0),0))</f>
        <v>0</v>
      </c>
      <c r="AQ115" s="572">
        <f t="array" aca="1" ref="AQ115" ca="1">AP115+SUM((OFFSET($C$13,1,0):OFFSET($C$107,-3,0))*IF(ISNUMBER(OFFSET(AQ$11,5,0):OFFSET(AQ$107,-1,0)),OFFSET(AQ$11,5,0):OFFSET(AQ$107,-1,0),0))</f>
        <v>0</v>
      </c>
      <c r="AR115" s="584">
        <f t="array" aca="1" ref="AR115" ca="1">AQ115+SUM((OFFSET($C$13,1,0):OFFSET($C$107,-3,0))*IF(ISNUMBER(OFFSET(AR$11,5,0):OFFSET(AR$107,-1,0)),OFFSET(AR$11,5,0):OFFSET(AR$107,-1,0),0))</f>
        <v>0</v>
      </c>
      <c r="AS115" s="577"/>
    </row>
    <row r="116" spans="4:45" x14ac:dyDescent="0.2">
      <c r="E116" s="249">
        <f t="array" aca="1" ref="E116" ca="1">D116+SUM((OFFSET($D$13,1,0):OFFSET($D$107,-3,0))*IF(ISNUMBER(OFFSET(E$11,5,0):OFFSET(E$107,-1,0)),OFFSET(E$11,5,0):OFFSET(E$107,-1,0),0))</f>
        <v>0</v>
      </c>
      <c r="G116" s="195" t="s">
        <v>244</v>
      </c>
      <c r="L116" s="246"/>
      <c r="S116" s="250"/>
      <c r="T116" s="251" t="s">
        <v>281</v>
      </c>
      <c r="U116" s="249">
        <f t="array" aca="1" ref="U116" ca="1">SUM((OFFSET($D$13,1,0):OFFSET($D$107,-3,0))*IF(ISNUMBER(OFFSET(U$11,5,0):OFFSET(U$107,-1,0)),OFFSET(U$11,5,0):OFFSET(U$107,-1,0),0))</f>
        <v>0</v>
      </c>
      <c r="V116" s="249">
        <f t="array" aca="1" ref="V116" ca="1">U116+SUM((OFFSET($D$13,1,0):OFFSET($D$107,-3,0))*IF(ISNUMBER(OFFSET(V$11,5,0):OFFSET(V$107,-1,0)),OFFSET(V$11,5,0):OFFSET(V$107,-1,0),0))</f>
        <v>0</v>
      </c>
      <c r="W116" s="249">
        <f t="array" aca="1" ref="W116" ca="1">V116+SUM((OFFSET($D$13,1,0):OFFSET($D$107,-3,0))*IF(ISNUMBER(OFFSET(W$11,5,0):OFFSET(W$107,-1,0)),OFFSET(W$11,5,0):OFFSET(W$107,-1,0),0))</f>
        <v>0</v>
      </c>
      <c r="X116" s="249">
        <f t="array" aca="1" ref="X116" ca="1">W116+SUM((OFFSET($D$13,1,0):OFFSET($D$107,-3,0))*IF(ISNUMBER(OFFSET(X$11,5,0):OFFSET(X$107,-1,0)),OFFSET(X$11,5,0):OFFSET(X$107,-1,0),0))</f>
        <v>0</v>
      </c>
      <c r="Y116" s="249">
        <f t="array" aca="1" ref="Y116" ca="1">X116+SUM((OFFSET($D$13,1,0):OFFSET($D$107,-3,0))*IF(ISNUMBER(OFFSET(Y$11,5,0):OFFSET(Y$107,-1,0)),OFFSET(Y$11,5,0):OFFSET(Y$107,-1,0),0))</f>
        <v>0</v>
      </c>
      <c r="Z116" s="249">
        <f t="array" aca="1" ref="Z116" ca="1">Y116+SUM((OFFSET($D$13,1,0):OFFSET($D$107,-3,0))*IF(ISNUMBER(OFFSET(Z$11,5,0):OFFSET(Z$107,-1,0)),OFFSET(Z$11,5,0):OFFSET(Z$107,-1,0),0))</f>
        <v>0</v>
      </c>
      <c r="AA116" s="249">
        <f t="array" aca="1" ref="AA116" ca="1">Z116+SUM((OFFSET($D$13,1,0):OFFSET($D$107,-3,0))*IF(ISNUMBER(OFFSET(AA$11,5,0):OFFSET(AA$107,-1,0)),OFFSET(AA$11,5,0):OFFSET(AA$107,-1,0),0))</f>
        <v>0</v>
      </c>
      <c r="AB116" s="249">
        <f t="array" aca="1" ref="AB116" ca="1">AA116+SUM((OFFSET($D$13,1,0):OFFSET($D$107,-3,0))*IF(ISNUMBER(OFFSET(AB$11,5,0):OFFSET(AB$107,-1,0)),OFFSET(AB$11,5,0):OFFSET(AB$107,-1,0),0))</f>
        <v>0</v>
      </c>
      <c r="AC116" s="249">
        <f t="array" aca="1" ref="AC116" ca="1">AB116+SUM((OFFSET($D$13,1,0):OFFSET($D$107,-3,0))*IF(ISNUMBER(OFFSET(AC$11,5,0):OFFSET(AC$107,-1,0)),OFFSET(AC$11,5,0):OFFSET(AC$107,-1,0),0))</f>
        <v>0</v>
      </c>
      <c r="AD116" s="249">
        <f t="array" aca="1" ref="AD116" ca="1">AC116+SUM((OFFSET($D$13,1,0):OFFSET($D$107,-3,0))*IF(ISNUMBER(OFFSET(AD$11,5,0):OFFSET(AD$107,-1,0)),OFFSET(AD$11,5,0):OFFSET(AD$107,-1,0),0))</f>
        <v>0</v>
      </c>
      <c r="AE116" s="249">
        <f t="array" aca="1" ref="AE116" ca="1">AD116+SUM((OFFSET($D$13,1,0):OFFSET($D$107,-3,0))*IF(ISNUMBER(OFFSET(AE$11,5,0):OFFSET(AE$107,-1,0)),OFFSET(AE$11,5,0):OFFSET(AE$107,-1,0),0))</f>
        <v>0</v>
      </c>
      <c r="AF116" s="585">
        <f t="array" aca="1" ref="AF116" ca="1">AE116+SUM((OFFSET($D$13,1,0):OFFSET($D$107,-3,0))*IF(ISNUMBER(OFFSET(AF$11,5,0):OFFSET(AF$107,-1,0)),OFFSET(AF$11,5,0):OFFSET(AF$107,-1,0),0))</f>
        <v>0</v>
      </c>
      <c r="AG116" s="249">
        <f t="array" aca="1" ref="AG116" ca="1">SUM((OFFSET($D$13,1,0):OFFSET($D$107,-3,0))*IF(ISNUMBER(OFFSET(AG$11,5,0):OFFSET(AG$107,-1,0)),OFFSET(AG$11,5,0):OFFSET(AG$107,-1,0),0))</f>
        <v>0</v>
      </c>
      <c r="AH116" s="249">
        <f t="array" aca="1" ref="AH116" ca="1">AG116+SUM((OFFSET($D$13,1,0):OFFSET($D$107,-3,0))*IF(ISNUMBER(OFFSET(AH$11,5,0):OFFSET(AH$107,-1,0)),OFFSET(AH$11,5,0):OFFSET(AH$107,-1,0),0))</f>
        <v>0</v>
      </c>
      <c r="AI116" s="249">
        <f t="array" aca="1" ref="AI116" ca="1">AH116+SUM((OFFSET($D$13,1,0):OFFSET($D$107,-3,0))*IF(ISNUMBER(OFFSET(AI$11,5,0):OFFSET(AI$107,-1,0)),OFFSET(AI$11,5,0):OFFSET(AI$107,-1,0),0))</f>
        <v>0</v>
      </c>
      <c r="AJ116" s="249">
        <f t="array" aca="1" ref="AJ116" ca="1">AI116+SUM((OFFSET($D$13,1,0):OFFSET($D$107,-3,0))*IF(ISNUMBER(OFFSET(AJ$11,5,0):OFFSET(AJ$107,-1,0)),OFFSET(AJ$11,5,0):OFFSET(AJ$107,-1,0),0))</f>
        <v>0</v>
      </c>
      <c r="AK116" s="249">
        <f t="array" aca="1" ref="AK116" ca="1">AJ116+SUM((OFFSET($D$13,1,0):OFFSET($D$107,-3,0))*IF(ISNUMBER(OFFSET(AK$11,5,0):OFFSET(AK$107,-1,0)),OFFSET(AK$11,5,0):OFFSET(AK$107,-1,0),0))</f>
        <v>0</v>
      </c>
      <c r="AL116" s="249">
        <f t="array" aca="1" ref="AL116" ca="1">AK116+SUM((OFFSET($D$13,1,0):OFFSET($D$107,-3,0))*IF(ISNUMBER(OFFSET(AL$11,5,0):OFFSET(AL$107,-1,0)),OFFSET(AL$11,5,0):OFFSET(AL$107,-1,0),0))</f>
        <v>0</v>
      </c>
      <c r="AM116" s="249">
        <f t="array" aca="1" ref="AM116" ca="1">AL116+SUM((OFFSET($D$13,1,0):OFFSET($D$107,-3,0))*IF(ISNUMBER(OFFSET(AM$11,5,0):OFFSET(AM$107,-1,0)),OFFSET(AM$11,5,0):OFFSET(AM$107,-1,0),0))</f>
        <v>0</v>
      </c>
      <c r="AN116" s="249">
        <f t="array" aca="1" ref="AN116" ca="1">AM116+SUM((OFFSET($D$13,1,0):OFFSET($D$107,-3,0))*IF(ISNUMBER(OFFSET(AN$11,5,0):OFFSET(AN$107,-1,0)),OFFSET(AN$11,5,0):OFFSET(AN$107,-1,0),0))</f>
        <v>0</v>
      </c>
      <c r="AO116" s="249">
        <f t="array" aca="1" ref="AO116" ca="1">AN116+SUM((OFFSET($D$13,1,0):OFFSET($D$107,-3,0))*IF(ISNUMBER(OFFSET(AO$11,5,0):OFFSET(AO$107,-1,0)),OFFSET(AO$11,5,0):OFFSET(AO$107,-1,0),0))</f>
        <v>0</v>
      </c>
      <c r="AP116" s="249">
        <f t="array" aca="1" ref="AP116" ca="1">AO116+SUM((OFFSET($D$13,1,0):OFFSET($D$107,-3,0))*IF(ISNUMBER(OFFSET(AP$11,5,0):OFFSET(AP$107,-1,0)),OFFSET(AP$11,5,0):OFFSET(AP$107,-1,0),0))</f>
        <v>0</v>
      </c>
      <c r="AQ116" s="249">
        <f t="array" aca="1" ref="AQ116" ca="1">AP116+SUM((OFFSET($D$13,1,0):OFFSET($D$107,-3,0))*IF(ISNUMBER(OFFSET(AQ$11,5,0):OFFSET(AQ$107,-1,0)),OFFSET(AQ$11,5,0):OFFSET(AQ$107,-1,0),0))</f>
        <v>0</v>
      </c>
      <c r="AR116" s="585">
        <f t="array" aca="1" ref="AR116" ca="1">AQ116+SUM((OFFSET($D$13,1,0):OFFSET($D$107,-3,0))*IF(ISNUMBER(OFFSET(AR$11,5,0):OFFSET(AR$107,-1,0)),OFFSET(AR$11,5,0):OFFSET(AR$107,-1,0),0))</f>
        <v>0</v>
      </c>
      <c r="AS116" s="577"/>
    </row>
    <row r="117" spans="4:45" ht="13.5" thickBot="1" x14ac:dyDescent="0.25">
      <c r="D117" s="576"/>
      <c r="E117" s="574">
        <f ca="1">SUMIF($S$12:$S$107,"1$",E12:E107)+IF(E$12&gt;1,OFFSET(E117,0,-1),0)</f>
        <v>109434.67</v>
      </c>
      <c r="G117" s="195" t="s">
        <v>244</v>
      </c>
      <c r="H117" s="565" t="str">
        <f>IF(ACOMPANHAMENTO="BM","Selecione o Macrosserviço da Administração Local:","")</f>
        <v/>
      </c>
      <c r="I117"/>
      <c r="L117" s="246"/>
      <c r="S117" s="247"/>
      <c r="T117" s="569" t="s">
        <v>282</v>
      </c>
      <c r="U117" s="574">
        <f t="shared" ref="U117:AR117" ca="1" si="209">SUMIF($S$12:$S$107,"1$",U12:U107)+IF(U$12&gt;1,OFFSET(U117,0,-1),0)</f>
        <v>109434.67</v>
      </c>
      <c r="V117" s="574">
        <f t="shared" ca="1" si="209"/>
        <v>813499.84000000008</v>
      </c>
      <c r="W117" s="574">
        <f t="shared" ca="1" si="209"/>
        <v>1104071.94</v>
      </c>
      <c r="X117" s="574">
        <f t="shared" ca="1" si="209"/>
        <v>1229734.0699999998</v>
      </c>
      <c r="Y117" s="574">
        <f t="shared" ca="1" si="209"/>
        <v>1343349.7099999997</v>
      </c>
      <c r="Z117" s="574">
        <f t="shared" ca="1" si="209"/>
        <v>1343349.7099999997</v>
      </c>
      <c r="AA117" s="574">
        <f t="shared" ca="1" si="209"/>
        <v>1343349.7099999997</v>
      </c>
      <c r="AB117" s="574">
        <f t="shared" ca="1" si="209"/>
        <v>1343349.7099999997</v>
      </c>
      <c r="AC117" s="574">
        <f t="shared" ca="1" si="209"/>
        <v>1343349.7099999997</v>
      </c>
      <c r="AD117" s="574">
        <f t="shared" ca="1" si="209"/>
        <v>1343349.7099999997</v>
      </c>
      <c r="AE117" s="574">
        <f t="shared" ca="1" si="209"/>
        <v>1343349.7099999997</v>
      </c>
      <c r="AF117" s="587">
        <f t="shared" ca="1" si="209"/>
        <v>1343349.7099999997</v>
      </c>
      <c r="AG117" s="574">
        <f t="shared" ca="1" si="209"/>
        <v>1343349.7099999997</v>
      </c>
      <c r="AH117" s="574">
        <f t="shared" ca="1" si="209"/>
        <v>1343349.7099999997</v>
      </c>
      <c r="AI117" s="574">
        <f t="shared" ca="1" si="209"/>
        <v>1343349.7099999997</v>
      </c>
      <c r="AJ117" s="574">
        <f t="shared" ca="1" si="209"/>
        <v>1343349.7099999997</v>
      </c>
      <c r="AK117" s="574">
        <f t="shared" ca="1" si="209"/>
        <v>1343349.7099999997</v>
      </c>
      <c r="AL117" s="574">
        <f t="shared" ca="1" si="209"/>
        <v>1343349.7099999997</v>
      </c>
      <c r="AM117" s="574">
        <f t="shared" ca="1" si="209"/>
        <v>1343349.7099999997</v>
      </c>
      <c r="AN117" s="574">
        <f t="shared" ca="1" si="209"/>
        <v>1343349.7099999997</v>
      </c>
      <c r="AO117" s="574">
        <f t="shared" ca="1" si="209"/>
        <v>1343349.7099999997</v>
      </c>
      <c r="AP117" s="574">
        <f t="shared" ca="1" si="209"/>
        <v>1343349.7099999997</v>
      </c>
      <c r="AQ117" s="574">
        <f t="shared" ca="1" si="209"/>
        <v>1343349.7099999997</v>
      </c>
      <c r="AR117" s="587">
        <f t="shared" ca="1" si="209"/>
        <v>1343349.7099999997</v>
      </c>
      <c r="AS117" s="577"/>
    </row>
    <row r="118" spans="4:45" ht="13.5" thickBot="1" x14ac:dyDescent="0.25">
      <c r="D118" s="576"/>
      <c r="E118" s="575" t="str">
        <f ca="1">IF($F$118="","",
  IF(ACOMPANHAMENTO="PLE",
     IF(AUTOEVENTO="Manual",
         IF(AdmLocal="Automática",
              E113,
              SUMIF(OFFSET(CRONOPLE!$F$14,CRONOPLE!$A$8+1,1,1,OFFSET(CRONOPLE!$AF$12,0,-1)),"&lt;="&amp;E$12,OFFSET(EVENTOS!$G$14,CRONOPLE!$A$8+1,1,1,OFFSET(CRONOPLE!$AF$12,0,-1)))/OFFSET(EVENTOS!$G$14,CRONOPLE!$A$8+1,-1)),
         SUM(OFFSET($T$13,$F$118+2,1,1,E$12))/OFFSET($S$13,$F$118,0)),
     IF(ACOMPANHAMENTO="BM",SUM(OFFSET($T$13,$F$118+2,1,1,E$12))/OFFSET($S$13,$F$118,0),"")))</f>
        <v/>
      </c>
      <c r="F118" s="195" t="str">
        <f ca="1">IF(ACOMPANHAMENTO="PLE",
    IF(AUTOEVENTO="Manual",
        IF(AdmLocal="Automática",1,IF(CRONOPLE!$D$8&lt;&gt;"","",MATCH(Import.EventoAdmLocal,EVENTOS!$B$15:$B$65,0))),
        IF(CRONOPLE!$D$8&lt;&gt;"","",MATCH(CRONOPLE!$A$10,CRONO!$F$13:$F$107,0)-1)),
    IF($H$119&lt;&gt;"","",MATCH(Import.MacrosserviçoAdmLocal,$A$13:$A$107,0)-1))</f>
        <v/>
      </c>
      <c r="G118" s="195" t="s">
        <v>244</v>
      </c>
      <c r="H118" s="676"/>
      <c r="I118" s="677"/>
      <c r="J118" s="678"/>
      <c r="L118" s="252"/>
      <c r="S118" s="568"/>
      <c r="T118" s="570" t="s">
        <v>909</v>
      </c>
      <c r="U118" s="575" t="str">
        <f ca="1">IF($F$118="","",
  IF(ACOMPANHAMENTO="PLE",
     IF(AUTOEVENTO="Manual",
         IF(AdmLocal="Automática",
              U113,
              SUMIF(OFFSET(CRONOPLE!$F$14,CRONOPLE!$A$8+1,1,1,OFFSET(CRONOPLE!$AF$12,0,-1)),"&lt;="&amp;U$12,OFFSET(EVENTOS!$G$14,CRONOPLE!$A$8+1,1,1,OFFSET(CRONOPLE!$AF$12,0,-1)))/OFFSET(EVENTOS!$G$14,CRONOPLE!$A$8+1,-1)),
         SUM(OFFSET($T$13,$F$118+2,1,1,U$12))/OFFSET($S$13,$F$118,0)),
     IF(ACOMPANHAMENTO="BM",SUM(OFFSET($T$13,$F$118+2,1,1,U$12))/OFFSET($S$13,$F$118,0),"")))</f>
        <v/>
      </c>
      <c r="V118" s="575" t="str">
        <f ca="1">IF($F$118="","",
  IF(ACOMPANHAMENTO="PLE",
     IF(AUTOEVENTO="Manual",
         IF(AdmLocal="Automática",
              V113,
              SUMIF(OFFSET(CRONOPLE!$F$14,CRONOPLE!$A$8+1,1,1,OFFSET(CRONOPLE!$AF$12,0,-1)),"&lt;="&amp;V$12,OFFSET(EVENTOS!$G$14,CRONOPLE!$A$8+1,1,1,OFFSET(CRONOPLE!$AF$12,0,-1)))/OFFSET(EVENTOS!$G$14,CRONOPLE!$A$8+1,-1)),
         SUM(OFFSET($T$13,$F$118+2,1,1,V$12))/OFFSET($S$13,$F$118,0)),
     IF(ACOMPANHAMENTO="BM",SUM(OFFSET($T$13,$F$118+2,1,1,V$12))/OFFSET($S$13,$F$118,0),"")))</f>
        <v/>
      </c>
      <c r="W118" s="575" t="str">
        <f ca="1">IF($F$118="","",
  IF(ACOMPANHAMENTO="PLE",
     IF(AUTOEVENTO="Manual",
         IF(AdmLocal="Automática",
              W113,
              SUMIF(OFFSET(CRONOPLE!$F$14,CRONOPLE!$A$8+1,1,1,OFFSET(CRONOPLE!$AF$12,0,-1)),"&lt;="&amp;W$12,OFFSET(EVENTOS!$G$14,CRONOPLE!$A$8+1,1,1,OFFSET(CRONOPLE!$AF$12,0,-1)))/OFFSET(EVENTOS!$G$14,CRONOPLE!$A$8+1,-1)),
         SUM(OFFSET($T$13,$F$118+2,1,1,W$12))/OFFSET($S$13,$F$118,0)),
     IF(ACOMPANHAMENTO="BM",SUM(OFFSET($T$13,$F$118+2,1,1,W$12))/OFFSET($S$13,$F$118,0),"")))</f>
        <v/>
      </c>
      <c r="X118" s="575" t="str">
        <f ca="1">IF($F$118="","",
  IF(ACOMPANHAMENTO="PLE",
     IF(AUTOEVENTO="Manual",
         IF(AdmLocal="Automática",
              X113,
              SUMIF(OFFSET(CRONOPLE!$F$14,CRONOPLE!$A$8+1,1,1,OFFSET(CRONOPLE!$AF$12,0,-1)),"&lt;="&amp;X$12,OFFSET(EVENTOS!$G$14,CRONOPLE!$A$8+1,1,1,OFFSET(CRONOPLE!$AF$12,0,-1)))/OFFSET(EVENTOS!$G$14,CRONOPLE!$A$8+1,-1)),
         SUM(OFFSET($T$13,$F$118+2,1,1,X$12))/OFFSET($S$13,$F$118,0)),
     IF(ACOMPANHAMENTO="BM",SUM(OFFSET($T$13,$F$118+2,1,1,X$12))/OFFSET($S$13,$F$118,0),"")))</f>
        <v/>
      </c>
      <c r="Y118" s="575" t="str">
        <f ca="1">IF($F$118="","",
  IF(ACOMPANHAMENTO="PLE",
     IF(AUTOEVENTO="Manual",
         IF(AdmLocal="Automática",
              Y113,
              SUMIF(OFFSET(CRONOPLE!$F$14,CRONOPLE!$A$8+1,1,1,OFFSET(CRONOPLE!$AF$12,0,-1)),"&lt;="&amp;Y$12,OFFSET(EVENTOS!$G$14,CRONOPLE!$A$8+1,1,1,OFFSET(CRONOPLE!$AF$12,0,-1)))/OFFSET(EVENTOS!$G$14,CRONOPLE!$A$8+1,-1)),
         SUM(OFFSET($T$13,$F$118+2,1,1,Y$12))/OFFSET($S$13,$F$118,0)),
     IF(ACOMPANHAMENTO="BM",SUM(OFFSET($T$13,$F$118+2,1,1,Y$12))/OFFSET($S$13,$F$118,0),"")))</f>
        <v/>
      </c>
      <c r="Z118" s="575" t="str">
        <f ca="1">IF($F$118="","",
  IF(ACOMPANHAMENTO="PLE",
     IF(AUTOEVENTO="Manual",
         IF(AdmLocal="Automática",
              Z113,
              SUMIF(OFFSET(CRONOPLE!$F$14,CRONOPLE!$A$8+1,1,1,OFFSET(CRONOPLE!$AF$12,0,-1)),"&lt;="&amp;Z$12,OFFSET(EVENTOS!$G$14,CRONOPLE!$A$8+1,1,1,OFFSET(CRONOPLE!$AF$12,0,-1)))/OFFSET(EVENTOS!$G$14,CRONOPLE!$A$8+1,-1)),
         SUM(OFFSET($T$13,$F$118+2,1,1,Z$12))/OFFSET($S$13,$F$118,0)),
     IF(ACOMPANHAMENTO="BM",SUM(OFFSET($T$13,$F$118+2,1,1,Z$12))/OFFSET($S$13,$F$118,0),"")))</f>
        <v/>
      </c>
      <c r="AA118" s="575" t="str">
        <f ca="1">IF($F$118="","",
  IF(ACOMPANHAMENTO="PLE",
     IF(AUTOEVENTO="Manual",
         IF(AdmLocal="Automática",
              AA113,
              SUMIF(OFFSET(CRONOPLE!$F$14,CRONOPLE!$A$8+1,1,1,OFFSET(CRONOPLE!$AF$12,0,-1)),"&lt;="&amp;AA$12,OFFSET(EVENTOS!$G$14,CRONOPLE!$A$8+1,1,1,OFFSET(CRONOPLE!$AF$12,0,-1)))/OFFSET(EVENTOS!$G$14,CRONOPLE!$A$8+1,-1)),
         SUM(OFFSET($T$13,$F$118+2,1,1,AA$12))/OFFSET($S$13,$F$118,0)),
     IF(ACOMPANHAMENTO="BM",SUM(OFFSET($T$13,$F$118+2,1,1,AA$12))/OFFSET($S$13,$F$118,0),"")))</f>
        <v/>
      </c>
      <c r="AB118" s="575" t="str">
        <f ca="1">IF($F$118="","",
  IF(ACOMPANHAMENTO="PLE",
     IF(AUTOEVENTO="Manual",
         IF(AdmLocal="Automática",
              AB113,
              SUMIF(OFFSET(CRONOPLE!$F$14,CRONOPLE!$A$8+1,1,1,OFFSET(CRONOPLE!$AF$12,0,-1)),"&lt;="&amp;AB$12,OFFSET(EVENTOS!$G$14,CRONOPLE!$A$8+1,1,1,OFFSET(CRONOPLE!$AF$12,0,-1)))/OFFSET(EVENTOS!$G$14,CRONOPLE!$A$8+1,-1)),
         SUM(OFFSET($T$13,$F$118+2,1,1,AB$12))/OFFSET($S$13,$F$118,0)),
     IF(ACOMPANHAMENTO="BM",SUM(OFFSET($T$13,$F$118+2,1,1,AB$12))/OFFSET($S$13,$F$118,0),"")))</f>
        <v/>
      </c>
      <c r="AC118" s="575" t="str">
        <f ca="1">IF($F$118="","",
  IF(ACOMPANHAMENTO="PLE",
     IF(AUTOEVENTO="Manual",
         IF(AdmLocal="Automática",
              AC113,
              SUMIF(OFFSET(CRONOPLE!$F$14,CRONOPLE!$A$8+1,1,1,OFFSET(CRONOPLE!$AF$12,0,-1)),"&lt;="&amp;AC$12,OFFSET(EVENTOS!$G$14,CRONOPLE!$A$8+1,1,1,OFFSET(CRONOPLE!$AF$12,0,-1)))/OFFSET(EVENTOS!$G$14,CRONOPLE!$A$8+1,-1)),
         SUM(OFFSET($T$13,$F$118+2,1,1,AC$12))/OFFSET($S$13,$F$118,0)),
     IF(ACOMPANHAMENTO="BM",SUM(OFFSET($T$13,$F$118+2,1,1,AC$12))/OFFSET($S$13,$F$118,0),"")))</f>
        <v/>
      </c>
      <c r="AD118" s="575" t="str">
        <f ca="1">IF($F$118="","",
  IF(ACOMPANHAMENTO="PLE",
     IF(AUTOEVENTO="Manual",
         IF(AdmLocal="Automática",
              AD113,
              SUMIF(OFFSET(CRONOPLE!$F$14,CRONOPLE!$A$8+1,1,1,OFFSET(CRONOPLE!$AF$12,0,-1)),"&lt;="&amp;AD$12,OFFSET(EVENTOS!$G$14,CRONOPLE!$A$8+1,1,1,OFFSET(CRONOPLE!$AF$12,0,-1)))/OFFSET(EVENTOS!$G$14,CRONOPLE!$A$8+1,-1)),
         SUM(OFFSET($T$13,$F$118+2,1,1,AD$12))/OFFSET($S$13,$F$118,0)),
     IF(ACOMPANHAMENTO="BM",SUM(OFFSET($T$13,$F$118+2,1,1,AD$12))/OFFSET($S$13,$F$118,0),"")))</f>
        <v/>
      </c>
      <c r="AE118" s="575" t="str">
        <f ca="1">IF($F$118="","",
  IF(ACOMPANHAMENTO="PLE",
     IF(AUTOEVENTO="Manual",
         IF(AdmLocal="Automática",
              AE113,
              SUMIF(OFFSET(CRONOPLE!$F$14,CRONOPLE!$A$8+1,1,1,OFFSET(CRONOPLE!$AF$12,0,-1)),"&lt;="&amp;AE$12,OFFSET(EVENTOS!$G$14,CRONOPLE!$A$8+1,1,1,OFFSET(CRONOPLE!$AF$12,0,-1)))/OFFSET(EVENTOS!$G$14,CRONOPLE!$A$8+1,-1)),
         SUM(OFFSET($T$13,$F$118+2,1,1,AE$12))/OFFSET($S$13,$F$118,0)),
     IF(ACOMPANHAMENTO="BM",SUM(OFFSET($T$13,$F$118+2,1,1,AE$12))/OFFSET($S$13,$F$118,0),"")))</f>
        <v/>
      </c>
      <c r="AF118" s="588" t="str">
        <f ca="1">IF($F$118="","",
  IF(ACOMPANHAMENTO="PLE",
     IF(AUTOEVENTO="Manual",
         IF(AdmLocal="Automática",
              AF113,
              SUMIF(OFFSET(CRONOPLE!$F$14,CRONOPLE!$A$8+1,1,1,OFFSET(CRONOPLE!$AF$12,0,-1)),"&lt;="&amp;AF$12,OFFSET(EVENTOS!$G$14,CRONOPLE!$A$8+1,1,1,OFFSET(CRONOPLE!$AF$12,0,-1)))/OFFSET(EVENTOS!$G$14,CRONOPLE!$A$8+1,-1)),
         SUM(OFFSET($T$13,$F$118+2,1,1,AF$12))/OFFSET($S$13,$F$118,0)),
     IF(ACOMPANHAMENTO="BM",SUM(OFFSET($T$13,$F$118+2,1,1,AF$12))/OFFSET($S$13,$F$118,0),"")))</f>
        <v/>
      </c>
      <c r="AG118" s="575" t="str">
        <f ca="1">IF($F$118="","",
  IF(ACOMPANHAMENTO="PLE",
     IF(AUTOEVENTO="Manual",
         IF(AdmLocal="Automática",
              AG113,
              SUMIF(OFFSET(CRONOPLE!$F$14,CRONOPLE!$A$8+1,1,1,OFFSET(CRONOPLE!$AF$12,0,-1)),"&lt;="&amp;AG$12,OFFSET(EVENTOS!$G$14,CRONOPLE!$A$8+1,1,1,OFFSET(CRONOPLE!$AF$12,0,-1)))/OFFSET(EVENTOS!$G$14,CRONOPLE!$A$8+1,-1)),
         SUM(OFFSET($T$13,$F$118+2,1,1,AG$12))/OFFSET($S$13,$F$118,0)),
     IF(ACOMPANHAMENTO="BM",SUM(OFFSET($T$13,$F$118+2,1,1,AG$12))/OFFSET($S$13,$F$118,0),"")))</f>
        <v/>
      </c>
      <c r="AH118" s="575" t="str">
        <f ca="1">IF($F$118="","",
  IF(ACOMPANHAMENTO="PLE",
     IF(AUTOEVENTO="Manual",
         IF(AdmLocal="Automática",
              AH113,
              SUMIF(OFFSET(CRONOPLE!$F$14,CRONOPLE!$A$8+1,1,1,OFFSET(CRONOPLE!$AF$12,0,-1)),"&lt;="&amp;AH$12,OFFSET(EVENTOS!$G$14,CRONOPLE!$A$8+1,1,1,OFFSET(CRONOPLE!$AF$12,0,-1)))/OFFSET(EVENTOS!$G$14,CRONOPLE!$A$8+1,-1)),
         SUM(OFFSET($T$13,$F$118+2,1,1,AH$12))/OFFSET($S$13,$F$118,0)),
     IF(ACOMPANHAMENTO="BM",SUM(OFFSET($T$13,$F$118+2,1,1,AH$12))/OFFSET($S$13,$F$118,0),"")))</f>
        <v/>
      </c>
      <c r="AI118" s="575" t="str">
        <f ca="1">IF($F$118="","",
  IF(ACOMPANHAMENTO="PLE",
     IF(AUTOEVENTO="Manual",
         IF(AdmLocal="Automática",
              AI113,
              SUMIF(OFFSET(CRONOPLE!$F$14,CRONOPLE!$A$8+1,1,1,OFFSET(CRONOPLE!$AF$12,0,-1)),"&lt;="&amp;AI$12,OFFSET(EVENTOS!$G$14,CRONOPLE!$A$8+1,1,1,OFFSET(CRONOPLE!$AF$12,0,-1)))/OFFSET(EVENTOS!$G$14,CRONOPLE!$A$8+1,-1)),
         SUM(OFFSET($T$13,$F$118+2,1,1,AI$12))/OFFSET($S$13,$F$118,0)),
     IF(ACOMPANHAMENTO="BM",SUM(OFFSET($T$13,$F$118+2,1,1,AI$12))/OFFSET($S$13,$F$118,0),"")))</f>
        <v/>
      </c>
      <c r="AJ118" s="575" t="str">
        <f ca="1">IF($F$118="","",
  IF(ACOMPANHAMENTO="PLE",
     IF(AUTOEVENTO="Manual",
         IF(AdmLocal="Automática",
              AJ113,
              SUMIF(OFFSET(CRONOPLE!$F$14,CRONOPLE!$A$8+1,1,1,OFFSET(CRONOPLE!$AF$12,0,-1)),"&lt;="&amp;AJ$12,OFFSET(EVENTOS!$G$14,CRONOPLE!$A$8+1,1,1,OFFSET(CRONOPLE!$AF$12,0,-1)))/OFFSET(EVENTOS!$G$14,CRONOPLE!$A$8+1,-1)),
         SUM(OFFSET($T$13,$F$118+2,1,1,AJ$12))/OFFSET($S$13,$F$118,0)),
     IF(ACOMPANHAMENTO="BM",SUM(OFFSET($T$13,$F$118+2,1,1,AJ$12))/OFFSET($S$13,$F$118,0),"")))</f>
        <v/>
      </c>
      <c r="AK118" s="575" t="str">
        <f ca="1">IF($F$118="","",
  IF(ACOMPANHAMENTO="PLE",
     IF(AUTOEVENTO="Manual",
         IF(AdmLocal="Automática",
              AK113,
              SUMIF(OFFSET(CRONOPLE!$F$14,CRONOPLE!$A$8+1,1,1,OFFSET(CRONOPLE!$AF$12,0,-1)),"&lt;="&amp;AK$12,OFFSET(EVENTOS!$G$14,CRONOPLE!$A$8+1,1,1,OFFSET(CRONOPLE!$AF$12,0,-1)))/OFFSET(EVENTOS!$G$14,CRONOPLE!$A$8+1,-1)),
         SUM(OFFSET($T$13,$F$118+2,1,1,AK$12))/OFFSET($S$13,$F$118,0)),
     IF(ACOMPANHAMENTO="BM",SUM(OFFSET($T$13,$F$118+2,1,1,AK$12))/OFFSET($S$13,$F$118,0),"")))</f>
        <v/>
      </c>
      <c r="AL118" s="575" t="str">
        <f ca="1">IF($F$118="","",
  IF(ACOMPANHAMENTO="PLE",
     IF(AUTOEVENTO="Manual",
         IF(AdmLocal="Automática",
              AL113,
              SUMIF(OFFSET(CRONOPLE!$F$14,CRONOPLE!$A$8+1,1,1,OFFSET(CRONOPLE!$AF$12,0,-1)),"&lt;="&amp;AL$12,OFFSET(EVENTOS!$G$14,CRONOPLE!$A$8+1,1,1,OFFSET(CRONOPLE!$AF$12,0,-1)))/OFFSET(EVENTOS!$G$14,CRONOPLE!$A$8+1,-1)),
         SUM(OFFSET($T$13,$F$118+2,1,1,AL$12))/OFFSET($S$13,$F$118,0)),
     IF(ACOMPANHAMENTO="BM",SUM(OFFSET($T$13,$F$118+2,1,1,AL$12))/OFFSET($S$13,$F$118,0),"")))</f>
        <v/>
      </c>
      <c r="AM118" s="575" t="str">
        <f ca="1">IF($F$118="","",
  IF(ACOMPANHAMENTO="PLE",
     IF(AUTOEVENTO="Manual",
         IF(AdmLocal="Automática",
              AM113,
              SUMIF(OFFSET(CRONOPLE!$F$14,CRONOPLE!$A$8+1,1,1,OFFSET(CRONOPLE!$AF$12,0,-1)),"&lt;="&amp;AM$12,OFFSET(EVENTOS!$G$14,CRONOPLE!$A$8+1,1,1,OFFSET(CRONOPLE!$AF$12,0,-1)))/OFFSET(EVENTOS!$G$14,CRONOPLE!$A$8+1,-1)),
         SUM(OFFSET($T$13,$F$118+2,1,1,AM$12))/OFFSET($S$13,$F$118,0)),
     IF(ACOMPANHAMENTO="BM",SUM(OFFSET($T$13,$F$118+2,1,1,AM$12))/OFFSET($S$13,$F$118,0),"")))</f>
        <v/>
      </c>
      <c r="AN118" s="575" t="str">
        <f ca="1">IF($F$118="","",
  IF(ACOMPANHAMENTO="PLE",
     IF(AUTOEVENTO="Manual",
         IF(AdmLocal="Automática",
              AN113,
              SUMIF(OFFSET(CRONOPLE!$F$14,CRONOPLE!$A$8+1,1,1,OFFSET(CRONOPLE!$AF$12,0,-1)),"&lt;="&amp;AN$12,OFFSET(EVENTOS!$G$14,CRONOPLE!$A$8+1,1,1,OFFSET(CRONOPLE!$AF$12,0,-1)))/OFFSET(EVENTOS!$G$14,CRONOPLE!$A$8+1,-1)),
         SUM(OFFSET($T$13,$F$118+2,1,1,AN$12))/OFFSET($S$13,$F$118,0)),
     IF(ACOMPANHAMENTO="BM",SUM(OFFSET($T$13,$F$118+2,1,1,AN$12))/OFFSET($S$13,$F$118,0),"")))</f>
        <v/>
      </c>
      <c r="AO118" s="575" t="str">
        <f ca="1">IF($F$118="","",
  IF(ACOMPANHAMENTO="PLE",
     IF(AUTOEVENTO="Manual",
         IF(AdmLocal="Automática",
              AO113,
              SUMIF(OFFSET(CRONOPLE!$F$14,CRONOPLE!$A$8+1,1,1,OFFSET(CRONOPLE!$AF$12,0,-1)),"&lt;="&amp;AO$12,OFFSET(EVENTOS!$G$14,CRONOPLE!$A$8+1,1,1,OFFSET(CRONOPLE!$AF$12,0,-1)))/OFFSET(EVENTOS!$G$14,CRONOPLE!$A$8+1,-1)),
         SUM(OFFSET($T$13,$F$118+2,1,1,AO$12))/OFFSET($S$13,$F$118,0)),
     IF(ACOMPANHAMENTO="BM",SUM(OFFSET($T$13,$F$118+2,1,1,AO$12))/OFFSET($S$13,$F$118,0),"")))</f>
        <v/>
      </c>
      <c r="AP118" s="575" t="str">
        <f ca="1">IF($F$118="","",
  IF(ACOMPANHAMENTO="PLE",
     IF(AUTOEVENTO="Manual",
         IF(AdmLocal="Automática",
              AP113,
              SUMIF(OFFSET(CRONOPLE!$F$14,CRONOPLE!$A$8+1,1,1,OFFSET(CRONOPLE!$AF$12,0,-1)),"&lt;="&amp;AP$12,OFFSET(EVENTOS!$G$14,CRONOPLE!$A$8+1,1,1,OFFSET(CRONOPLE!$AF$12,0,-1)))/OFFSET(EVENTOS!$G$14,CRONOPLE!$A$8+1,-1)),
         SUM(OFFSET($T$13,$F$118+2,1,1,AP$12))/OFFSET($S$13,$F$118,0)),
     IF(ACOMPANHAMENTO="BM",SUM(OFFSET($T$13,$F$118+2,1,1,AP$12))/OFFSET($S$13,$F$118,0),"")))</f>
        <v/>
      </c>
      <c r="AQ118" s="575" t="str">
        <f ca="1">IF($F$118="","",
  IF(ACOMPANHAMENTO="PLE",
     IF(AUTOEVENTO="Manual",
         IF(AdmLocal="Automática",
              AQ113,
              SUMIF(OFFSET(CRONOPLE!$F$14,CRONOPLE!$A$8+1,1,1,OFFSET(CRONOPLE!$AF$12,0,-1)),"&lt;="&amp;AQ$12,OFFSET(EVENTOS!$G$14,CRONOPLE!$A$8+1,1,1,OFFSET(CRONOPLE!$AF$12,0,-1)))/OFFSET(EVENTOS!$G$14,CRONOPLE!$A$8+1,-1)),
         SUM(OFFSET($T$13,$F$118+2,1,1,AQ$12))/OFFSET($S$13,$F$118,0)),
     IF(ACOMPANHAMENTO="BM",SUM(OFFSET($T$13,$F$118+2,1,1,AQ$12))/OFFSET($S$13,$F$118,0),"")))</f>
        <v/>
      </c>
      <c r="AR118" s="588" t="str">
        <f ca="1">IF($F$118="","",
  IF(ACOMPANHAMENTO="PLE",
     IF(AUTOEVENTO="Manual",
         IF(AdmLocal="Automática",
              AR113,
              SUMIF(OFFSET(CRONOPLE!$F$14,CRONOPLE!$A$8+1,1,1,OFFSET(CRONOPLE!$AF$12,0,-1)),"&lt;="&amp;AR$12,OFFSET(EVENTOS!$G$14,CRONOPLE!$A$8+1,1,1,OFFSET(CRONOPLE!$AF$12,0,-1)))/OFFSET(EVENTOS!$G$14,CRONOPLE!$A$8+1,-1)),
         SUM(OFFSET($T$13,$F$118+2,1,1,AR$12))/OFFSET($S$13,$F$118,0)),
     IF(ACOMPANHAMENTO="BM",SUM(OFFSET($T$13,$F$118+2,1,1,AR$12))/OFFSET($S$13,$F$118,0),"")))</f>
        <v/>
      </c>
      <c r="AS118" s="577"/>
    </row>
    <row r="119" spans="4:45" ht="16.899999999999999" customHeight="1" x14ac:dyDescent="0.25">
      <c r="G119" s="195" t="s">
        <v>244</v>
      </c>
      <c r="H119" s="628" t="str">
        <f>IF(AND(ACOMPANHAMENTO="BM",$H$118=""),"↑ Não foi indicado o Macrosserviço de Administração Local","")</f>
        <v/>
      </c>
      <c r="T119" s="641" t="str">
        <f ca="1">IF(COUNTIF(U119:AS119,"%Adm&gt;%Global")&gt;0,"Verificar proporcionalidade da Administração Local","")</f>
        <v/>
      </c>
      <c r="U119" s="578" t="str">
        <f ca="1">IF(U118="","",IF(ROUND(U118,4)&gt;ROUND(U113,4),"%Adm&gt;%Global",""))</f>
        <v/>
      </c>
      <c r="V119" s="578" t="str">
        <f t="shared" ref="V119:AS119" ca="1" si="210">IF(V118="","",IF(ROUND(V118,4)&gt;ROUND(V113,4),"%Adm&gt;%Global",""))</f>
        <v/>
      </c>
      <c r="W119" s="578" t="str">
        <f t="shared" ca="1" si="210"/>
        <v/>
      </c>
      <c r="X119" s="578" t="str">
        <f t="shared" ca="1" si="210"/>
        <v/>
      </c>
      <c r="Y119" s="578" t="str">
        <f t="shared" ca="1" si="210"/>
        <v/>
      </c>
      <c r="Z119" s="578" t="str">
        <f t="shared" ca="1" si="210"/>
        <v/>
      </c>
      <c r="AA119" s="578" t="str">
        <f t="shared" ca="1" si="210"/>
        <v/>
      </c>
      <c r="AB119" s="578" t="str">
        <f t="shared" ca="1" si="210"/>
        <v/>
      </c>
      <c r="AC119" s="578" t="str">
        <f t="shared" ca="1" si="210"/>
        <v/>
      </c>
      <c r="AD119" s="578" t="str">
        <f t="shared" ca="1" si="210"/>
        <v/>
      </c>
      <c r="AE119" s="578" t="str">
        <f t="shared" ca="1" si="210"/>
        <v/>
      </c>
      <c r="AF119" s="578" t="str">
        <f t="shared" ca="1" si="210"/>
        <v/>
      </c>
      <c r="AG119" s="578" t="str">
        <f ca="1">IF(AG118="","",IF(ROUND(AG118,4)&gt;ROUND(AG113,4),"%Adm&gt;%Global",""))</f>
        <v/>
      </c>
      <c r="AH119" s="578" t="str">
        <f t="shared" ref="AH119:AR119" ca="1" si="211">IF(AH118="","",IF(ROUND(AH118,4)&gt;ROUND(AH113,4),"%Adm&gt;%Global",""))</f>
        <v/>
      </c>
      <c r="AI119" s="578" t="str">
        <f t="shared" ca="1" si="211"/>
        <v/>
      </c>
      <c r="AJ119" s="578" t="str">
        <f t="shared" ca="1" si="211"/>
        <v/>
      </c>
      <c r="AK119" s="578" t="str">
        <f t="shared" ca="1" si="211"/>
        <v/>
      </c>
      <c r="AL119" s="578" t="str">
        <f t="shared" ca="1" si="211"/>
        <v/>
      </c>
      <c r="AM119" s="578" t="str">
        <f t="shared" ca="1" si="211"/>
        <v/>
      </c>
      <c r="AN119" s="578" t="str">
        <f t="shared" ca="1" si="211"/>
        <v/>
      </c>
      <c r="AO119" s="578" t="str">
        <f t="shared" ca="1" si="211"/>
        <v/>
      </c>
      <c r="AP119" s="578" t="str">
        <f t="shared" ca="1" si="211"/>
        <v/>
      </c>
      <c r="AQ119" s="578" t="str">
        <f t="shared" ca="1" si="211"/>
        <v/>
      </c>
      <c r="AR119" s="578" t="str">
        <f t="shared" ca="1" si="211"/>
        <v/>
      </c>
      <c r="AS119" s="578" t="str">
        <f t="shared" si="210"/>
        <v/>
      </c>
    </row>
    <row r="120" spans="4:45" ht="32.25" customHeight="1" x14ac:dyDescent="0.2">
      <c r="G120" s="195" t="s">
        <v>244</v>
      </c>
      <c r="I120" s="675" t="str">
        <f>Import.Município</f>
        <v>LINDÓIA DO SUL - SC</v>
      </c>
      <c r="J120" s="675"/>
      <c r="K120" s="675"/>
      <c r="L120" s="675"/>
      <c r="M120" s="675"/>
      <c r="N120" s="675"/>
      <c r="O120" s="675"/>
      <c r="P120" s="675"/>
      <c r="Q120" s="675"/>
      <c r="R120" s="675"/>
      <c r="S120" s="675"/>
      <c r="AA120" s="492"/>
      <c r="AB120" s="492"/>
      <c r="AC120" s="492"/>
      <c r="AD120" s="492"/>
      <c r="AE120" s="494"/>
      <c r="AF120" s="494"/>
      <c r="AM120" s="492"/>
      <c r="AN120" s="492"/>
      <c r="AO120" s="492"/>
      <c r="AP120" s="492"/>
      <c r="AQ120" s="494"/>
      <c r="AR120" s="494"/>
    </row>
    <row r="121" spans="4:45" x14ac:dyDescent="0.2">
      <c r="G121" s="195" t="s">
        <v>244</v>
      </c>
      <c r="I121" s="10" t="s">
        <v>186</v>
      </c>
      <c r="J121"/>
      <c r="K121"/>
      <c r="L121"/>
      <c r="AA121" s="190" t="s">
        <v>188</v>
      </c>
      <c r="AB121" s="190"/>
      <c r="AC121" s="190"/>
      <c r="AD121" s="190"/>
      <c r="AE121" s="195"/>
      <c r="AF121" s="195"/>
      <c r="AM121" s="190" t="s">
        <v>188</v>
      </c>
      <c r="AN121" s="190"/>
      <c r="AO121" s="190"/>
      <c r="AP121" s="190"/>
      <c r="AQ121" s="195"/>
      <c r="AR121" s="195"/>
    </row>
    <row r="122" spans="4:45" x14ac:dyDescent="0.2">
      <c r="G122" s="195" t="s">
        <v>244</v>
      </c>
      <c r="I122"/>
      <c r="J122"/>
      <c r="K122"/>
      <c r="L122"/>
      <c r="AA122" s="413" t="str">
        <f t="array" aca="1" ref="AA122:AA124" ca="1">OFFSET(Import.RespOrçamento,0,-1) &amp; " " &amp; Import.RespOrçamento</f>
        <v>Nome: RAFAELA B. BOSCHETTI</v>
      </c>
      <c r="AC122"/>
      <c r="AD122" s="80"/>
      <c r="AE122" s="195"/>
      <c r="AF122" s="195"/>
      <c r="AM122" s="413" t="str">
        <f t="array" aca="1" ref="AM122:AM124" ca="1">OFFSET(Import.RespOrçamento,0,-1) &amp; " " &amp; Import.RespOrçamento</f>
        <v>Nome: RAFAELA B. BOSCHETTI</v>
      </c>
      <c r="AO122"/>
      <c r="AP122" s="80"/>
      <c r="AQ122" s="195"/>
      <c r="AR122" s="195"/>
    </row>
    <row r="123" spans="4:45" x14ac:dyDescent="0.2">
      <c r="G123" s="195" t="s">
        <v>244</v>
      </c>
      <c r="I123" s="674">
        <f ca="1">DADOS!$C$25</f>
        <v>46189</v>
      </c>
      <c r="J123" s="674"/>
      <c r="K123" s="674"/>
      <c r="L123" s="189"/>
      <c r="M123" s="255"/>
      <c r="N123" s="255"/>
      <c r="O123" s="255"/>
      <c r="P123" s="255"/>
      <c r="Q123" s="255"/>
      <c r="R123" s="255"/>
      <c r="S123" s="256"/>
      <c r="AA123" s="413" t="str">
        <f ca="1"/>
        <v>CREA/CAU: A295176-2</v>
      </c>
      <c r="AC123" s="80"/>
      <c r="AD123" s="80"/>
      <c r="AE123" s="195"/>
      <c r="AF123" s="195"/>
      <c r="AM123" s="413" t="str">
        <f ca="1"/>
        <v>CREA/CAU: A295176-2</v>
      </c>
      <c r="AO123" s="80"/>
      <c r="AP123" s="80"/>
      <c r="AQ123" s="195"/>
      <c r="AR123" s="195"/>
    </row>
    <row r="124" spans="4:45" x14ac:dyDescent="0.2">
      <c r="G124" s="195" t="s">
        <v>244</v>
      </c>
      <c r="I124" s="10" t="s">
        <v>187</v>
      </c>
      <c r="J124"/>
      <c r="K124"/>
      <c r="L124"/>
      <c r="AA124" s="413" t="str">
        <f ca="1"/>
        <v>ART/RRT: 16357172</v>
      </c>
      <c r="AC124" s="80"/>
      <c r="AD124" s="80"/>
      <c r="AE124" s="195"/>
      <c r="AF124" s="195"/>
      <c r="AM124" s="413" t="str">
        <f ca="1"/>
        <v>ART/RRT: 16357172</v>
      </c>
      <c r="AO124" s="80"/>
      <c r="AP124" s="80"/>
      <c r="AQ124" s="195"/>
      <c r="AR124" s="195"/>
    </row>
  </sheetData>
  <sheetProtection algorithmName="SHA-512" hashValue="CAhncI2yremDVCT3n2I7ngXFdKbKm/VECitZPY99pM8CY1iJYg8L6uu4dewf/uJVjaMVRrfmVLJfC1pRZjZ+Xg==" saltValue="oWlYQ3fhIpatzBgviCUN0w==" spinCount="100000" sheet="1" objects="1" scenarios="1" autoFilter="0"/>
  <autoFilter ref="G13:G124" xr:uid="{00000000-0009-0000-0000-000007000000}">
    <filterColumn colId="0">
      <filters>
        <filter val="F"/>
      </filters>
    </filterColumn>
  </autoFilter>
  <mergeCells count="22">
    <mergeCell ref="G8:G11"/>
    <mergeCell ref="I8:J8"/>
    <mergeCell ref="H7:H9"/>
    <mergeCell ref="AE4:AF4"/>
    <mergeCell ref="AE5:AF5"/>
    <mergeCell ref="Z8:AE8"/>
    <mergeCell ref="I108:K109"/>
    <mergeCell ref="H12:H13"/>
    <mergeCell ref="I12:I13"/>
    <mergeCell ref="J12:J13"/>
    <mergeCell ref="I123:K123"/>
    <mergeCell ref="I120:S120"/>
    <mergeCell ref="H118:J118"/>
    <mergeCell ref="S12:S13"/>
    <mergeCell ref="AQ4:AR4"/>
    <mergeCell ref="AQ5:AR5"/>
    <mergeCell ref="AG8:AK8"/>
    <mergeCell ref="AL8:AQ8"/>
    <mergeCell ref="T12:T13"/>
    <mergeCell ref="L8:T8"/>
    <mergeCell ref="U8:Y8"/>
    <mergeCell ref="K10:T11"/>
  </mergeCells>
  <phoneticPr fontId="38" type="noConversion"/>
  <conditionalFormatting sqref="U12:U13">
    <cfRule type="expression" dxfId="267" priority="8964" stopIfTrue="1">
      <formula>NOT(ISNUMBER(T$12))</formula>
    </cfRule>
  </conditionalFormatting>
  <conditionalFormatting sqref="E2 U2:AR2">
    <cfRule type="expression" dxfId="266" priority="8965" stopIfTrue="1">
      <formula>AND(ISNUMBER($H1),$H1&lt;&gt;0)</formula>
    </cfRule>
  </conditionalFormatting>
  <conditionalFormatting sqref="I2:S2">
    <cfRule type="expression" dxfId="265" priority="8966" stopIfTrue="1">
      <formula>$M1=2</formula>
    </cfRule>
    <cfRule type="expression" dxfId="264" priority="8967" stopIfTrue="1">
      <formula>AND($M1=1,$S1&lt;&gt;"")</formula>
    </cfRule>
  </conditionalFormatting>
  <conditionalFormatting sqref="I1:S1">
    <cfRule type="expression" dxfId="263" priority="8968" stopIfTrue="1">
      <formula>$M1=2</formula>
    </cfRule>
    <cfRule type="expression" dxfId="262" priority="8969" stopIfTrue="1">
      <formula>AND($M1=1,$S1&lt;&gt;"")</formula>
    </cfRule>
  </conditionalFormatting>
  <conditionalFormatting sqref="E108 E110 E112:E113 E115 E117 U110:AR110 U112:AR113 U115:AR115 U117:AR117 U108:AR108">
    <cfRule type="expression" dxfId="261" priority="8970" stopIfTrue="1">
      <formula>D$113=1</formula>
    </cfRule>
  </conditionalFormatting>
  <conditionalFormatting sqref="E109 E111 E114 E116 E118 U111:AR111 U114:AR114 U116:AR116 U118:AR118 U109:AR109">
    <cfRule type="expression" dxfId="260" priority="8971" stopIfTrue="1">
      <formula>D$113=1</formula>
    </cfRule>
  </conditionalFormatting>
  <conditionalFormatting sqref="AF7:AF8 AR7:AR8">
    <cfRule type="expression" dxfId="259" priority="8975" stopIfTrue="1">
      <formula>OR(TIPOORCAMENTO&lt;&gt;"Licitado",QCI.ExisteManual)</formula>
    </cfRule>
  </conditionalFormatting>
  <conditionalFormatting sqref="Z7:AE8">
    <cfRule type="expression" dxfId="258" priority="8963" stopIfTrue="1">
      <formula>QCI.ExisteManual</formula>
    </cfRule>
  </conditionalFormatting>
  <conditionalFormatting sqref="H2">
    <cfRule type="expression" dxfId="257" priority="5109">
      <formula>AND(H1&lt;&gt;0,ISNUMBER(H1))</formula>
    </cfRule>
  </conditionalFormatting>
  <conditionalFormatting sqref="E118 U118:AR118">
    <cfRule type="expression" dxfId="256" priority="5100">
      <formula>ROUND(E118,4)&gt;ROUND(E113,4)</formula>
    </cfRule>
  </conditionalFormatting>
  <conditionalFormatting sqref="H1">
    <cfRule type="expression" dxfId="255" priority="5099">
      <formula>AND(H1&lt;&gt;0,ISNUMBER(H1))</formula>
    </cfRule>
  </conditionalFormatting>
  <conditionalFormatting sqref="H118:J118">
    <cfRule type="expression" dxfId="254" priority="5098">
      <formula>$H$117=""</formula>
    </cfRule>
  </conditionalFormatting>
  <conditionalFormatting sqref="E118">
    <cfRule type="expression" dxfId="253" priority="5091" stopIfTrue="1">
      <formula>D$113=1</formula>
    </cfRule>
  </conditionalFormatting>
  <conditionalFormatting sqref="E1">
    <cfRule type="expression" dxfId="252" priority="5088" stopIfTrue="1">
      <formula>E1&lt;&gt;0</formula>
    </cfRule>
  </conditionalFormatting>
  <conditionalFormatting sqref="E2">
    <cfRule type="expression" dxfId="251" priority="5087">
      <formula>AND(_xlfn.SINGLE(ACOMPANHAMENTO)="BM",E2&gt;ROUND(E2,4))</formula>
    </cfRule>
  </conditionalFormatting>
  <conditionalFormatting sqref="E118">
    <cfRule type="expression" dxfId="250" priority="5086" stopIfTrue="1">
      <formula>D$113=1</formula>
    </cfRule>
  </conditionalFormatting>
  <conditionalFormatting sqref="U1:AR1">
    <cfRule type="expression" dxfId="249" priority="5085" stopIfTrue="1">
      <formula>U1&lt;&gt;0</formula>
    </cfRule>
  </conditionalFormatting>
  <conditionalFormatting sqref="U2:AR2">
    <cfRule type="expression" dxfId="248" priority="5084">
      <formula>AND(_xlfn.SINGLE(ACOMPANHAMENTO)="BM",U2&gt;ROUND(U2,4))</formula>
    </cfRule>
  </conditionalFormatting>
  <conditionalFormatting sqref="E15 E18 E21 U15:AR15 U18:AR18 U21:AR21">
    <cfRule type="expression" dxfId="247" priority="229" stopIfTrue="1">
      <formula>AND(ISNUMBER($H14),$H14&lt;&gt;0)</formula>
    </cfRule>
  </conditionalFormatting>
  <conditionalFormatting sqref="I15:S15 I18:S18 I21:S21">
    <cfRule type="expression" dxfId="246" priority="230" stopIfTrue="1">
      <formula>$M14=2</formula>
    </cfRule>
    <cfRule type="expression" dxfId="245" priority="231" stopIfTrue="1">
      <formula>AND($M14=1,$S14&lt;&gt;"")</formula>
    </cfRule>
  </conditionalFormatting>
  <conditionalFormatting sqref="I14:S14 I17:S17 I20:S20">
    <cfRule type="expression" dxfId="244" priority="232" stopIfTrue="1">
      <formula>$M14=2</formula>
    </cfRule>
    <cfRule type="expression" dxfId="243" priority="233" stopIfTrue="1">
      <formula>AND($M14=1,$S14&lt;&gt;"")</formula>
    </cfRule>
  </conditionalFormatting>
  <conditionalFormatting sqref="H15 H18 H21">
    <cfRule type="expression" dxfId="242" priority="228">
      <formula>AND(H14&lt;&gt;0,ISNUMBER(H14))</formula>
    </cfRule>
  </conditionalFormatting>
  <conditionalFormatting sqref="H14 H17 H20">
    <cfRule type="expression" dxfId="241" priority="227">
      <formula>AND(H14&lt;&gt;0,ISNUMBER(H14))</formula>
    </cfRule>
  </conditionalFormatting>
  <conditionalFormatting sqref="E14 E17 E20">
    <cfRule type="expression" dxfId="240" priority="226" stopIfTrue="1">
      <formula>E14&lt;&gt;0</formula>
    </cfRule>
  </conditionalFormatting>
  <conditionalFormatting sqref="E15 E18 E21">
    <cfRule type="expression" dxfId="239" priority="225">
      <formula>AND(_xlfn.SINGLE(ACOMPANHAMENTO)="BM",E15&gt;ROUND(E15,4))</formula>
    </cfRule>
  </conditionalFormatting>
  <conditionalFormatting sqref="U14:AR14 U17:AR17 U20:AR20">
    <cfRule type="expression" dxfId="238" priority="224" stopIfTrue="1">
      <formula>U14&lt;&gt;0</formula>
    </cfRule>
  </conditionalFormatting>
  <conditionalFormatting sqref="U15:AR15 U18:AR18 U21:AR21">
    <cfRule type="expression" dxfId="237" priority="223">
      <formula>AND(_xlfn.SINGLE(ACOMPANHAMENTO)="BM",U15&gt;ROUND(U15,4))</formula>
    </cfRule>
  </conditionalFormatting>
  <conditionalFormatting sqref="E24 E27 E30 U24:AR24 U27:AR27 U30:AR30">
    <cfRule type="expression" dxfId="236" priority="218" stopIfTrue="1">
      <formula>AND(ISNUMBER($H23),$H23&lt;&gt;0)</formula>
    </cfRule>
  </conditionalFormatting>
  <conditionalFormatting sqref="I24:S24 I27:S27 I30:S30">
    <cfRule type="expression" dxfId="235" priority="219" stopIfTrue="1">
      <formula>$M23=2</formula>
    </cfRule>
    <cfRule type="expression" dxfId="234" priority="220" stopIfTrue="1">
      <formula>AND($M23=1,$S23&lt;&gt;"")</formula>
    </cfRule>
  </conditionalFormatting>
  <conditionalFormatting sqref="I23:S23 I26:S26 I29:S29">
    <cfRule type="expression" dxfId="233" priority="221" stopIfTrue="1">
      <formula>$M23=2</formula>
    </cfRule>
    <cfRule type="expression" dxfId="232" priority="222" stopIfTrue="1">
      <formula>AND($M23=1,$S23&lt;&gt;"")</formula>
    </cfRule>
  </conditionalFormatting>
  <conditionalFormatting sqref="H24 H27 H30">
    <cfRule type="expression" dxfId="231" priority="217">
      <formula>AND(H23&lt;&gt;0,ISNUMBER(H23))</formula>
    </cfRule>
  </conditionalFormatting>
  <conditionalFormatting sqref="H23 H26 H29">
    <cfRule type="expression" dxfId="230" priority="216">
      <formula>AND(H23&lt;&gt;0,ISNUMBER(H23))</formula>
    </cfRule>
  </conditionalFormatting>
  <conditionalFormatting sqref="E23 E26 E29">
    <cfRule type="expression" dxfId="229" priority="215" stopIfTrue="1">
      <formula>E23&lt;&gt;0</formula>
    </cfRule>
  </conditionalFormatting>
  <conditionalFormatting sqref="E24 E27 E30">
    <cfRule type="expression" dxfId="228" priority="214">
      <formula>AND(_xlfn.SINGLE(ACOMPANHAMENTO)="BM",E24&gt;ROUND(E24,4))</formula>
    </cfRule>
  </conditionalFormatting>
  <conditionalFormatting sqref="U23:AR23 U26:AR26 U29:AR29">
    <cfRule type="expression" dxfId="227" priority="213" stopIfTrue="1">
      <formula>U23&lt;&gt;0</formula>
    </cfRule>
  </conditionalFormatting>
  <conditionalFormatting sqref="U24:AR24 U27:AR27 U30:AR30">
    <cfRule type="expression" dxfId="226" priority="212">
      <formula>AND(_xlfn.SINGLE(ACOMPANHAMENTO)="BM",U24&gt;ROUND(U24,4))</formula>
    </cfRule>
  </conditionalFormatting>
  <conditionalFormatting sqref="E33 E36 E39 U33:AR33 U36:AR36 U39:AR39">
    <cfRule type="expression" dxfId="225" priority="207" stopIfTrue="1">
      <formula>AND(ISNUMBER($H32),$H32&lt;&gt;0)</formula>
    </cfRule>
  </conditionalFormatting>
  <conditionalFormatting sqref="I33:S33 I36:S36 I39:S39">
    <cfRule type="expression" dxfId="224" priority="208" stopIfTrue="1">
      <formula>$M32=2</formula>
    </cfRule>
    <cfRule type="expression" dxfId="223" priority="209" stopIfTrue="1">
      <formula>AND($M32=1,$S32&lt;&gt;"")</formula>
    </cfRule>
  </conditionalFormatting>
  <conditionalFormatting sqref="I32:S32 I35:S35 I38:S38">
    <cfRule type="expression" dxfId="222" priority="210" stopIfTrue="1">
      <formula>$M32=2</formula>
    </cfRule>
    <cfRule type="expression" dxfId="221" priority="211" stopIfTrue="1">
      <formula>AND($M32=1,$S32&lt;&gt;"")</formula>
    </cfRule>
  </conditionalFormatting>
  <conditionalFormatting sqref="H33 H36 H39">
    <cfRule type="expression" dxfId="220" priority="206">
      <formula>AND(H32&lt;&gt;0,ISNUMBER(H32))</formula>
    </cfRule>
  </conditionalFormatting>
  <conditionalFormatting sqref="H32 H35 H38">
    <cfRule type="expression" dxfId="219" priority="205">
      <formula>AND(H32&lt;&gt;0,ISNUMBER(H32))</formula>
    </cfRule>
  </conditionalFormatting>
  <conditionalFormatting sqref="E32 E35 E38">
    <cfRule type="expression" dxfId="218" priority="204" stopIfTrue="1">
      <formula>E32&lt;&gt;0</formula>
    </cfRule>
  </conditionalFormatting>
  <conditionalFormatting sqref="E33 E36 E39">
    <cfRule type="expression" dxfId="217" priority="203">
      <formula>AND(_xlfn.SINGLE(ACOMPANHAMENTO)="BM",E33&gt;ROUND(E33,4))</formula>
    </cfRule>
  </conditionalFormatting>
  <conditionalFormatting sqref="U32:AR32 U35:AR35 U38:AR38">
    <cfRule type="expression" dxfId="216" priority="202" stopIfTrue="1">
      <formula>U32&lt;&gt;0</formula>
    </cfRule>
  </conditionalFormatting>
  <conditionalFormatting sqref="U33:AR33 U36:AR36 U39:AR39">
    <cfRule type="expression" dxfId="215" priority="201">
      <formula>AND(_xlfn.SINGLE(ACOMPANHAMENTO)="BM",U33&gt;ROUND(U33,4))</formula>
    </cfRule>
  </conditionalFormatting>
  <conditionalFormatting sqref="E42 E45 E48 U42:AR42 U45:AR45 U48:AR48">
    <cfRule type="expression" dxfId="214" priority="196" stopIfTrue="1">
      <formula>AND(ISNUMBER($H41),$H41&lt;&gt;0)</formula>
    </cfRule>
  </conditionalFormatting>
  <conditionalFormatting sqref="I42:S42 I45:S45 I48:S48">
    <cfRule type="expression" dxfId="213" priority="197" stopIfTrue="1">
      <formula>$M41=2</formula>
    </cfRule>
    <cfRule type="expression" dxfId="212" priority="198" stopIfTrue="1">
      <formula>AND($M41=1,$S41&lt;&gt;"")</formula>
    </cfRule>
  </conditionalFormatting>
  <conditionalFormatting sqref="I41:S41 I44:S44 I47:S47">
    <cfRule type="expression" dxfId="211" priority="199" stopIfTrue="1">
      <formula>$M41=2</formula>
    </cfRule>
    <cfRule type="expression" dxfId="210" priority="200" stopIfTrue="1">
      <formula>AND($M41=1,$S41&lt;&gt;"")</formula>
    </cfRule>
  </conditionalFormatting>
  <conditionalFormatting sqref="H42 H45 H48">
    <cfRule type="expression" dxfId="209" priority="195">
      <formula>AND(H41&lt;&gt;0,ISNUMBER(H41))</formula>
    </cfRule>
  </conditionalFormatting>
  <conditionalFormatting sqref="H41 H44 H47">
    <cfRule type="expression" dxfId="208" priority="194">
      <formula>AND(H41&lt;&gt;0,ISNUMBER(H41))</formula>
    </cfRule>
  </conditionalFormatting>
  <conditionalFormatting sqref="E41 E44 E47">
    <cfRule type="expression" dxfId="207" priority="193" stopIfTrue="1">
      <formula>E41&lt;&gt;0</formula>
    </cfRule>
  </conditionalFormatting>
  <conditionalFormatting sqref="E42 E45 E48">
    <cfRule type="expression" dxfId="206" priority="192">
      <formula>AND(_xlfn.SINGLE(ACOMPANHAMENTO)="BM",E42&gt;ROUND(E42,4))</formula>
    </cfRule>
  </conditionalFormatting>
  <conditionalFormatting sqref="U41:AR41 U44:AR44 U47:AR47">
    <cfRule type="expression" dxfId="205" priority="191" stopIfTrue="1">
      <formula>U41&lt;&gt;0</formula>
    </cfRule>
  </conditionalFormatting>
  <conditionalFormatting sqref="U42:AR42 U45:AR45 U48:AR48">
    <cfRule type="expression" dxfId="204" priority="190">
      <formula>AND(_xlfn.SINGLE(ACOMPANHAMENTO)="BM",U42&gt;ROUND(U42,4))</formula>
    </cfRule>
  </conditionalFormatting>
  <conditionalFormatting sqref="E51 E54 E57 U51:AR51 U54:AR54 U57:AR57">
    <cfRule type="expression" dxfId="203" priority="185" stopIfTrue="1">
      <formula>AND(ISNUMBER($H50),$H50&lt;&gt;0)</formula>
    </cfRule>
  </conditionalFormatting>
  <conditionalFormatting sqref="I51:S51 I54:S54 I57:S57">
    <cfRule type="expression" dxfId="202" priority="186" stopIfTrue="1">
      <formula>$M50=2</formula>
    </cfRule>
    <cfRule type="expression" dxfId="201" priority="187" stopIfTrue="1">
      <formula>AND($M50=1,$S50&lt;&gt;"")</formula>
    </cfRule>
  </conditionalFormatting>
  <conditionalFormatting sqref="I50:S50 I53:S53 I56:S56">
    <cfRule type="expression" dxfId="200" priority="188" stopIfTrue="1">
      <formula>$M50=2</formula>
    </cfRule>
    <cfRule type="expression" dxfId="199" priority="189" stopIfTrue="1">
      <formula>AND($M50=1,$S50&lt;&gt;"")</formula>
    </cfRule>
  </conditionalFormatting>
  <conditionalFormatting sqref="H51 H54 H57">
    <cfRule type="expression" dxfId="198" priority="184">
      <formula>AND(H50&lt;&gt;0,ISNUMBER(H50))</formula>
    </cfRule>
  </conditionalFormatting>
  <conditionalFormatting sqref="H50 H53 H56">
    <cfRule type="expression" dxfId="197" priority="183">
      <formula>AND(H50&lt;&gt;0,ISNUMBER(H50))</formula>
    </cfRule>
  </conditionalFormatting>
  <conditionalFormatting sqref="E50 E53 E56">
    <cfRule type="expression" dxfId="196" priority="182" stopIfTrue="1">
      <formula>E50&lt;&gt;0</formula>
    </cfRule>
  </conditionalFormatting>
  <conditionalFormatting sqref="E51 E54 E57">
    <cfRule type="expression" dxfId="195" priority="181">
      <formula>AND(_xlfn.SINGLE(ACOMPANHAMENTO)="BM",E51&gt;ROUND(E51,4))</formula>
    </cfRule>
  </conditionalFormatting>
  <conditionalFormatting sqref="U50:AR50 U53:AR53 U56:AR56">
    <cfRule type="expression" dxfId="194" priority="180" stopIfTrue="1">
      <formula>U50&lt;&gt;0</formula>
    </cfRule>
  </conditionalFormatting>
  <conditionalFormatting sqref="U51:AR51 U54:AR54 U57:AR57">
    <cfRule type="expression" dxfId="193" priority="179">
      <formula>AND(_xlfn.SINGLE(ACOMPANHAMENTO)="BM",U51&gt;ROUND(U51,4))</formula>
    </cfRule>
  </conditionalFormatting>
  <conditionalFormatting sqref="E60 E63 E66 U60:AR60 U63:AR63 U66:AR66">
    <cfRule type="expression" dxfId="192" priority="174" stopIfTrue="1">
      <formula>AND(ISNUMBER($H59),$H59&lt;&gt;0)</formula>
    </cfRule>
  </conditionalFormatting>
  <conditionalFormatting sqref="I60:S60 I63:S63 I66:S66">
    <cfRule type="expression" dxfId="191" priority="175" stopIfTrue="1">
      <formula>$M59=2</formula>
    </cfRule>
    <cfRule type="expression" dxfId="190" priority="176" stopIfTrue="1">
      <formula>AND($M59=1,$S59&lt;&gt;"")</formula>
    </cfRule>
  </conditionalFormatting>
  <conditionalFormatting sqref="I59:S59 I62:S62 I65:S65">
    <cfRule type="expression" dxfId="189" priority="177" stopIfTrue="1">
      <formula>$M59=2</formula>
    </cfRule>
    <cfRule type="expression" dxfId="188" priority="178" stopIfTrue="1">
      <formula>AND($M59=1,$S59&lt;&gt;"")</formula>
    </cfRule>
  </conditionalFormatting>
  <conditionalFormatting sqref="H60 H63 H66">
    <cfRule type="expression" dxfId="187" priority="173">
      <formula>AND(H59&lt;&gt;0,ISNUMBER(H59))</formula>
    </cfRule>
  </conditionalFormatting>
  <conditionalFormatting sqref="H59 H62 H65">
    <cfRule type="expression" dxfId="186" priority="172">
      <formula>AND(H59&lt;&gt;0,ISNUMBER(H59))</formula>
    </cfRule>
  </conditionalFormatting>
  <conditionalFormatting sqref="E59 E62 E65">
    <cfRule type="expression" dxfId="185" priority="171" stopIfTrue="1">
      <formula>E59&lt;&gt;0</formula>
    </cfRule>
  </conditionalFormatting>
  <conditionalFormatting sqref="E60 E63 E66">
    <cfRule type="expression" dxfId="184" priority="170">
      <formula>AND(_xlfn.SINGLE(ACOMPANHAMENTO)="BM",E60&gt;ROUND(E60,4))</formula>
    </cfRule>
  </conditionalFormatting>
  <conditionalFormatting sqref="U59:AR59 U62:AR62 U65:AR65">
    <cfRule type="expression" dxfId="183" priority="169" stopIfTrue="1">
      <formula>U59&lt;&gt;0</formula>
    </cfRule>
  </conditionalFormatting>
  <conditionalFormatting sqref="U60:AR60 U63:AR63 U66:AR66">
    <cfRule type="expression" dxfId="182" priority="168">
      <formula>AND(_xlfn.SINGLE(ACOMPANHAMENTO)="BM",U60&gt;ROUND(U60,4))</formula>
    </cfRule>
  </conditionalFormatting>
  <conditionalFormatting sqref="E69 E72 E75 U69:AR69 U72:AR72 U75:AR75">
    <cfRule type="expression" dxfId="181" priority="163" stopIfTrue="1">
      <formula>AND(ISNUMBER($H68),$H68&lt;&gt;0)</formula>
    </cfRule>
  </conditionalFormatting>
  <conditionalFormatting sqref="I69:S69 I72:S72 I75:S75">
    <cfRule type="expression" dxfId="180" priority="164" stopIfTrue="1">
      <formula>$M68=2</formula>
    </cfRule>
    <cfRule type="expression" dxfId="179" priority="165" stopIfTrue="1">
      <formula>AND($M68=1,$S68&lt;&gt;"")</formula>
    </cfRule>
  </conditionalFormatting>
  <conditionalFormatting sqref="I68:S68 I71:S71 I74:S74">
    <cfRule type="expression" dxfId="178" priority="166" stopIfTrue="1">
      <formula>$M68=2</formula>
    </cfRule>
    <cfRule type="expression" dxfId="177" priority="167" stopIfTrue="1">
      <formula>AND($M68=1,$S68&lt;&gt;"")</formula>
    </cfRule>
  </conditionalFormatting>
  <conditionalFormatting sqref="H69 H72 H75">
    <cfRule type="expression" dxfId="176" priority="162">
      <formula>AND(H68&lt;&gt;0,ISNUMBER(H68))</formula>
    </cfRule>
  </conditionalFormatting>
  <conditionalFormatting sqref="H68 H71 H74">
    <cfRule type="expression" dxfId="175" priority="161">
      <formula>AND(H68&lt;&gt;0,ISNUMBER(H68))</formula>
    </cfRule>
  </conditionalFormatting>
  <conditionalFormatting sqref="E68 E71 E74">
    <cfRule type="expression" dxfId="174" priority="160" stopIfTrue="1">
      <formula>E68&lt;&gt;0</formula>
    </cfRule>
  </conditionalFormatting>
  <conditionalFormatting sqref="E69 E72 E75">
    <cfRule type="expression" dxfId="173" priority="159">
      <formula>AND(_xlfn.SINGLE(ACOMPANHAMENTO)="BM",E69&gt;ROUND(E69,4))</formula>
    </cfRule>
  </conditionalFormatting>
  <conditionalFormatting sqref="U68:AR68 U71:AR71 U74:AR74">
    <cfRule type="expression" dxfId="172" priority="158" stopIfTrue="1">
      <formula>U68&lt;&gt;0</formula>
    </cfRule>
  </conditionalFormatting>
  <conditionalFormatting sqref="U69:AR69 U72:AR72 U75:AR75">
    <cfRule type="expression" dxfId="171" priority="157">
      <formula>AND(_xlfn.SINGLE(ACOMPANHAMENTO)="BM",U69&gt;ROUND(U69,4))</formula>
    </cfRule>
  </conditionalFormatting>
  <conditionalFormatting sqref="E78 U78:AR78">
    <cfRule type="expression" dxfId="170" priority="152" stopIfTrue="1">
      <formula>AND(ISNUMBER($H77),$H77&lt;&gt;0)</formula>
    </cfRule>
  </conditionalFormatting>
  <conditionalFormatting sqref="I78:S78">
    <cfRule type="expression" dxfId="169" priority="153" stopIfTrue="1">
      <formula>$M77=2</formula>
    </cfRule>
    <cfRule type="expression" dxfId="168" priority="154" stopIfTrue="1">
      <formula>AND($M77=1,$S77&lt;&gt;"")</formula>
    </cfRule>
  </conditionalFormatting>
  <conditionalFormatting sqref="I77:S77">
    <cfRule type="expression" dxfId="167" priority="155" stopIfTrue="1">
      <formula>$M77=2</formula>
    </cfRule>
    <cfRule type="expression" dxfId="166" priority="156" stopIfTrue="1">
      <formula>AND($M77=1,$S77&lt;&gt;"")</formula>
    </cfRule>
  </conditionalFormatting>
  <conditionalFormatting sqref="H78">
    <cfRule type="expression" dxfId="165" priority="151">
      <formula>AND(H77&lt;&gt;0,ISNUMBER(H77))</formula>
    </cfRule>
  </conditionalFormatting>
  <conditionalFormatting sqref="H77">
    <cfRule type="expression" dxfId="164" priority="150">
      <formula>AND(H77&lt;&gt;0,ISNUMBER(H77))</formula>
    </cfRule>
  </conditionalFormatting>
  <conditionalFormatting sqref="E77">
    <cfRule type="expression" dxfId="163" priority="149" stopIfTrue="1">
      <formula>E77&lt;&gt;0</formula>
    </cfRule>
  </conditionalFormatting>
  <conditionalFormatting sqref="E78">
    <cfRule type="expression" dxfId="162" priority="148">
      <formula>AND(_xlfn.SINGLE(ACOMPANHAMENTO)="BM",E78&gt;ROUND(E78,4))</formula>
    </cfRule>
  </conditionalFormatting>
  <conditionalFormatting sqref="U77:AR77">
    <cfRule type="expression" dxfId="161" priority="147" stopIfTrue="1">
      <formula>U77&lt;&gt;0</formula>
    </cfRule>
  </conditionalFormatting>
  <conditionalFormatting sqref="U78:AR78">
    <cfRule type="expression" dxfId="160" priority="146">
      <formula>AND(_xlfn.SINGLE(ACOMPANHAMENTO)="BM",U78&gt;ROUND(U78,4))</formula>
    </cfRule>
  </conditionalFormatting>
  <conditionalFormatting sqref="E81 E84 E87 U81:AR81 U84:AR84 U87:AR87">
    <cfRule type="expression" dxfId="159" priority="42" stopIfTrue="1">
      <formula>AND(ISNUMBER($H80),$H80&lt;&gt;0)</formula>
    </cfRule>
  </conditionalFormatting>
  <conditionalFormatting sqref="I81:S81 I84:S84 I87:S87">
    <cfRule type="expression" dxfId="158" priority="43" stopIfTrue="1">
      <formula>$M80=2</formula>
    </cfRule>
    <cfRule type="expression" dxfId="157" priority="44" stopIfTrue="1">
      <formula>AND($M80=1,$S80&lt;&gt;"")</formula>
    </cfRule>
  </conditionalFormatting>
  <conditionalFormatting sqref="I80:S80 I83:S83 I86:S86">
    <cfRule type="expression" dxfId="156" priority="45" stopIfTrue="1">
      <formula>$M80=2</formula>
    </cfRule>
    <cfRule type="expression" dxfId="155" priority="46" stopIfTrue="1">
      <formula>AND($M80=1,$S80&lt;&gt;"")</formula>
    </cfRule>
  </conditionalFormatting>
  <conditionalFormatting sqref="H81 H84 H87">
    <cfRule type="expression" dxfId="154" priority="41">
      <formula>AND(H80&lt;&gt;0,ISNUMBER(H80))</formula>
    </cfRule>
  </conditionalFormatting>
  <conditionalFormatting sqref="H80 H83 H86">
    <cfRule type="expression" dxfId="153" priority="40">
      <formula>AND(H80&lt;&gt;0,ISNUMBER(H80))</formula>
    </cfRule>
  </conditionalFormatting>
  <conditionalFormatting sqref="E80 E83 E86">
    <cfRule type="expression" dxfId="152" priority="39" stopIfTrue="1">
      <formula>E80&lt;&gt;0</formula>
    </cfRule>
  </conditionalFormatting>
  <conditionalFormatting sqref="E81 E84 E87">
    <cfRule type="expression" dxfId="151" priority="38">
      <formula>AND(_xlfn.SINGLE(ACOMPANHAMENTO)="BM",E81&gt;ROUND(E81,4))</formula>
    </cfRule>
  </conditionalFormatting>
  <conditionalFormatting sqref="U80:AR80 U83:AR83 U86:AR86">
    <cfRule type="expression" dxfId="150" priority="37" stopIfTrue="1">
      <formula>U80&lt;&gt;0</formula>
    </cfRule>
  </conditionalFormatting>
  <conditionalFormatting sqref="U81:AR81 U84:AR84 U87:AR87">
    <cfRule type="expression" dxfId="149" priority="36">
      <formula>AND(_xlfn.SINGLE(ACOMPANHAMENTO)="BM",U81&gt;ROUND(U81,4))</formula>
    </cfRule>
  </conditionalFormatting>
  <conditionalFormatting sqref="E90 E93 E96 U90:AR90 U93:AR93 U96:AR96">
    <cfRule type="expression" dxfId="148" priority="31" stopIfTrue="1">
      <formula>AND(ISNUMBER($H89),$H89&lt;&gt;0)</formula>
    </cfRule>
  </conditionalFormatting>
  <conditionalFormatting sqref="I90:S90 I93:S93 I96:S96">
    <cfRule type="expression" dxfId="147" priority="32" stopIfTrue="1">
      <formula>$M89=2</formula>
    </cfRule>
    <cfRule type="expression" dxfId="146" priority="33" stopIfTrue="1">
      <formula>AND($M89=1,$S89&lt;&gt;"")</formula>
    </cfRule>
  </conditionalFormatting>
  <conditionalFormatting sqref="I89:S89 I92:S92 I95:S95">
    <cfRule type="expression" dxfId="145" priority="34" stopIfTrue="1">
      <formula>$M89=2</formula>
    </cfRule>
    <cfRule type="expression" dxfId="144" priority="35" stopIfTrue="1">
      <formula>AND($M89=1,$S89&lt;&gt;"")</formula>
    </cfRule>
  </conditionalFormatting>
  <conditionalFormatting sqref="H90 H93 H96">
    <cfRule type="expression" dxfId="143" priority="30">
      <formula>AND(H89&lt;&gt;0,ISNUMBER(H89))</formula>
    </cfRule>
  </conditionalFormatting>
  <conditionalFormatting sqref="H89 H92 H95">
    <cfRule type="expression" dxfId="142" priority="29">
      <formula>AND(H89&lt;&gt;0,ISNUMBER(H89))</formula>
    </cfRule>
  </conditionalFormatting>
  <conditionalFormatting sqref="E89 E92 E95">
    <cfRule type="expression" dxfId="141" priority="28" stopIfTrue="1">
      <formula>E89&lt;&gt;0</formula>
    </cfRule>
  </conditionalFormatting>
  <conditionalFormatting sqref="E90 E93 E96">
    <cfRule type="expression" dxfId="140" priority="27">
      <formula>AND(_xlfn.SINGLE(ACOMPANHAMENTO)="BM",E90&gt;ROUND(E90,4))</formula>
    </cfRule>
  </conditionalFormatting>
  <conditionalFormatting sqref="U89:AR89 U92:AR92 U95:AR95">
    <cfRule type="expression" dxfId="139" priority="26" stopIfTrue="1">
      <formula>U89&lt;&gt;0</formula>
    </cfRule>
  </conditionalFormatting>
  <conditionalFormatting sqref="U90:AR90 U93:AR93 U96:AR96">
    <cfRule type="expression" dxfId="138" priority="25">
      <formula>AND(_xlfn.SINGLE(ACOMPANHAMENTO)="BM",U90&gt;ROUND(U90,4))</formula>
    </cfRule>
  </conditionalFormatting>
  <conditionalFormatting sqref="E99 E102 E105 U99:AR99 U102:AR102 U105:AR105">
    <cfRule type="expression" dxfId="137" priority="20" stopIfTrue="1">
      <formula>AND(ISNUMBER($H98),$H98&lt;&gt;0)</formula>
    </cfRule>
  </conditionalFormatting>
  <conditionalFormatting sqref="I99:S99 I102:S102 I105:S105">
    <cfRule type="expression" dxfId="136" priority="21" stopIfTrue="1">
      <formula>$M98=2</formula>
    </cfRule>
    <cfRule type="expression" dxfId="135" priority="22" stopIfTrue="1">
      <formula>AND($M98=1,$S98&lt;&gt;"")</formula>
    </cfRule>
  </conditionalFormatting>
  <conditionalFormatting sqref="I98:S98 I101:S101 I104:S104">
    <cfRule type="expression" dxfId="134" priority="23" stopIfTrue="1">
      <formula>$M98=2</formula>
    </cfRule>
    <cfRule type="expression" dxfId="133" priority="24" stopIfTrue="1">
      <formula>AND($M98=1,$S98&lt;&gt;"")</formula>
    </cfRule>
  </conditionalFormatting>
  <conditionalFormatting sqref="H99 H102 H105">
    <cfRule type="expression" dxfId="132" priority="19">
      <formula>AND(H98&lt;&gt;0,ISNUMBER(H98))</formula>
    </cfRule>
  </conditionalFormatting>
  <conditionalFormatting sqref="H98 H101 H104">
    <cfRule type="expression" dxfId="131" priority="18">
      <formula>AND(H98&lt;&gt;0,ISNUMBER(H98))</formula>
    </cfRule>
  </conditionalFormatting>
  <conditionalFormatting sqref="E98 E101 E104">
    <cfRule type="expression" dxfId="130" priority="17" stopIfTrue="1">
      <formula>E98&lt;&gt;0</formula>
    </cfRule>
  </conditionalFormatting>
  <conditionalFormatting sqref="E99 E102 E105">
    <cfRule type="expression" dxfId="129" priority="16">
      <formula>AND(_xlfn.SINGLE(ACOMPANHAMENTO)="BM",E99&gt;ROUND(E99,4))</formula>
    </cfRule>
  </conditionalFormatting>
  <conditionalFormatting sqref="U98:AR98 U101:AR101 U104:AR104">
    <cfRule type="expression" dxfId="128" priority="15" stopIfTrue="1">
      <formula>U98&lt;&gt;0</formula>
    </cfRule>
  </conditionalFormatting>
  <conditionalFormatting sqref="U99:AR99 U102:AR102 U105:AR105">
    <cfRule type="expression" dxfId="127" priority="14">
      <formula>AND(_xlfn.SINGLE(ACOMPANHAMENTO)="BM",U99&gt;ROUND(U99,4))</formula>
    </cfRule>
  </conditionalFormatting>
  <conditionalFormatting sqref="AG12:AG13">
    <cfRule type="expression" dxfId="126" priority="2" stopIfTrue="1">
      <formula>NOT(ISNUMBER(AF$12))</formula>
    </cfRule>
  </conditionalFormatting>
  <conditionalFormatting sqref="AL7:AQ8">
    <cfRule type="expression" dxfId="125" priority="1" stopIfTrue="1">
      <formula>QCI.ExisteManual</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4:AR14 E14 E17 E20 U17:AR17 U20:AR20 U23:AR23 E23 E26 E29 U26:AR26 U29:AR29 U32:AR32 E32 E35 E38 U35:AR35 U38:AR38 U41:AR41 E41 E44 E47 U44:AR44 U47:AR47 U50:AR50 E50 E53 E56 U53:AR53 U56:AR56 U59:AR59 E59 E62 E65 U62:AR62 U65:AR65 U68:AR68 E68 E71 E74 U71:AR71 U74:AR74 U77:AR77 E77 U80:AR80 E80 E83 E86 U83:AR83 U86:AR86 U89:AR89 E89 E92 E95 U92:AR92 U95:AR95 U98:AR98 E98 E101 E104 U101:AR101 U104:AR104 U1:AR1" xr:uid="{00000000-0002-0000-0700-000001000000}"/>
    <dataValidation type="whole" operator="greaterThan" allowBlank="1" showErrorMessage="1" sqref="U12 AG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E90 E93 E96 E99 E102 E105 U105:AS105 U102:AS102 U99:AS99 U96:AS96 U93:AS93 U90:AS90 U87:AS87 U84:AS84 U81:AS81 U78:AS78 U75:AS75 U72:AS72 U69:AS69 U66:AS66 U63:AS63 U60:AS60 U57:AS57 U54:AS54 U51:AS51 U48:AS48 U45:AS45 U42:AS42 U39:AS39 U36:AS36 U33:AS33 U30:AS30 U27:AS27 U24:AS24 U21:AS21 U18:AS18 U15:AS15 U2:AS2" xr:uid="{00000000-0002-0000-0700-000003000000}">
      <formula1>0</formula1>
      <formula2>CRONO.MaxParc</formula2>
    </dataValidation>
    <dataValidation type="date" operator="greaterThan" allowBlank="1" showInputMessage="1" showErrorMessage="1" errorTitle="Erro" error="Digite somente datas." sqref="U13 AG13" xr:uid="{00000000-0002-0000-0700-000004000000}">
      <formula1>36526</formula1>
    </dataValidation>
    <dataValidation type="list" allowBlank="1" showErrorMessage="1" errorTitle="Atenção" error="Selecione uma opção da lista." sqref="H118:J118" xr:uid="{248F12C1-5C2E-4989-A04F-CE4BB609793B}">
      <formula1>$A$13:$A$107</formula1>
    </dataValidation>
  </dataValidations>
  <pageMargins left="0.78740157480314965" right="0.78740157480314965" top="0.78740157480314965" bottom="0.78740157480314965" header="0.59055118110236227" footer="0.59055118110236227"/>
  <pageSetup paperSize="9" scale="60" firstPageNumber="0" orientation="landscape" r:id="rId1"/>
  <headerFooter alignWithMargins="0">
    <oddHeader>&amp;C&amp;14I</oddHeader>
    <oddFooter>&amp;LPMv3.09&amp;R&amp;P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282" t="s">
        <v>297</v>
      </c>
      <c r="I1" s="8"/>
      <c r="J1" s="8"/>
      <c r="O1" s="527" t="s">
        <v>441</v>
      </c>
      <c r="P1" s="87"/>
    </row>
    <row r="2" spans="1:31" x14ac:dyDescent="0.2">
      <c r="Z2" t="s">
        <v>298</v>
      </c>
      <c r="AA2" s="90" t="s">
        <v>299</v>
      </c>
      <c r="AB2" s="78"/>
    </row>
    <row r="3" spans="1:31" x14ac:dyDescent="0.2">
      <c r="D3" s="707" t="s">
        <v>145</v>
      </c>
      <c r="E3" s="707"/>
      <c r="F3" s="89" t="s">
        <v>422</v>
      </c>
      <c r="G3" s="707" t="s">
        <v>146</v>
      </c>
      <c r="H3" s="707"/>
      <c r="I3" s="707"/>
      <c r="J3" s="767" t="s">
        <v>300</v>
      </c>
      <c r="K3" s="767"/>
      <c r="L3" s="767"/>
      <c r="M3" s="768" t="s">
        <v>301</v>
      </c>
      <c r="N3" s="768"/>
      <c r="O3" s="768"/>
      <c r="Z3" s="104">
        <f ca="1">MAX(Z7:AB7)</f>
        <v>1</v>
      </c>
      <c r="AA3" s="283">
        <f ca="1">IF(OR($O$24=ORÇAMENTO.SumINVMANUAL+QCI.SumINVMANUAL,$O$24=0),0,MIN(MAX(0,($Z$3*$O$24-ORÇAMENTO.SumCPMANUAL-QCI.SumCPMANUAL)/($O$24-ORÇAMENTO.SumINVMANUAL-QCI.SumINVMANUAL)),1))</f>
        <v>1</v>
      </c>
      <c r="AB3" s="94"/>
    </row>
    <row r="4" spans="1:31" x14ac:dyDescent="0.2">
      <c r="D4" s="711" t="str">
        <f>Import.CR</f>
        <v>0</v>
      </c>
      <c r="E4" s="711"/>
      <c r="F4" s="57" t="str">
        <f>Import.TransfereGOV</f>
        <v>0</v>
      </c>
      <c r="G4" s="711" t="str">
        <f>Import.Proponente</f>
        <v>0</v>
      </c>
      <c r="H4" s="711"/>
      <c r="I4" s="711"/>
      <c r="J4" s="769" t="str">
        <f>Import.Município</f>
        <v>LINDÓIA DO SUL - SC</v>
      </c>
      <c r="K4" s="769"/>
      <c r="L4" s="769"/>
      <c r="M4" s="768"/>
      <c r="N4" s="768"/>
      <c r="O4" s="768"/>
      <c r="R4" s="131"/>
      <c r="Z4" s="94"/>
      <c r="AA4" s="94"/>
      <c r="AB4" s="94"/>
    </row>
    <row r="5" spans="1:31" ht="5.45" customHeight="1" x14ac:dyDescent="0.2">
      <c r="M5" s="275"/>
      <c r="O5" s="4"/>
    </row>
    <row r="6" spans="1:31" x14ac:dyDescent="0.2">
      <c r="D6" s="707" t="s">
        <v>200</v>
      </c>
      <c r="E6" s="707"/>
      <c r="F6" s="707"/>
      <c r="G6" s="707"/>
      <c r="H6" s="707"/>
      <c r="I6" s="707"/>
      <c r="J6" s="707"/>
      <c r="K6" s="707"/>
      <c r="L6" s="284" t="s">
        <v>208</v>
      </c>
      <c r="M6" s="89" t="str">
        <f>IF(import.recurso="FGTS","FINANCIAMENTO","REPASSE")</f>
        <v>REPASSE</v>
      </c>
      <c r="N6" s="89" t="s">
        <v>302</v>
      </c>
      <c r="O6" s="89" t="s">
        <v>303</v>
      </c>
      <c r="Z6" t="s">
        <v>304</v>
      </c>
      <c r="AA6" t="s">
        <v>305</v>
      </c>
      <c r="AB6" t="s">
        <v>306</v>
      </c>
    </row>
    <row r="7" spans="1:31" ht="12.75" customHeight="1" x14ac:dyDescent="0.2">
      <c r="C7" s="680" t="s">
        <v>207</v>
      </c>
      <c r="D7" s="711" t="str">
        <f>Import.Apelido</f>
        <v>RUA COBERTA MUNICIPAL</v>
      </c>
      <c r="E7" s="711"/>
      <c r="F7" s="711"/>
      <c r="G7" s="711"/>
      <c r="H7" s="711"/>
      <c r="I7" s="711"/>
      <c r="J7" s="711"/>
      <c r="K7" s="711"/>
      <c r="L7" s="285" t="str">
        <f>import.recurso</f>
        <v>OGU</v>
      </c>
      <c r="M7" s="286">
        <f>Import.Repasse</f>
        <v>0</v>
      </c>
      <c r="N7" s="286">
        <f>Import.Contrapartida</f>
        <v>0</v>
      </c>
      <c r="O7" s="286">
        <f>M7+N7</f>
        <v>0</v>
      </c>
      <c r="Z7" s="104">
        <f>ROUND(Import.CPMinPerc,4)</f>
        <v>0</v>
      </c>
      <c r="AA7" s="104">
        <f ca="1">IF($O$24=0,0,Import.CPMinAbsoluta/$O$24)</f>
        <v>0</v>
      </c>
      <c r="AB7" s="104">
        <f ca="1">IF($O$24=0,0,($O$24-$AB$24-Import.Repasse)/($O$24))</f>
        <v>1</v>
      </c>
    </row>
    <row r="8" spans="1:31" x14ac:dyDescent="0.2">
      <c r="C8" s="680"/>
      <c r="D8" s="94"/>
      <c r="E8" s="94"/>
      <c r="F8" s="287"/>
      <c r="G8" s="94"/>
      <c r="H8" s="94"/>
      <c r="I8" s="94"/>
      <c r="J8" s="94"/>
      <c r="K8" s="94"/>
      <c r="L8" s="94"/>
      <c r="M8" s="94"/>
      <c r="N8" s="94"/>
      <c r="O8" s="94"/>
    </row>
    <row r="9" spans="1:31" ht="12.75" customHeight="1" x14ac:dyDescent="0.2">
      <c r="C9" s="680"/>
      <c r="G9" s="766"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IF(OFFSET($A$24,-1,0)&lt;OFFSET(ORÇAMENTO!$E$131,-1,0),"ERRO: NÚMERO DE LINHAS DO QCI INSUFICIENTE. CLIQUE NO BOTÃO ADICIONAR LINHAS",
  "")))))))</f>
        <v>PREENCHIMENTO INCOMPLETO DA TABELA PRINCIPAL DO QCI</v>
      </c>
      <c r="H9" s="766"/>
      <c r="I9" s="552"/>
      <c r="J9" s="551"/>
      <c r="K9" s="765" t="s">
        <v>307</v>
      </c>
      <c r="L9" s="288" t="str">
        <f>$L$13</f>
        <v>Repasse (R$)</v>
      </c>
      <c r="M9" s="288" t="s">
        <v>236</v>
      </c>
      <c r="AD9" s="763"/>
      <c r="AE9" s="763"/>
    </row>
    <row r="10" spans="1:31" ht="12.75" customHeight="1" x14ac:dyDescent="0.2">
      <c r="A10" s="762" t="s">
        <v>308</v>
      </c>
      <c r="C10" s="680"/>
      <c r="G10" s="766"/>
      <c r="H10" s="766"/>
      <c r="I10" s="552"/>
      <c r="J10" s="551"/>
      <c r="K10" s="765"/>
      <c r="L10" s="289">
        <f ca="1">Import.Repasse-L24</f>
        <v>0</v>
      </c>
      <c r="M10" s="290">
        <f ca="1">Import.Contrapartida-M24</f>
        <v>-1343349.71</v>
      </c>
      <c r="Z10" s="719" t="s">
        <v>214</v>
      </c>
      <c r="AA10" s="719"/>
      <c r="AB10" s="719"/>
      <c r="AD10" s="763" t="s">
        <v>309</v>
      </c>
      <c r="AE10" s="763"/>
    </row>
    <row r="11" spans="1:31" ht="20.100000000000001" customHeight="1" x14ac:dyDescent="0.25">
      <c r="A11" s="762"/>
      <c r="C11" s="680"/>
      <c r="G11" s="640"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64"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2" t="s">
        <v>310</v>
      </c>
      <c r="AA11" s="112" t="s">
        <v>236</v>
      </c>
      <c r="AB11" s="113" t="s">
        <v>237</v>
      </c>
    </row>
    <row r="12" spans="1:31" hidden="1" x14ac:dyDescent="0.2">
      <c r="A12">
        <f ca="1">IF(NOT(ISBLANK(QCI.DescManual)),OFFSET(A12,-1,0),D12)</f>
        <v>-1</v>
      </c>
      <c r="B12" t="str">
        <f ca="1">IF(NOT(ISBLANK(QCI.DescManual)),IF(QCI.Divisao="Calculado","Manual","SemiAuto"),IF(ISERROR(MATCH($A12,ORÇAMENTO!$E$15:$E$131,0)),"Branco","Automático"))</f>
        <v>Branco</v>
      </c>
      <c r="C12" t="str">
        <f ca="1">IF(O12&gt;0,"F","")</f>
        <v/>
      </c>
      <c r="D12" s="291">
        <f>ROW()-ROW($D$13)</f>
        <v>-1</v>
      </c>
      <c r="E12" s="120"/>
      <c r="F12" s="120"/>
      <c r="G12" s="170" t="str">
        <f ca="1">IF(OR($B12="Manual",$B12="SemiAuto"),QCI.DescManual,IF($B12="Automático",INDEX(ORÇAMENTO!$R$15:$R$131,MATCH($A12,ORÇAMENTO!$E$15:$E$131,0)),""))</f>
        <v/>
      </c>
      <c r="H12" s="120"/>
      <c r="I12" s="496"/>
      <c r="J12" s="292" t="str">
        <f ca="1">IF(AND(ISBLANK(E12),ISBLANK(F12)),"",VLOOKUP($F12,OFFSET(DADOS!$A$2,1,MATCH(QCI!$E12,DADOS!$2:$2,0)-1,100,50),2,FALSE))</f>
        <v/>
      </c>
      <c r="K12" s="495" t="str">
        <f ca="1">IF(OR($B12="Manual",$B12="SemiAuto"),QCI.LoteManual,IF($B12="Automático",IF(TIPOORCAMENTO="Licitado",Import.CTEF,"LOTE 1"),""))</f>
        <v/>
      </c>
      <c r="L12" s="293">
        <f ca="1">ROUND($O12,2)-ROUND($M12,2)-ROUND($N12,2)</f>
        <v>0</v>
      </c>
      <c r="M12" s="294">
        <f ca="1">ROUND($AA12,2)-ROUND($AE12,2)</f>
        <v>0</v>
      </c>
      <c r="N12" s="295">
        <f ca="1">ROUND($AB12,2)</f>
        <v>0</v>
      </c>
      <c r="O12" s="296">
        <f ca="1">IF($B12="Branco",0,IF(OR($B12="Manual",$B12="SemiAuto"),QCI.InvManual,INDEX(ORÇAMENTO!X$15:X$131,MATCH($A12,ORÇAMENTO!$E$15:$E$131,0))))</f>
        <v>0</v>
      </c>
      <c r="P12" s="635" t="str">
        <f ca="1">IF(O12=0,"",
  IF(E12="","ITEM",
  IF(F12="","SUBITEM",
  IF(H12="","SITUAÇÃO",
  IF(I12=0,"QUANT.","")))))</f>
        <v/>
      </c>
      <c r="R12" s="497"/>
      <c r="S12" s="636" t="str">
        <f>IF(R12="","",
  IF(T12=0,"► LOTE",
  IF(U12=0,"► INVEST",
  IF(V12=0,"► DIV",
  IF(AND(V12="Calculado",W12=""),"► CP",
  IF(AND(V12="Calculado",X12=""),"► OU",""))))))</f>
        <v/>
      </c>
      <c r="T12" s="498"/>
      <c r="U12" s="637"/>
      <c r="V12" s="499" t="s">
        <v>311</v>
      </c>
      <c r="W12" s="638"/>
      <c r="X12" s="639"/>
      <c r="Z12">
        <f ca="1">$O12-$AA12-$AB12</f>
        <v>0</v>
      </c>
      <c r="AA12">
        <f ca="1">IF($B12="Branco",0,IF($B12="Manual",QCI.CPManual,IF($B12="SemiAuto",ROUND(QCI!$AA$3*QCI.InvManual,2),INDEX(ORÇAMENTO!$AA$15:$AA$131,MATCH($A12,ORÇAMENTO!$E$15:$E$131,0)))))</f>
        <v>0</v>
      </c>
      <c r="AB12">
        <f ca="1">IF($B12="Branco",0,IF($B12="Manual",QCI.OutrosManual,IF($B12="SemiAuto",0,INDEX(ORÇAMENTO!$AB$15:$AB$131,MATCH($A12,ORÇAMENTO!$E$15:$E$131,0)))))</f>
        <v>0</v>
      </c>
      <c r="AD12" s="299" t="b">
        <f ca="1">AND($AA$3&gt;0,$AA$3&lt;1,$O12&gt;0,OR($B12="Automático",$B12="SemiAuto"),OR(QCI!$Z$3=QCI!$Z$7,QCI!$Z$3=QCI!$AA$7,QCI!$Z$3=QCI!$AB$7))</f>
        <v>0</v>
      </c>
      <c r="AE12" s="299">
        <f ca="1">IF(AND($AD12,$O12&gt;0,COUNTIF(OFFSET($AD12,1,0):$AD$24,TRUE)=0),CHOOSE(1+LOG(1+2*(QCI!$Z$3=QCI!$Z$7)+4*(QCI!$Z$3=QCI!$AA$7)+8*(QCI!$Z$3=QCI!$AB$7),2),0,$AA$24-ROUND(Import.CPMinPerc*$O$24,2),$AA$24-Import.CPMinAbsoluta,Import.Repasse-$Z$24),0)</f>
        <v>0</v>
      </c>
    </row>
    <row r="13" spans="1:31" ht="25.5" customHeight="1" x14ac:dyDescent="0.2">
      <c r="A13" s="87">
        <v>0</v>
      </c>
      <c r="B13" s="300" t="s">
        <v>312</v>
      </c>
      <c r="C13" s="108" t="s">
        <v>215</v>
      </c>
      <c r="D13" s="109" t="s">
        <v>193</v>
      </c>
      <c r="E13" s="109" t="s">
        <v>313</v>
      </c>
      <c r="F13" s="109" t="s">
        <v>314</v>
      </c>
      <c r="G13" s="109" t="s">
        <v>315</v>
      </c>
      <c r="H13" s="109" t="s">
        <v>160</v>
      </c>
      <c r="I13" s="109" t="s">
        <v>201</v>
      </c>
      <c r="J13" s="109" t="s">
        <v>316</v>
      </c>
      <c r="K13" s="109" t="s">
        <v>317</v>
      </c>
      <c r="L13" s="301" t="str">
        <f>IF(import.recurso="FGTS","Financiamento (R$)","Repasse (R$)")</f>
        <v>Repasse (R$)</v>
      </c>
      <c r="M13" s="302" t="s">
        <v>318</v>
      </c>
      <c r="N13" s="303" t="s">
        <v>237</v>
      </c>
      <c r="O13" s="109" t="s">
        <v>319</v>
      </c>
      <c r="R13" s="304" t="s">
        <v>315</v>
      </c>
      <c r="T13" s="304" t="s">
        <v>317</v>
      </c>
      <c r="U13" s="166" t="s">
        <v>319</v>
      </c>
      <c r="V13" s="305" t="s">
        <v>320</v>
      </c>
      <c r="W13" s="165" t="s">
        <v>318</v>
      </c>
      <c r="X13" s="167" t="s">
        <v>237</v>
      </c>
    </row>
    <row r="14" spans="1:31" ht="25.5" x14ac:dyDescent="0.2">
      <c r="A14">
        <f t="shared" ref="A14:A23" ca="1" si="0">IF(NOT(ISBLANK(QCI.DescManual)),OFFSET(A14,-1,0),D14)</f>
        <v>1</v>
      </c>
      <c r="B14" t="str">
        <f ca="1">IF(NOT(ISBLANK(QCI.DescManual)),IF(QCI.Divisao="Calculado","Manual","SemiAuto"),IF(ISERROR(MATCH($A14,ORÇAMENTO!$E$15:$E$131,0)),"Branco","Automático"))</f>
        <v>Automático</v>
      </c>
      <c r="C14" t="str">
        <f t="shared" ref="C14:C22" ca="1" si="1">IF(O14&gt;0,"F","")</f>
        <v>F</v>
      </c>
      <c r="D14" s="291">
        <f t="shared" ref="D14:D22" si="2">ROW()-ROW($D$13)</f>
        <v>1</v>
      </c>
      <c r="E14" s="120"/>
      <c r="F14" s="120"/>
      <c r="G14" s="170" t="str">
        <f ca="1">IF(OR($B14="Manual",$B14="SemiAuto"),QCI.DescManual,IF($B14="Automático",INDEX(ORÇAMENTO!$R$15:$R$131,MATCH($A14,ORÇAMENTO!$E$15:$E$131,0)),""))</f>
        <v xml:space="preserve">CONSTRUÇÃO DA RUA COBERTA MUNICIPAL </v>
      </c>
      <c r="H14" s="120"/>
      <c r="I14" s="496"/>
      <c r="J14" s="292" t="str">
        <f ca="1">IF(AND(ISBLANK(E14),ISBLANK(F14)),"",VLOOKUP($F14,OFFSET(DADOS!$A$2,1,MATCH(QCI!$E14,DADOS!$2:$2,0)-1,100,50),2,FALSE))</f>
        <v/>
      </c>
      <c r="K14" s="495" t="str">
        <f ca="1">IF(OR($B14="Manual",$B14="SemiAuto"),QCI.LoteManual,IF($B14="Automático",IF(TIPOORCAMENTO="Licitado",Import.CTEF,"LOTE 1"),""))</f>
        <v>LOTE 1</v>
      </c>
      <c r="L14" s="293">
        <f t="shared" ref="L14:L22" ca="1" si="3">ROUND($O14,2)-ROUND($M14,2)-ROUND($N14,2)</f>
        <v>0</v>
      </c>
      <c r="M14" s="294">
        <f t="shared" ref="M14:M22" ca="1" si="4">ROUND($AA14,2)-ROUND($AE14,2)</f>
        <v>1343349.71</v>
      </c>
      <c r="N14" s="295">
        <f t="shared" ref="N14:N22" ca="1" si="5">ROUND($AB14,2)</f>
        <v>0</v>
      </c>
      <c r="O14" s="296">
        <f ca="1">IF($B14="Branco",0,IF(OR($B14="Manual",$B14="SemiAuto"),QCI.InvManual,INDEX(ORÇAMENTO!X$15:X$131,MATCH($A14,ORÇAMENTO!$E$15:$E$131,0))))</f>
        <v>1343349.71</v>
      </c>
      <c r="P14" s="635" t="str">
        <f t="shared" ref="P14:P22" ca="1" si="6">IF(O14=0,"",
  IF(E14="","ITEM",
  IF(F14="","SUBITEM",
  IF(H14="","SITUAÇÃO",
  IF(I14=0,"QUANT.","")))))</f>
        <v>ITEM</v>
      </c>
      <c r="R14" s="497"/>
      <c r="S14" s="636" t="str">
        <f t="shared" ref="S14:S22" si="7">IF(R14="","",
  IF(T14=0,"► LOTE",
  IF(U14=0,"► INVEST",
  IF(V14=0,"► DIV",
  IF(AND(V14="Calculado",W14=""),"► CP",
  IF(AND(V14="Calculado",X14=""),"► OU",""))))))</f>
        <v/>
      </c>
      <c r="T14" s="498"/>
      <c r="U14" s="637"/>
      <c r="V14" s="499" t="s">
        <v>311</v>
      </c>
      <c r="W14" s="638"/>
      <c r="X14" s="639"/>
      <c r="Z14">
        <f t="shared" ref="Z14:Z22" ca="1" si="8">$O14-$AA14-$AB14</f>
        <v>6.9849193096160889E-10</v>
      </c>
      <c r="AA14">
        <f ca="1">IF($B14="Branco",0,IF($B14="Manual",QCI.CPManual,IF($B14="SemiAuto",ROUND(QCI!$AA$3*QCI.InvManual,2),INDEX(ORÇAMENTO!$AA$15:$AA$131,MATCH($A14,ORÇAMENTO!$E$15:$E$131,0)))))</f>
        <v>1343349.7099999993</v>
      </c>
      <c r="AB14">
        <f ca="1">IF($B14="Branco",0,IF($B14="Manual",QCI.OutrosManual,IF($B14="SemiAuto",0,INDEX(ORÇAMENTO!$AB$15:$AB$131,MATCH($A14,ORÇAMENTO!$E$15:$E$131,0)))))</f>
        <v>0</v>
      </c>
      <c r="AD14" s="299" t="b">
        <f ca="1">AND($AA$3&gt;0,$AA$3&lt;1,$O14&gt;0,OR($B14="Automático",$B14="SemiAuto"),OR(QCI!$Z$3=QCI!$Z$7,QCI!$Z$3=QCI!$AA$7,QCI!$Z$3=QCI!$AB$7))</f>
        <v>0</v>
      </c>
      <c r="AE14" s="299">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IF(NOT(ISBLANK(QCI.DescManual)),IF(QCI.Divisao="Calculado","Manual","SemiAuto"),IF(ISERROR(MATCH($A15,ORÇAMENTO!$E$15:$E$131,0)),"Branco","Automático"))</f>
        <v>Branco</v>
      </c>
      <c r="C15" t="str">
        <f t="shared" ca="1" si="1"/>
        <v/>
      </c>
      <c r="D15" s="291">
        <f t="shared" si="2"/>
        <v>2</v>
      </c>
      <c r="E15" s="120"/>
      <c r="F15" s="120"/>
      <c r="G15" s="170" t="str">
        <f ca="1">IF(OR($B15="Manual",$B15="SemiAuto"),QCI.DescManual,IF($B15="Automático",INDEX(ORÇAMENTO!$R$15:$R$131,MATCH($A15,ORÇAMENTO!$E$15:$E$131,0)),""))</f>
        <v/>
      </c>
      <c r="H15" s="120"/>
      <c r="I15" s="496"/>
      <c r="J15" s="292" t="str">
        <f ca="1">IF(AND(ISBLANK(E15),ISBLANK(F15)),"",VLOOKUP($F15,OFFSET(DADOS!$A$2,1,MATCH(QCI!$E15,DADOS!$2:$2,0)-1,100,50),2,FALSE))</f>
        <v/>
      </c>
      <c r="K15" s="495" t="str">
        <f ca="1">IF(OR($B15="Manual",$B15="SemiAuto"),QCI.LoteManual,IF($B15="Automático",IF(TIPOORCAMENTO="Licitado",Import.CTEF,"LOTE 1"),""))</f>
        <v/>
      </c>
      <c r="L15" s="293">
        <f t="shared" ca="1" si="3"/>
        <v>0</v>
      </c>
      <c r="M15" s="294">
        <f t="shared" ca="1" si="4"/>
        <v>0</v>
      </c>
      <c r="N15" s="295">
        <f t="shared" ca="1" si="5"/>
        <v>0</v>
      </c>
      <c r="O15" s="296">
        <f ca="1">IF($B15="Branco",0,IF(OR($B15="Manual",$B15="SemiAuto"),QCI.InvManual,INDEX(ORÇAMENTO!X$15:X$131,MATCH($A15,ORÇAMENTO!$E$15:$E$131,0))))</f>
        <v>0</v>
      </c>
      <c r="P15" s="635" t="str">
        <f t="shared" ca="1" si="6"/>
        <v/>
      </c>
      <c r="R15" s="497"/>
      <c r="S15" s="636" t="str">
        <f t="shared" si="7"/>
        <v/>
      </c>
      <c r="T15" s="498"/>
      <c r="U15" s="637"/>
      <c r="V15" s="499" t="s">
        <v>311</v>
      </c>
      <c r="W15" s="638"/>
      <c r="X15" s="639"/>
      <c r="Z15">
        <f t="shared" ca="1" si="8"/>
        <v>0</v>
      </c>
      <c r="AA15">
        <f ca="1">IF($B15="Branco",0,IF($B15="Manual",QCI.CPManual,IF($B15="SemiAuto",ROUND(QCI!$AA$3*QCI.InvManual,2),INDEX(ORÇAMENTO!$AA$15:$AA$131,MATCH($A15,ORÇAMENTO!$E$15:$E$131,0)))))</f>
        <v>0</v>
      </c>
      <c r="AB15">
        <f ca="1">IF($B15="Branco",0,IF($B15="Manual",QCI.OutrosManual,IF($B15="SemiAuto",0,INDEX(ORÇAMENTO!$AB$15:$AB$131,MATCH($A15,ORÇAMENTO!$E$15:$E$131,0)))))</f>
        <v>0</v>
      </c>
      <c r="AD15" s="299" t="b">
        <f ca="1">AND($AA$3&gt;0,$AA$3&lt;1,$O15&gt;0,OR($B15="Automático",$B15="SemiAuto"),OR(QCI!$Z$3=QCI!$Z$7,QCI!$Z$3=QCI!$AA$7,QCI!$Z$3=QCI!$AB$7))</f>
        <v>0</v>
      </c>
      <c r="AE15" s="299">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IF(NOT(ISBLANK(QCI.DescManual)),IF(QCI.Divisao="Calculado","Manual","SemiAuto"),IF(ISERROR(MATCH($A16,ORÇAMENTO!$E$15:$E$131,0)),"Branco","Automático"))</f>
        <v>Branco</v>
      </c>
      <c r="C16" t="str">
        <f t="shared" ca="1" si="1"/>
        <v/>
      </c>
      <c r="D16" s="291">
        <f t="shared" si="2"/>
        <v>3</v>
      </c>
      <c r="E16" s="120"/>
      <c r="F16" s="120"/>
      <c r="G16" s="170" t="str">
        <f ca="1">IF(OR($B16="Manual",$B16="SemiAuto"),QCI.DescManual,IF($B16="Automático",INDEX(ORÇAMENTO!$R$15:$R$131,MATCH($A16,ORÇAMENTO!$E$15:$E$131,0)),""))</f>
        <v/>
      </c>
      <c r="H16" s="120"/>
      <c r="I16" s="496"/>
      <c r="J16" s="292" t="str">
        <f ca="1">IF(AND(ISBLANK(E16),ISBLANK(F16)),"",VLOOKUP($F16,OFFSET(DADOS!$A$2,1,MATCH(QCI!$E16,DADOS!$2:$2,0)-1,100,50),2,FALSE))</f>
        <v/>
      </c>
      <c r="K16" s="495" t="str">
        <f ca="1">IF(OR($B16="Manual",$B16="SemiAuto"),QCI.LoteManual,IF($B16="Automático",IF(TIPOORCAMENTO="Licitado",Import.CTEF,"LOTE 1"),""))</f>
        <v/>
      </c>
      <c r="L16" s="293">
        <f t="shared" ca="1" si="3"/>
        <v>0</v>
      </c>
      <c r="M16" s="294">
        <f t="shared" ca="1" si="4"/>
        <v>0</v>
      </c>
      <c r="N16" s="295">
        <f t="shared" ca="1" si="5"/>
        <v>0</v>
      </c>
      <c r="O16" s="296">
        <f ca="1">IF($B16="Branco",0,IF(OR($B16="Manual",$B16="SemiAuto"),QCI.InvManual,INDEX(ORÇAMENTO!X$15:X$131,MATCH($A16,ORÇAMENTO!$E$15:$E$131,0))))</f>
        <v>0</v>
      </c>
      <c r="P16" s="635" t="str">
        <f t="shared" ca="1" si="6"/>
        <v/>
      </c>
      <c r="R16" s="497"/>
      <c r="S16" s="636" t="str">
        <f t="shared" si="7"/>
        <v/>
      </c>
      <c r="T16" s="498"/>
      <c r="U16" s="637"/>
      <c r="V16" s="499" t="s">
        <v>311</v>
      </c>
      <c r="W16" s="638"/>
      <c r="X16" s="639"/>
      <c r="Z16">
        <f t="shared" ca="1" si="8"/>
        <v>0</v>
      </c>
      <c r="AA16">
        <f ca="1">IF($B16="Branco",0,IF($B16="Manual",QCI.CPManual,IF($B16="SemiAuto",ROUND(QCI!$AA$3*QCI.InvManual,2),INDEX(ORÇAMENTO!$AA$15:$AA$131,MATCH($A16,ORÇAMENTO!$E$15:$E$131,0)))))</f>
        <v>0</v>
      </c>
      <c r="AB16">
        <f ca="1">IF($B16="Branco",0,IF($B16="Manual",QCI.OutrosManual,IF($B16="SemiAuto",0,INDEX(ORÇAMENTO!$AB$15:$AB$131,MATCH($A16,ORÇAMENTO!$E$15:$E$131,0)))))</f>
        <v>0</v>
      </c>
      <c r="AD16" s="299" t="b">
        <f ca="1">AND($AA$3&gt;0,$AA$3&lt;1,$O16&gt;0,OR($B16="Automático",$B16="SemiAuto"),OR(QCI!$Z$3=QCI!$Z$7,QCI!$Z$3=QCI!$AA$7,QCI!$Z$3=QCI!$AB$7))</f>
        <v>0</v>
      </c>
      <c r="AE16" s="299">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IF(NOT(ISBLANK(QCI.DescManual)),IF(QCI.Divisao="Calculado","Manual","SemiAuto"),IF(ISERROR(MATCH($A17,ORÇAMENTO!$E$15:$E$131,0)),"Branco","Automático"))</f>
        <v>Branco</v>
      </c>
      <c r="C17" t="str">
        <f t="shared" ca="1" si="1"/>
        <v/>
      </c>
      <c r="D17" s="291">
        <f t="shared" si="2"/>
        <v>4</v>
      </c>
      <c r="E17" s="120"/>
      <c r="F17" s="120"/>
      <c r="G17" s="170" t="str">
        <f ca="1">IF(OR($B17="Manual",$B17="SemiAuto"),QCI.DescManual,IF($B17="Automático",INDEX(ORÇAMENTO!$R$15:$R$131,MATCH($A17,ORÇAMENTO!$E$15:$E$131,0)),""))</f>
        <v/>
      </c>
      <c r="H17" s="120"/>
      <c r="I17" s="496"/>
      <c r="J17" s="292" t="str">
        <f ca="1">IF(AND(ISBLANK(E17),ISBLANK(F17)),"",VLOOKUP($F17,OFFSET(DADOS!$A$2,1,MATCH(QCI!$E17,DADOS!$2:$2,0)-1,100,50),2,FALSE))</f>
        <v/>
      </c>
      <c r="K17" s="495" t="str">
        <f ca="1">IF(OR($B17="Manual",$B17="SemiAuto"),QCI.LoteManual,IF($B17="Automático",IF(TIPOORCAMENTO="Licitado",Import.CTEF,"LOTE 1"),""))</f>
        <v/>
      </c>
      <c r="L17" s="293">
        <f t="shared" ca="1" si="3"/>
        <v>0</v>
      </c>
      <c r="M17" s="294">
        <f t="shared" ca="1" si="4"/>
        <v>0</v>
      </c>
      <c r="N17" s="295">
        <f t="shared" ca="1" si="5"/>
        <v>0</v>
      </c>
      <c r="O17" s="296">
        <f ca="1">IF($B17="Branco",0,IF(OR($B17="Manual",$B17="SemiAuto"),QCI.InvManual,INDEX(ORÇAMENTO!X$15:X$131,MATCH($A17,ORÇAMENTO!$E$15:$E$131,0))))</f>
        <v>0</v>
      </c>
      <c r="P17" s="635" t="str">
        <f t="shared" ca="1" si="6"/>
        <v/>
      </c>
      <c r="R17" s="497"/>
      <c r="S17" s="636" t="str">
        <f t="shared" si="7"/>
        <v/>
      </c>
      <c r="T17" s="498"/>
      <c r="U17" s="637"/>
      <c r="V17" s="499" t="s">
        <v>311</v>
      </c>
      <c r="W17" s="638"/>
      <c r="X17" s="639"/>
      <c r="Z17">
        <f t="shared" ca="1" si="8"/>
        <v>0</v>
      </c>
      <c r="AA17">
        <f ca="1">IF($B17="Branco",0,IF($B17="Manual",QCI.CPManual,IF($B17="SemiAuto",ROUND(QCI!$AA$3*QCI.InvManual,2),INDEX(ORÇAMENTO!$AA$15:$AA$131,MATCH($A17,ORÇAMENTO!$E$15:$E$131,0)))))</f>
        <v>0</v>
      </c>
      <c r="AB17">
        <f ca="1">IF($B17="Branco",0,IF($B17="Manual",QCI.OutrosManual,IF($B17="SemiAuto",0,INDEX(ORÇAMENTO!$AB$15:$AB$131,MATCH($A17,ORÇAMENTO!$E$15:$E$131,0)))))</f>
        <v>0</v>
      </c>
      <c r="AD17" s="299" t="b">
        <f ca="1">AND($AA$3&gt;0,$AA$3&lt;1,$O17&gt;0,OR($B17="Automático",$B17="SemiAuto"),OR(QCI!$Z$3=QCI!$Z$7,QCI!$Z$3=QCI!$AA$7,QCI!$Z$3=QCI!$AB$7))</f>
        <v>0</v>
      </c>
      <c r="AE17" s="299">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IF(NOT(ISBLANK(QCI.DescManual)),IF(QCI.Divisao="Calculado","Manual","SemiAuto"),IF(ISERROR(MATCH($A18,ORÇAMENTO!$E$15:$E$131,0)),"Branco","Automático"))</f>
        <v>Branco</v>
      </c>
      <c r="C18" t="str">
        <f t="shared" ca="1" si="1"/>
        <v/>
      </c>
      <c r="D18" s="291">
        <f t="shared" si="2"/>
        <v>5</v>
      </c>
      <c r="E18" s="120"/>
      <c r="F18" s="120"/>
      <c r="G18" s="170" t="str">
        <f ca="1">IF(OR($B18="Manual",$B18="SemiAuto"),QCI.DescManual,IF($B18="Automático",INDEX(ORÇAMENTO!$R$15:$R$131,MATCH($A18,ORÇAMENTO!$E$15:$E$131,0)),""))</f>
        <v/>
      </c>
      <c r="H18" s="120"/>
      <c r="I18" s="496"/>
      <c r="J18" s="292" t="str">
        <f ca="1">IF(AND(ISBLANK(E18),ISBLANK(F18)),"",VLOOKUP($F18,OFFSET(DADOS!$A$2,1,MATCH(QCI!$E18,DADOS!$2:$2,0)-1,100,50),2,FALSE))</f>
        <v/>
      </c>
      <c r="K18" s="495" t="str">
        <f ca="1">IF(OR($B18="Manual",$B18="SemiAuto"),QCI.LoteManual,IF($B18="Automático",IF(TIPOORCAMENTO="Licitado",Import.CTEF,"LOTE 1"),""))</f>
        <v/>
      </c>
      <c r="L18" s="293">
        <f t="shared" ca="1" si="3"/>
        <v>0</v>
      </c>
      <c r="M18" s="294">
        <f t="shared" ca="1" si="4"/>
        <v>0</v>
      </c>
      <c r="N18" s="295">
        <f t="shared" ca="1" si="5"/>
        <v>0</v>
      </c>
      <c r="O18" s="296">
        <f ca="1">IF($B18="Branco",0,IF(OR($B18="Manual",$B18="SemiAuto"),QCI.InvManual,INDEX(ORÇAMENTO!X$15:X$131,MATCH($A18,ORÇAMENTO!$E$15:$E$131,0))))</f>
        <v>0</v>
      </c>
      <c r="P18" s="635" t="str">
        <f t="shared" ca="1" si="6"/>
        <v/>
      </c>
      <c r="R18" s="497"/>
      <c r="S18" s="636" t="str">
        <f t="shared" si="7"/>
        <v/>
      </c>
      <c r="T18" s="498"/>
      <c r="U18" s="637"/>
      <c r="V18" s="499" t="s">
        <v>311</v>
      </c>
      <c r="W18" s="638"/>
      <c r="X18" s="639"/>
      <c r="Z18">
        <f t="shared" ca="1" si="8"/>
        <v>0</v>
      </c>
      <c r="AA18">
        <f ca="1">IF($B18="Branco",0,IF($B18="Manual",QCI.CPManual,IF($B18="SemiAuto",ROUND(QCI!$AA$3*QCI.InvManual,2),INDEX(ORÇAMENTO!$AA$15:$AA$131,MATCH($A18,ORÇAMENTO!$E$15:$E$131,0)))))</f>
        <v>0</v>
      </c>
      <c r="AB18">
        <f ca="1">IF($B18="Branco",0,IF($B18="Manual",QCI.OutrosManual,IF($B18="SemiAuto",0,INDEX(ORÇAMENTO!$AB$15:$AB$131,MATCH($A18,ORÇAMENTO!$E$15:$E$131,0)))))</f>
        <v>0</v>
      </c>
      <c r="AD18" s="299" t="b">
        <f ca="1">AND($AA$3&gt;0,$AA$3&lt;1,$O18&gt;0,OR($B18="Automático",$B18="SemiAuto"),OR(QCI!$Z$3=QCI!$Z$7,QCI!$Z$3=QCI!$AA$7,QCI!$Z$3=QCI!$AB$7))</f>
        <v>0</v>
      </c>
      <c r="AE18" s="299">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IF(NOT(ISBLANK(QCI.DescManual)),IF(QCI.Divisao="Calculado","Manual","SemiAuto"),IF(ISERROR(MATCH($A19,ORÇAMENTO!$E$15:$E$131,0)),"Branco","Automático"))</f>
        <v>Branco</v>
      </c>
      <c r="C19" t="str">
        <f t="shared" ca="1" si="1"/>
        <v/>
      </c>
      <c r="D19" s="291">
        <f t="shared" si="2"/>
        <v>6</v>
      </c>
      <c r="E19" s="120"/>
      <c r="F19" s="120"/>
      <c r="G19" s="170" t="str">
        <f ca="1">IF(OR($B19="Manual",$B19="SemiAuto"),QCI.DescManual,IF($B19="Automático",INDEX(ORÇAMENTO!$R$15:$R$131,MATCH($A19,ORÇAMENTO!$E$15:$E$131,0)),""))</f>
        <v/>
      </c>
      <c r="H19" s="120"/>
      <c r="I19" s="496"/>
      <c r="J19" s="292" t="str">
        <f ca="1">IF(AND(ISBLANK(E19),ISBLANK(F19)),"",VLOOKUP($F19,OFFSET(DADOS!$A$2,1,MATCH(QCI!$E19,DADOS!$2:$2,0)-1,100,50),2,FALSE))</f>
        <v/>
      </c>
      <c r="K19" s="495" t="str">
        <f ca="1">IF(OR($B19="Manual",$B19="SemiAuto"),QCI.LoteManual,IF($B19="Automático",IF(TIPOORCAMENTO="Licitado",Import.CTEF,"LOTE 1"),""))</f>
        <v/>
      </c>
      <c r="L19" s="293">
        <f t="shared" ca="1" si="3"/>
        <v>0</v>
      </c>
      <c r="M19" s="294">
        <f t="shared" ca="1" si="4"/>
        <v>0</v>
      </c>
      <c r="N19" s="295">
        <f t="shared" ca="1" si="5"/>
        <v>0</v>
      </c>
      <c r="O19" s="296">
        <f ca="1">IF($B19="Branco",0,IF(OR($B19="Manual",$B19="SemiAuto"),QCI.InvManual,INDEX(ORÇAMENTO!X$15:X$131,MATCH($A19,ORÇAMENTO!$E$15:$E$131,0))))</f>
        <v>0</v>
      </c>
      <c r="P19" s="635" t="str">
        <f t="shared" ca="1" si="6"/>
        <v/>
      </c>
      <c r="R19" s="497"/>
      <c r="S19" s="636" t="str">
        <f t="shared" si="7"/>
        <v/>
      </c>
      <c r="T19" s="498"/>
      <c r="U19" s="637"/>
      <c r="V19" s="499" t="s">
        <v>311</v>
      </c>
      <c r="W19" s="638"/>
      <c r="X19" s="639"/>
      <c r="Z19">
        <f t="shared" ca="1" si="8"/>
        <v>0</v>
      </c>
      <c r="AA19">
        <f ca="1">IF($B19="Branco",0,IF($B19="Manual",QCI.CPManual,IF($B19="SemiAuto",ROUND(QCI!$AA$3*QCI.InvManual,2),INDEX(ORÇAMENTO!$AA$15:$AA$131,MATCH($A19,ORÇAMENTO!$E$15:$E$131,0)))))</f>
        <v>0</v>
      </c>
      <c r="AB19">
        <f ca="1">IF($B19="Branco",0,IF($B19="Manual",QCI.OutrosManual,IF($B19="SemiAuto",0,INDEX(ORÇAMENTO!$AB$15:$AB$131,MATCH($A19,ORÇAMENTO!$E$15:$E$131,0)))))</f>
        <v>0</v>
      </c>
      <c r="AD19" s="299" t="b">
        <f ca="1">AND($AA$3&gt;0,$AA$3&lt;1,$O19&gt;0,OR($B19="Automático",$B19="SemiAuto"),OR(QCI!$Z$3=QCI!$Z$7,QCI!$Z$3=QCI!$AA$7,QCI!$Z$3=QCI!$AB$7))</f>
        <v>0</v>
      </c>
      <c r="AE19" s="299">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IF(NOT(ISBLANK(QCI.DescManual)),IF(QCI.Divisao="Calculado","Manual","SemiAuto"),IF(ISERROR(MATCH($A20,ORÇAMENTO!$E$15:$E$131,0)),"Branco","Automático"))</f>
        <v>Branco</v>
      </c>
      <c r="C20" t="str">
        <f t="shared" ca="1" si="1"/>
        <v/>
      </c>
      <c r="D20" s="291">
        <f t="shared" si="2"/>
        <v>7</v>
      </c>
      <c r="E20" s="120"/>
      <c r="F20" s="120"/>
      <c r="G20" s="170" t="str">
        <f ca="1">IF(OR($B20="Manual",$B20="SemiAuto"),QCI.DescManual,IF($B20="Automático",INDEX(ORÇAMENTO!$R$15:$R$131,MATCH($A20,ORÇAMENTO!$E$15:$E$131,0)),""))</f>
        <v/>
      </c>
      <c r="H20" s="120"/>
      <c r="I20" s="496"/>
      <c r="J20" s="292" t="str">
        <f ca="1">IF(AND(ISBLANK(E20),ISBLANK(F20)),"",VLOOKUP($F20,OFFSET(DADOS!$A$2,1,MATCH(QCI!$E20,DADOS!$2:$2,0)-1,100,50),2,FALSE))</f>
        <v/>
      </c>
      <c r="K20" s="495" t="str">
        <f ca="1">IF(OR($B20="Manual",$B20="SemiAuto"),QCI.LoteManual,IF($B20="Automático",IF(TIPOORCAMENTO="Licitado",Import.CTEF,"LOTE 1"),""))</f>
        <v/>
      </c>
      <c r="L20" s="293">
        <f t="shared" ca="1" si="3"/>
        <v>0</v>
      </c>
      <c r="M20" s="294">
        <f t="shared" ca="1" si="4"/>
        <v>0</v>
      </c>
      <c r="N20" s="295">
        <f t="shared" ca="1" si="5"/>
        <v>0</v>
      </c>
      <c r="O20" s="296">
        <f ca="1">IF($B20="Branco",0,IF(OR($B20="Manual",$B20="SemiAuto"),QCI.InvManual,INDEX(ORÇAMENTO!X$15:X$131,MATCH($A20,ORÇAMENTO!$E$15:$E$131,0))))</f>
        <v>0</v>
      </c>
      <c r="P20" s="635" t="str">
        <f t="shared" ca="1" si="6"/>
        <v/>
      </c>
      <c r="R20" s="497"/>
      <c r="S20" s="636" t="str">
        <f t="shared" si="7"/>
        <v/>
      </c>
      <c r="T20" s="498"/>
      <c r="U20" s="637"/>
      <c r="V20" s="499" t="s">
        <v>311</v>
      </c>
      <c r="W20" s="638"/>
      <c r="X20" s="639"/>
      <c r="Z20">
        <f t="shared" ca="1" si="8"/>
        <v>0</v>
      </c>
      <c r="AA20">
        <f ca="1">IF($B20="Branco",0,IF($B20="Manual",QCI.CPManual,IF($B20="SemiAuto",ROUND(QCI!$AA$3*QCI.InvManual,2),INDEX(ORÇAMENTO!$AA$15:$AA$131,MATCH($A20,ORÇAMENTO!$E$15:$E$131,0)))))</f>
        <v>0</v>
      </c>
      <c r="AB20">
        <f ca="1">IF($B20="Branco",0,IF($B20="Manual",QCI.OutrosManual,IF($B20="SemiAuto",0,INDEX(ORÇAMENTO!$AB$15:$AB$131,MATCH($A20,ORÇAMENTO!$E$15:$E$131,0)))))</f>
        <v>0</v>
      </c>
      <c r="AD20" s="299" t="b">
        <f ca="1">AND($AA$3&gt;0,$AA$3&lt;1,$O20&gt;0,OR($B20="Automático",$B20="SemiAuto"),OR(QCI!$Z$3=QCI!$Z$7,QCI!$Z$3=QCI!$AA$7,QCI!$Z$3=QCI!$AB$7))</f>
        <v>0</v>
      </c>
      <c r="AE20" s="299">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IF(NOT(ISBLANK(QCI.DescManual)),IF(QCI.Divisao="Calculado","Manual","SemiAuto"),IF(ISERROR(MATCH($A21,ORÇAMENTO!$E$15:$E$131,0)),"Branco","Automático"))</f>
        <v>Branco</v>
      </c>
      <c r="C21" t="str">
        <f t="shared" ca="1" si="1"/>
        <v/>
      </c>
      <c r="D21" s="291">
        <f t="shared" si="2"/>
        <v>8</v>
      </c>
      <c r="E21" s="120"/>
      <c r="F21" s="120"/>
      <c r="G21" s="170" t="str">
        <f ca="1">IF(OR($B21="Manual",$B21="SemiAuto"),QCI.DescManual,IF($B21="Automático",INDEX(ORÇAMENTO!$R$15:$R$131,MATCH($A21,ORÇAMENTO!$E$15:$E$131,0)),""))</f>
        <v/>
      </c>
      <c r="H21" s="120"/>
      <c r="I21" s="496"/>
      <c r="J21" s="292" t="str">
        <f ca="1">IF(AND(ISBLANK(E21),ISBLANK(F21)),"",VLOOKUP($F21,OFFSET(DADOS!$A$2,1,MATCH(QCI!$E21,DADOS!$2:$2,0)-1,100,50),2,FALSE))</f>
        <v/>
      </c>
      <c r="K21" s="495" t="str">
        <f ca="1">IF(OR($B21="Manual",$B21="SemiAuto"),QCI.LoteManual,IF($B21="Automático",IF(TIPOORCAMENTO="Licitado",Import.CTEF,"LOTE 1"),""))</f>
        <v/>
      </c>
      <c r="L21" s="293">
        <f t="shared" ca="1" si="3"/>
        <v>0</v>
      </c>
      <c r="M21" s="294">
        <f t="shared" ca="1" si="4"/>
        <v>0</v>
      </c>
      <c r="N21" s="295">
        <f t="shared" ca="1" si="5"/>
        <v>0</v>
      </c>
      <c r="O21" s="296">
        <f ca="1">IF($B21="Branco",0,IF(OR($B21="Manual",$B21="SemiAuto"),QCI.InvManual,INDEX(ORÇAMENTO!X$15:X$131,MATCH($A21,ORÇAMENTO!$E$15:$E$131,0))))</f>
        <v>0</v>
      </c>
      <c r="P21" s="635" t="str">
        <f t="shared" ca="1" si="6"/>
        <v/>
      </c>
      <c r="R21" s="497"/>
      <c r="S21" s="636" t="str">
        <f t="shared" si="7"/>
        <v/>
      </c>
      <c r="T21" s="498"/>
      <c r="U21" s="637"/>
      <c r="V21" s="499" t="s">
        <v>311</v>
      </c>
      <c r="W21" s="638"/>
      <c r="X21" s="639"/>
      <c r="Z21">
        <f t="shared" ca="1" si="8"/>
        <v>0</v>
      </c>
      <c r="AA21">
        <f ca="1">IF($B21="Branco",0,IF($B21="Manual",QCI.CPManual,IF($B21="SemiAuto",ROUND(QCI!$AA$3*QCI.InvManual,2),INDEX(ORÇAMENTO!$AA$15:$AA$131,MATCH($A21,ORÇAMENTO!$E$15:$E$131,0)))))</f>
        <v>0</v>
      </c>
      <c r="AB21">
        <f ca="1">IF($B21="Branco",0,IF($B21="Manual",QCI.OutrosManual,IF($B21="SemiAuto",0,INDEX(ORÇAMENTO!$AB$15:$AB$131,MATCH($A21,ORÇAMENTO!$E$15:$E$131,0)))))</f>
        <v>0</v>
      </c>
      <c r="AD21" s="299" t="b">
        <f ca="1">AND($AA$3&gt;0,$AA$3&lt;1,$O21&gt;0,OR($B21="Automático",$B21="SemiAuto"),OR(QCI!$Z$3=QCI!$Z$7,QCI!$Z$3=QCI!$AA$7,QCI!$Z$3=QCI!$AB$7))</f>
        <v>0</v>
      </c>
      <c r="AE21" s="299">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IF(NOT(ISBLANK(QCI.DescManual)),IF(QCI.Divisao="Calculado","Manual","SemiAuto"),IF(ISERROR(MATCH($A22,ORÇAMENTO!$E$15:$E$131,0)),"Branco","Automático"))</f>
        <v>Branco</v>
      </c>
      <c r="C22" t="str">
        <f t="shared" ca="1" si="1"/>
        <v/>
      </c>
      <c r="D22" s="291">
        <f t="shared" si="2"/>
        <v>9</v>
      </c>
      <c r="E22" s="120"/>
      <c r="F22" s="120"/>
      <c r="G22" s="170" t="str">
        <f ca="1">IF(OR($B22="Manual",$B22="SemiAuto"),QCI.DescManual,IF($B22="Automático",INDEX(ORÇAMENTO!$R$15:$R$131,MATCH($A22,ORÇAMENTO!$E$15:$E$131,0)),""))</f>
        <v/>
      </c>
      <c r="H22" s="120"/>
      <c r="I22" s="496"/>
      <c r="J22" s="292" t="str">
        <f ca="1">IF(AND(ISBLANK(E22),ISBLANK(F22)),"",VLOOKUP($F22,OFFSET(DADOS!$A$2,1,MATCH(QCI!$E22,DADOS!$2:$2,0)-1,100,50),2,FALSE))</f>
        <v/>
      </c>
      <c r="K22" s="495" t="str">
        <f ca="1">IF(OR($B22="Manual",$B22="SemiAuto"),QCI.LoteManual,IF($B22="Automático",IF(TIPOORCAMENTO="Licitado",Import.CTEF,"LOTE 1"),""))</f>
        <v/>
      </c>
      <c r="L22" s="293">
        <f t="shared" ca="1" si="3"/>
        <v>0</v>
      </c>
      <c r="M22" s="294">
        <f t="shared" ca="1" si="4"/>
        <v>0</v>
      </c>
      <c r="N22" s="295">
        <f t="shared" ca="1" si="5"/>
        <v>0</v>
      </c>
      <c r="O22" s="296">
        <f ca="1">IF($B22="Branco",0,IF(OR($B22="Manual",$B22="SemiAuto"),QCI.InvManual,INDEX(ORÇAMENTO!X$15:X$131,MATCH($A22,ORÇAMENTO!$E$15:$E$131,0))))</f>
        <v>0</v>
      </c>
      <c r="P22" s="635" t="str">
        <f t="shared" ca="1" si="6"/>
        <v/>
      </c>
      <c r="R22" s="497"/>
      <c r="S22" s="636" t="str">
        <f t="shared" si="7"/>
        <v/>
      </c>
      <c r="T22" s="498"/>
      <c r="U22" s="637"/>
      <c r="V22" s="499" t="s">
        <v>311</v>
      </c>
      <c r="W22" s="638"/>
      <c r="X22" s="639"/>
      <c r="Z22">
        <f t="shared" ca="1" si="8"/>
        <v>0</v>
      </c>
      <c r="AA22">
        <f ca="1">IF($B22="Branco",0,IF($B22="Manual",QCI.CPManual,IF($B22="SemiAuto",ROUND(QCI!$AA$3*QCI.InvManual,2),INDEX(ORÇAMENTO!$AA$15:$AA$131,MATCH($A22,ORÇAMENTO!$E$15:$E$131,0)))))</f>
        <v>0</v>
      </c>
      <c r="AB22">
        <f ca="1">IF($B22="Branco",0,IF($B22="Manual",QCI.OutrosManual,IF($B22="SemiAuto",0,INDEX(ORÇAMENTO!$AB$15:$AB$131,MATCH($A22,ORÇAMENTO!$E$15:$E$131,0)))))</f>
        <v>0</v>
      </c>
      <c r="AD22" s="299" t="b">
        <f ca="1">AND($AA$3&gt;0,$AA$3&lt;1,$O22&gt;0,OR($B22="Automático",$B22="SemiAuto"),OR(QCI!$Z$3=QCI!$Z$7,QCI!$Z$3=QCI!$AA$7,QCI!$Z$3=QCI!$AB$7))</f>
        <v>0</v>
      </c>
      <c r="AE22" s="299">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IF(NOT(ISBLANK(QCI.DescManual)),IF(QCI.Divisao="Calculado","Manual","SemiAuto"),IF(ISERROR(MATCH($A23,ORÇAMENTO!$E$15:$E$131,0)),"Branco","Automático"))</f>
        <v>Branco</v>
      </c>
      <c r="C23" t="str">
        <f ca="1">IF(O23&gt;0,"F","")</f>
        <v/>
      </c>
      <c r="D23" s="291">
        <f>ROW()-ROW($D$13)</f>
        <v>10</v>
      </c>
      <c r="E23" s="120"/>
      <c r="F23" s="120"/>
      <c r="G23" s="170" t="str">
        <f ca="1">IF(OR($B23="Manual",$B23="SemiAuto"),QCI.DescManual,IF($B23="Automático",INDEX(ORÇAMENTO!$R$15:$R$131,MATCH($A23,ORÇAMENTO!$E$15:$E$131,0)),""))</f>
        <v/>
      </c>
      <c r="H23" s="120"/>
      <c r="I23" s="496"/>
      <c r="J23" s="292" t="str">
        <f ca="1">IF(AND(ISBLANK(E23),ISBLANK(F23)),"",VLOOKUP($F23,OFFSET(DADOS!$A$2,1,MATCH(QCI!$E23,DADOS!$2:$2,0)-1,100,50),2,FALSE))</f>
        <v/>
      </c>
      <c r="K23" s="495" t="str">
        <f ca="1">IF(OR($B23="Manual",$B23="SemiAuto"),QCI.LoteManual,IF($B23="Automático",IF(TIPOORCAMENTO="Licitado",Import.CTEF,"LOTE 1"),""))</f>
        <v/>
      </c>
      <c r="L23" s="293">
        <f ca="1">ROUND($O23,2)-ROUND($M23,2)-ROUND($N23,2)</f>
        <v>0</v>
      </c>
      <c r="M23" s="294">
        <f ca="1">ROUND($AA23,2)-ROUND($AE23,2)</f>
        <v>0</v>
      </c>
      <c r="N23" s="295">
        <f ca="1">ROUND($AB23,2)</f>
        <v>0</v>
      </c>
      <c r="O23" s="296">
        <f ca="1">IF($B23="Branco",0,IF(OR($B23="Manual",$B23="SemiAuto"),QCI.InvManual,INDEX(ORÇAMENTO!X$15:X$131,MATCH($A23,ORÇAMENTO!$E$15:$E$131,0))))</f>
        <v>0</v>
      </c>
      <c r="P23" s="635" t="str">
        <f ca="1">IF(O23=0,"",
  IF(E23="","ITEM",
  IF(F23="","SUBITEM",
  IF(H23="","SITUAÇÃO",
  IF(I23=0,"QUANT.","")))))</f>
        <v/>
      </c>
      <c r="R23" s="497"/>
      <c r="S23" s="636" t="str">
        <f>IF(R23="","",
  IF(T23=0,"► LOTE",
  IF(U23=0,"► INVEST",
  IF(V23=0,"► DIV",
  IF(AND(V23="Calculado",W23=""),"► CP",
  IF(AND(V23="Calculado",X23=""),"► OU",""))))))</f>
        <v/>
      </c>
      <c r="T23" s="498"/>
      <c r="U23" s="637"/>
      <c r="V23" s="499" t="s">
        <v>311</v>
      </c>
      <c r="W23" s="638"/>
      <c r="X23" s="639"/>
      <c r="Z23">
        <f ca="1">$O23-$AA23-$AB23</f>
        <v>0</v>
      </c>
      <c r="AA23">
        <f ca="1">IF($B23="Branco",0,IF($B23="Manual",QCI.CPManual,IF($B23="SemiAuto",ROUND(QCI!$AA$3*QCI.InvManual,2),INDEX(ORÇAMENTO!$AA$15:$AA$131,MATCH($A23,ORÇAMENTO!$E$15:$E$131,0)))))</f>
        <v>0</v>
      </c>
      <c r="AB23">
        <f ca="1">IF($B23="Branco",0,IF($B23="Manual",QCI.OutrosManual,IF($B23="SemiAuto",0,INDEX(ORÇAMENTO!$AB$15:$AB$131,MATCH($A23,ORÇAMENTO!$E$15:$E$131,0)))))</f>
        <v>0</v>
      </c>
      <c r="AD23" s="299" t="b">
        <f ca="1">AND($AA$3&gt;0,$AA$3&lt;1,$O23&gt;0,OR($B23="Automático",$B23="SemiAuto"),OR(QCI!$Z$3=QCI!$Z$7,QCI!$Z$3=QCI!$AA$7,QCI!$Z$3=QCI!$AB$7))</f>
        <v>0</v>
      </c>
      <c r="AE23" s="299">
        <f ca="1">IF(AND($AD23,$O23&gt;0,COUNTIF(OFFSET($AD23,1,0):$AD$24,TRUE)=0),CHOOSE(1+LOG(1+2*(QCI!$Z$3=QCI!$Z$7)+4*(QCI!$Z$3=QCI!$AA$7)+8*(QCI!$Z$3=QCI!$AB$7),2),0,$AA$24-ROUND(Import.CPMinPerc*$O$24,2),$AA$24-Import.CPMinAbsoluta,Import.Repasse-$Z$24),0)</f>
        <v>0</v>
      </c>
    </row>
    <row r="24" spans="1:31" ht="15" x14ac:dyDescent="0.2">
      <c r="B24" t="s">
        <v>321</v>
      </c>
      <c r="C24" t="s">
        <v>244</v>
      </c>
      <c r="D24" s="306"/>
      <c r="E24" s="307"/>
      <c r="F24" s="307"/>
      <c r="G24" s="307"/>
      <c r="H24" s="307"/>
      <c r="I24" s="307"/>
      <c r="J24" s="307"/>
      <c r="K24" s="764" t="s">
        <v>322</v>
      </c>
      <c r="L24" s="308">
        <f ca="1">SUM(L13:OFFSET(L24,-1,0))</f>
        <v>0</v>
      </c>
      <c r="M24" s="309">
        <f ca="1">SUM(M13:OFFSET(M24,-1,0))</f>
        <v>1343349.71</v>
      </c>
      <c r="N24" s="310">
        <f ca="1">SUM(N13:OFFSET(N24,-1,0))</f>
        <v>0</v>
      </c>
      <c r="O24" s="311">
        <f ca="1">SUM(O13:OFFSET(O24,-1,0))</f>
        <v>1343349.71</v>
      </c>
      <c r="R24" s="312"/>
      <c r="T24" s="313"/>
      <c r="U24" s="314"/>
      <c r="V24" s="315"/>
      <c r="W24" s="316"/>
      <c r="X24" s="317"/>
      <c r="Z24" s="90">
        <f ca="1">SUMPRODUCT(ROUND(Z13:OFFSET(Z24,-1,0),2))</f>
        <v>0</v>
      </c>
      <c r="AA24" s="90">
        <f ca="1">SUMPRODUCT(ROUND(AA13:OFFSET(AA24,-1,0),2))</f>
        <v>1343349.71</v>
      </c>
      <c r="AB24" s="90">
        <f ca="1">SUM(AB13:OFFSET(AB24,-1,0))</f>
        <v>0</v>
      </c>
    </row>
    <row r="25" spans="1:31" x14ac:dyDescent="0.2">
      <c r="B25" t="s">
        <v>323</v>
      </c>
      <c r="C25" t="s">
        <v>244</v>
      </c>
      <c r="D25" s="318"/>
      <c r="E25" s="319"/>
      <c r="F25" s="319"/>
      <c r="G25" s="319"/>
      <c r="H25" s="319"/>
      <c r="I25" s="319"/>
      <c r="J25" s="319"/>
      <c r="K25" s="764"/>
      <c r="L25" s="320">
        <f ca="1">IF(ISERROR(L24/$O24),0,ROUND(L24/$O24,4))</f>
        <v>0</v>
      </c>
      <c r="M25" s="321">
        <f ca="1">IF(ISERROR(M24/$O24),0,ROUND(M24/$O24,4))</f>
        <v>1</v>
      </c>
      <c r="N25" s="322">
        <f ca="1">IF(ISERROR(N24/$O24),0,ROUND(N24/$O24,4))</f>
        <v>0</v>
      </c>
      <c r="O25" s="323">
        <f ca="1">IF(ISERROR(O24/$O24),0,ROUND(O24/$O24,4))</f>
        <v>1</v>
      </c>
      <c r="R25" s="324"/>
      <c r="T25" s="325"/>
      <c r="U25" s="326"/>
      <c r="V25" s="327"/>
      <c r="W25" s="328"/>
      <c r="X25" s="329"/>
    </row>
    <row r="27" spans="1:31" ht="14.25" x14ac:dyDescent="0.2">
      <c r="D27" s="141" t="s">
        <v>185</v>
      </c>
    </row>
    <row r="28" spans="1:31" ht="12.75" customHeight="1" x14ac:dyDescent="0.2">
      <c r="D28" s="727"/>
      <c r="E28" s="727"/>
      <c r="F28" s="727"/>
      <c r="G28" s="727"/>
      <c r="H28" s="727"/>
      <c r="I28" s="727"/>
      <c r="J28" s="727"/>
      <c r="K28" s="727"/>
      <c r="L28" s="727"/>
      <c r="M28" s="727"/>
      <c r="N28" s="727"/>
      <c r="O28" s="727"/>
    </row>
    <row r="29" spans="1:31" ht="12.75" customHeight="1" x14ac:dyDescent="0.2">
      <c r="D29" s="727"/>
      <c r="E29" s="727"/>
      <c r="F29" s="727"/>
      <c r="G29" s="727"/>
      <c r="H29" s="727"/>
      <c r="I29" s="727"/>
      <c r="J29" s="727"/>
      <c r="K29" s="727"/>
      <c r="L29" s="727"/>
      <c r="M29" s="727"/>
      <c r="N29" s="727"/>
      <c r="O29" s="727"/>
    </row>
    <row r="30" spans="1:31" ht="12.75" customHeight="1" x14ac:dyDescent="0.2">
      <c r="D30" s="727"/>
      <c r="E30" s="727"/>
      <c r="F30" s="727"/>
      <c r="G30" s="727"/>
      <c r="H30" s="727"/>
      <c r="I30" s="727"/>
      <c r="J30" s="727"/>
      <c r="K30" s="727"/>
      <c r="L30" s="727"/>
      <c r="M30" s="727"/>
      <c r="N30" s="727"/>
      <c r="O30" s="727"/>
    </row>
    <row r="33" spans="4:12" ht="15" x14ac:dyDescent="0.2">
      <c r="D33" s="675" t="str">
        <f>Import.Município</f>
        <v>LINDÓIA DO SUL - SC</v>
      </c>
      <c r="E33" s="675"/>
      <c r="F33" s="675"/>
      <c r="I33" s="145"/>
      <c r="J33" s="145"/>
      <c r="K33" s="189"/>
      <c r="L33" s="189"/>
    </row>
    <row r="34" spans="4:12" x14ac:dyDescent="0.2">
      <c r="D34" s="10" t="s">
        <v>186</v>
      </c>
      <c r="I34" s="190" t="s">
        <v>324</v>
      </c>
      <c r="J34" s="190"/>
    </row>
    <row r="35" spans="4:12" x14ac:dyDescent="0.2">
      <c r="I35" s="78" t="str">
        <f>"Nome:" &amp;  " " &amp; DADOS!C28</f>
        <v>Nome: FLAVIO BENINI</v>
      </c>
    </row>
    <row r="36" spans="4:12" x14ac:dyDescent="0.2">
      <c r="D36" s="723">
        <f ca="1">DADOS!$C$25</f>
        <v>46189</v>
      </c>
      <c r="E36" s="723"/>
      <c r="F36" s="723"/>
      <c r="I36" s="78" t="str">
        <f>"Cargo:"  &amp; " " &amp; DADOS!C29</f>
        <v>Cargo: PREFEITO MUNICIPAL</v>
      </c>
    </row>
    <row r="37" spans="4:12" x14ac:dyDescent="0.2">
      <c r="D37" s="146" t="s">
        <v>187</v>
      </c>
      <c r="E37" s="1"/>
      <c r="F37" s="1"/>
      <c r="K37" s="78"/>
      <c r="L37" s="79"/>
    </row>
  </sheetData>
  <sheetProtection algorithmName="SHA-512" hashValue="blXUz0jk0D0QY5jONf5iLtv2+rN0Xnym+bAeb3iL5f8pJCBf0KN2Lbgtfe+6npTwQ1Au/NiDgX2HfkMe4Vt+RA==" saltValue="4wTAPxaAwWM1F9Vae4x4W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24" priority="626" stopIfTrue="1">
      <formula>OR($B12="Automático",$B12="Branco")</formula>
    </cfRule>
  </conditionalFormatting>
  <conditionalFormatting sqref="L12">
    <cfRule type="expression" dxfId="123" priority="627"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22" priority="628" stopIfTrue="1">
      <formula>OR($B12="Automático",$B12="Branco",$V12&lt;&gt;"Calculado")</formula>
    </cfRule>
  </conditionalFormatting>
  <conditionalFormatting sqref="M25">
    <cfRule type="expression" dxfId="121" priority="630" stopIfTrue="1">
      <formula>AND($G$9&lt;&gt;"",OR($M$25&lt;Import.CPMinPerc,$M$25&gt;Import.CPMaxPerc))</formula>
    </cfRule>
  </conditionalFormatting>
  <conditionalFormatting sqref="M24">
    <cfRule type="expression" dxfId="120" priority="631" stopIfTrue="1">
      <formula>AND($G$9&lt;&gt;"",$M$24&lt;Import.CPMinAbsoluta)</formula>
    </cfRule>
  </conditionalFormatting>
  <conditionalFormatting sqref="L10:M10">
    <cfRule type="cellIs" dxfId="119" priority="632" stopIfTrue="1" operator="lessThan">
      <formula>0</formula>
    </cfRule>
  </conditionalFormatting>
  <conditionalFormatting sqref="G12">
    <cfRule type="cellIs" dxfId="118" priority="633" stopIfTrue="1" operator="equal">
      <formula>"(digite a descrição aqui)"</formula>
    </cfRule>
  </conditionalFormatting>
  <conditionalFormatting sqref="T14:V22">
    <cfRule type="expression" dxfId="117" priority="5" stopIfTrue="1">
      <formula>OR($B14="Automático",$B14="Branco")</formula>
    </cfRule>
  </conditionalFormatting>
  <conditionalFormatting sqref="L14:L22">
    <cfRule type="expression" dxfId="116"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15" priority="7" stopIfTrue="1">
      <formula>OR($B14="Automático",$B14="Branco",$V14&lt;&gt;"Calculado")</formula>
    </cfRule>
  </conditionalFormatting>
  <conditionalFormatting sqref="G14:G22">
    <cfRule type="cellIs" dxfId="114" priority="8" stopIfTrue="1" operator="equal">
      <formula>"(digite a descrição aqui)"</formula>
    </cfRule>
  </conditionalFormatting>
  <conditionalFormatting sqref="T23:V23">
    <cfRule type="expression" dxfId="113" priority="1" stopIfTrue="1">
      <formula>OR($B23="Automático",$B23="Branco")</formula>
    </cfRule>
  </conditionalFormatting>
  <conditionalFormatting sqref="L23">
    <cfRule type="expression" dxfId="112"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11" priority="3" stopIfTrue="1">
      <formula>OR($B23="Automático",$B23="Branco",$V23&lt;&gt;"Calculado")</formula>
    </cfRule>
  </conditionalFormatting>
  <conditionalFormatting sqref="G23">
    <cfRule type="cellIs" dxfId="110"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&amp;LPMv3.09&amp;R&amp;P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IF(AUTOEVENTO="Manual",IF(OFFSET(EVENTOS!$F$14,PLE!$B1,0)&gt;0,"F",""),IF(PLE!B1&lt;=MAX(CÁLCULO!$M$15:$M$131),"F",""))</f>
        <v>#REF!</v>
      </c>
      <c r="B1" s="257" t="e">
        <f ca="1">OFFSET(B1,-1,0)+1</f>
        <v>#REF!</v>
      </c>
      <c r="C1" s="770" t="e">
        <f ca="1">IF(AUTOEVENTO="Manual",OFFSET(EVENTOS!$D$15,$B1-$B$15,0),IF(B1&lt;=MAX(CÁLCULO!$M$15:$M$131),VLOOKUP($B1,CÁLCULO!$M$15:$N$131,2,FALSE),0))</f>
        <v>#REF!</v>
      </c>
      <c r="D1" s="770"/>
      <c r="F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row>
    <row r="2" spans="1:33" hidden="1" x14ac:dyDescent="0.2">
      <c r="A2" s="7"/>
      <c r="B2" s="7"/>
      <c r="C2" s="13"/>
      <c r="D2" s="13"/>
      <c r="F2" s="470"/>
    </row>
    <row r="3" spans="1:33" ht="15.75" x14ac:dyDescent="0.25">
      <c r="H3" s="216" t="s">
        <v>287</v>
      </c>
      <c r="AD3" s="663" t="s">
        <v>139</v>
      </c>
      <c r="AE3" s="663"/>
      <c r="AF3" s="663"/>
    </row>
    <row r="4" spans="1:33" ht="15.75" x14ac:dyDescent="0.2">
      <c r="B4" s="83"/>
      <c r="C4" s="83"/>
      <c r="H4" s="84" t="str">
        <f>import.recurso</f>
        <v>OGU</v>
      </c>
      <c r="AD4" s="664" t="s">
        <v>142</v>
      </c>
      <c r="AE4" s="664"/>
      <c r="AF4" s="664"/>
    </row>
    <row r="6" spans="1:33" x14ac:dyDescent="0.2">
      <c r="B6" s="218" t="s">
        <v>145</v>
      </c>
      <c r="C6" s="273"/>
      <c r="D6" s="220" t="s">
        <v>422</v>
      </c>
      <c r="E6" s="4"/>
      <c r="H6" s="221" t="s">
        <v>268</v>
      </c>
      <c r="I6" s="196"/>
      <c r="J6" s="196"/>
      <c r="K6" s="196"/>
      <c r="L6" s="195"/>
      <c r="M6" s="195"/>
      <c r="N6" s="274"/>
      <c r="O6" s="218" t="s">
        <v>269</v>
      </c>
      <c r="P6" s="222"/>
      <c r="R6" s="196"/>
      <c r="S6" s="196"/>
      <c r="T6" s="196"/>
      <c r="U6" s="219"/>
      <c r="V6" s="218" t="str">
        <f>IF(TIPOORCAMENTO="Licitado","NOME DA EMPRESA","DESCRIÇÃO DO LOTE")</f>
        <v>DESCRIÇÃO DO LOTE</v>
      </c>
      <c r="W6" s="196"/>
      <c r="X6" s="196"/>
      <c r="Y6" s="196"/>
      <c r="AD6" s="4"/>
      <c r="AE6" s="783" t="str">
        <f>IF(TIPOORCAMENTO="Licitado","Nº CTEF","")</f>
        <v/>
      </c>
      <c r="AF6" s="783"/>
    </row>
    <row r="7" spans="1:33" x14ac:dyDescent="0.2">
      <c r="B7" s="665" t="str">
        <f>Import.CR</f>
        <v>0</v>
      </c>
      <c r="C7" s="665"/>
      <c r="D7" s="224" t="str">
        <f>Import.TransfereGOV</f>
        <v>0</v>
      </c>
      <c r="E7" s="43"/>
      <c r="H7" s="668" t="str">
        <f>Import.Proponente</f>
        <v>0</v>
      </c>
      <c r="I7" s="668"/>
      <c r="J7" s="668"/>
      <c r="K7" s="668"/>
      <c r="L7" s="668"/>
      <c r="M7" s="668"/>
      <c r="N7" s="668"/>
      <c r="O7" s="665" t="str">
        <f>Import.Apelido</f>
        <v>RUA COBERTA MUNICIPAL</v>
      </c>
      <c r="P7" s="665"/>
      <c r="Q7" s="665"/>
      <c r="R7" s="665"/>
      <c r="S7" s="665"/>
      <c r="T7" s="665"/>
      <c r="U7" s="665"/>
      <c r="V7" s="665" t="str">
        <f>IF(TIPOORCAMENTO="Licitado",Import.empresa,Import.DescLote)</f>
        <v>RUA COBERTA MUNICIPAL</v>
      </c>
      <c r="W7" s="665"/>
      <c r="X7" s="665"/>
      <c r="Y7" s="665"/>
      <c r="Z7" s="665"/>
      <c r="AA7" s="665"/>
      <c r="AB7" s="665"/>
      <c r="AC7" s="665"/>
      <c r="AD7" s="665"/>
      <c r="AE7" s="784" t="str">
        <f>IF(TIPOORCAMENTO="Licitado",Import.CTEF,"")</f>
        <v/>
      </c>
      <c r="AF7" s="784"/>
      <c r="AG7" s="275"/>
    </row>
    <row r="9" spans="1:33" ht="15.75" x14ac:dyDescent="0.25">
      <c r="A9" s="419">
        <v>0</v>
      </c>
      <c r="B9" s="276"/>
      <c r="C9" s="276"/>
      <c r="I9" s="277" t="s">
        <v>288</v>
      </c>
      <c r="J9" s="786">
        <v>1</v>
      </c>
      <c r="K9" s="786"/>
      <c r="M9" s="277" t="s">
        <v>279</v>
      </c>
      <c r="N9" s="787" t="str">
        <f ca="1">TEXT(IF(PLE.Medicao=1,Import.DataInicioObra,OFFSET($H$68,0,1+(PLE.Medicao-$I$69)*2-2)+1),"dd/mm/aaaa")&amp;" a "&amp;TEXT(OFFSET($H$68,0,1+(PLE.Medicao-$I$69)*2),"dd/mm/aaaa")</f>
        <v>00/01/1900 a 00/01/1900</v>
      </c>
      <c r="O9" s="787"/>
      <c r="P9" s="787"/>
      <c r="Q9" s="787"/>
      <c r="R9" s="787"/>
      <c r="S9" s="787"/>
      <c r="T9" s="787"/>
      <c r="U9" s="278"/>
      <c r="X9" s="277" t="s">
        <v>289</v>
      </c>
      <c r="Y9" s="785">
        <f ca="1">OFFSET($I$69,1+8*(ROUNDUP(($J$9-0)/((COLUMN($AG$14)-COLUMN($G$14)-1)/25*12),0)-1),ROUNDDOWN((($J$9-0)-OFFSET($I$69,8*(ROUNDUP(($J$9-0)/((COLUMN($AG$14)-COLUMN($G$14)-1)/25*12),0)-1),0))*(2+1/12),0))</f>
        <v>0</v>
      </c>
      <c r="Z9" s="785"/>
      <c r="AD9" s="277" t="s">
        <v>290</v>
      </c>
      <c r="AE9" s="785">
        <f ca="1">OFFSET($I$69,3+8*(ROUNDUP(($J$9-0)/((COLUMN($AG$14)-COLUMN($G$14)-1)/25*12),0)-1),ROUNDDOWN((($J$9-0)-OFFSET($I$69,8*(ROUNDUP(($J$9-0)/((COLUMN($AG$14)-COLUMN($G$14)-1)/25*12),0)-1),0))*(2+1/12),0))</f>
        <v>0</v>
      </c>
      <c r="AF9" s="785"/>
    </row>
    <row r="11" spans="1:33" ht="65.25" customHeight="1" x14ac:dyDescent="0.2">
      <c r="A11" s="260" t="s">
        <v>285</v>
      </c>
      <c r="C11" s="782" t="str">
        <f>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82"/>
      <c r="F11" s="262" t="str">
        <f ca="1">IF(F$12&gt;CÁLCULO.NúmeroDeFrentes,"",OFFSET(CÁLCULO!$P$12,0,F$12))</f>
        <v>SERVIÇOS INICIAIS E ESCAVAÇÕES</v>
      </c>
      <c r="H11" s="262" t="str">
        <f ca="1">IF(H$12&gt;CÁLCULO.NúmeroDeFrentes,"",OFFSET(CÁLCULO!$P$12,0,H$12))</f>
        <v>SERVIÇOS INICIAIS E ESCAVAÇÕES</v>
      </c>
      <c r="I11" s="262" t="str">
        <f ca="1">IF(I$12&gt;CÁLCULO.NúmeroDeFrentes,"",OFFSET(CÁLCULO!$P$12,0,I$12))</f>
        <v xml:space="preserve">FUNDAÇÕES E ESTRUTURA </v>
      </c>
      <c r="J11" s="262" t="str">
        <f ca="1">IF(J$12&gt;CÁLCULO.NúmeroDeFrentes,"",OFFSET(CÁLCULO!$P$12,0,J$12))</f>
        <v>PAVIMENTAÇÃO E FECHAMENTO METÁLICO</v>
      </c>
      <c r="K11" s="262" t="str">
        <f ca="1">IF(K$12&gt;CÁLCULO.NúmeroDeFrentes,"",OFFSET(CÁLCULO!$P$12,0,K$12))</f>
        <v>ALVENARIA, ESQUADRIAS E INSTALAÇÕES ELÉTRICAS</v>
      </c>
      <c r="L11" s="262" t="str">
        <f ca="1">IF(L$12&gt;CÁLCULO.NúmeroDeFrentes,"",OFFSET(CÁLCULO!$P$12,0,L$12))</f>
        <v>SERVIÇOS FINAIS</v>
      </c>
      <c r="M11" s="262">
        <f ca="1">IF(M$12&gt;CÁLCULO.NúmeroDeFrentes,"",OFFSET(CÁLCULO!$P$12,0,M$12))</f>
        <v>0</v>
      </c>
      <c r="N11" s="262">
        <f ca="1">IF(N$12&gt;CÁLCULO.NúmeroDeFrentes,"",OFFSET(CÁLCULO!$P$12,0,N$12))</f>
        <v>0</v>
      </c>
      <c r="O11" s="262">
        <f ca="1">IF(O$12&gt;CÁLCULO.NúmeroDeFrentes,"",OFFSET(CÁLCULO!$P$12,0,O$12))</f>
        <v>0</v>
      </c>
      <c r="P11" s="262">
        <f ca="1">IF(P$12&gt;CÁLCULO.NúmeroDeFrentes,"",OFFSET(CÁLCULO!$P$12,0,P$12))</f>
        <v>0</v>
      </c>
      <c r="Q11" s="262">
        <f ca="1">IF(Q$12&gt;CÁLCULO.NúmeroDeFrentes,"",OFFSET(CÁLCULO!$P$12,0,Q$12))</f>
        <v>0</v>
      </c>
      <c r="R11" s="262">
        <f ca="1">IF(R$12&gt;CÁLCULO.NúmeroDeFrentes,"",OFFSET(CÁLCULO!$P$12,0,R$12))</f>
        <v>0</v>
      </c>
      <c r="S11" s="262">
        <f ca="1">IF(S$12&gt;CÁLCULO.NúmeroDeFrentes,"",OFFSET(CÁLCULO!$P$12,0,S$12))</f>
        <v>0</v>
      </c>
      <c r="T11" s="262">
        <f ca="1">IF(T$12&gt;CÁLCULO.NúmeroDeFrentes,"",OFFSET(CÁLCULO!$P$12,0,T$12))</f>
        <v>0</v>
      </c>
      <c r="U11" s="262">
        <f ca="1">IF(U$12&gt;CÁLCULO.NúmeroDeFrentes,"",OFFSET(CÁLCULO!$P$12,0,U$12))</f>
        <v>0</v>
      </c>
      <c r="V11" s="262">
        <f ca="1">IF(V$12&gt;CÁLCULO.NúmeroDeFrentes,"",OFFSET(CÁLCULO!$P$12,0,V$12))</f>
        <v>0</v>
      </c>
      <c r="W11" s="262">
        <f ca="1">IF(W$12&gt;CÁLCULO.NúmeroDeFrentes,"",OFFSET(CÁLCULO!$P$12,0,W$12))</f>
        <v>0</v>
      </c>
      <c r="X11" s="262">
        <f ca="1">IF(X$12&gt;CÁLCULO.NúmeroDeFrentes,"",OFFSET(CÁLCULO!$P$12,0,X$12))</f>
        <v>0</v>
      </c>
      <c r="Y11" s="262">
        <f ca="1">IF(Y$12&gt;CÁLCULO.NúmeroDeFrentes,"",OFFSET(CÁLCULO!$P$12,0,Y$12))</f>
        <v>0</v>
      </c>
      <c r="Z11" s="262" t="str">
        <f ca="1">IF(Z$12&gt;CÁLCULO.NúmeroDeFrentes,"",OFFSET(CÁLCULO!$P$12,0,Z$12))</f>
        <v/>
      </c>
      <c r="AA11" s="262" t="str">
        <f ca="1">IF(AA$12&gt;CÁLCULO.NúmeroDeFrentes,"",OFFSET(CÁLCULO!$P$12,0,AA$12))</f>
        <v/>
      </c>
      <c r="AB11" s="262" t="str">
        <f ca="1">IF(AB$12&gt;CÁLCULO.NúmeroDeFrentes,"",OFFSET(CÁLCULO!$P$12,0,AB$12))</f>
        <v/>
      </c>
      <c r="AC11" s="262" t="str">
        <f ca="1">IF(AC$12&gt;CÁLCULO.NúmeroDeFrentes,"",OFFSET(CÁLCULO!$P$12,0,AC$12))</f>
        <v/>
      </c>
      <c r="AD11" s="262" t="str">
        <f ca="1">IF(AD$12&gt;CÁLCULO.NúmeroDeFrentes,"",OFFSET(CÁLCULO!$P$12,0,AD$12))</f>
        <v/>
      </c>
      <c r="AE11" s="262" t="str">
        <f ca="1">IF(AE$12&gt;CÁLCULO.NúmeroDeFrentes,"",OFFSET(CÁLCULO!$P$12,0,AE$12))</f>
        <v/>
      </c>
      <c r="AF11" s="262" t="str">
        <f ca="1">IF(AF$12&gt;CÁLCULO.NúmeroDeFrentes,"",OFFSET(CÁLCULO!$P$12,0,AF$12))</f>
        <v/>
      </c>
    </row>
    <row r="12" spans="1:33" ht="12.75" customHeight="1" x14ac:dyDescent="0.2">
      <c r="A12" s="108" t="s">
        <v>215</v>
      </c>
      <c r="B12" s="761" t="s">
        <v>263</v>
      </c>
      <c r="C12" s="761" t="s">
        <v>286</v>
      </c>
      <c r="D12" s="761"/>
      <c r="F12" s="263">
        <f ca="1">OFFSET(F12,0,-1)+1</f>
        <v>1</v>
      </c>
      <c r="H12" s="263">
        <f ca="1">OFFSET(H12,0,-1)+1</f>
        <v>1</v>
      </c>
      <c r="I12" s="263">
        <f ca="1">OFFSET(I12,0,-1)+1</f>
        <v>2</v>
      </c>
      <c r="J12" s="263">
        <f t="shared" ref="J12:AF12" ca="1" si="0">OFFSET(J12,0,-1)+1</f>
        <v>3</v>
      </c>
      <c r="K12" s="263">
        <f t="shared" ca="1" si="0"/>
        <v>4</v>
      </c>
      <c r="L12" s="263">
        <f t="shared" ca="1" si="0"/>
        <v>5</v>
      </c>
      <c r="M12" s="263">
        <f t="shared" ca="1" si="0"/>
        <v>6</v>
      </c>
      <c r="N12" s="263">
        <f t="shared" ca="1" si="0"/>
        <v>7</v>
      </c>
      <c r="O12" s="263">
        <f t="shared" ca="1" si="0"/>
        <v>8</v>
      </c>
      <c r="P12" s="263">
        <f t="shared" ca="1" si="0"/>
        <v>9</v>
      </c>
      <c r="Q12" s="263">
        <f t="shared" ca="1" si="0"/>
        <v>10</v>
      </c>
      <c r="R12" s="263">
        <f t="shared" ca="1" si="0"/>
        <v>11</v>
      </c>
      <c r="S12" s="263">
        <f t="shared" ca="1" si="0"/>
        <v>12</v>
      </c>
      <c r="T12" s="263">
        <f t="shared" ca="1" si="0"/>
        <v>13</v>
      </c>
      <c r="U12" s="263">
        <f t="shared" ca="1" si="0"/>
        <v>14</v>
      </c>
      <c r="V12" s="263">
        <f t="shared" ca="1" si="0"/>
        <v>15</v>
      </c>
      <c r="W12" s="263">
        <f t="shared" ca="1" si="0"/>
        <v>16</v>
      </c>
      <c r="X12" s="263">
        <f t="shared" ca="1" si="0"/>
        <v>17</v>
      </c>
      <c r="Y12" s="263">
        <f t="shared" ca="1" si="0"/>
        <v>18</v>
      </c>
      <c r="Z12" s="263">
        <f t="shared" ca="1" si="0"/>
        <v>19</v>
      </c>
      <c r="AA12" s="263">
        <f t="shared" ca="1" si="0"/>
        <v>20</v>
      </c>
      <c r="AB12" s="263">
        <f t="shared" ca="1" si="0"/>
        <v>21</v>
      </c>
      <c r="AC12" s="263">
        <f t="shared" ca="1" si="0"/>
        <v>22</v>
      </c>
      <c r="AD12" s="263">
        <f t="shared" ca="1" si="0"/>
        <v>23</v>
      </c>
      <c r="AE12" s="263">
        <f t="shared" ca="1" si="0"/>
        <v>24</v>
      </c>
      <c r="AF12" s="263">
        <f t="shared" ca="1" si="0"/>
        <v>25</v>
      </c>
    </row>
    <row r="13" spans="1:33" x14ac:dyDescent="0.2">
      <c r="B13" s="761"/>
      <c r="C13" s="761"/>
      <c r="D13" s="761"/>
      <c r="F13" s="265"/>
      <c r="H13" s="265"/>
      <c r="I13" s="264"/>
      <c r="J13" s="264"/>
      <c r="K13" s="264"/>
      <c r="L13" s="264"/>
      <c r="M13" s="264"/>
      <c r="N13" s="264" t="s">
        <v>291</v>
      </c>
      <c r="O13" s="264"/>
      <c r="P13" s="264"/>
      <c r="Q13" s="264"/>
      <c r="R13" s="264"/>
      <c r="S13" s="264"/>
      <c r="T13" s="264"/>
      <c r="U13" s="264"/>
      <c r="V13" s="264"/>
      <c r="W13" s="264"/>
      <c r="X13" s="264"/>
      <c r="Y13" s="264"/>
      <c r="Z13" s="264"/>
      <c r="AA13" s="264"/>
      <c r="AB13" s="264"/>
      <c r="AC13" s="264"/>
      <c r="AD13" s="264"/>
      <c r="AE13" s="264"/>
      <c r="AF13" s="266"/>
    </row>
    <row r="14" spans="1:33" ht="3.95" customHeight="1" x14ac:dyDescent="0.2">
      <c r="A14" s="7" t="s">
        <v>244</v>
      </c>
    </row>
    <row r="15" spans="1:33" x14ac:dyDescent="0.2">
      <c r="A15" s="7" t="str">
        <f ca="1">IF(AND(AUTOEVENTO="Manual",OFFSET(EVENTOS!$F$1,1,0)&gt;0),"F","")</f>
        <v/>
      </c>
      <c r="B15" s="267">
        <f ca="1">EVENTOS!$C$15</f>
        <v>0</v>
      </c>
      <c r="C15" s="789" t="str">
        <f ca="1">EVENTOS!$D$15</f>
        <v/>
      </c>
      <c r="D15" s="789"/>
      <c r="F15" s="270"/>
      <c r="H15" s="27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9"/>
      <c r="J15" s="269"/>
      <c r="K15" s="269"/>
      <c r="L15" s="269"/>
      <c r="M15" s="269"/>
      <c r="N15" s="269"/>
      <c r="O15" s="269"/>
      <c r="P15" s="269"/>
      <c r="Q15" s="269"/>
      <c r="R15" s="269"/>
      <c r="S15" s="269"/>
      <c r="T15" s="269"/>
      <c r="U15" s="269"/>
      <c r="V15" s="269"/>
      <c r="W15" s="269"/>
      <c r="X15" s="269"/>
      <c r="Y15" s="269"/>
      <c r="Z15" s="269"/>
      <c r="AA15" s="269"/>
      <c r="AB15" s="269"/>
      <c r="AC15" s="269"/>
      <c r="AD15" s="269"/>
      <c r="AE15" s="269"/>
      <c r="AF15" s="271"/>
    </row>
    <row r="16" spans="1:33" x14ac:dyDescent="0.2">
      <c r="A16" s="7" t="str">
        <f ca="1">IF(AUTOEVENTO="Manual",IF(OFFSET(EVENTOS!$F$14,PLE!$B16,0)&gt;0,"F",""),IF(PLE!B16&lt;=MAX(CÁLCULO!$M$15:$M$131),"F",""))</f>
        <v>F</v>
      </c>
      <c r="B16" s="257">
        <f t="shared" ref="B16:B64" ca="1" si="1">OFFSET(B16,-1,0)+1</f>
        <v>1</v>
      </c>
      <c r="C16" s="770" t="str">
        <f ca="1">IF(AUTOEVENTO="Manual",OFFSET(EVENTOS!$D$15,$B16-$B$15,0),IF(B16&lt;=MAX(CÁLCULO!$M$15:$M$131),VLOOKUP($B16,CÁLCULO!$M$15:$N$131,2,FALSE),0))</f>
        <v>SERVIÇOS INICIAIS</v>
      </c>
      <c r="D16" s="770"/>
      <c r="F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row>
    <row r="17" spans="1:32" x14ac:dyDescent="0.2">
      <c r="A17" s="7" t="str">
        <f ca="1">IF(AUTOEVENTO="Manual",IF(OFFSET(EVENTOS!$F$14,PLE!$B17,0)&gt;0,"F",""),IF(PLE!B17&lt;=MAX(CÁLCULO!$M$15:$M$131),"F",""))</f>
        <v>F</v>
      </c>
      <c r="B17" s="257">
        <f t="shared" ca="1" si="1"/>
        <v>2</v>
      </c>
      <c r="C17" s="770" t="str">
        <f ca="1">IF(AUTOEVENTO="Manual",OFFSET(EVENTOS!$D$15,$B17-$B$15,0),IF(B17&lt;=MAX(CÁLCULO!$M$15:$M$131),VLOOKUP($B17,CÁLCULO!$M$15:$N$131,2,FALSE),0))</f>
        <v>LOCAÇÃO DE OBRA</v>
      </c>
      <c r="D17" s="770"/>
      <c r="F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row>
    <row r="18" spans="1:32" x14ac:dyDescent="0.2">
      <c r="A18" s="7" t="str">
        <f ca="1">IF(AUTOEVENTO="Manual",IF(OFFSET(EVENTOS!$F$14,PLE!$B18,0)&gt;0,"F",""),IF(PLE!B18&lt;=MAX(CÁLCULO!$M$15:$M$131),"F",""))</f>
        <v>F</v>
      </c>
      <c r="B18" s="257">
        <f t="shared" ca="1" si="1"/>
        <v>3</v>
      </c>
      <c r="C18" s="770" t="str">
        <f ca="1">IF(AUTOEVENTO="Manual",OFFSET(EVENTOS!$D$15,$B18-$B$15,0),IF(B18&lt;=MAX(CÁLCULO!$M$15:$M$131),VLOOKUP($B18,CÁLCULO!$M$15:$N$131,2,FALSE),0))</f>
        <v>DEMOLIÇÕES E REMOÇÕES</v>
      </c>
      <c r="D18" s="770"/>
      <c r="F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row>
    <row r="19" spans="1:32" x14ac:dyDescent="0.2">
      <c r="A19" s="7" t="str">
        <f ca="1">IF(AUTOEVENTO="Manual",IF(OFFSET(EVENTOS!$F$14,PLE!$B19,0)&gt;0,"F",""),IF(PLE!B19&lt;=MAX(CÁLCULO!$M$15:$M$131),"F",""))</f>
        <v>F</v>
      </c>
      <c r="B19" s="257">
        <f t="shared" ca="1" si="1"/>
        <v>4</v>
      </c>
      <c r="C19" s="770" t="str">
        <f ca="1">IF(AUTOEVENTO="Manual",OFFSET(EVENTOS!$D$15,$B19-$B$15,0),IF(B19&lt;=MAX(CÁLCULO!$M$15:$M$131),VLOOKUP($B19,CÁLCULO!$M$15:$N$131,2,FALSE),0))</f>
        <v>PAVIMENTAÇÃO</v>
      </c>
      <c r="D19" s="770"/>
      <c r="F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row>
    <row r="20" spans="1:32" x14ac:dyDescent="0.2">
      <c r="A20" s="7" t="str">
        <f ca="1">IF(AUTOEVENTO="Manual",IF(OFFSET(EVENTOS!$F$14,PLE!$B20,0)&gt;0,"F",""),IF(PLE!B20&lt;=MAX(CÁLCULO!$M$15:$M$131),"F",""))</f>
        <v>F</v>
      </c>
      <c r="B20" s="257">
        <f t="shared" ca="1" si="1"/>
        <v>5</v>
      </c>
      <c r="C20" s="770" t="str">
        <f ca="1">IF(AUTOEVENTO="Manual",OFFSET(EVENTOS!$D$15,$B20-$B$15,0),IF(B20&lt;=MAX(CÁLCULO!$M$15:$M$131),VLOOKUP($B20,CÁLCULO!$M$15:$N$131,2,FALSE),0))</f>
        <v>ESTRUTURA E FUNDAÇÕES - PROJETO E ORÇAMENTO TERCERIZADO - AZEVEDO ENGENHARIA (AZ ENG)</v>
      </c>
      <c r="D20" s="770"/>
      <c r="F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row>
    <row r="21" spans="1:32" x14ac:dyDescent="0.2">
      <c r="A21" s="7" t="str">
        <f ca="1">IF(AUTOEVENTO="Manual",IF(OFFSET(EVENTOS!$F$14,PLE!$B21,0)&gt;0,"F",""),IF(PLE!B21&lt;=MAX(CÁLCULO!$M$15:$M$131),"F",""))</f>
        <v>F</v>
      </c>
      <c r="B21" s="257">
        <f t="shared" ca="1" si="1"/>
        <v>6</v>
      </c>
      <c r="C21" s="770" t="str">
        <f ca="1">IF(AUTOEVENTO="Manual",OFFSET(EVENTOS!$D$15,$B21-$B$15,0),IF(B21&lt;=MAX(CÁLCULO!$M$15:$M$131),VLOOKUP($B21,CÁLCULO!$M$15:$N$131,2,FALSE),0))</f>
        <v>PAREDES DE FECHAMENTO</v>
      </c>
      <c r="D21" s="770"/>
      <c r="F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row>
    <row r="22" spans="1:32" x14ac:dyDescent="0.2">
      <c r="A22" s="7" t="str">
        <f ca="1">IF(AUTOEVENTO="Manual",IF(OFFSET(EVENTOS!$F$14,PLE!$B22,0)&gt;0,"F",""),IF(PLE!B22&lt;=MAX(CÁLCULO!$M$15:$M$131),"F",""))</f>
        <v>F</v>
      </c>
      <c r="B22" s="257">
        <f t="shared" ca="1" si="1"/>
        <v>7</v>
      </c>
      <c r="C22" s="770" t="str">
        <f ca="1">IF(AUTOEVENTO="Manual",OFFSET(EVENTOS!$D$15,$B22-$B$15,0),IF(B22&lt;=MAX(CÁLCULO!$M$15:$M$131),VLOOKUP($B22,CÁLCULO!$M$15:$N$131,2,FALSE),0))</f>
        <v>ESQUADRIAS</v>
      </c>
      <c r="D22" s="770"/>
      <c r="F22" s="258"/>
      <c r="H22" s="258"/>
      <c r="I22" s="258"/>
      <c r="J22" s="258"/>
      <c r="K22" s="258"/>
      <c r="L22" s="258"/>
      <c r="M22" s="258"/>
      <c r="N22" s="258"/>
      <c r="O22" s="258"/>
      <c r="P22" s="258"/>
      <c r="Q22" s="258"/>
      <c r="R22" s="258"/>
      <c r="S22" s="258"/>
      <c r="T22" s="258"/>
      <c r="U22" s="258"/>
      <c r="V22" s="258"/>
      <c r="W22" s="258"/>
      <c r="X22" s="258"/>
      <c r="Y22" s="258"/>
      <c r="Z22" s="258"/>
      <c r="AA22" s="258"/>
      <c r="AB22" s="258"/>
      <c r="AC22" s="258"/>
      <c r="AD22" s="258"/>
      <c r="AE22" s="258"/>
      <c r="AF22" s="258"/>
    </row>
    <row r="23" spans="1:32" x14ac:dyDescent="0.2">
      <c r="A23" s="7" t="str">
        <f ca="1">IF(AUTOEVENTO="Manual",IF(OFFSET(EVENTOS!$F$14,PLE!$B23,0)&gt;0,"F",""),IF(PLE!B23&lt;=MAX(CÁLCULO!$M$15:$M$131),"F",""))</f>
        <v>F</v>
      </c>
      <c r="B23" s="257">
        <f t="shared" ca="1" si="1"/>
        <v>8</v>
      </c>
      <c r="C23" s="770" t="str">
        <f ca="1">IF(AUTOEVENTO="Manual",OFFSET(EVENTOS!$D$15,$B23-$B$15,0),IF(B23&lt;=MAX(CÁLCULO!$M$15:$M$131),VLOOKUP($B23,CÁLCULO!$M$15:$N$131,2,FALSE),0))</f>
        <v>PINTURA</v>
      </c>
      <c r="D23" s="770"/>
      <c r="F23" s="258"/>
      <c r="H23" s="258"/>
      <c r="I23" s="258"/>
      <c r="J23" s="258"/>
      <c r="K23" s="258"/>
      <c r="L23" s="258"/>
      <c r="M23" s="258"/>
      <c r="N23" s="258"/>
      <c r="O23" s="258"/>
      <c r="P23" s="258"/>
      <c r="Q23" s="258"/>
      <c r="R23" s="258"/>
      <c r="S23" s="258"/>
      <c r="T23" s="258"/>
      <c r="U23" s="258"/>
      <c r="V23" s="258"/>
      <c r="W23" s="258"/>
      <c r="X23" s="258"/>
      <c r="Y23" s="258"/>
      <c r="Z23" s="258"/>
      <c r="AA23" s="258"/>
      <c r="AB23" s="258"/>
      <c r="AC23" s="258"/>
      <c r="AD23" s="258"/>
      <c r="AE23" s="258"/>
      <c r="AF23" s="258"/>
    </row>
    <row r="24" spans="1:32" x14ac:dyDescent="0.2">
      <c r="A24" s="7" t="str">
        <f ca="1">IF(AUTOEVENTO="Manual",IF(OFFSET(EVENTOS!$F$14,PLE!$B24,0)&gt;0,"F",""),IF(PLE!B24&lt;=MAX(CÁLCULO!$M$15:$M$131),"F",""))</f>
        <v>F</v>
      </c>
      <c r="B24" s="257">
        <f t="shared" ca="1" si="1"/>
        <v>9</v>
      </c>
      <c r="C24" s="770" t="str">
        <f ca="1">IF(AUTOEVENTO="Manual",OFFSET(EVENTOS!$D$15,$B24-$B$15,0),IF(B24&lt;=MAX(CÁLCULO!$M$15:$M$131),VLOOKUP($B24,CÁLCULO!$M$15:$N$131,2,FALSE),0))</f>
        <v>EQUIPAMENTOS E MOBILIÁRIOS URBANOS</v>
      </c>
      <c r="D24" s="770"/>
      <c r="F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row>
    <row r="25" spans="1:32" x14ac:dyDescent="0.2">
      <c r="A25" s="7" t="str">
        <f ca="1">IF(AUTOEVENTO="Manual",IF(OFFSET(EVENTOS!$F$14,PLE!$B25,0)&gt;0,"F",""),IF(PLE!B25&lt;=MAX(CÁLCULO!$M$15:$M$131),"F",""))</f>
        <v>F</v>
      </c>
      <c r="B25" s="257">
        <f t="shared" ca="1" si="1"/>
        <v>10</v>
      </c>
      <c r="C25" s="770" t="str">
        <f ca="1">IF(AUTOEVENTO="Manual",OFFSET(EVENTOS!$D$15,$B25-$B$15,0),IF(B25&lt;=MAX(CÁLCULO!$M$15:$M$131),VLOOKUP($B25,CÁLCULO!$M$15:$N$131,2,FALSE),0))</f>
        <v>PAISAGISMO</v>
      </c>
      <c r="D25" s="770"/>
      <c r="F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c r="AF25" s="258"/>
    </row>
    <row r="26" spans="1:32" x14ac:dyDescent="0.2">
      <c r="A26" s="7" t="str">
        <f ca="1">IF(AUTOEVENTO="Manual",IF(OFFSET(EVENTOS!$F$14,PLE!$B26,0)&gt;0,"F",""),IF(PLE!B26&lt;=MAX(CÁLCULO!$M$15:$M$131),"F",""))</f>
        <v>F</v>
      </c>
      <c r="B26" s="257">
        <f t="shared" ca="1" si="1"/>
        <v>11</v>
      </c>
      <c r="C26" s="770" t="str">
        <f ca="1">IF(AUTOEVENTO="Manual",OFFSET(EVENTOS!$D$15,$B26-$B$15,0),IF(B26&lt;=MAX(CÁLCULO!$M$15:$M$131),VLOOKUP($B26,CÁLCULO!$M$15:$N$131,2,FALSE),0))</f>
        <v>ACESSIBILIDADE</v>
      </c>
      <c r="D26" s="770"/>
      <c r="F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row>
    <row r="27" spans="1:32" x14ac:dyDescent="0.2">
      <c r="A27" s="7" t="str">
        <f ca="1">IF(AUTOEVENTO="Manual",IF(OFFSET(EVENTOS!$F$14,PLE!$B27,0)&gt;0,"F",""),IF(PLE!B27&lt;=MAX(CÁLCULO!$M$15:$M$131),"F",""))</f>
        <v>F</v>
      </c>
      <c r="B27" s="257">
        <f t="shared" ca="1" si="1"/>
        <v>12</v>
      </c>
      <c r="C27" s="770" t="str">
        <f ca="1">IF(AUTOEVENTO="Manual",OFFSET(EVENTOS!$D$15,$B27-$B$15,0),IF(B27&lt;=MAX(CÁLCULO!$M$15:$M$131),VLOOKUP($B27,CÁLCULO!$M$15:$N$131,2,FALSE),0))</f>
        <v>INSTALAÇÕES ELÉTRICAS</v>
      </c>
      <c r="D27" s="770"/>
      <c r="F27" s="258"/>
      <c r="H27" s="258"/>
      <c r="I27" s="258"/>
      <c r="J27" s="258"/>
      <c r="K27" s="258"/>
      <c r="L27" s="258"/>
      <c r="M27" s="258"/>
      <c r="N27" s="258"/>
      <c r="O27" s="258"/>
      <c r="P27" s="258"/>
      <c r="Q27" s="258"/>
      <c r="R27" s="258"/>
      <c r="S27" s="258"/>
      <c r="T27" s="258"/>
      <c r="U27" s="258"/>
      <c r="V27" s="258"/>
      <c r="W27" s="258"/>
      <c r="X27" s="258"/>
      <c r="Y27" s="258"/>
      <c r="Z27" s="258"/>
      <c r="AA27" s="258"/>
      <c r="AB27" s="258"/>
      <c r="AC27" s="258"/>
      <c r="AD27" s="258"/>
      <c r="AE27" s="258"/>
      <c r="AF27" s="258"/>
    </row>
    <row r="28" spans="1:32" x14ac:dyDescent="0.2">
      <c r="A28" s="7" t="str">
        <f ca="1">IF(AUTOEVENTO="Manual",IF(OFFSET(EVENTOS!$F$14,PLE!$B28,0)&gt;0,"F",""),IF(PLE!B28&lt;=MAX(CÁLCULO!$M$15:$M$131),"F",""))</f>
        <v>F</v>
      </c>
      <c r="B28" s="257">
        <f t="shared" ca="1" si="1"/>
        <v>13</v>
      </c>
      <c r="C28" s="770" t="str">
        <f ca="1">IF(AUTOEVENTO="Manual",OFFSET(EVENTOS!$D$15,$B28-$B$15,0),IF(B28&lt;=MAX(CÁLCULO!$M$15:$M$131),VLOOKUP($B28,CÁLCULO!$M$15:$N$131,2,FALSE),0))</f>
        <v>SERVIÇOS FINAIS</v>
      </c>
      <c r="D28" s="770"/>
      <c r="F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row>
    <row r="29" spans="1:32" x14ac:dyDescent="0.2">
      <c r="A29" s="7" t="str">
        <f ca="1">IF(AUTOEVENTO="Manual",IF(OFFSET(EVENTOS!$F$14,PLE!$B29,0)&gt;0,"F",""),IF(PLE!B29&lt;=MAX(CÁLCULO!$M$15:$M$131),"F",""))</f>
        <v/>
      </c>
      <c r="B29" s="257">
        <f t="shared" ca="1" si="1"/>
        <v>14</v>
      </c>
      <c r="C29" s="770">
        <f ca="1">IF(AUTOEVENTO="Manual",OFFSET(EVENTOS!$D$15,$B29-$B$15,0),IF(B29&lt;=MAX(CÁLCULO!$M$15:$M$131),VLOOKUP($B29,CÁLCULO!$M$15:$N$131,2,FALSE),0))</f>
        <v>0</v>
      </c>
      <c r="D29" s="770"/>
      <c r="F29" s="258"/>
      <c r="H29" s="258"/>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row>
    <row r="30" spans="1:32" x14ac:dyDescent="0.2">
      <c r="A30" s="7" t="str">
        <f ca="1">IF(AUTOEVENTO="Manual",IF(OFFSET(EVENTOS!$F$14,PLE!$B30,0)&gt;0,"F",""),IF(PLE!B30&lt;=MAX(CÁLCULO!$M$15:$M$131),"F",""))</f>
        <v/>
      </c>
      <c r="B30" s="257">
        <f t="shared" ca="1" si="1"/>
        <v>15</v>
      </c>
      <c r="C30" s="770">
        <f ca="1">IF(AUTOEVENTO="Manual",OFFSET(EVENTOS!$D$15,$B30-$B$15,0),IF(B30&lt;=MAX(CÁLCULO!$M$15:$M$131),VLOOKUP($B30,CÁLCULO!$M$15:$N$131,2,FALSE),0))</f>
        <v>0</v>
      </c>
      <c r="D30" s="770"/>
      <c r="F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row>
    <row r="31" spans="1:32" x14ac:dyDescent="0.2">
      <c r="A31" s="7" t="str">
        <f ca="1">IF(AUTOEVENTO="Manual",IF(OFFSET(EVENTOS!$F$14,PLE!$B31,0)&gt;0,"F",""),IF(PLE!B31&lt;=MAX(CÁLCULO!$M$15:$M$131),"F",""))</f>
        <v/>
      </c>
      <c r="B31" s="257">
        <f t="shared" ca="1" si="1"/>
        <v>16</v>
      </c>
      <c r="C31" s="770">
        <f ca="1">IF(AUTOEVENTO="Manual",OFFSET(EVENTOS!$D$15,$B31-$B$15,0),IF(B31&lt;=MAX(CÁLCULO!$M$15:$M$131),VLOOKUP($B31,CÁLCULO!$M$15:$N$131,2,FALSE),0))</f>
        <v>0</v>
      </c>
      <c r="D31" s="770"/>
      <c r="F31" s="258"/>
      <c r="H31" s="258"/>
      <c r="I31" s="258"/>
      <c r="J31" s="258"/>
      <c r="K31" s="258"/>
      <c r="L31" s="258"/>
      <c r="M31" s="258"/>
      <c r="N31" s="258"/>
      <c r="O31" s="258"/>
      <c r="P31" s="258"/>
      <c r="Q31" s="258"/>
      <c r="R31" s="258"/>
      <c r="S31" s="258"/>
      <c r="T31" s="258"/>
      <c r="U31" s="258"/>
      <c r="V31" s="258"/>
      <c r="W31" s="258"/>
      <c r="X31" s="258"/>
      <c r="Y31" s="258"/>
      <c r="Z31" s="258"/>
      <c r="AA31" s="258"/>
      <c r="AB31" s="258"/>
      <c r="AC31" s="258"/>
      <c r="AD31" s="258"/>
      <c r="AE31" s="258"/>
      <c r="AF31" s="258"/>
    </row>
    <row r="32" spans="1:32" x14ac:dyDescent="0.2">
      <c r="A32" s="7" t="str">
        <f ca="1">IF(AUTOEVENTO="Manual",IF(OFFSET(EVENTOS!$F$14,PLE!$B32,0)&gt;0,"F",""),IF(PLE!B32&lt;=MAX(CÁLCULO!$M$15:$M$131),"F",""))</f>
        <v/>
      </c>
      <c r="B32" s="257">
        <f t="shared" ca="1" si="1"/>
        <v>17</v>
      </c>
      <c r="C32" s="770">
        <f ca="1">IF(AUTOEVENTO="Manual",OFFSET(EVENTOS!$D$15,$B32-$B$15,0),IF(B32&lt;=MAX(CÁLCULO!$M$15:$M$131),VLOOKUP($B32,CÁLCULO!$M$15:$N$131,2,FALSE),0))</f>
        <v>0</v>
      </c>
      <c r="D32" s="770"/>
      <c r="F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row>
    <row r="33" spans="1:32" x14ac:dyDescent="0.2">
      <c r="A33" s="7" t="str">
        <f ca="1">IF(AUTOEVENTO="Manual",IF(OFFSET(EVENTOS!$F$14,PLE!$B33,0)&gt;0,"F",""),IF(PLE!B33&lt;=MAX(CÁLCULO!$M$15:$M$131),"F",""))</f>
        <v/>
      </c>
      <c r="B33" s="257">
        <f t="shared" ca="1" si="1"/>
        <v>18</v>
      </c>
      <c r="C33" s="770">
        <f ca="1">IF(AUTOEVENTO="Manual",OFFSET(EVENTOS!$D$15,$B33-$B$15,0),IF(B33&lt;=MAX(CÁLCULO!$M$15:$M$131),VLOOKUP($B33,CÁLCULO!$M$15:$N$131,2,FALSE),0))</f>
        <v>0</v>
      </c>
      <c r="D33" s="770"/>
      <c r="F33" s="258"/>
      <c r="H33" s="258"/>
      <c r="I33" s="258"/>
      <c r="J33" s="258"/>
      <c r="K33" s="258"/>
      <c r="L33" s="258"/>
      <c r="M33" s="258"/>
      <c r="N33" s="258"/>
      <c r="O33" s="258"/>
      <c r="P33" s="258"/>
      <c r="Q33" s="258"/>
      <c r="R33" s="258"/>
      <c r="S33" s="258"/>
      <c r="T33" s="258"/>
      <c r="U33" s="258"/>
      <c r="V33" s="258"/>
      <c r="W33" s="258"/>
      <c r="X33" s="258"/>
      <c r="Y33" s="258"/>
      <c r="Z33" s="258"/>
      <c r="AA33" s="258"/>
      <c r="AB33" s="258"/>
      <c r="AC33" s="258"/>
      <c r="AD33" s="258"/>
      <c r="AE33" s="258"/>
      <c r="AF33" s="258"/>
    </row>
    <row r="34" spans="1:32" x14ac:dyDescent="0.2">
      <c r="A34" s="7" t="str">
        <f ca="1">IF(AUTOEVENTO="Manual",IF(OFFSET(EVENTOS!$F$14,PLE!$B34,0)&gt;0,"F",""),IF(PLE!B34&lt;=MAX(CÁLCULO!$M$15:$M$131),"F",""))</f>
        <v/>
      </c>
      <c r="B34" s="257">
        <f t="shared" ca="1" si="1"/>
        <v>19</v>
      </c>
      <c r="C34" s="770">
        <f ca="1">IF(AUTOEVENTO="Manual",OFFSET(EVENTOS!$D$15,$B34-$B$15,0),IF(B34&lt;=MAX(CÁLCULO!$M$15:$M$131),VLOOKUP($B34,CÁLCULO!$M$15:$N$131,2,FALSE),0))</f>
        <v>0</v>
      </c>
      <c r="D34" s="770"/>
      <c r="F34" s="258"/>
      <c r="H34" s="258"/>
      <c r="I34" s="258"/>
      <c r="J34" s="258"/>
      <c r="K34" s="258"/>
      <c r="L34" s="258"/>
      <c r="M34" s="258"/>
      <c r="N34" s="258"/>
      <c r="O34" s="258"/>
      <c r="P34" s="258"/>
      <c r="Q34" s="258"/>
      <c r="R34" s="258"/>
      <c r="S34" s="258"/>
      <c r="T34" s="258"/>
      <c r="U34" s="258"/>
      <c r="V34" s="258"/>
      <c r="W34" s="258"/>
      <c r="X34" s="258"/>
      <c r="Y34" s="258"/>
      <c r="Z34" s="258"/>
      <c r="AA34" s="258"/>
      <c r="AB34" s="258"/>
      <c r="AC34" s="258"/>
      <c r="AD34" s="258"/>
      <c r="AE34" s="258"/>
      <c r="AF34" s="258"/>
    </row>
    <row r="35" spans="1:32" x14ac:dyDescent="0.2">
      <c r="A35" s="7" t="str">
        <f ca="1">IF(AUTOEVENTO="Manual",IF(OFFSET(EVENTOS!$F$14,PLE!$B35,0)&gt;0,"F",""),IF(PLE!B35&lt;=MAX(CÁLCULO!$M$15:$M$131),"F",""))</f>
        <v/>
      </c>
      <c r="B35" s="257">
        <f t="shared" ca="1" si="1"/>
        <v>20</v>
      </c>
      <c r="C35" s="770">
        <f ca="1">IF(AUTOEVENTO="Manual",OFFSET(EVENTOS!$D$15,$B35-$B$15,0),IF(B35&lt;=MAX(CÁLCULO!$M$15:$M$131),VLOOKUP($B35,CÁLCULO!$M$15:$N$131,2,FALSE),0))</f>
        <v>0</v>
      </c>
      <c r="D35" s="770"/>
      <c r="F35" s="258"/>
      <c r="H35" s="258"/>
      <c r="I35" s="258"/>
      <c r="J35" s="258"/>
      <c r="K35" s="258"/>
      <c r="L35" s="258"/>
      <c r="M35" s="258"/>
      <c r="N35" s="258"/>
      <c r="O35" s="258"/>
      <c r="P35" s="258"/>
      <c r="Q35" s="258"/>
      <c r="R35" s="258"/>
      <c r="S35" s="258"/>
      <c r="T35" s="258"/>
      <c r="U35" s="258"/>
      <c r="V35" s="258"/>
      <c r="W35" s="258"/>
      <c r="X35" s="258"/>
      <c r="Y35" s="258"/>
      <c r="Z35" s="258"/>
      <c r="AA35" s="258"/>
      <c r="AB35" s="258"/>
      <c r="AC35" s="258"/>
      <c r="AD35" s="258"/>
      <c r="AE35" s="258"/>
      <c r="AF35" s="258"/>
    </row>
    <row r="36" spans="1:32" x14ac:dyDescent="0.2">
      <c r="A36" s="7" t="str">
        <f ca="1">IF(AUTOEVENTO="Manual",IF(OFFSET(EVENTOS!$F$14,PLE!$B36,0)&gt;0,"F",""),IF(PLE!B36&lt;=MAX(CÁLCULO!$M$15:$M$131),"F",""))</f>
        <v/>
      </c>
      <c r="B36" s="257">
        <f t="shared" ca="1" si="1"/>
        <v>21</v>
      </c>
      <c r="C36" s="770">
        <f ca="1">IF(AUTOEVENTO="Manual",OFFSET(EVENTOS!$D$15,$B36-$B$15,0),IF(B36&lt;=MAX(CÁLCULO!$M$15:$M$131),VLOOKUP($B36,CÁLCULO!$M$15:$N$131,2,FALSE),0))</f>
        <v>0</v>
      </c>
      <c r="D36" s="770"/>
      <c r="F36" s="258"/>
      <c r="H36" s="258"/>
      <c r="I36" s="258"/>
      <c r="J36" s="258"/>
      <c r="K36" s="258"/>
      <c r="L36" s="258"/>
      <c r="M36" s="258"/>
      <c r="N36" s="258"/>
      <c r="O36" s="258"/>
      <c r="P36" s="258"/>
      <c r="Q36" s="258"/>
      <c r="R36" s="258"/>
      <c r="S36" s="258"/>
      <c r="T36" s="258"/>
      <c r="U36" s="258"/>
      <c r="V36" s="258"/>
      <c r="W36" s="258"/>
      <c r="X36" s="258"/>
      <c r="Y36" s="258"/>
      <c r="Z36" s="258"/>
      <c r="AA36" s="258"/>
      <c r="AB36" s="258"/>
      <c r="AC36" s="258"/>
      <c r="AD36" s="258"/>
      <c r="AE36" s="258"/>
      <c r="AF36" s="258"/>
    </row>
    <row r="37" spans="1:32" x14ac:dyDescent="0.2">
      <c r="A37" s="7" t="str">
        <f ca="1">IF(AUTOEVENTO="Manual",IF(OFFSET(EVENTOS!$F$14,PLE!$B37,0)&gt;0,"F",""),IF(PLE!B37&lt;=MAX(CÁLCULO!$M$15:$M$131),"F",""))</f>
        <v/>
      </c>
      <c r="B37" s="257">
        <f t="shared" ca="1" si="1"/>
        <v>22</v>
      </c>
      <c r="C37" s="770">
        <f ca="1">IF(AUTOEVENTO="Manual",OFFSET(EVENTOS!$D$15,$B37-$B$15,0),IF(B37&lt;=MAX(CÁLCULO!$M$15:$M$131),VLOOKUP($B37,CÁLCULO!$M$15:$N$131,2,FALSE),0))</f>
        <v>0</v>
      </c>
      <c r="D37" s="770"/>
      <c r="F37" s="258"/>
      <c r="H37" s="258"/>
      <c r="I37" s="258"/>
      <c r="J37" s="258"/>
      <c r="K37" s="258"/>
      <c r="L37" s="258"/>
      <c r="M37" s="258"/>
      <c r="N37" s="258"/>
      <c r="O37" s="258"/>
      <c r="P37" s="258"/>
      <c r="Q37" s="258"/>
      <c r="R37" s="258"/>
      <c r="S37" s="258"/>
      <c r="T37" s="258"/>
      <c r="U37" s="258"/>
      <c r="V37" s="258"/>
      <c r="W37" s="258"/>
      <c r="X37" s="258"/>
      <c r="Y37" s="258"/>
      <c r="Z37" s="258"/>
      <c r="AA37" s="258"/>
      <c r="AB37" s="258"/>
      <c r="AC37" s="258"/>
      <c r="AD37" s="258"/>
      <c r="AE37" s="258"/>
      <c r="AF37" s="258"/>
    </row>
    <row r="38" spans="1:32" x14ac:dyDescent="0.2">
      <c r="A38" s="7" t="str">
        <f ca="1">IF(AUTOEVENTO="Manual",IF(OFFSET(EVENTOS!$F$14,PLE!$B38,0)&gt;0,"F",""),IF(PLE!B38&lt;=MAX(CÁLCULO!$M$15:$M$131),"F",""))</f>
        <v/>
      </c>
      <c r="B38" s="257">
        <f t="shared" ca="1" si="1"/>
        <v>23</v>
      </c>
      <c r="C38" s="770">
        <f ca="1">IF(AUTOEVENTO="Manual",OFFSET(EVENTOS!$D$15,$B38-$B$15,0),IF(B38&lt;=MAX(CÁLCULO!$M$15:$M$131),VLOOKUP($B38,CÁLCULO!$M$15:$N$131,2,FALSE),0))</f>
        <v>0</v>
      </c>
      <c r="D38" s="770"/>
      <c r="F38" s="258"/>
      <c r="H38" s="258"/>
      <c r="I38" s="258"/>
      <c r="J38" s="258"/>
      <c r="K38" s="258"/>
      <c r="L38" s="258"/>
      <c r="M38" s="258"/>
      <c r="N38" s="258"/>
      <c r="O38" s="258"/>
      <c r="P38" s="258"/>
      <c r="Q38" s="258"/>
      <c r="R38" s="258"/>
      <c r="S38" s="258"/>
      <c r="T38" s="258"/>
      <c r="U38" s="258"/>
      <c r="V38" s="258"/>
      <c r="W38" s="258"/>
      <c r="X38" s="258"/>
      <c r="Y38" s="258"/>
      <c r="Z38" s="258"/>
      <c r="AA38" s="258"/>
      <c r="AB38" s="258"/>
      <c r="AC38" s="258"/>
      <c r="AD38" s="258"/>
      <c r="AE38" s="258"/>
      <c r="AF38" s="258"/>
    </row>
    <row r="39" spans="1:32" x14ac:dyDescent="0.2">
      <c r="A39" s="7" t="str">
        <f ca="1">IF(AUTOEVENTO="Manual",IF(OFFSET(EVENTOS!$F$14,PLE!$B39,0)&gt;0,"F",""),IF(PLE!B39&lt;=MAX(CÁLCULO!$M$15:$M$131),"F",""))</f>
        <v/>
      </c>
      <c r="B39" s="257">
        <f t="shared" ca="1" si="1"/>
        <v>24</v>
      </c>
      <c r="C39" s="770">
        <f ca="1">IF(AUTOEVENTO="Manual",OFFSET(EVENTOS!$D$15,$B39-$B$15,0),IF(B39&lt;=MAX(CÁLCULO!$M$15:$M$131),VLOOKUP($B39,CÁLCULO!$M$15:$N$131,2,FALSE),0))</f>
        <v>0</v>
      </c>
      <c r="D39" s="770"/>
      <c r="F39" s="258"/>
      <c r="H39" s="258"/>
      <c r="I39" s="258"/>
      <c r="J39" s="258"/>
      <c r="K39" s="258"/>
      <c r="L39" s="258"/>
      <c r="M39" s="258"/>
      <c r="N39" s="258"/>
      <c r="O39" s="258"/>
      <c r="P39" s="258"/>
      <c r="Q39" s="258"/>
      <c r="R39" s="258"/>
      <c r="S39" s="258"/>
      <c r="T39" s="258"/>
      <c r="U39" s="258"/>
      <c r="V39" s="258"/>
      <c r="W39" s="258"/>
      <c r="X39" s="258"/>
      <c r="Y39" s="258"/>
      <c r="Z39" s="258"/>
      <c r="AA39" s="258"/>
      <c r="AB39" s="258"/>
      <c r="AC39" s="258"/>
      <c r="AD39" s="258"/>
      <c r="AE39" s="258"/>
      <c r="AF39" s="258"/>
    </row>
    <row r="40" spans="1:32" x14ac:dyDescent="0.2">
      <c r="A40" s="7" t="str">
        <f ca="1">IF(AUTOEVENTO="Manual",IF(OFFSET(EVENTOS!$F$14,PLE!$B40,0)&gt;0,"F",""),IF(PLE!B40&lt;=MAX(CÁLCULO!$M$15:$M$131),"F",""))</f>
        <v/>
      </c>
      <c r="B40" s="257">
        <f t="shared" ca="1" si="1"/>
        <v>25</v>
      </c>
      <c r="C40" s="770">
        <f ca="1">IF(AUTOEVENTO="Manual",OFFSET(EVENTOS!$D$15,$B40-$B$15,0),IF(B40&lt;=MAX(CÁLCULO!$M$15:$M$131),VLOOKUP($B40,CÁLCULO!$M$15:$N$131,2,FALSE),0))</f>
        <v>0</v>
      </c>
      <c r="D40" s="770"/>
      <c r="F40" s="258"/>
      <c r="H40" s="258"/>
      <c r="I40" s="258"/>
      <c r="J40" s="258"/>
      <c r="K40" s="258"/>
      <c r="L40" s="258"/>
      <c r="M40" s="258"/>
      <c r="N40" s="258"/>
      <c r="O40" s="258"/>
      <c r="P40" s="258"/>
      <c r="Q40" s="258"/>
      <c r="R40" s="258"/>
      <c r="S40" s="258"/>
      <c r="T40" s="258"/>
      <c r="U40" s="258"/>
      <c r="V40" s="258"/>
      <c r="W40" s="258"/>
      <c r="X40" s="258"/>
      <c r="Y40" s="258"/>
      <c r="Z40" s="258"/>
      <c r="AA40" s="258"/>
      <c r="AB40" s="258"/>
      <c r="AC40" s="258"/>
      <c r="AD40" s="258"/>
      <c r="AE40" s="258"/>
      <c r="AF40" s="258"/>
    </row>
    <row r="41" spans="1:32" x14ac:dyDescent="0.2">
      <c r="A41" s="7" t="str">
        <f ca="1">IF(AUTOEVENTO="Manual",IF(OFFSET(EVENTOS!$F$14,PLE!$B41,0)&gt;0,"F",""),IF(PLE!B41&lt;=MAX(CÁLCULO!$M$15:$M$131),"F",""))</f>
        <v/>
      </c>
      <c r="B41" s="257">
        <f t="shared" ca="1" si="1"/>
        <v>26</v>
      </c>
      <c r="C41" s="770">
        <f ca="1">IF(AUTOEVENTO="Manual",OFFSET(EVENTOS!$D$15,$B41-$B$15,0),IF(B41&lt;=MAX(CÁLCULO!$M$15:$M$131),VLOOKUP($B41,CÁLCULO!$M$15:$N$131,2,FALSE),0))</f>
        <v>0</v>
      </c>
      <c r="D41" s="770"/>
      <c r="F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row>
    <row r="42" spans="1:32" x14ac:dyDescent="0.2">
      <c r="A42" s="7" t="str">
        <f ca="1">IF(AUTOEVENTO="Manual",IF(OFFSET(EVENTOS!$F$14,PLE!$B42,0)&gt;0,"F",""),IF(PLE!B42&lt;=MAX(CÁLCULO!$M$15:$M$131),"F",""))</f>
        <v/>
      </c>
      <c r="B42" s="257">
        <f t="shared" ca="1" si="1"/>
        <v>27</v>
      </c>
      <c r="C42" s="770">
        <f ca="1">IF(AUTOEVENTO="Manual",OFFSET(EVENTOS!$D$15,$B42-$B$15,0),IF(B42&lt;=MAX(CÁLCULO!$M$15:$M$131),VLOOKUP($B42,CÁLCULO!$M$15:$N$131,2,FALSE),0))</f>
        <v>0</v>
      </c>
      <c r="D42" s="770"/>
      <c r="F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row>
    <row r="43" spans="1:32" x14ac:dyDescent="0.2">
      <c r="A43" s="7" t="str">
        <f ca="1">IF(AUTOEVENTO="Manual",IF(OFFSET(EVENTOS!$F$14,PLE!$B43,0)&gt;0,"F",""),IF(PLE!B43&lt;=MAX(CÁLCULO!$M$15:$M$131),"F",""))</f>
        <v/>
      </c>
      <c r="B43" s="257">
        <f t="shared" ca="1" si="1"/>
        <v>28</v>
      </c>
      <c r="C43" s="770">
        <f ca="1">IF(AUTOEVENTO="Manual",OFFSET(EVENTOS!$D$15,$B43-$B$15,0),IF(B43&lt;=MAX(CÁLCULO!$M$15:$M$131),VLOOKUP($B43,CÁLCULO!$M$15:$N$131,2,FALSE),0))</f>
        <v>0</v>
      </c>
      <c r="D43" s="770"/>
      <c r="F43" s="258"/>
      <c r="H43" s="258"/>
      <c r="I43" s="258"/>
      <c r="J43" s="258"/>
      <c r="K43" s="258"/>
      <c r="L43" s="258"/>
      <c r="M43" s="258"/>
      <c r="N43" s="258"/>
      <c r="O43" s="258"/>
      <c r="P43" s="258"/>
      <c r="Q43" s="258"/>
      <c r="R43" s="258"/>
      <c r="S43" s="258"/>
      <c r="T43" s="258"/>
      <c r="U43" s="258"/>
      <c r="V43" s="258"/>
      <c r="W43" s="258"/>
      <c r="X43" s="258"/>
      <c r="Y43" s="258"/>
      <c r="Z43" s="258"/>
      <c r="AA43" s="258"/>
      <c r="AB43" s="258"/>
      <c r="AC43" s="258"/>
      <c r="AD43" s="258"/>
      <c r="AE43" s="258"/>
      <c r="AF43" s="258"/>
    </row>
    <row r="44" spans="1:32" x14ac:dyDescent="0.2">
      <c r="A44" s="7" t="str">
        <f ca="1">IF(AUTOEVENTO="Manual",IF(OFFSET(EVENTOS!$F$14,PLE!$B44,0)&gt;0,"F",""),IF(PLE!B44&lt;=MAX(CÁLCULO!$M$15:$M$131),"F",""))</f>
        <v/>
      </c>
      <c r="B44" s="257">
        <f t="shared" ca="1" si="1"/>
        <v>29</v>
      </c>
      <c r="C44" s="770">
        <f ca="1">IF(AUTOEVENTO="Manual",OFFSET(EVENTOS!$D$15,$B44-$B$15,0),IF(B44&lt;=MAX(CÁLCULO!$M$15:$M$131),VLOOKUP($B44,CÁLCULO!$M$15:$N$131,2,FALSE),0))</f>
        <v>0</v>
      </c>
      <c r="D44" s="770"/>
      <c r="F44" s="258"/>
      <c r="H44" s="258"/>
      <c r="I44" s="258"/>
      <c r="J44" s="258"/>
      <c r="K44" s="258"/>
      <c r="L44" s="258"/>
      <c r="M44" s="258"/>
      <c r="N44" s="258"/>
      <c r="O44" s="258"/>
      <c r="P44" s="258"/>
      <c r="Q44" s="258"/>
      <c r="R44" s="258"/>
      <c r="S44" s="258"/>
      <c r="T44" s="258"/>
      <c r="U44" s="258"/>
      <c r="V44" s="258"/>
      <c r="W44" s="258"/>
      <c r="X44" s="258"/>
      <c r="Y44" s="258"/>
      <c r="Z44" s="258"/>
      <c r="AA44" s="258"/>
      <c r="AB44" s="258"/>
      <c r="AC44" s="258"/>
      <c r="AD44" s="258"/>
      <c r="AE44" s="258"/>
      <c r="AF44" s="258"/>
    </row>
    <row r="45" spans="1:32" x14ac:dyDescent="0.2">
      <c r="A45" s="7" t="str">
        <f ca="1">IF(AUTOEVENTO="Manual",IF(OFFSET(EVENTOS!$F$14,PLE!$B45,0)&gt;0,"F",""),IF(PLE!B45&lt;=MAX(CÁLCULO!$M$15:$M$131),"F",""))</f>
        <v/>
      </c>
      <c r="B45" s="257">
        <f t="shared" ca="1" si="1"/>
        <v>30</v>
      </c>
      <c r="C45" s="770">
        <f ca="1">IF(AUTOEVENTO="Manual",OFFSET(EVENTOS!$D$15,$B45-$B$15,0),IF(B45&lt;=MAX(CÁLCULO!$M$15:$M$131),VLOOKUP($B45,CÁLCULO!$M$15:$N$131,2,FALSE),0))</f>
        <v>0</v>
      </c>
      <c r="D45" s="770"/>
      <c r="F45" s="258"/>
      <c r="H45" s="258"/>
      <c r="I45" s="258"/>
      <c r="J45" s="258"/>
      <c r="K45" s="258"/>
      <c r="L45" s="258"/>
      <c r="M45" s="258"/>
      <c r="N45" s="258"/>
      <c r="O45" s="258"/>
      <c r="P45" s="258"/>
      <c r="Q45" s="258"/>
      <c r="R45" s="258"/>
      <c r="S45" s="258"/>
      <c r="T45" s="258"/>
      <c r="U45" s="258"/>
      <c r="V45" s="258"/>
      <c r="W45" s="258"/>
      <c r="X45" s="258"/>
      <c r="Y45" s="258"/>
      <c r="Z45" s="258"/>
      <c r="AA45" s="258"/>
      <c r="AB45" s="258"/>
      <c r="AC45" s="258"/>
      <c r="AD45" s="258"/>
      <c r="AE45" s="258"/>
      <c r="AF45" s="258"/>
    </row>
    <row r="46" spans="1:32" x14ac:dyDescent="0.2">
      <c r="A46" s="7" t="str">
        <f ca="1">IF(AUTOEVENTO="Manual",IF(OFFSET(EVENTOS!$F$14,PLE!$B46,0)&gt;0,"F",""),IF(PLE!B46&lt;=MAX(CÁLCULO!$M$15:$M$131),"F",""))</f>
        <v/>
      </c>
      <c r="B46" s="257">
        <f t="shared" ca="1" si="1"/>
        <v>31</v>
      </c>
      <c r="C46" s="770">
        <f ca="1">IF(AUTOEVENTO="Manual",OFFSET(EVENTOS!$D$15,$B46-$B$15,0),IF(B46&lt;=MAX(CÁLCULO!$M$15:$M$131),VLOOKUP($B46,CÁLCULO!$M$15:$N$131,2,FALSE),0))</f>
        <v>0</v>
      </c>
      <c r="D46" s="770"/>
      <c r="F46" s="258"/>
      <c r="H46" s="258"/>
      <c r="I46" s="258"/>
      <c r="J46" s="258"/>
      <c r="K46" s="258"/>
      <c r="L46" s="258"/>
      <c r="M46" s="258"/>
      <c r="N46" s="258"/>
      <c r="O46" s="258"/>
      <c r="P46" s="258"/>
      <c r="Q46" s="258"/>
      <c r="R46" s="258"/>
      <c r="S46" s="258"/>
      <c r="T46" s="258"/>
      <c r="U46" s="258"/>
      <c r="V46" s="258"/>
      <c r="W46" s="258"/>
      <c r="X46" s="258"/>
      <c r="Y46" s="258"/>
      <c r="Z46" s="258"/>
      <c r="AA46" s="258"/>
      <c r="AB46" s="258"/>
      <c r="AC46" s="258"/>
      <c r="AD46" s="258"/>
      <c r="AE46" s="258"/>
      <c r="AF46" s="258"/>
    </row>
    <row r="47" spans="1:32" x14ac:dyDescent="0.2">
      <c r="A47" s="7" t="str">
        <f ca="1">IF(AUTOEVENTO="Manual",IF(OFFSET(EVENTOS!$F$14,PLE!$B47,0)&gt;0,"F",""),IF(PLE!B47&lt;=MAX(CÁLCULO!$M$15:$M$131),"F",""))</f>
        <v/>
      </c>
      <c r="B47" s="257">
        <f t="shared" ca="1" si="1"/>
        <v>32</v>
      </c>
      <c r="C47" s="770">
        <f ca="1">IF(AUTOEVENTO="Manual",OFFSET(EVENTOS!$D$15,$B47-$B$15,0),IF(B47&lt;=MAX(CÁLCULO!$M$15:$M$131),VLOOKUP($B47,CÁLCULO!$M$15:$N$131,2,FALSE),0))</f>
        <v>0</v>
      </c>
      <c r="D47" s="770"/>
      <c r="F47" s="258"/>
      <c r="H47" s="258"/>
      <c r="I47" s="258"/>
      <c r="J47" s="258"/>
      <c r="K47" s="258"/>
      <c r="L47" s="258"/>
      <c r="M47" s="258"/>
      <c r="N47" s="258"/>
      <c r="O47" s="258"/>
      <c r="P47" s="258"/>
      <c r="Q47" s="258"/>
      <c r="R47" s="258"/>
      <c r="S47" s="258"/>
      <c r="T47" s="258"/>
      <c r="U47" s="258"/>
      <c r="V47" s="258"/>
      <c r="W47" s="258"/>
      <c r="X47" s="258"/>
      <c r="Y47" s="258"/>
      <c r="Z47" s="258"/>
      <c r="AA47" s="258"/>
      <c r="AB47" s="258"/>
      <c r="AC47" s="258"/>
      <c r="AD47" s="258"/>
      <c r="AE47" s="258"/>
      <c r="AF47" s="258"/>
    </row>
    <row r="48" spans="1:32" x14ac:dyDescent="0.2">
      <c r="A48" s="7" t="str">
        <f ca="1">IF(AUTOEVENTO="Manual",IF(OFFSET(EVENTOS!$F$14,PLE!$B48,0)&gt;0,"F",""),IF(PLE!B48&lt;=MAX(CÁLCULO!$M$15:$M$131),"F",""))</f>
        <v/>
      </c>
      <c r="B48" s="257">
        <f t="shared" ca="1" si="1"/>
        <v>33</v>
      </c>
      <c r="C48" s="770">
        <f ca="1">IF(AUTOEVENTO="Manual",OFFSET(EVENTOS!$D$15,$B48-$B$15,0),IF(B48&lt;=MAX(CÁLCULO!$M$15:$M$131),VLOOKUP($B48,CÁLCULO!$M$15:$N$131,2,FALSE),0))</f>
        <v>0</v>
      </c>
      <c r="D48" s="770"/>
      <c r="F48" s="258"/>
      <c r="H48" s="258"/>
      <c r="I48" s="258"/>
      <c r="J48" s="258"/>
      <c r="K48" s="258"/>
      <c r="L48" s="258"/>
      <c r="M48" s="258"/>
      <c r="N48" s="258"/>
      <c r="O48" s="258"/>
      <c r="P48" s="258"/>
      <c r="Q48" s="258"/>
      <c r="R48" s="258"/>
      <c r="S48" s="258"/>
      <c r="T48" s="258"/>
      <c r="U48" s="258"/>
      <c r="V48" s="258"/>
      <c r="W48" s="258"/>
      <c r="X48" s="258"/>
      <c r="Y48" s="258"/>
      <c r="Z48" s="258"/>
      <c r="AA48" s="258"/>
      <c r="AB48" s="258"/>
      <c r="AC48" s="258"/>
      <c r="AD48" s="258"/>
      <c r="AE48" s="258"/>
      <c r="AF48" s="258"/>
    </row>
    <row r="49" spans="1:32" x14ac:dyDescent="0.2">
      <c r="A49" s="7" t="str">
        <f ca="1">IF(AUTOEVENTO="Manual",IF(OFFSET(EVENTOS!$F$14,PLE!$B49,0)&gt;0,"F",""),IF(PLE!B49&lt;=MAX(CÁLCULO!$M$15:$M$131),"F",""))</f>
        <v/>
      </c>
      <c r="B49" s="257">
        <f t="shared" ca="1" si="1"/>
        <v>34</v>
      </c>
      <c r="C49" s="770">
        <f ca="1">IF(AUTOEVENTO="Manual",OFFSET(EVENTOS!$D$15,$B49-$B$15,0),IF(B49&lt;=MAX(CÁLCULO!$M$15:$M$131),VLOOKUP($B49,CÁLCULO!$M$15:$N$131,2,FALSE),0))</f>
        <v>0</v>
      </c>
      <c r="D49" s="770"/>
      <c r="F49" s="258"/>
      <c r="H49" s="258"/>
      <c r="I49" s="258"/>
      <c r="J49" s="258"/>
      <c r="K49" s="258"/>
      <c r="L49" s="258"/>
      <c r="M49" s="258"/>
      <c r="N49" s="258"/>
      <c r="O49" s="258"/>
      <c r="P49" s="258"/>
      <c r="Q49" s="258"/>
      <c r="R49" s="258"/>
      <c r="S49" s="258"/>
      <c r="T49" s="258"/>
      <c r="U49" s="258"/>
      <c r="V49" s="258"/>
      <c r="W49" s="258"/>
      <c r="X49" s="258"/>
      <c r="Y49" s="258"/>
      <c r="Z49" s="258"/>
      <c r="AA49" s="258"/>
      <c r="AB49" s="258"/>
      <c r="AC49" s="258"/>
      <c r="AD49" s="258"/>
      <c r="AE49" s="258"/>
      <c r="AF49" s="258"/>
    </row>
    <row r="50" spans="1:32" x14ac:dyDescent="0.2">
      <c r="A50" s="7" t="str">
        <f ca="1">IF(AUTOEVENTO="Manual",IF(OFFSET(EVENTOS!$F$14,PLE!$B50,0)&gt;0,"F",""),IF(PLE!B50&lt;=MAX(CÁLCULO!$M$15:$M$131),"F",""))</f>
        <v/>
      </c>
      <c r="B50" s="257">
        <f t="shared" ca="1" si="1"/>
        <v>35</v>
      </c>
      <c r="C50" s="770">
        <f ca="1">IF(AUTOEVENTO="Manual",OFFSET(EVENTOS!$D$15,$B50-$B$15,0),IF(B50&lt;=MAX(CÁLCULO!$M$15:$M$131),VLOOKUP($B50,CÁLCULO!$M$15:$N$131,2,FALSE),0))</f>
        <v>0</v>
      </c>
      <c r="D50" s="770"/>
      <c r="F50" s="258"/>
      <c r="H50" s="258"/>
      <c r="I50" s="258"/>
      <c r="J50" s="258"/>
      <c r="K50" s="258"/>
      <c r="L50" s="258"/>
      <c r="M50" s="258"/>
      <c r="N50" s="258"/>
      <c r="O50" s="258"/>
      <c r="P50" s="258"/>
      <c r="Q50" s="258"/>
      <c r="R50" s="258"/>
      <c r="S50" s="258"/>
      <c r="T50" s="258"/>
      <c r="U50" s="258"/>
      <c r="V50" s="258"/>
      <c r="W50" s="258"/>
      <c r="X50" s="258"/>
      <c r="Y50" s="258"/>
      <c r="Z50" s="258"/>
      <c r="AA50" s="258"/>
      <c r="AB50" s="258"/>
      <c r="AC50" s="258"/>
      <c r="AD50" s="258"/>
      <c r="AE50" s="258"/>
      <c r="AF50" s="258"/>
    </row>
    <row r="51" spans="1:32" x14ac:dyDescent="0.2">
      <c r="A51" s="7" t="str">
        <f ca="1">IF(AUTOEVENTO="Manual",IF(OFFSET(EVENTOS!$F$14,PLE!$B51,0)&gt;0,"F",""),IF(PLE!B51&lt;=MAX(CÁLCULO!$M$15:$M$131),"F",""))</f>
        <v/>
      </c>
      <c r="B51" s="257">
        <f t="shared" ca="1" si="1"/>
        <v>36</v>
      </c>
      <c r="C51" s="770">
        <f ca="1">IF(AUTOEVENTO="Manual",OFFSET(EVENTOS!$D$15,$B51-$B$15,0),IF(B51&lt;=MAX(CÁLCULO!$M$15:$M$131),VLOOKUP($B51,CÁLCULO!$M$15:$N$131,2,FALSE),0))</f>
        <v>0</v>
      </c>
      <c r="D51" s="770"/>
      <c r="F51" s="258"/>
      <c r="H51" s="258"/>
      <c r="I51" s="258"/>
      <c r="J51" s="258"/>
      <c r="K51" s="258"/>
      <c r="L51" s="258"/>
      <c r="M51" s="258"/>
      <c r="N51" s="258"/>
      <c r="O51" s="258"/>
      <c r="P51" s="258"/>
      <c r="Q51" s="258"/>
      <c r="R51" s="258"/>
      <c r="S51" s="258"/>
      <c r="T51" s="258"/>
      <c r="U51" s="258"/>
      <c r="V51" s="258"/>
      <c r="W51" s="258"/>
      <c r="X51" s="258"/>
      <c r="Y51" s="258"/>
      <c r="Z51" s="258"/>
      <c r="AA51" s="258"/>
      <c r="AB51" s="258"/>
      <c r="AC51" s="258"/>
      <c r="AD51" s="258"/>
      <c r="AE51" s="258"/>
      <c r="AF51" s="258"/>
    </row>
    <row r="52" spans="1:32" x14ac:dyDescent="0.2">
      <c r="A52" s="7" t="str">
        <f ca="1">IF(AUTOEVENTO="Manual",IF(OFFSET(EVENTOS!$F$14,PLE!$B52,0)&gt;0,"F",""),IF(PLE!B52&lt;=MAX(CÁLCULO!$M$15:$M$131),"F",""))</f>
        <v/>
      </c>
      <c r="B52" s="257">
        <f t="shared" ca="1" si="1"/>
        <v>37</v>
      </c>
      <c r="C52" s="770">
        <f ca="1">IF(AUTOEVENTO="Manual",OFFSET(EVENTOS!$D$15,$B52-$B$15,0),IF(B52&lt;=MAX(CÁLCULO!$M$15:$M$131),VLOOKUP($B52,CÁLCULO!$M$15:$N$131,2,FALSE),0))</f>
        <v>0</v>
      </c>
      <c r="D52" s="770"/>
      <c r="F52" s="258"/>
      <c r="H52" s="258"/>
      <c r="I52" s="258"/>
      <c r="J52" s="258"/>
      <c r="K52" s="258"/>
      <c r="L52" s="258"/>
      <c r="M52" s="258"/>
      <c r="N52" s="258"/>
      <c r="O52" s="258"/>
      <c r="P52" s="258"/>
      <c r="Q52" s="258"/>
      <c r="R52" s="258"/>
      <c r="S52" s="258"/>
      <c r="T52" s="258"/>
      <c r="U52" s="258"/>
      <c r="V52" s="258"/>
      <c r="W52" s="258"/>
      <c r="X52" s="258"/>
      <c r="Y52" s="258"/>
      <c r="Z52" s="258"/>
      <c r="AA52" s="258"/>
      <c r="AB52" s="258"/>
      <c r="AC52" s="258"/>
      <c r="AD52" s="258"/>
      <c r="AE52" s="258"/>
      <c r="AF52" s="258"/>
    </row>
    <row r="53" spans="1:32" x14ac:dyDescent="0.2">
      <c r="A53" s="7" t="str">
        <f ca="1">IF(AUTOEVENTO="Manual",IF(OFFSET(EVENTOS!$F$14,PLE!$B53,0)&gt;0,"F",""),IF(PLE!B53&lt;=MAX(CÁLCULO!$M$15:$M$131),"F",""))</f>
        <v/>
      </c>
      <c r="B53" s="257">
        <f t="shared" ca="1" si="1"/>
        <v>38</v>
      </c>
      <c r="C53" s="770">
        <f ca="1">IF(AUTOEVENTO="Manual",OFFSET(EVENTOS!$D$15,$B53-$B$15,0),IF(B53&lt;=MAX(CÁLCULO!$M$15:$M$131),VLOOKUP($B53,CÁLCULO!$M$15:$N$131,2,FALSE),0))</f>
        <v>0</v>
      </c>
      <c r="D53" s="770"/>
      <c r="F53" s="258"/>
      <c r="H53" s="258"/>
      <c r="I53" s="258"/>
      <c r="J53" s="258"/>
      <c r="K53" s="258"/>
      <c r="L53" s="258"/>
      <c r="M53" s="258"/>
      <c r="N53" s="258"/>
      <c r="O53" s="258"/>
      <c r="P53" s="258"/>
      <c r="Q53" s="258"/>
      <c r="R53" s="258"/>
      <c r="S53" s="258"/>
      <c r="T53" s="258"/>
      <c r="U53" s="258"/>
      <c r="V53" s="258"/>
      <c r="W53" s="258"/>
      <c r="X53" s="258"/>
      <c r="Y53" s="258"/>
      <c r="Z53" s="258"/>
      <c r="AA53" s="258"/>
      <c r="AB53" s="258"/>
      <c r="AC53" s="258"/>
      <c r="AD53" s="258"/>
      <c r="AE53" s="258"/>
      <c r="AF53" s="258"/>
    </row>
    <row r="54" spans="1:32" x14ac:dyDescent="0.2">
      <c r="A54" s="7" t="str">
        <f ca="1">IF(AUTOEVENTO="Manual",IF(OFFSET(EVENTOS!$F$14,PLE!$B54,0)&gt;0,"F",""),IF(PLE!B54&lt;=MAX(CÁLCULO!$M$15:$M$131),"F",""))</f>
        <v/>
      </c>
      <c r="B54" s="257">
        <f t="shared" ca="1" si="1"/>
        <v>39</v>
      </c>
      <c r="C54" s="770">
        <f ca="1">IF(AUTOEVENTO="Manual",OFFSET(EVENTOS!$D$15,$B54-$B$15,0),IF(B54&lt;=MAX(CÁLCULO!$M$15:$M$131),VLOOKUP($B54,CÁLCULO!$M$15:$N$131,2,FALSE),0))</f>
        <v>0</v>
      </c>
      <c r="D54" s="770"/>
      <c r="F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row>
    <row r="55" spans="1:32" x14ac:dyDescent="0.2">
      <c r="A55" s="7" t="str">
        <f ca="1">IF(AUTOEVENTO="Manual",IF(OFFSET(EVENTOS!$F$14,PLE!$B55,0)&gt;0,"F",""),IF(PLE!B55&lt;=MAX(CÁLCULO!$M$15:$M$131),"F",""))</f>
        <v/>
      </c>
      <c r="B55" s="257">
        <f t="shared" ca="1" si="1"/>
        <v>40</v>
      </c>
      <c r="C55" s="770">
        <f ca="1">IF(AUTOEVENTO="Manual",OFFSET(EVENTOS!$D$15,$B55-$B$15,0),IF(B55&lt;=MAX(CÁLCULO!$M$15:$M$131),VLOOKUP($B55,CÁLCULO!$M$15:$N$131,2,FALSE),0))</f>
        <v>0</v>
      </c>
      <c r="D55" s="770"/>
      <c r="F55" s="258"/>
      <c r="H55" s="258"/>
      <c r="I55" s="258"/>
      <c r="J55" s="258"/>
      <c r="K55" s="258"/>
      <c r="L55" s="258"/>
      <c r="M55" s="258"/>
      <c r="N55" s="258"/>
      <c r="O55" s="258"/>
      <c r="P55" s="258"/>
      <c r="Q55" s="258"/>
      <c r="R55" s="258"/>
      <c r="S55" s="258"/>
      <c r="T55" s="258"/>
      <c r="U55" s="258"/>
      <c r="V55" s="258"/>
      <c r="W55" s="258"/>
      <c r="X55" s="258"/>
      <c r="Y55" s="258"/>
      <c r="Z55" s="258"/>
      <c r="AA55" s="258"/>
      <c r="AB55" s="258"/>
      <c r="AC55" s="258"/>
      <c r="AD55" s="258"/>
      <c r="AE55" s="258"/>
      <c r="AF55" s="258"/>
    </row>
    <row r="56" spans="1:32" x14ac:dyDescent="0.2">
      <c r="A56" s="7" t="str">
        <f ca="1">IF(AUTOEVENTO="Manual",IF(OFFSET(EVENTOS!$F$14,PLE!$B56,0)&gt;0,"F",""),IF(PLE!B56&lt;=MAX(CÁLCULO!$M$15:$M$131),"F",""))</f>
        <v/>
      </c>
      <c r="B56" s="257">
        <f t="shared" ca="1" si="1"/>
        <v>41</v>
      </c>
      <c r="C56" s="770">
        <f ca="1">IF(AUTOEVENTO="Manual",OFFSET(EVENTOS!$D$15,$B56-$B$15,0),IF(B56&lt;=MAX(CÁLCULO!$M$15:$M$131),VLOOKUP($B56,CÁLCULO!$M$15:$N$131,2,FALSE),0))</f>
        <v>0</v>
      </c>
      <c r="D56" s="770"/>
      <c r="F56" s="258"/>
      <c r="H56" s="258"/>
      <c r="I56" s="258"/>
      <c r="J56" s="258"/>
      <c r="K56" s="258"/>
      <c r="L56" s="258"/>
      <c r="M56" s="258"/>
      <c r="N56" s="258"/>
      <c r="O56" s="258"/>
      <c r="P56" s="258"/>
      <c r="Q56" s="258"/>
      <c r="R56" s="258"/>
      <c r="S56" s="258"/>
      <c r="T56" s="258"/>
      <c r="U56" s="258"/>
      <c r="V56" s="258"/>
      <c r="W56" s="258"/>
      <c r="X56" s="258"/>
      <c r="Y56" s="258"/>
      <c r="Z56" s="258"/>
      <c r="AA56" s="258"/>
      <c r="AB56" s="258"/>
      <c r="AC56" s="258"/>
      <c r="AD56" s="258"/>
      <c r="AE56" s="258"/>
      <c r="AF56" s="258"/>
    </row>
    <row r="57" spans="1:32" x14ac:dyDescent="0.2">
      <c r="A57" s="7" t="str">
        <f ca="1">IF(AUTOEVENTO="Manual",IF(OFFSET(EVENTOS!$F$14,PLE!$B57,0)&gt;0,"F",""),IF(PLE!B57&lt;=MAX(CÁLCULO!$M$15:$M$131),"F",""))</f>
        <v/>
      </c>
      <c r="B57" s="257">
        <f t="shared" ca="1" si="1"/>
        <v>42</v>
      </c>
      <c r="C57" s="770">
        <f ca="1">IF(AUTOEVENTO="Manual",OFFSET(EVENTOS!$D$15,$B57-$B$15,0),IF(B57&lt;=MAX(CÁLCULO!$M$15:$M$131),VLOOKUP($B57,CÁLCULO!$M$15:$N$131,2,FALSE),0))</f>
        <v>0</v>
      </c>
      <c r="D57" s="770"/>
      <c r="F57" s="258"/>
      <c r="H57" s="258"/>
      <c r="I57" s="258"/>
      <c r="J57" s="258"/>
      <c r="K57" s="258"/>
      <c r="L57" s="258"/>
      <c r="M57" s="258"/>
      <c r="N57" s="258"/>
      <c r="O57" s="258"/>
      <c r="P57" s="258"/>
      <c r="Q57" s="258"/>
      <c r="R57" s="258"/>
      <c r="S57" s="258"/>
      <c r="T57" s="258"/>
      <c r="U57" s="258"/>
      <c r="V57" s="258"/>
      <c r="W57" s="258"/>
      <c r="X57" s="258"/>
      <c r="Y57" s="258"/>
      <c r="Z57" s="258"/>
      <c r="AA57" s="258"/>
      <c r="AB57" s="258"/>
      <c r="AC57" s="258"/>
      <c r="AD57" s="258"/>
      <c r="AE57" s="258"/>
      <c r="AF57" s="258"/>
    </row>
    <row r="58" spans="1:32" x14ac:dyDescent="0.2">
      <c r="A58" s="7" t="str">
        <f ca="1">IF(AUTOEVENTO="Manual",IF(OFFSET(EVENTOS!$F$14,PLE!$B58,0)&gt;0,"F",""),IF(PLE!B58&lt;=MAX(CÁLCULO!$M$15:$M$131),"F",""))</f>
        <v/>
      </c>
      <c r="B58" s="257">
        <f t="shared" ca="1" si="1"/>
        <v>43</v>
      </c>
      <c r="C58" s="770">
        <f ca="1">IF(AUTOEVENTO="Manual",OFFSET(EVENTOS!$D$15,$B58-$B$15,0),IF(B58&lt;=MAX(CÁLCULO!$M$15:$M$131),VLOOKUP($B58,CÁLCULO!$M$15:$N$131,2,FALSE),0))</f>
        <v>0</v>
      </c>
      <c r="D58" s="770"/>
      <c r="F58" s="258"/>
      <c r="H58" s="258"/>
      <c r="I58" s="258"/>
      <c r="J58" s="258"/>
      <c r="K58" s="258"/>
      <c r="L58" s="258"/>
      <c r="M58" s="258"/>
      <c r="N58" s="258"/>
      <c r="O58" s="258"/>
      <c r="P58" s="258"/>
      <c r="Q58" s="258"/>
      <c r="R58" s="258"/>
      <c r="S58" s="258"/>
      <c r="T58" s="258"/>
      <c r="U58" s="258"/>
      <c r="V58" s="258"/>
      <c r="W58" s="258"/>
      <c r="X58" s="258"/>
      <c r="Y58" s="258"/>
      <c r="Z58" s="258"/>
      <c r="AA58" s="258"/>
      <c r="AB58" s="258"/>
      <c r="AC58" s="258"/>
      <c r="AD58" s="258"/>
      <c r="AE58" s="258"/>
      <c r="AF58" s="258"/>
    </row>
    <row r="59" spans="1:32" x14ac:dyDescent="0.2">
      <c r="A59" s="7" t="str">
        <f ca="1">IF(AUTOEVENTO="Manual",IF(OFFSET(EVENTOS!$F$14,PLE!$B59,0)&gt;0,"F",""),IF(PLE!B59&lt;=MAX(CÁLCULO!$M$15:$M$131),"F",""))</f>
        <v/>
      </c>
      <c r="B59" s="257">
        <f t="shared" ca="1" si="1"/>
        <v>44</v>
      </c>
      <c r="C59" s="770">
        <f ca="1">IF(AUTOEVENTO="Manual",OFFSET(EVENTOS!$D$15,$B59-$B$15,0),IF(B59&lt;=MAX(CÁLCULO!$M$15:$M$131),VLOOKUP($B59,CÁLCULO!$M$15:$N$131,2,FALSE),0))</f>
        <v>0</v>
      </c>
      <c r="D59" s="770"/>
      <c r="F59" s="258"/>
      <c r="H59" s="258"/>
      <c r="I59" s="258"/>
      <c r="J59" s="258"/>
      <c r="K59" s="258"/>
      <c r="L59" s="258"/>
      <c r="M59" s="258"/>
      <c r="N59" s="258"/>
      <c r="O59" s="258"/>
      <c r="P59" s="258"/>
      <c r="Q59" s="258"/>
      <c r="R59" s="258"/>
      <c r="S59" s="258"/>
      <c r="T59" s="258"/>
      <c r="U59" s="258"/>
      <c r="V59" s="258"/>
      <c r="W59" s="258"/>
      <c r="X59" s="258"/>
      <c r="Y59" s="258"/>
      <c r="Z59" s="258"/>
      <c r="AA59" s="258"/>
      <c r="AB59" s="258"/>
      <c r="AC59" s="258"/>
      <c r="AD59" s="258"/>
      <c r="AE59" s="258"/>
      <c r="AF59" s="258"/>
    </row>
    <row r="60" spans="1:32" x14ac:dyDescent="0.2">
      <c r="A60" s="7" t="str">
        <f ca="1">IF(AUTOEVENTO="Manual",IF(OFFSET(EVENTOS!$F$14,PLE!$B60,0)&gt;0,"F",""),IF(PLE!B60&lt;=MAX(CÁLCULO!$M$15:$M$131),"F",""))</f>
        <v/>
      </c>
      <c r="B60" s="257">
        <f t="shared" ca="1" si="1"/>
        <v>45</v>
      </c>
      <c r="C60" s="770">
        <f ca="1">IF(AUTOEVENTO="Manual",OFFSET(EVENTOS!$D$15,$B60-$B$15,0),IF(B60&lt;=MAX(CÁLCULO!$M$15:$M$131),VLOOKUP($B60,CÁLCULO!$M$15:$N$131,2,FALSE),0))</f>
        <v>0</v>
      </c>
      <c r="D60" s="770"/>
      <c r="F60" s="258"/>
      <c r="H60" s="258"/>
      <c r="I60" s="258"/>
      <c r="J60" s="258"/>
      <c r="K60" s="258"/>
      <c r="L60" s="258"/>
      <c r="M60" s="258"/>
      <c r="N60" s="258"/>
      <c r="O60" s="258"/>
      <c r="P60" s="258"/>
      <c r="Q60" s="258"/>
      <c r="R60" s="258"/>
      <c r="S60" s="258"/>
      <c r="T60" s="258"/>
      <c r="U60" s="258"/>
      <c r="V60" s="258"/>
      <c r="W60" s="258"/>
      <c r="X60" s="258"/>
      <c r="Y60" s="258"/>
      <c r="Z60" s="258"/>
      <c r="AA60" s="258"/>
      <c r="AB60" s="258"/>
      <c r="AC60" s="258"/>
      <c r="AD60" s="258"/>
      <c r="AE60" s="258"/>
      <c r="AF60" s="258"/>
    </row>
    <row r="61" spans="1:32" x14ac:dyDescent="0.2">
      <c r="A61" s="7" t="str">
        <f ca="1">IF(AUTOEVENTO="Manual",IF(OFFSET(EVENTOS!$F$14,PLE!$B61,0)&gt;0,"F",""),IF(PLE!B61&lt;=MAX(CÁLCULO!$M$15:$M$131),"F",""))</f>
        <v/>
      </c>
      <c r="B61" s="257">
        <f t="shared" ca="1" si="1"/>
        <v>46</v>
      </c>
      <c r="C61" s="770">
        <f ca="1">IF(AUTOEVENTO="Manual",OFFSET(EVENTOS!$D$15,$B61-$B$15,0),IF(B61&lt;=MAX(CÁLCULO!$M$15:$M$131),VLOOKUP($B61,CÁLCULO!$M$15:$N$131,2,FALSE),0))</f>
        <v>0</v>
      </c>
      <c r="D61" s="770"/>
      <c r="F61" s="258"/>
      <c r="H61" s="258"/>
      <c r="I61" s="258"/>
      <c r="J61" s="258"/>
      <c r="K61" s="258"/>
      <c r="L61" s="258"/>
      <c r="M61" s="258"/>
      <c r="N61" s="258"/>
      <c r="O61" s="258"/>
      <c r="P61" s="258"/>
      <c r="Q61" s="258"/>
      <c r="R61" s="258"/>
      <c r="S61" s="258"/>
      <c r="T61" s="258"/>
      <c r="U61" s="258"/>
      <c r="V61" s="258"/>
      <c r="W61" s="258"/>
      <c r="X61" s="258"/>
      <c r="Y61" s="258"/>
      <c r="Z61" s="258"/>
      <c r="AA61" s="258"/>
      <c r="AB61" s="258"/>
      <c r="AC61" s="258"/>
      <c r="AD61" s="258"/>
      <c r="AE61" s="258"/>
      <c r="AF61" s="258"/>
    </row>
    <row r="62" spans="1:32" x14ac:dyDescent="0.2">
      <c r="A62" s="7" t="str">
        <f ca="1">IF(AUTOEVENTO="Manual",IF(OFFSET(EVENTOS!$F$14,PLE!$B62,0)&gt;0,"F",""),IF(PLE!B62&lt;=MAX(CÁLCULO!$M$15:$M$131),"F",""))</f>
        <v/>
      </c>
      <c r="B62" s="257">
        <f t="shared" ca="1" si="1"/>
        <v>47</v>
      </c>
      <c r="C62" s="770">
        <f ca="1">IF(AUTOEVENTO="Manual",OFFSET(EVENTOS!$D$15,$B62-$B$15,0),IF(B62&lt;=MAX(CÁLCULO!$M$15:$M$131),VLOOKUP($B62,CÁLCULO!$M$15:$N$131,2,FALSE),0))</f>
        <v>0</v>
      </c>
      <c r="D62" s="770"/>
      <c r="F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row>
    <row r="63" spans="1:32" x14ac:dyDescent="0.2">
      <c r="A63" s="7" t="str">
        <f ca="1">IF(AUTOEVENTO="Manual",IF(OFFSET(EVENTOS!$F$14,PLE!$B63,0)&gt;0,"F",""),IF(PLE!B63&lt;=MAX(CÁLCULO!$M$15:$M$131),"F",""))</f>
        <v/>
      </c>
      <c r="B63" s="257">
        <f t="shared" ca="1" si="1"/>
        <v>48</v>
      </c>
      <c r="C63" s="770">
        <f ca="1">IF(AUTOEVENTO="Manual",OFFSET(EVENTOS!$D$15,$B63-$B$15,0),IF(B63&lt;=MAX(CÁLCULO!$M$15:$M$131),VLOOKUP($B63,CÁLCULO!$M$15:$N$131,2,FALSE),0))</f>
        <v>0</v>
      </c>
      <c r="D63" s="770"/>
      <c r="F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row>
    <row r="64" spans="1:32" x14ac:dyDescent="0.2">
      <c r="A64" s="7" t="str">
        <f ca="1">IF(AUTOEVENTO="Manual",IF(OFFSET(EVENTOS!$F$14,PLE!$B64,0)&gt;0,"F",""),IF(PLE!B64&lt;=MAX(CÁLCULO!$M$15:$M$131),"F",""))</f>
        <v/>
      </c>
      <c r="B64" s="257">
        <f t="shared" ca="1" si="1"/>
        <v>49</v>
      </c>
      <c r="C64" s="770">
        <f ca="1">IF(AUTOEVENTO="Manual",OFFSET(EVENTOS!$D$15,$B64-$B$15,0),IF(B64&lt;=MAX(CÁLCULO!$M$15:$M$131),VLOOKUP($B64,CÁLCULO!$M$15:$N$131,2,FALSE),0))</f>
        <v>0</v>
      </c>
      <c r="D64" s="770"/>
      <c r="F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row>
    <row r="65" spans="1:32" ht="4.7" customHeight="1" x14ac:dyDescent="0.2">
      <c r="A65" s="7" t="s">
        <v>244</v>
      </c>
      <c r="B65" s="440"/>
      <c r="C65" s="441"/>
      <c r="D65" s="442"/>
      <c r="F65" s="138"/>
      <c r="H65" s="440"/>
      <c r="I65" s="441"/>
      <c r="J65" s="441"/>
      <c r="K65" s="441"/>
      <c r="L65" s="441"/>
      <c r="M65" s="441"/>
      <c r="N65" s="441"/>
      <c r="O65" s="441"/>
      <c r="P65" s="441"/>
      <c r="Q65" s="441"/>
      <c r="R65" s="441"/>
      <c r="S65" s="441"/>
      <c r="T65" s="441"/>
      <c r="U65" s="441"/>
      <c r="V65" s="441"/>
      <c r="W65" s="441"/>
      <c r="X65" s="441"/>
      <c r="Y65" s="441"/>
      <c r="Z65" s="441"/>
      <c r="AA65" s="441"/>
      <c r="AB65" s="441"/>
      <c r="AC65" s="441"/>
      <c r="AD65" s="441"/>
      <c r="AE65" s="441"/>
      <c r="AF65" s="442"/>
    </row>
    <row r="66" spans="1:32" x14ac:dyDescent="0.2">
      <c r="A66" s="7" t="s">
        <v>244</v>
      </c>
    </row>
    <row r="67" spans="1:32" x14ac:dyDescent="0.2">
      <c r="A67" s="7" t="s">
        <v>244</v>
      </c>
      <c r="I67" s="791" t="s">
        <v>292</v>
      </c>
      <c r="J67" s="791"/>
      <c r="K67" s="791"/>
      <c r="L67" s="791"/>
      <c r="M67" s="791"/>
      <c r="N67" s="791"/>
      <c r="O67" s="791"/>
      <c r="P67" s="791"/>
      <c r="Q67" s="791"/>
      <c r="R67" s="791"/>
      <c r="S67" s="791"/>
      <c r="T67" s="791"/>
      <c r="U67" s="791"/>
      <c r="V67" s="791"/>
      <c r="W67" s="791"/>
      <c r="X67" s="791"/>
      <c r="Y67" s="791"/>
      <c r="Z67" s="791"/>
      <c r="AA67" s="791"/>
      <c r="AB67" s="791"/>
      <c r="AC67" s="791"/>
      <c r="AD67" s="791"/>
      <c r="AE67" s="791"/>
      <c r="AF67" s="791"/>
    </row>
    <row r="68" spans="1:32" x14ac:dyDescent="0.2">
      <c r="A68" s="7" t="s">
        <v>244</v>
      </c>
      <c r="H68" s="641" t="str">
        <f>IF(INDEX($I$68:$AG$68,MATCH(PLE.Medicao,$I$69:$AG$69,0))="","Preencher a data da medição "&amp;PLE.Medicao,"")</f>
        <v>Preencher a data da medição 1</v>
      </c>
      <c r="I68" s="792"/>
      <c r="J68" s="775"/>
      <c r="K68" s="775"/>
      <c r="L68" s="775"/>
      <c r="M68" s="775"/>
      <c r="N68" s="775"/>
      <c r="O68" s="775"/>
      <c r="P68" s="775"/>
      <c r="Q68" s="775"/>
      <c r="R68" s="775"/>
      <c r="S68" s="775"/>
      <c r="T68" s="775"/>
      <c r="U68" s="775"/>
      <c r="V68" s="775"/>
      <c r="W68" s="775"/>
      <c r="X68" s="775"/>
      <c r="Y68" s="775"/>
      <c r="Z68" s="775"/>
      <c r="AA68" s="775"/>
      <c r="AB68" s="775"/>
      <c r="AC68" s="775"/>
      <c r="AD68" s="775"/>
      <c r="AE68" s="775"/>
      <c r="AF68" s="793"/>
    </row>
    <row r="69" spans="1:32" x14ac:dyDescent="0.2">
      <c r="A69" s="7" t="s">
        <v>244</v>
      </c>
      <c r="D69" s="279" t="s">
        <v>293</v>
      </c>
      <c r="I69" s="776">
        <f>IF(PLE.Medicao&lt;=12,1,TRUNC((PLE.Medicao - 2)/11,0) * 11 + 1)</f>
        <v>1</v>
      </c>
      <c r="J69" s="776"/>
      <c r="K69" s="776">
        <f>I69+1</f>
        <v>2</v>
      </c>
      <c r="L69" s="776"/>
      <c r="M69" s="776">
        <f>K69+1</f>
        <v>3</v>
      </c>
      <c r="N69" s="776"/>
      <c r="O69" s="776">
        <f>M69+1</f>
        <v>4</v>
      </c>
      <c r="P69" s="776"/>
      <c r="Q69" s="776">
        <f>O69+1</f>
        <v>5</v>
      </c>
      <c r="R69" s="776"/>
      <c r="S69" s="776">
        <f>Q69+1</f>
        <v>6</v>
      </c>
      <c r="T69" s="776"/>
      <c r="U69" s="776">
        <f>S69+1</f>
        <v>7</v>
      </c>
      <c r="V69" s="776"/>
      <c r="W69" s="776">
        <f>U69+1</f>
        <v>8</v>
      </c>
      <c r="X69" s="776"/>
      <c r="Y69" s="776">
        <f>W69+1</f>
        <v>9</v>
      </c>
      <c r="Z69" s="776"/>
      <c r="AA69" s="776">
        <f>Y69+1</f>
        <v>10</v>
      </c>
      <c r="AB69" s="776"/>
      <c r="AC69" s="776">
        <f>AA69+1</f>
        <v>11</v>
      </c>
      <c r="AD69" s="776"/>
      <c r="AE69" s="776">
        <f>AC69+1</f>
        <v>12</v>
      </c>
      <c r="AF69" s="776"/>
    </row>
    <row r="70" spans="1:32" x14ac:dyDescent="0.2">
      <c r="A70" s="7" t="s">
        <v>244</v>
      </c>
      <c r="D70" s="777" t="s">
        <v>279</v>
      </c>
      <c r="H70" s="280" t="s">
        <v>294</v>
      </c>
      <c r="I70" s="790">
        <f ca="1">ROUND(I71,2)/ORÇAMENTO!$X$15</f>
        <v>0</v>
      </c>
      <c r="J70" s="790"/>
      <c r="K70" s="781">
        <f ca="1">ROUND(K71,2)/ORÇAMENTO!$X$15</f>
        <v>0</v>
      </c>
      <c r="L70" s="781"/>
      <c r="M70" s="788">
        <f ca="1">ROUND(M71,2)/ORÇAMENTO!$X$15</f>
        <v>0</v>
      </c>
      <c r="N70" s="788"/>
      <c r="O70" s="781">
        <f ca="1">ROUND(O71,2)/ORÇAMENTO!$X$15</f>
        <v>0</v>
      </c>
      <c r="P70" s="781"/>
      <c r="Q70" s="788">
        <f ca="1">ROUND(Q71,2)/ORÇAMENTO!$X$15</f>
        <v>0</v>
      </c>
      <c r="R70" s="788"/>
      <c r="S70" s="781">
        <f ca="1">ROUND(S71,2)/ORÇAMENTO!$X$15</f>
        <v>0</v>
      </c>
      <c r="T70" s="781"/>
      <c r="U70" s="788">
        <f ca="1">ROUND(U71,2)/ORÇAMENTO!$X$15</f>
        <v>0</v>
      </c>
      <c r="V70" s="788"/>
      <c r="W70" s="781">
        <f ca="1">ROUND(W71,2)/ORÇAMENTO!$X$15</f>
        <v>0</v>
      </c>
      <c r="X70" s="781"/>
      <c r="Y70" s="788">
        <f ca="1">ROUND(Y71,2)/ORÇAMENTO!$X$15</f>
        <v>0</v>
      </c>
      <c r="Z70" s="788"/>
      <c r="AA70" s="781">
        <f ca="1">ROUND(AA71,2)/ORÇAMENTO!$X$15</f>
        <v>0</v>
      </c>
      <c r="AB70" s="781"/>
      <c r="AC70" s="788">
        <f ca="1">ROUND(AC71,2)/ORÇAMENTO!$X$15</f>
        <v>0</v>
      </c>
      <c r="AD70" s="788"/>
      <c r="AE70" s="781">
        <f ca="1">ROUND(AE71,2)/ORÇAMENTO!$X$15</f>
        <v>0</v>
      </c>
      <c r="AF70" s="781"/>
    </row>
    <row r="71" spans="1:32" x14ac:dyDescent="0.2">
      <c r="A71" s="7" t="s">
        <v>244</v>
      </c>
      <c r="D71" s="777"/>
      <c r="H71" s="12" t="s">
        <v>295</v>
      </c>
      <c r="I71" s="773">
        <f ca="1">IF(I69=1,I73,AH11ARRED(I73,2)-ROUND(SUMIF(CÁLCULO!$BV$15:$CN$131,"&lt;="&amp;PLE!I69-1,CÁLCULO!$AJ$15:$BB$131)*IF(AdmLocal="Automática",(1+CÁLCULO.TotalAdmLocal/(ORÇAMENTO!$X$15-CÁLCULO.TotalAdmLocal)),1),2))</f>
        <v>0</v>
      </c>
      <c r="J71" s="773"/>
      <c r="K71" s="773">
        <f ca="1">ROUND(K73,2)-ROUND(I73,2)</f>
        <v>0</v>
      </c>
      <c r="L71" s="773"/>
      <c r="M71" s="774">
        <f ca="1">ROUND(M73,2)-ROUND(K73,2)</f>
        <v>0</v>
      </c>
      <c r="N71" s="774"/>
      <c r="O71" s="773">
        <f ca="1">ROUND(O73,2)-ROUND(M73,2)</f>
        <v>0</v>
      </c>
      <c r="P71" s="773"/>
      <c r="Q71" s="774">
        <f ca="1">ROUND(Q73,2)-ROUND(O73,2)</f>
        <v>0</v>
      </c>
      <c r="R71" s="774"/>
      <c r="S71" s="773">
        <f ca="1">ROUND(S73,2)-ROUND(Q73,2)</f>
        <v>0</v>
      </c>
      <c r="T71" s="773"/>
      <c r="U71" s="774">
        <f ca="1">ROUND(U73,2)-ROUND(S73,2)</f>
        <v>0</v>
      </c>
      <c r="V71" s="774"/>
      <c r="W71" s="773">
        <f ca="1">ROUND(W73,2)-ROUND(U73,2)</f>
        <v>0</v>
      </c>
      <c r="X71" s="773"/>
      <c r="Y71" s="774">
        <f ca="1">ROUND(Y73,2)-ROUND(W73,2)</f>
        <v>0</v>
      </c>
      <c r="Z71" s="774"/>
      <c r="AA71" s="773">
        <f ca="1">ROUND(AA73,2)-ROUND(Y73,2)</f>
        <v>0</v>
      </c>
      <c r="AB71" s="773"/>
      <c r="AC71" s="774">
        <f ca="1">ROUND(AC73,2)-ROUND(AA73,2)</f>
        <v>0</v>
      </c>
      <c r="AD71" s="774"/>
      <c r="AE71" s="773">
        <f ca="1">ROUND(AE73,2)-ROUND(AC73,2)</f>
        <v>0</v>
      </c>
      <c r="AF71" s="773"/>
    </row>
    <row r="72" spans="1:32" x14ac:dyDescent="0.2">
      <c r="A72" s="7" t="s">
        <v>244</v>
      </c>
      <c r="D72" s="777" t="s">
        <v>283</v>
      </c>
      <c r="H72" s="280" t="s">
        <v>294</v>
      </c>
      <c r="I72" s="779">
        <f ca="1">ROUND(I73,2)/ORÇAMENTO!$X$15</f>
        <v>0</v>
      </c>
      <c r="J72" s="779"/>
      <c r="K72" s="771">
        <f ca="1">ROUND(K73,2)/ORÇAMENTO!$X$15</f>
        <v>0</v>
      </c>
      <c r="L72" s="771"/>
      <c r="M72" s="772">
        <f ca="1">ROUND(M73,2)/ORÇAMENTO!$X$15</f>
        <v>0</v>
      </c>
      <c r="N72" s="772"/>
      <c r="O72" s="771">
        <f ca="1">ROUND(O73,2)/ORÇAMENTO!$X$15</f>
        <v>0</v>
      </c>
      <c r="P72" s="771"/>
      <c r="Q72" s="772">
        <f ca="1">ROUND(Q73,2)/ORÇAMENTO!$X$15</f>
        <v>0</v>
      </c>
      <c r="R72" s="772"/>
      <c r="S72" s="771">
        <f ca="1">ROUND(S73,2)/ORÇAMENTO!$X$15</f>
        <v>0</v>
      </c>
      <c r="T72" s="771"/>
      <c r="U72" s="772">
        <f ca="1">ROUND(U73,2)/ORÇAMENTO!$X$15</f>
        <v>0</v>
      </c>
      <c r="V72" s="772"/>
      <c r="W72" s="771">
        <f ca="1">ROUND(W73,2)/ORÇAMENTO!$X$15</f>
        <v>0</v>
      </c>
      <c r="X72" s="771"/>
      <c r="Y72" s="772">
        <f ca="1">ROUND(Y73,2)/ORÇAMENTO!$X$15</f>
        <v>0</v>
      </c>
      <c r="Z72" s="772"/>
      <c r="AA72" s="771">
        <f ca="1">ROUND(AA73,2)/ORÇAMENTO!$X$15</f>
        <v>0</v>
      </c>
      <c r="AB72" s="771"/>
      <c r="AC72" s="772">
        <f ca="1">ROUND(AC73,2)/ORÇAMENTO!$X$15</f>
        <v>0</v>
      </c>
      <c r="AD72" s="772"/>
      <c r="AE72" s="771">
        <f ca="1">ROUND(AE73,2)/ORÇAMENTO!$X$15</f>
        <v>0</v>
      </c>
      <c r="AF72" s="771"/>
    </row>
    <row r="73" spans="1:32" x14ac:dyDescent="0.2">
      <c r="A73" s="7" t="s">
        <v>244</v>
      </c>
      <c r="D73" s="777"/>
      <c r="H73" s="12" t="s">
        <v>295</v>
      </c>
      <c r="I73" s="778">
        <f ca="1">SUMIF(CÁLCULO!$BV$15:$CN$131,"&lt;="&amp;PLE!I69,CÁLCULO!$AJ$15:$BB$131)*IF(AdmLocal="Automática",(1+CÁLCULO.TotalAdmLocal/(ORÇAMENTO!$X$15-CÁLCULO.TotalAdmLocal)),1)</f>
        <v>0</v>
      </c>
      <c r="J73" s="778"/>
      <c r="K73" s="773">
        <f ca="1">SUMIF(CÁLCULO!$BV$15:$CN$131,"&lt;="&amp;PLE!K69,CÁLCULO!$AJ$15:$BB$131)*IF(AdmLocal="Automática",(1+CÁLCULO.TotalAdmLocal/(ORÇAMENTO!$X$15-CÁLCULO.TotalAdmLocal)),1)</f>
        <v>0</v>
      </c>
      <c r="L73" s="773"/>
      <c r="M73" s="774">
        <f ca="1">SUMIF(CÁLCULO!$BV$15:$CN$131,"&lt;="&amp;PLE!M69,CÁLCULO!$AJ$15:$BB$131)*IF(AdmLocal="Automática",(1+CÁLCULO.TotalAdmLocal/(ORÇAMENTO!$X$15-CÁLCULO.TotalAdmLocal)),1)</f>
        <v>0</v>
      </c>
      <c r="N73" s="774"/>
      <c r="O73" s="773">
        <f ca="1">SUMIF(CÁLCULO!$BV$15:$CN$131,"&lt;="&amp;PLE!O69,CÁLCULO!$AJ$15:$BB$131)*IF(AdmLocal="Automática",(1+CÁLCULO.TotalAdmLocal/(ORÇAMENTO!$X$15-CÁLCULO.TotalAdmLocal)),1)</f>
        <v>0</v>
      </c>
      <c r="P73" s="773"/>
      <c r="Q73" s="774">
        <f ca="1">SUMIF(CÁLCULO!$BV$15:$CN$131,"&lt;="&amp;PLE!Q69,CÁLCULO!$AJ$15:$BB$131)*IF(AdmLocal="Automática",(1+CÁLCULO.TotalAdmLocal/(ORÇAMENTO!$X$15-CÁLCULO.TotalAdmLocal)),1)</f>
        <v>0</v>
      </c>
      <c r="R73" s="774"/>
      <c r="S73" s="773">
        <f ca="1">SUMIF(CÁLCULO!$BV$15:$CN$131,"&lt;="&amp;PLE!S69,CÁLCULO!$AJ$15:$BB$131)*IF(AdmLocal="Automática",(1+CÁLCULO.TotalAdmLocal/(ORÇAMENTO!$X$15-CÁLCULO.TotalAdmLocal)),1)</f>
        <v>0</v>
      </c>
      <c r="T73" s="773"/>
      <c r="U73" s="774">
        <f ca="1">SUMIF(CÁLCULO!$BV$15:$CN$131,"&lt;="&amp;PLE!U69,CÁLCULO!$AJ$15:$BB$131)*IF(AdmLocal="Automática",(1+CÁLCULO.TotalAdmLocal/(ORÇAMENTO!$X$15-CÁLCULO.TotalAdmLocal)),1)</f>
        <v>0</v>
      </c>
      <c r="V73" s="774"/>
      <c r="W73" s="773">
        <f ca="1">SUMIF(CÁLCULO!$BV$15:$CN$131,"&lt;="&amp;PLE!W69,CÁLCULO!$AJ$15:$BB$131)*IF(AdmLocal="Automática",(1+CÁLCULO.TotalAdmLocal/(ORÇAMENTO!$X$15-CÁLCULO.TotalAdmLocal)),1)</f>
        <v>0</v>
      </c>
      <c r="X73" s="773"/>
      <c r="Y73" s="774">
        <f ca="1">SUMIF(CÁLCULO!$BV$15:$CN$131,"&lt;="&amp;PLE!Y69,CÁLCULO!$AJ$15:$BB$131)*IF(AdmLocal="Automática",(1+CÁLCULO.TotalAdmLocal/(ORÇAMENTO!$X$15-CÁLCULO.TotalAdmLocal)),1)</f>
        <v>0</v>
      </c>
      <c r="Z73" s="774"/>
      <c r="AA73" s="773">
        <f ca="1">SUMIF(CÁLCULO!$BV$15:$CN$131,"&lt;="&amp;PLE!AA69,CÁLCULO!$AJ$15:$BB$131)*IF(AdmLocal="Automática",(1+CÁLCULO.TotalAdmLocal/(ORÇAMENTO!$X$15-CÁLCULO.TotalAdmLocal)),1)</f>
        <v>0</v>
      </c>
      <c r="AB73" s="773"/>
      <c r="AC73" s="774">
        <f ca="1">SUMIF(CÁLCULO!$BV$15:$CN$131,"&lt;="&amp;PLE!AC69,CÁLCULO!$AJ$15:$BB$131)*IF(AdmLocal="Automática",(1+CÁLCULO.TotalAdmLocal/(ORÇAMENTO!$X$15-CÁLCULO.TotalAdmLocal)),1)</f>
        <v>0</v>
      </c>
      <c r="AD73" s="774"/>
      <c r="AE73" s="773">
        <f ca="1">SUMIF(CÁLCULO!$BV$15:$CN$131,"&lt;="&amp;PLE!AE69,CÁLCULO!$AJ$15:$BB$131)*IF(AdmLocal="Automática",(1+CÁLCULO.TotalAdmLocal/(ORÇAMENTO!$X$15-CÁLCULO.TotalAdmLocal)),1)</f>
        <v>0</v>
      </c>
      <c r="AF73" s="773"/>
    </row>
    <row r="74" spans="1:32" ht="12.75" customHeight="1" x14ac:dyDescent="0.2">
      <c r="A74" s="7"/>
      <c r="D74" s="606" t="s">
        <v>910</v>
      </c>
      <c r="H74" s="605" t="s">
        <v>294</v>
      </c>
      <c r="I74" s="743" t="str">
        <f ca="1">IF(OR(ACOMPANHAMENTO&lt;&gt;"PLE",I69&gt;PLE.Medicao),0,
   IF(AUTOEVENTO="Manual",
      IF(AdmLocal="Automática",I72,
         IF(Import.EventoAdmLocal="","",SUMIF(OFFSET($G$14,CRONOPLE!$A$8+1,1,1,OFFSET($AG$12,0,-1)),"&lt;="&amp;I69,OFFSET(EVENTOS!$G$14,CRONOPLE!$A$8+1,1,1,OFFSET($AG$12,0,-1)))/OFFSET(EVENTOS!$G$14,CRONOPLE!$A$8+1,-1))),
      IF(Import.EventoAdmLocal="","",SUMIF(OFFSET(CÁLCULO!$BU$15,CRONOPLE!$A$10,1,OFFSET(ORÇAMENTO!$D$15,CRONOPLE!$A$10,0),COLUMN(CÁLCULO!$CN$15)-COLUMN(CÁLCULO!$BU$15)-1),"&lt;="&amp;I69,OFFSET(CÁLCULO!$AI$15,CRONOPLE!$A$10,1,OFFSET(ORÇAMENTO!$D$15,CRONOPLE!$A$10,0),COLUMN(CÁLCULO!$BB$15)-COLUMN(CÁLCULO!$AI$15)-1))/OFFSET(ORÇAMENTO!$X$15,CRONOPLE!$A$10,0))))</f>
        <v/>
      </c>
      <c r="J74" s="743"/>
      <c r="K74" s="743">
        <f ca="1">IF(OR(ACOMPANHAMENTO&lt;&gt;"PLE",K69&gt;PLE.Medicao),0,
   IF(AUTOEVENTO="Manual",
      IF(AdmLocal="Automática",K72,
         IF(Import.EventoAdmLocal="","",SUMIF(OFFSET($G$14,CRONOPLE!$A$8+1,1,1,OFFSET($AG$12,0,-1)),"&lt;="&amp;K69,OFFSET(EVENTOS!$G$14,CRONOPLE!$A$8+1,1,1,OFFSET($AG$12,0,-1)))/OFFSET(EVENTOS!$G$14,CRONOPLE!$A$8+1,-1))),
      IF(Import.EventoAdmLocal="","",SUMIF(OFFSET(CÁLCULO!$BU$15,CRONOPLE!$A$10,1,OFFSET(ORÇAMENTO!$D$15,CRONOPLE!$A$10,0),COLUMN(CÁLCULO!$CN$15)-COLUMN(CÁLCULO!$BU$15)-1),"&lt;="&amp;K69,OFFSET(CÁLCULO!$AI$15,CRONOPLE!$A$10,1,OFFSET(ORÇAMENTO!$D$15,CRONOPLE!$A$10,0),COLUMN(CÁLCULO!$BB$15)-COLUMN(CÁLCULO!$AI$15)-1))/OFFSET(ORÇAMENTO!$X$15,CRONOPLE!$A$10,0))))</f>
        <v>0</v>
      </c>
      <c r="L74" s="743"/>
      <c r="M74" s="743">
        <f ca="1">IF(OR(ACOMPANHAMENTO&lt;&gt;"PLE",M69&gt;PLE.Medicao),0,
   IF(AUTOEVENTO="Manual",
      IF(AdmLocal="Automática",M72,
         IF(Import.EventoAdmLocal="","",SUMIF(OFFSET($G$14,CRONOPLE!$A$8+1,1,1,OFFSET($AG$12,0,-1)),"&lt;="&amp;M69,OFFSET(EVENTOS!$G$14,CRONOPLE!$A$8+1,1,1,OFFSET($AG$12,0,-1)))/OFFSET(EVENTOS!$G$14,CRONOPLE!$A$8+1,-1))),
      IF(Import.EventoAdmLocal="","",SUMIF(OFFSET(CÁLCULO!$BU$15,CRONOPLE!$A$10,1,OFFSET(ORÇAMENTO!$D$15,CRONOPLE!$A$10,0),COLUMN(CÁLCULO!$CN$15)-COLUMN(CÁLCULO!$BU$15)-1),"&lt;="&amp;M69,OFFSET(CÁLCULO!$AI$15,CRONOPLE!$A$10,1,OFFSET(ORÇAMENTO!$D$15,CRONOPLE!$A$10,0),COLUMN(CÁLCULO!$BB$15)-COLUMN(CÁLCULO!$AI$15)-1))/OFFSET(ORÇAMENTO!$X$15,CRONOPLE!$A$10,0))))</f>
        <v>0</v>
      </c>
      <c r="N74" s="743"/>
      <c r="O74" s="743">
        <f ca="1">IF(OR(ACOMPANHAMENTO&lt;&gt;"PLE",O69&gt;PLE.Medicao),0,
   IF(AUTOEVENTO="Manual",
      IF(AdmLocal="Automática",O72,
         IF(Import.EventoAdmLocal="","",SUMIF(OFFSET($G$14,CRONOPLE!$A$8+1,1,1,OFFSET($AG$12,0,-1)),"&lt;="&amp;O69,OFFSET(EVENTOS!$G$14,CRONOPLE!$A$8+1,1,1,OFFSET($AG$12,0,-1)))/OFFSET(EVENTOS!$G$14,CRONOPLE!$A$8+1,-1))),
      IF(Import.EventoAdmLocal="","",SUMIF(OFFSET(CÁLCULO!$BU$15,CRONOPLE!$A$10,1,OFFSET(ORÇAMENTO!$D$15,CRONOPLE!$A$10,0),COLUMN(CÁLCULO!$CN$15)-COLUMN(CÁLCULO!$BU$15)-1),"&lt;="&amp;O69,OFFSET(CÁLCULO!$AI$15,CRONOPLE!$A$10,1,OFFSET(ORÇAMENTO!$D$15,CRONOPLE!$A$10,0),COLUMN(CÁLCULO!$BB$15)-COLUMN(CÁLCULO!$AI$15)-1))/OFFSET(ORÇAMENTO!$X$15,CRONOPLE!$A$10,0))))</f>
        <v>0</v>
      </c>
      <c r="P74" s="743"/>
      <c r="Q74" s="743">
        <f ca="1">IF(OR(ACOMPANHAMENTO&lt;&gt;"PLE",Q69&gt;PLE.Medicao),0,
   IF(AUTOEVENTO="Manual",
      IF(AdmLocal="Automática",Q72,
         IF(Import.EventoAdmLocal="","",SUMIF(OFFSET($G$14,CRONOPLE!$A$8+1,1,1,OFFSET($AG$12,0,-1)),"&lt;="&amp;Q69,OFFSET(EVENTOS!$G$14,CRONOPLE!$A$8+1,1,1,OFFSET($AG$12,0,-1)))/OFFSET(EVENTOS!$G$14,CRONOPLE!$A$8+1,-1))),
      IF(Import.EventoAdmLocal="","",SUMIF(OFFSET(CÁLCULO!$BU$15,CRONOPLE!$A$10,1,OFFSET(ORÇAMENTO!$D$15,CRONOPLE!$A$10,0),COLUMN(CÁLCULO!$CN$15)-COLUMN(CÁLCULO!$BU$15)-1),"&lt;="&amp;Q69,OFFSET(CÁLCULO!$AI$15,CRONOPLE!$A$10,1,OFFSET(ORÇAMENTO!$D$15,CRONOPLE!$A$10,0),COLUMN(CÁLCULO!$BB$15)-COLUMN(CÁLCULO!$AI$15)-1))/OFFSET(ORÇAMENTO!$X$15,CRONOPLE!$A$10,0))))</f>
        <v>0</v>
      </c>
      <c r="R74" s="743"/>
      <c r="S74" s="743">
        <f ca="1">IF(OR(ACOMPANHAMENTO&lt;&gt;"PLE",S69&gt;PLE.Medicao),0,
   IF(AUTOEVENTO="Manual",
      IF(AdmLocal="Automática",S72,
         IF(Import.EventoAdmLocal="","",SUMIF(OFFSET($G$14,CRONOPLE!$A$8+1,1,1,OFFSET($AG$12,0,-1)),"&lt;="&amp;S69,OFFSET(EVENTOS!$G$14,CRONOPLE!$A$8+1,1,1,OFFSET($AG$12,0,-1)))/OFFSET(EVENTOS!$G$14,CRONOPLE!$A$8+1,-1))),
      IF(Import.EventoAdmLocal="","",SUMIF(OFFSET(CÁLCULO!$BU$15,CRONOPLE!$A$10,1,OFFSET(ORÇAMENTO!$D$15,CRONOPLE!$A$10,0),COLUMN(CÁLCULO!$CN$15)-COLUMN(CÁLCULO!$BU$15)-1),"&lt;="&amp;S69,OFFSET(CÁLCULO!$AI$15,CRONOPLE!$A$10,1,OFFSET(ORÇAMENTO!$D$15,CRONOPLE!$A$10,0),COLUMN(CÁLCULO!$BB$15)-COLUMN(CÁLCULO!$AI$15)-1))/OFFSET(ORÇAMENTO!$X$15,CRONOPLE!$A$10,0))))</f>
        <v>0</v>
      </c>
      <c r="T74" s="743"/>
      <c r="U74" s="743">
        <f ca="1">IF(OR(ACOMPANHAMENTO&lt;&gt;"PLE",U69&gt;PLE.Medicao),0,
   IF(AUTOEVENTO="Manual",
      IF(AdmLocal="Automática",U72,
         IF(Import.EventoAdmLocal="","",SUMIF(OFFSET($G$14,CRONOPLE!$A$8+1,1,1,OFFSET($AG$12,0,-1)),"&lt;="&amp;U69,OFFSET(EVENTOS!$G$14,CRONOPLE!$A$8+1,1,1,OFFSET($AG$12,0,-1)))/OFFSET(EVENTOS!$G$14,CRONOPLE!$A$8+1,-1))),
      IF(Import.EventoAdmLocal="","",SUMIF(OFFSET(CÁLCULO!$BU$15,CRONOPLE!$A$10,1,OFFSET(ORÇAMENTO!$D$15,CRONOPLE!$A$10,0),COLUMN(CÁLCULO!$CN$15)-COLUMN(CÁLCULO!$BU$15)-1),"&lt;="&amp;U69,OFFSET(CÁLCULO!$AI$15,CRONOPLE!$A$10,1,OFFSET(ORÇAMENTO!$D$15,CRONOPLE!$A$10,0),COLUMN(CÁLCULO!$BB$15)-COLUMN(CÁLCULO!$AI$15)-1))/OFFSET(ORÇAMENTO!$X$15,CRONOPLE!$A$10,0))))</f>
        <v>0</v>
      </c>
      <c r="V74" s="743"/>
      <c r="W74" s="743">
        <f ca="1">IF(OR(ACOMPANHAMENTO&lt;&gt;"PLE",W69&gt;PLE.Medicao),0,
   IF(AUTOEVENTO="Manual",
      IF(AdmLocal="Automática",W72,
         IF(Import.EventoAdmLocal="","",SUMIF(OFFSET($G$14,CRONOPLE!$A$8+1,1,1,OFFSET($AG$12,0,-1)),"&lt;="&amp;W69,OFFSET(EVENTOS!$G$14,CRONOPLE!$A$8+1,1,1,OFFSET($AG$12,0,-1)))/OFFSET(EVENTOS!$G$14,CRONOPLE!$A$8+1,-1))),
      IF(Import.EventoAdmLocal="","",SUMIF(OFFSET(CÁLCULO!$BU$15,CRONOPLE!$A$10,1,OFFSET(ORÇAMENTO!$D$15,CRONOPLE!$A$10,0),COLUMN(CÁLCULO!$CN$15)-COLUMN(CÁLCULO!$BU$15)-1),"&lt;="&amp;W69,OFFSET(CÁLCULO!$AI$15,CRONOPLE!$A$10,1,OFFSET(ORÇAMENTO!$D$15,CRONOPLE!$A$10,0),COLUMN(CÁLCULO!$BB$15)-COLUMN(CÁLCULO!$AI$15)-1))/OFFSET(ORÇAMENTO!$X$15,CRONOPLE!$A$10,0))))</f>
        <v>0</v>
      </c>
      <c r="X74" s="743"/>
      <c r="Y74" s="743">
        <f ca="1">IF(OR(ACOMPANHAMENTO&lt;&gt;"PLE",Y69&gt;PLE.Medicao),0,
   IF(AUTOEVENTO="Manual",
      IF(AdmLocal="Automática",Y72,
         IF(Import.EventoAdmLocal="","",SUMIF(OFFSET($G$14,CRONOPLE!$A$8+1,1,1,OFFSET($AG$12,0,-1)),"&lt;="&amp;Y69,OFFSET(EVENTOS!$G$14,CRONOPLE!$A$8+1,1,1,OFFSET($AG$12,0,-1)))/OFFSET(EVENTOS!$G$14,CRONOPLE!$A$8+1,-1))),
      IF(Import.EventoAdmLocal="","",SUMIF(OFFSET(CÁLCULO!$BU$15,CRONOPLE!$A$10,1,OFFSET(ORÇAMENTO!$D$15,CRONOPLE!$A$10,0),COLUMN(CÁLCULO!$CN$15)-COLUMN(CÁLCULO!$BU$15)-1),"&lt;="&amp;Y69,OFFSET(CÁLCULO!$AI$15,CRONOPLE!$A$10,1,OFFSET(ORÇAMENTO!$D$15,CRONOPLE!$A$10,0),COLUMN(CÁLCULO!$BB$15)-COLUMN(CÁLCULO!$AI$15)-1))/OFFSET(ORÇAMENTO!$X$15,CRONOPLE!$A$10,0))))</f>
        <v>0</v>
      </c>
      <c r="Z74" s="743"/>
      <c r="AA74" s="743">
        <f ca="1">IF(OR(ACOMPANHAMENTO&lt;&gt;"PLE",AA69&gt;PLE.Medicao),0,
   IF(AUTOEVENTO="Manual",
      IF(AdmLocal="Automática",AA72,
         IF(Import.EventoAdmLocal="","",SUMIF(OFFSET($G$14,CRONOPLE!$A$8+1,1,1,OFFSET($AG$12,0,-1)),"&lt;="&amp;AA69,OFFSET(EVENTOS!$G$14,CRONOPLE!$A$8+1,1,1,OFFSET($AG$12,0,-1)))/OFFSET(EVENTOS!$G$14,CRONOPLE!$A$8+1,-1))),
      IF(Import.EventoAdmLocal="","",SUMIF(OFFSET(CÁLCULO!$BU$15,CRONOPLE!$A$10,1,OFFSET(ORÇAMENTO!$D$15,CRONOPLE!$A$10,0),COLUMN(CÁLCULO!$CN$15)-COLUMN(CÁLCULO!$BU$15)-1),"&lt;="&amp;AA69,OFFSET(CÁLCULO!$AI$15,CRONOPLE!$A$10,1,OFFSET(ORÇAMENTO!$D$15,CRONOPLE!$A$10,0),COLUMN(CÁLCULO!$BB$15)-COLUMN(CÁLCULO!$AI$15)-1))/OFFSET(ORÇAMENTO!$X$15,CRONOPLE!$A$10,0))))</f>
        <v>0</v>
      </c>
      <c r="AB74" s="743"/>
      <c r="AC74" s="743">
        <f ca="1">IF(OR(ACOMPANHAMENTO&lt;&gt;"PLE",AC69&gt;PLE.Medicao),0,
   IF(AUTOEVENTO="Manual",
      IF(AdmLocal="Automática",AC72,
         IF(Import.EventoAdmLocal="","",SUMIF(OFFSET($G$14,CRONOPLE!$A$8+1,1,1,OFFSET($AG$12,0,-1)),"&lt;="&amp;AC69,OFFSET(EVENTOS!$G$14,CRONOPLE!$A$8+1,1,1,OFFSET($AG$12,0,-1)))/OFFSET(EVENTOS!$G$14,CRONOPLE!$A$8+1,-1))),
      IF(Import.EventoAdmLocal="","",SUMIF(OFFSET(CÁLCULO!$BU$15,CRONOPLE!$A$10,1,OFFSET(ORÇAMENTO!$D$15,CRONOPLE!$A$10,0),COLUMN(CÁLCULO!$CN$15)-COLUMN(CÁLCULO!$BU$15)-1),"&lt;="&amp;AC69,OFFSET(CÁLCULO!$AI$15,CRONOPLE!$A$10,1,OFFSET(ORÇAMENTO!$D$15,CRONOPLE!$A$10,0),COLUMN(CÁLCULO!$BB$15)-COLUMN(CÁLCULO!$AI$15)-1))/OFFSET(ORÇAMENTO!$X$15,CRONOPLE!$A$10,0))))</f>
        <v>0</v>
      </c>
      <c r="AD74" s="743"/>
      <c r="AE74" s="743">
        <f ca="1">IF(OR(ACOMPANHAMENTO&lt;&gt;"PLE",AE69&gt;PLE.Medicao),0,
   IF(AUTOEVENTO="Manual",
      IF(AdmLocal="Automática",AE72,
         IF(Import.EventoAdmLocal="","",SUMIF(OFFSET($G$14,CRONOPLE!$A$8+1,1,1,OFFSET($AG$12,0,-1)),"&lt;="&amp;AE69,OFFSET(EVENTOS!$G$14,CRONOPLE!$A$8+1,1,1,OFFSET($AG$12,0,-1)))/OFFSET(EVENTOS!$G$14,CRONOPLE!$A$8+1,-1))),
      IF(Import.EventoAdmLocal="","",SUMIF(OFFSET(CÁLCULO!$BU$15,CRONOPLE!$A$10,1,OFFSET(ORÇAMENTO!$D$15,CRONOPLE!$A$10,0),COLUMN(CÁLCULO!$CN$15)-COLUMN(CÁLCULO!$BU$15)-1),"&lt;="&amp;AE69,OFFSET(CÁLCULO!$AI$15,CRONOPLE!$A$10,1,OFFSET(ORÇAMENTO!$D$15,CRONOPLE!$A$10,0),COLUMN(CÁLCULO!$BB$15)-COLUMN(CÁLCULO!$AI$15)-1))/OFFSET(ORÇAMENTO!$X$15,CRONOPLE!$A$10,0))))</f>
        <v>0</v>
      </c>
      <c r="AF74" s="743"/>
    </row>
    <row r="75" spans="1:32" ht="13.5" x14ac:dyDescent="0.25">
      <c r="A75" s="7" t="s">
        <v>244</v>
      </c>
      <c r="D75" s="566"/>
      <c r="H75" s="641" t="str">
        <f ca="1">IF(COUNTIF(I75:AG75,"%Adm&gt;%Global")&gt;0,"Verificar proporcionalidade da Administração Local","")</f>
        <v/>
      </c>
      <c r="I75" s="578" t="str">
        <f ca="1">IF(I74="","",IF(ROUND(I74,4)&gt;ROUND(I72,4),"%Adm&gt;%Global",""))</f>
        <v/>
      </c>
      <c r="J75" s="567"/>
      <c r="K75" s="578" t="str">
        <f t="shared" ref="K75" ca="1" si="2">IF(K74="","",IF(ROUND(K74,4)&gt;ROUND(K72,4),"%Adm&gt;%Global",""))</f>
        <v/>
      </c>
      <c r="L75" s="567"/>
      <c r="M75" s="578" t="str">
        <f t="shared" ref="M75" ca="1" si="3">IF(M74="","",IF(ROUND(M74,4)&gt;ROUND(M72,4),"%Adm&gt;%Global",""))</f>
        <v/>
      </c>
      <c r="N75" s="567"/>
      <c r="O75" s="578" t="str">
        <f t="shared" ref="O75" ca="1" si="4">IF(O74="","",IF(ROUND(O74,4)&gt;ROUND(O72,4),"%Adm&gt;%Global",""))</f>
        <v/>
      </c>
      <c r="P75" s="567"/>
      <c r="Q75" s="578" t="str">
        <f t="shared" ref="Q75" ca="1" si="5">IF(Q74="","",IF(ROUND(Q74,4)&gt;ROUND(Q72,4),"%Adm&gt;%Global",""))</f>
        <v/>
      </c>
      <c r="R75" s="567"/>
      <c r="S75" s="578" t="str">
        <f t="shared" ref="S75" ca="1" si="6">IF(S74="","",IF(ROUND(S74,4)&gt;ROUND(S72,4),"%Adm&gt;%Global",""))</f>
        <v/>
      </c>
      <c r="T75" s="567"/>
      <c r="U75" s="578" t="str">
        <f t="shared" ref="U75" ca="1" si="7">IF(U74="","",IF(ROUND(U74,4)&gt;ROUND(U72,4),"%Adm&gt;%Global",""))</f>
        <v/>
      </c>
      <c r="V75" s="567"/>
      <c r="W75" s="578" t="str">
        <f t="shared" ref="W75" ca="1" si="8">IF(W74="","",IF(ROUND(W74,4)&gt;ROUND(W72,4),"%Adm&gt;%Global",""))</f>
        <v/>
      </c>
      <c r="X75" s="567"/>
      <c r="Y75" s="578" t="str">
        <f t="shared" ref="Y75" ca="1" si="9">IF(Y74="","",IF(ROUND(Y74,4)&gt;ROUND(Y72,4),"%Adm&gt;%Global",""))</f>
        <v/>
      </c>
      <c r="Z75" s="567"/>
      <c r="AA75" s="578" t="str">
        <f t="shared" ref="AA75" ca="1" si="10">IF(AA74="","",IF(ROUND(AA74,4)&gt;ROUND(AA72,4),"%Adm&gt;%Global",""))</f>
        <v/>
      </c>
      <c r="AB75" s="567"/>
      <c r="AC75" s="578" t="str">
        <f t="shared" ref="AC75" ca="1" si="11">IF(AC74="","",IF(ROUND(AC74,4)&gt;ROUND(AC72,4),"%Adm&gt;%Global",""))</f>
        <v/>
      </c>
      <c r="AD75" s="567"/>
      <c r="AE75" s="578" t="str">
        <f t="shared" ref="AE75" ca="1" si="12">IF(AE74="","",IF(ROUND(AE74,4)&gt;ROUND(AE72,4),"%Adm&gt;%Global",""))</f>
        <v/>
      </c>
      <c r="AF75" s="567"/>
    </row>
    <row r="76" spans="1:32" ht="20.25" customHeight="1" x14ac:dyDescent="0.2">
      <c r="A76" s="7" t="s">
        <v>244</v>
      </c>
      <c r="I76" s="780"/>
      <c r="J76" s="780"/>
    </row>
    <row r="77" spans="1:32" ht="15" x14ac:dyDescent="0.25">
      <c r="A77" s="7" t="s">
        <v>244</v>
      </c>
      <c r="B77" s="675" t="str">
        <f>Import.Município</f>
        <v>LINDÓIA DO SUL - SC</v>
      </c>
      <c r="C77" s="675"/>
      <c r="D77" s="675"/>
      <c r="S77" s="616" t="str">
        <f ca="1">IF(DADOS!$D$50&lt;&gt;"","Preencher os Dados do Responsável pela Fiscalização, na aba DADOS.","")</f>
        <v/>
      </c>
      <c r="U77" s="145"/>
      <c r="V77" s="145"/>
      <c r="W77" s="145"/>
      <c r="X77" s="145"/>
      <c r="Y77" s="189"/>
      <c r="Z77" s="189"/>
      <c r="AA77" s="189"/>
      <c r="AB77" s="189"/>
      <c r="AC77" s="189"/>
      <c r="AD77" s="189"/>
    </row>
    <row r="78" spans="1:32" x14ac:dyDescent="0.2">
      <c r="A78" s="7" t="s">
        <v>244</v>
      </c>
      <c r="B78" s="10" t="s">
        <v>186</v>
      </c>
      <c r="U78" s="190" t="s">
        <v>296</v>
      </c>
    </row>
    <row r="79" spans="1:32" x14ac:dyDescent="0.2">
      <c r="A79" s="7" t="s">
        <v>244</v>
      </c>
      <c r="I79" s="80"/>
      <c r="U79" s="78" t="s">
        <v>108</v>
      </c>
      <c r="W79" s="281">
        <f t="array" ref="W79:W82">Import.RespFiscalização</f>
        <v>0</v>
      </c>
    </row>
    <row r="80" spans="1:32" x14ac:dyDescent="0.2">
      <c r="A80" s="7" t="s">
        <v>244</v>
      </c>
      <c r="B80" s="723">
        <f>DADOS!$C$48</f>
        <v>0</v>
      </c>
      <c r="C80" s="723"/>
      <c r="D80" s="723"/>
      <c r="I80" s="80"/>
      <c r="U80" s="78" t="s">
        <v>127</v>
      </c>
      <c r="W80" s="281">
        <v>0</v>
      </c>
    </row>
    <row r="81" spans="1:23" x14ac:dyDescent="0.2">
      <c r="A81" s="7" t="s">
        <v>244</v>
      </c>
      <c r="B81" s="146" t="s">
        <v>187</v>
      </c>
      <c r="C81" s="1"/>
      <c r="D81" s="1"/>
      <c r="I81" s="80"/>
      <c r="U81" s="78" t="s">
        <v>109</v>
      </c>
      <c r="W81" s="281">
        <v>0</v>
      </c>
    </row>
    <row r="82" spans="1:23" x14ac:dyDescent="0.2">
      <c r="U82" s="78" t="s">
        <v>110</v>
      </c>
      <c r="W82" s="13">
        <v>0</v>
      </c>
    </row>
  </sheetData>
  <sheetProtection algorithmName="SHA-512" hashValue="3BEJ1qzMD88KztFx/D3UwOYVLmIckkQiHmRDYEdQ4hGoLFgNdrKI/yI9x7wnhr6zwyMJE+QsVCO0wEx8e7gssQ==" saltValue="B3MrLIMtiugFzrmn5U1jxA==" spinCount="100000" sheet="1" objects="1" scenarios="1" autoFilter="0"/>
  <autoFilter ref="A13:A81" xr:uid="{00000000-0009-0000-0000-000009000000}"/>
  <mergeCells count="156">
    <mergeCell ref="C24:D24"/>
    <mergeCell ref="I67:AF67"/>
    <mergeCell ref="O68:P68"/>
    <mergeCell ref="I68:J68"/>
    <mergeCell ref="M68:N68"/>
    <mergeCell ref="S68:T68"/>
    <mergeCell ref="AE68:AF68"/>
    <mergeCell ref="Y68:Z68"/>
    <mergeCell ref="O74:P74"/>
    <mergeCell ref="Q74:R74"/>
    <mergeCell ref="O73:P73"/>
    <mergeCell ref="O72:P72"/>
    <mergeCell ref="AC74:AD74"/>
    <mergeCell ref="AE74:AF74"/>
    <mergeCell ref="S74:T74"/>
    <mergeCell ref="U74:V74"/>
    <mergeCell ref="W74:X74"/>
    <mergeCell ref="Y74:Z74"/>
    <mergeCell ref="AA74:AB74"/>
    <mergeCell ref="W72:X72"/>
    <mergeCell ref="S72:T72"/>
    <mergeCell ref="AC73:AD73"/>
    <mergeCell ref="AA72:AB72"/>
    <mergeCell ref="AE73:AF73"/>
    <mergeCell ref="Q70:R70"/>
    <mergeCell ref="C15:D15"/>
    <mergeCell ref="B12:B13"/>
    <mergeCell ref="C17:D17"/>
    <mergeCell ref="D70:D71"/>
    <mergeCell ref="K69:L69"/>
    <mergeCell ref="K68:L68"/>
    <mergeCell ref="O71:P71"/>
    <mergeCell ref="M71:N71"/>
    <mergeCell ref="K71:L71"/>
    <mergeCell ref="I71:J71"/>
    <mergeCell ref="I69:J69"/>
    <mergeCell ref="I70:J70"/>
    <mergeCell ref="M69:N69"/>
    <mergeCell ref="C16:D16"/>
    <mergeCell ref="C18:D18"/>
    <mergeCell ref="C19:D19"/>
    <mergeCell ref="C20:D20"/>
    <mergeCell ref="O70:P70"/>
    <mergeCell ref="M70:N70"/>
    <mergeCell ref="K70:L70"/>
    <mergeCell ref="C21:D21"/>
    <mergeCell ref="C22:D22"/>
    <mergeCell ref="C23:D23"/>
    <mergeCell ref="AA70:AB70"/>
    <mergeCell ref="AC69:AD69"/>
    <mergeCell ref="AA69:AB69"/>
    <mergeCell ref="S69:T69"/>
    <mergeCell ref="Y70:Z70"/>
    <mergeCell ref="AE70:AF70"/>
    <mergeCell ref="Y69:Z69"/>
    <mergeCell ref="W70:X70"/>
    <mergeCell ref="U70:V70"/>
    <mergeCell ref="AC70:AD70"/>
    <mergeCell ref="AE69:AF69"/>
    <mergeCell ref="B7:C7"/>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U68:V68"/>
    <mergeCell ref="AC68:AD68"/>
    <mergeCell ref="W68:X68"/>
    <mergeCell ref="AA68:AB68"/>
    <mergeCell ref="O69:P69"/>
    <mergeCell ref="B80:D80"/>
    <mergeCell ref="B77:D77"/>
    <mergeCell ref="D72:D73"/>
    <mergeCell ref="M72:N72"/>
    <mergeCell ref="M73:N73"/>
    <mergeCell ref="I73:J73"/>
    <mergeCell ref="K73:L73"/>
    <mergeCell ref="K72:L72"/>
    <mergeCell ref="I72:J72"/>
    <mergeCell ref="I76:J76"/>
    <mergeCell ref="I74:J74"/>
    <mergeCell ref="K74:L74"/>
    <mergeCell ref="M74:N74"/>
    <mergeCell ref="Q71:R71"/>
    <mergeCell ref="W69:X69"/>
    <mergeCell ref="Q68:R68"/>
    <mergeCell ref="S70:T70"/>
    <mergeCell ref="U69:V69"/>
    <mergeCell ref="Q69:R69"/>
    <mergeCell ref="AE72:AF72"/>
    <mergeCell ref="Q72:R72"/>
    <mergeCell ref="W71:X71"/>
    <mergeCell ref="S73:T73"/>
    <mergeCell ref="Y71:Z71"/>
    <mergeCell ref="U71:V71"/>
    <mergeCell ref="W73:X73"/>
    <mergeCell ref="U73:V73"/>
    <mergeCell ref="U72:V72"/>
    <mergeCell ref="Y72:Z72"/>
    <mergeCell ref="AC71:AD71"/>
    <mergeCell ref="AC72:AD72"/>
    <mergeCell ref="AE71:AF71"/>
    <mergeCell ref="AA71:AB71"/>
    <mergeCell ref="S71:T71"/>
    <mergeCell ref="Q73:R73"/>
    <mergeCell ref="Y73:Z73"/>
    <mergeCell ref="AA73:AB73"/>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57:D57"/>
    <mergeCell ref="C58:D58"/>
    <mergeCell ref="C59:D59"/>
    <mergeCell ref="C60:D60"/>
    <mergeCell ref="C61:D61"/>
    <mergeCell ref="C62:D62"/>
    <mergeCell ref="C63:D63"/>
    <mergeCell ref="C64:D64"/>
    <mergeCell ref="C48:D48"/>
    <mergeCell ref="C49:D49"/>
    <mergeCell ref="C50:D50"/>
    <mergeCell ref="C51:D51"/>
    <mergeCell ref="C52:D52"/>
    <mergeCell ref="C53:D53"/>
    <mergeCell ref="C54:D54"/>
    <mergeCell ref="C55:D55"/>
    <mergeCell ref="C56:D56"/>
  </mergeCells>
  <phoneticPr fontId="38" type="noConversion"/>
  <conditionalFormatting sqref="F1:F2">
    <cfRule type="expression" dxfId="109" priority="1699" stopIfTrue="1">
      <formula>IF(OR(ACOMPANHAMENTO="BM",F$12&gt;CÁLCULO.NúmeroDeFrentes),TRUE,PLE.ValorDoEvento=0)</formula>
    </cfRule>
    <cfRule type="cellIs" dxfId="108" priority="1700" stopIfTrue="1" operator="equal">
      <formula>$J$9</formula>
    </cfRule>
  </conditionalFormatting>
  <conditionalFormatting sqref="I70:AF70">
    <cfRule type="expression" dxfId="107" priority="1701" stopIfTrue="1">
      <formula>I69=$J$9</formula>
    </cfRule>
  </conditionalFormatting>
  <conditionalFormatting sqref="I71:AF71">
    <cfRule type="expression" dxfId="106" priority="1702" stopIfTrue="1">
      <formula>I69=$J$9</formula>
    </cfRule>
  </conditionalFormatting>
  <conditionalFormatting sqref="I72:AF72">
    <cfRule type="expression" dxfId="105" priority="1703" stopIfTrue="1">
      <formula>I69=$J$9</formula>
    </cfRule>
  </conditionalFormatting>
  <conditionalFormatting sqref="I73:AF73">
    <cfRule type="expression" dxfId="104" priority="1704" stopIfTrue="1">
      <formula>I69=$J$9</formula>
    </cfRule>
  </conditionalFormatting>
  <conditionalFormatting sqref="I69:J69">
    <cfRule type="cellIs" dxfId="103" priority="1698" stopIfTrue="1" operator="notEqual">
      <formula>1</formula>
    </cfRule>
  </conditionalFormatting>
  <conditionalFormatting sqref="H1:AF1">
    <cfRule type="expression" dxfId="102" priority="1716" stopIfTrue="1">
      <formula>IF(OR(ACOMPANHAMENTO="BM",TIPOORCAMENTO="Proposto",H$12&gt;CÁLCULO.NúmeroDeFrentes),TRUE,PLE.ValorDoEvento=0)</formula>
    </cfRule>
    <cfRule type="cellIs" dxfId="101" priority="1717" stopIfTrue="1" operator="equal">
      <formula>$J$9</formula>
    </cfRule>
  </conditionalFormatting>
  <conditionalFormatting sqref="AE6:AE7">
    <cfRule type="expression" dxfId="100" priority="1705" stopIfTrue="1">
      <formula>TIPOORCAMENTO&lt;&gt;"Licitado"</formula>
    </cfRule>
  </conditionalFormatting>
  <conditionalFormatting sqref="N9:T9">
    <cfRule type="expression" dxfId="99" priority="1706" stopIfTrue="1">
      <formula>COLUMN(N9)&gt;COLUMN($AF$12)</formula>
    </cfRule>
    <cfRule type="expression" dxfId="98" priority="1707" stopIfTrue="1">
      <formula>$N$9="DIGITE A DATA DA MEDIÇÃO"</formula>
    </cfRule>
  </conditionalFormatting>
  <conditionalFormatting sqref="I9:M9 U9:AF9">
    <cfRule type="expression" dxfId="97" priority="1708" stopIfTrue="1">
      <formula>COLUMN(I9)&gt;COLUMN($AF$12)</formula>
    </cfRule>
  </conditionalFormatting>
  <conditionalFormatting sqref="K70:AF73">
    <cfRule type="expression" dxfId="96" priority="714" stopIfTrue="1">
      <formula>I$72=100%</formula>
    </cfRule>
  </conditionalFormatting>
  <conditionalFormatting sqref="J75 L75 N75 P75 R75 T75 V75 X75 Z75 AB75 AD75 AF75">
    <cfRule type="expression" dxfId="95" priority="13425" stopIfTrue="1">
      <formula>J70=$J$9</formula>
    </cfRule>
  </conditionalFormatting>
  <conditionalFormatting sqref="K74:AF74">
    <cfRule type="expression" dxfId="94" priority="713">
      <formula>OFFSET(K74,-2,-2)=1</formula>
    </cfRule>
  </conditionalFormatting>
  <conditionalFormatting sqref="I74:AF74">
    <cfRule type="expression" dxfId="93" priority="712">
      <formula>ROUND(I74,4)&gt;ROUND(I72,4)</formula>
    </cfRule>
  </conditionalFormatting>
  <conditionalFormatting sqref="N13">
    <cfRule type="expression" dxfId="92" priority="711">
      <formula>$Y$9=0</formula>
    </cfRule>
  </conditionalFormatting>
  <conditionalFormatting sqref="F16:F24">
    <cfRule type="expression" dxfId="91" priority="21" stopIfTrue="1">
      <formula>IF(OR(ACOMPANHAMENTO="BM",F$12&gt;CÁLCULO.NúmeroDeFrentes),TRUE,PLE.ValorDoEvento=0)</formula>
    </cfRule>
    <cfRule type="cellIs" dxfId="90" priority="22" stopIfTrue="1" operator="equal">
      <formula>$J$9</formula>
    </cfRule>
  </conditionalFormatting>
  <conditionalFormatting sqref="H16:AF24">
    <cfRule type="expression" dxfId="89" priority="23" stopIfTrue="1">
      <formula>IF(OR(ACOMPANHAMENTO="BM",TIPOORCAMENTO="Proposto",H$12&gt;CÁLCULO.NúmeroDeFrentes),TRUE,PLE.ValorDoEvento=0)</formula>
    </cfRule>
    <cfRule type="cellIs" dxfId="88" priority="24" stopIfTrue="1" operator="equal">
      <formula>$J$9</formula>
    </cfRule>
  </conditionalFormatting>
  <conditionalFormatting sqref="F25:F33">
    <cfRule type="expression" dxfId="87" priority="17" stopIfTrue="1">
      <formula>IF(OR(ACOMPANHAMENTO="BM",F$12&gt;CÁLCULO.NúmeroDeFrentes),TRUE,PLE.ValorDoEvento=0)</formula>
    </cfRule>
    <cfRule type="cellIs" dxfId="86" priority="18" stopIfTrue="1" operator="equal">
      <formula>$J$9</formula>
    </cfRule>
  </conditionalFormatting>
  <conditionalFormatting sqref="H25:AF33">
    <cfRule type="expression" dxfId="85" priority="19" stopIfTrue="1">
      <formula>IF(OR(ACOMPANHAMENTO="BM",TIPOORCAMENTO="Proposto",H$12&gt;CÁLCULO.NúmeroDeFrentes),TRUE,PLE.ValorDoEvento=0)</formula>
    </cfRule>
    <cfRule type="cellIs" dxfId="84" priority="20" stopIfTrue="1" operator="equal">
      <formula>$J$9</formula>
    </cfRule>
  </conditionalFormatting>
  <conditionalFormatting sqref="F34:F42">
    <cfRule type="expression" dxfId="83" priority="13" stopIfTrue="1">
      <formula>IF(OR(ACOMPANHAMENTO="BM",F$12&gt;CÁLCULO.NúmeroDeFrentes),TRUE,PLE.ValorDoEvento=0)</formula>
    </cfRule>
    <cfRule type="cellIs" dxfId="82" priority="14" stopIfTrue="1" operator="equal">
      <formula>$J$9</formula>
    </cfRule>
  </conditionalFormatting>
  <conditionalFormatting sqref="H34:AF42">
    <cfRule type="expression" dxfId="81" priority="15" stopIfTrue="1">
      <formula>IF(OR(ACOMPANHAMENTO="BM",TIPOORCAMENTO="Proposto",H$12&gt;CÁLCULO.NúmeroDeFrentes),TRUE,PLE.ValorDoEvento=0)</formula>
    </cfRule>
    <cfRule type="cellIs" dxfId="80" priority="16" stopIfTrue="1" operator="equal">
      <formula>$J$9</formula>
    </cfRule>
  </conditionalFormatting>
  <conditionalFormatting sqref="F43:F51">
    <cfRule type="expression" dxfId="79" priority="9" stopIfTrue="1">
      <formula>IF(OR(ACOMPANHAMENTO="BM",F$12&gt;CÁLCULO.NúmeroDeFrentes),TRUE,PLE.ValorDoEvento=0)</formula>
    </cfRule>
    <cfRule type="cellIs" dxfId="78" priority="10" stopIfTrue="1" operator="equal">
      <formula>$J$9</formula>
    </cfRule>
  </conditionalFormatting>
  <conditionalFormatting sqref="H43:AF51">
    <cfRule type="expression" dxfId="77" priority="11" stopIfTrue="1">
      <formula>IF(OR(ACOMPANHAMENTO="BM",TIPOORCAMENTO="Proposto",H$12&gt;CÁLCULO.NúmeroDeFrentes),TRUE,PLE.ValorDoEvento=0)</formula>
    </cfRule>
    <cfRule type="cellIs" dxfId="76" priority="12" stopIfTrue="1" operator="equal">
      <formula>$J$9</formula>
    </cfRule>
  </conditionalFormatting>
  <conditionalFormatting sqref="F52:F60">
    <cfRule type="expression" dxfId="75" priority="5" stopIfTrue="1">
      <formula>IF(OR(ACOMPANHAMENTO="BM",F$12&gt;CÁLCULO.NúmeroDeFrentes),TRUE,PLE.ValorDoEvento=0)</formula>
    </cfRule>
    <cfRule type="cellIs" dxfId="74" priority="6" stopIfTrue="1" operator="equal">
      <formula>$J$9</formula>
    </cfRule>
  </conditionalFormatting>
  <conditionalFormatting sqref="H52:AF60">
    <cfRule type="expression" dxfId="73" priority="7" stopIfTrue="1">
      <formula>IF(OR(ACOMPANHAMENTO="BM",TIPOORCAMENTO="Proposto",H$12&gt;CÁLCULO.NúmeroDeFrentes),TRUE,PLE.ValorDoEvento=0)</formula>
    </cfRule>
    <cfRule type="cellIs" dxfId="72" priority="8" stopIfTrue="1" operator="equal">
      <formula>$J$9</formula>
    </cfRule>
  </conditionalFormatting>
  <conditionalFormatting sqref="F61:F64">
    <cfRule type="expression" dxfId="71" priority="1" stopIfTrue="1">
      <formula>IF(OR(ACOMPANHAMENTO="BM",F$12&gt;CÁLCULO.NúmeroDeFrentes),TRUE,PLE.ValorDoEvento=0)</formula>
    </cfRule>
    <cfRule type="cellIs" dxfId="70" priority="2" stopIfTrue="1" operator="equal">
      <formula>$J$9</formula>
    </cfRule>
  </conditionalFormatting>
  <conditionalFormatting sqref="H61:AF64">
    <cfRule type="expression" dxfId="69" priority="3" stopIfTrue="1">
      <formula>IF(OR(ACOMPANHAMENTO="BM",TIPOORCAMENTO="Proposto",H$12&gt;CÁLCULO.NúmeroDeFrentes),TRUE,PLE.ValorDoEvento=0)</formula>
    </cfRule>
    <cfRule type="cellIs" dxfId="68"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&amp;LPMv3.09&amp;R&amp;P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46"/>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39" sqref="A39"/>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30" t="str">
        <f>IF(CAIXA.Modo,"BA - Boletim de Aferição","BM - Boletim de Medição")</f>
        <v>BM - Boletim de Medição</v>
      </c>
      <c r="G1" s="331"/>
      <c r="J1" s="331"/>
      <c r="K1" s="331"/>
      <c r="L1" s="331"/>
      <c r="M1" s="331"/>
      <c r="N1" s="331"/>
      <c r="O1" s="53" t="s">
        <v>139</v>
      </c>
    </row>
    <row r="2" spans="1:41" ht="15" x14ac:dyDescent="0.2">
      <c r="A2" s="332" t="s">
        <v>325</v>
      </c>
      <c r="B2" s="2"/>
      <c r="E2" s="333" t="str">
        <f ca="1">IF(Import.RegimeExecução="(SELECIONAR)","Selecione o Regime de Execução na Aba Dados",Import.RegimeExecução&amp;" - "&amp;import.recurso)</f>
        <v>Selecione o Regime de Execução na Aba Dados</v>
      </c>
      <c r="O2" s="12" t="s">
        <v>142</v>
      </c>
    </row>
    <row r="3" spans="1:41" x14ac:dyDescent="0.2">
      <c r="A3" s="805" t="b">
        <v>0</v>
      </c>
      <c r="B3" s="805"/>
      <c r="E3" s="87"/>
    </row>
    <row r="4" spans="1:41" x14ac:dyDescent="0.2">
      <c r="D4" s="707" t="s">
        <v>146</v>
      </c>
      <c r="E4" s="707"/>
      <c r="F4" s="717" t="s">
        <v>145</v>
      </c>
      <c r="G4" s="717"/>
      <c r="H4" s="717"/>
      <c r="I4" s="151" t="s">
        <v>422</v>
      </c>
      <c r="J4" s="707" t="s">
        <v>200</v>
      </c>
      <c r="K4" s="707"/>
      <c r="L4" s="707"/>
      <c r="M4" s="707"/>
      <c r="N4" s="707"/>
      <c r="O4" s="153" t="s">
        <v>326</v>
      </c>
    </row>
    <row r="5" spans="1:41" ht="12.75" customHeight="1" x14ac:dyDescent="0.2">
      <c r="A5" t="s">
        <v>327</v>
      </c>
      <c r="D5" s="711" t="str">
        <f>Import.Proponente</f>
        <v>0</v>
      </c>
      <c r="E5" s="711"/>
      <c r="F5" s="722" t="str">
        <f>Import.CR</f>
        <v>0</v>
      </c>
      <c r="G5" s="722"/>
      <c r="H5" s="722"/>
      <c r="I5" s="334" t="str">
        <f>Import.TransfereGOV</f>
        <v>0</v>
      </c>
      <c r="J5" s="711" t="str">
        <f>Import.Apelido</f>
        <v>RUA COBERTA MUNICIPAL</v>
      </c>
      <c r="K5" s="711"/>
      <c r="L5" s="711"/>
      <c r="M5" s="711"/>
      <c r="N5" s="711"/>
      <c r="O5" s="335">
        <f>Import.DataInicioObra</f>
        <v>0</v>
      </c>
      <c r="AO5" s="336" t="s">
        <v>328</v>
      </c>
    </row>
    <row r="6" spans="1:41" ht="5.45" customHeight="1" x14ac:dyDescent="0.2">
      <c r="D6" s="95"/>
      <c r="E6" s="96"/>
      <c r="F6" s="95"/>
      <c r="G6" s="95"/>
      <c r="H6" s="95"/>
      <c r="I6" s="95"/>
      <c r="J6" s="95"/>
      <c r="K6" s="95"/>
      <c r="L6" s="95"/>
      <c r="M6" s="95"/>
      <c r="N6" s="95"/>
      <c r="O6" s="95"/>
      <c r="AO6" s="337"/>
    </row>
    <row r="7" spans="1:41" ht="12.75" customHeight="1" x14ac:dyDescent="0.2">
      <c r="A7" t="str">
        <f ca="1">RegimeExecucao</f>
        <v>Unitário</v>
      </c>
      <c r="D7" s="89" t="s">
        <v>329</v>
      </c>
      <c r="E7" s="89" t="s">
        <v>330</v>
      </c>
      <c r="F7" s="707" t="s">
        <v>331</v>
      </c>
      <c r="G7" s="707"/>
      <c r="H7" s="707"/>
      <c r="I7" s="707" t="str">
        <f>IF(TIPOORCAMENTO="Licitado","REGIME DE EXECUÇÃO","MUNICÍPIO / UF")</f>
        <v>MUNICÍPIO / UF</v>
      </c>
      <c r="J7" s="707"/>
      <c r="K7" s="707"/>
      <c r="L7" s="707"/>
      <c r="M7" s="707" t="s">
        <v>332</v>
      </c>
      <c r="N7" s="707"/>
      <c r="O7" s="89" t="s">
        <v>333</v>
      </c>
      <c r="AO7" s="285">
        <f ca="1">BM.MEDAcumulado</f>
        <v>0</v>
      </c>
    </row>
    <row r="8" spans="1:41" ht="12.75" customHeight="1" x14ac:dyDescent="0.2">
      <c r="A8" s="332" t="s">
        <v>334</v>
      </c>
      <c r="B8" s="2"/>
      <c r="C8" s="680" t="s">
        <v>207</v>
      </c>
      <c r="D8" s="338">
        <f>Import.CTEF</f>
        <v>0</v>
      </c>
      <c r="E8" s="57">
        <f>Import.empresa</f>
        <v>0</v>
      </c>
      <c r="F8" s="711">
        <f>Import.CNPJ</f>
        <v>0</v>
      </c>
      <c r="G8" s="711"/>
      <c r="H8" s="711"/>
      <c r="I8" s="711" t="str">
        <f>IF(TIPOORCAMENTO="Licitado",Import.RegimeExecução,Import.Município)</f>
        <v>LINDÓIA DO SUL - SC</v>
      </c>
      <c r="J8" s="711"/>
      <c r="K8" s="711"/>
      <c r="L8" s="711"/>
      <c r="M8" s="711" t="str">
        <f ca="1">TEXT(IF(BM.medicao=1,Import.DataInicioObra,OFFSET($AB$12,0,BM.medicao-1-$AB$13)+1),"dd/mm/aaaa")&amp;" a "&amp;TEXT(OFFSET($AB$12,0,BM.medicao-$AB$13),"dd/mm/aaaa")</f>
        <v>00/01/1900 a 00/01/1900</v>
      </c>
      <c r="N8" s="711"/>
      <c r="O8" s="445">
        <v>1</v>
      </c>
    </row>
    <row r="9" spans="1:41" ht="12.75" customHeight="1" x14ac:dyDescent="0.2">
      <c r="A9" s="613" t="b">
        <v>1</v>
      </c>
      <c r="B9" s="4"/>
      <c r="C9" s="680"/>
    </row>
    <row r="10" spans="1:41" ht="13.15" customHeight="1" x14ac:dyDescent="0.2">
      <c r="A10" s="427" t="s">
        <v>911</v>
      </c>
      <c r="B10" s="429"/>
      <c r="C10" s="680"/>
      <c r="E10" s="610"/>
      <c r="F10" s="804" t="str">
        <f>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IF($J$141&lt;&gt;"",UPPER($J$141),
 "")))))))</f>
        <v>Foi selecionado na aba 'MENU' o acompanhamento por PLE.</v>
      </c>
      <c r="G10" s="804"/>
      <c r="H10" s="804"/>
      <c r="I10" s="804"/>
      <c r="O10" s="612" t="str">
        <f ca="1">"Realizado Acumulado: "&amp;TEXT(P10,"0,00%")</f>
        <v>Realizado Acumulado: 0,00%</v>
      </c>
      <c r="P10" s="615">
        <f ca="1">ROUND($O$15/($I$15+10^-12),4)</f>
        <v>0</v>
      </c>
      <c r="AB10" s="628" t="str">
        <f ca="1">IF(INDEX($AB$12:$AN$12,MATCH($O$8,$AB$13:$AN$13,0))=0,"Preencher a data da medição "&amp;$O$8,"")</f>
        <v>Preencher a data da medição 1</v>
      </c>
    </row>
    <row r="11" spans="1:41" ht="15" customHeight="1" x14ac:dyDescent="0.25">
      <c r="A11" s="614" t="e">
        <f ca="1">OFFSET(CRONO!$F$13,CRONO!$F$118,0)</f>
        <v>#VALUE!</v>
      </c>
      <c r="B11" s="436"/>
      <c r="C11" s="680"/>
      <c r="E11" s="610"/>
      <c r="F11" s="804"/>
      <c r="G11" s="804"/>
      <c r="H11" s="804"/>
      <c r="I11" s="804"/>
      <c r="N11" s="611"/>
      <c r="O11" s="612" t="e">
        <f ca="1">"Administração Local Acumulada: "&amp;TEXT(P11,"0,00%")</f>
        <v>#VALUE!</v>
      </c>
      <c r="P11" s="615" t="e">
        <f ca="1">OFFSET($O$15,$A$11,0)/OFFSET($I$15,$A$11,0)</f>
        <v>#VALUE!</v>
      </c>
      <c r="T11" s="803" t="s">
        <v>335</v>
      </c>
      <c r="U11" s="803"/>
      <c r="Z11" s="4"/>
      <c r="AB11" s="791" t="s">
        <v>336</v>
      </c>
      <c r="AC11" s="791"/>
      <c r="AD11" s="791"/>
      <c r="AE11" s="791"/>
      <c r="AF11" s="791"/>
      <c r="AG11" s="791"/>
      <c r="AH11" s="791"/>
      <c r="AI11" s="791"/>
      <c r="AJ11" s="791"/>
      <c r="AK11" s="791"/>
      <c r="AL11" s="791"/>
      <c r="AM11" s="791"/>
    </row>
    <row r="12" spans="1:41" ht="15" customHeight="1" x14ac:dyDescent="0.25">
      <c r="C12" s="680"/>
      <c r="E12" s="85" t="s">
        <v>337</v>
      </c>
      <c r="J12" s="664" t="str">
        <f ca="1">"Evolução Física "&amp;CHOOSE(MATCH(RegimeExecucao,{"Unitário","Global"},0),"(Qtde.)","(%)")</f>
        <v>Evolução Física (Qtde.)</v>
      </c>
      <c r="K12" s="664"/>
      <c r="L12" s="664"/>
      <c r="M12" s="664" t="s">
        <v>338</v>
      </c>
      <c r="N12" s="664"/>
      <c r="O12" s="664"/>
      <c r="Q12" s="664" t="str">
        <f ca="1">"Aferido (CAIXA) "&amp;CHOOSE(MATCH(RegimeExecucao,{"Unitário","Global"},0),"(Qtde.)","(%)")</f>
        <v>Aferido (CAIXA) (Qtde.)</v>
      </c>
      <c r="R12" s="664"/>
      <c r="T12" s="339" t="s">
        <v>339</v>
      </c>
      <c r="U12" s="189"/>
      <c r="V12" s="189"/>
      <c r="W12" s="189"/>
      <c r="X12" s="189"/>
      <c r="Y12" s="189"/>
      <c r="Z12" s="43"/>
      <c r="AB12" s="340"/>
      <c r="AC12" s="341"/>
      <c r="AD12" s="341"/>
      <c r="AE12" s="341"/>
      <c r="AF12" s="341"/>
      <c r="AG12" s="341"/>
      <c r="AH12" s="341"/>
      <c r="AI12" s="341"/>
      <c r="AJ12" s="341"/>
      <c r="AK12" s="341"/>
      <c r="AL12" s="341"/>
      <c r="AM12" s="342"/>
    </row>
    <row r="13" spans="1:41" ht="45.2" customHeight="1" x14ac:dyDescent="0.2">
      <c r="A13" s="109" t="s">
        <v>220</v>
      </c>
      <c r="B13" s="109" t="s">
        <v>219</v>
      </c>
      <c r="C13" s="108" t="s">
        <v>215</v>
      </c>
      <c r="D13" s="304" t="s">
        <v>229</v>
      </c>
      <c r="E13" s="304" t="s">
        <v>232</v>
      </c>
      <c r="F13" s="343" t="s">
        <v>233</v>
      </c>
      <c r="G13" s="304" t="s">
        <v>201</v>
      </c>
      <c r="H13" s="304" t="s">
        <v>234</v>
      </c>
      <c r="I13" s="304" t="s">
        <v>235</v>
      </c>
      <c r="J13" s="304" t="s">
        <v>340</v>
      </c>
      <c r="K13" s="304" t="s">
        <v>341</v>
      </c>
      <c r="L13" s="304" t="s">
        <v>342</v>
      </c>
      <c r="M13" s="304" t="s">
        <v>340</v>
      </c>
      <c r="N13" s="304" t="s">
        <v>341</v>
      </c>
      <c r="O13" s="304" t="s">
        <v>342</v>
      </c>
      <c r="Q13" s="304" t="s">
        <v>340</v>
      </c>
      <c r="R13" s="304" t="s">
        <v>342</v>
      </c>
      <c r="T13" s="304" t="s">
        <v>229</v>
      </c>
      <c r="U13" s="304" t="s">
        <v>232</v>
      </c>
      <c r="V13" s="343" t="str">
        <f ca="1">IF(RegimeExecucao="Unitário","Unidade","")</f>
        <v>Unidade</v>
      </c>
      <c r="W13" s="304" t="str">
        <f ca="1">CHOOSE(MATCH(RegimeExecucao,{"Unitário","Global"},0),"Quant. Glosada (unid)","Percentual Glosado (%)")</f>
        <v>Quant. Glosada (unid)</v>
      </c>
      <c r="X13" s="304" t="str">
        <f ca="1">CHOOSE(MATCH(RegimeExecucao,{"Unitário","Global"},0),"Preço Unitário (R$)","Valor Total do Item (R$)")</f>
        <v>Preço Unitário (R$)</v>
      </c>
      <c r="Y13" s="304" t="s">
        <v>343</v>
      </c>
      <c r="Z13" s="304" t="s">
        <v>344</v>
      </c>
      <c r="AA13" s="114"/>
      <c r="AB13" s="344">
        <f ca="1">IF(BM.medicao&lt;=12,1,TRUNC((BM.medicao - 2)/11,0) * 11 + 1)</f>
        <v>1</v>
      </c>
      <c r="AC13" s="344">
        <f ca="1">OFFSET(AC13,0,-1)+1</f>
        <v>2</v>
      </c>
      <c r="AD13" s="344">
        <f t="shared" ref="AD13:AM13" ca="1" si="0">OFFSET(AD13,0,-1)+1</f>
        <v>3</v>
      </c>
      <c r="AE13" s="344">
        <f t="shared" ca="1" si="0"/>
        <v>4</v>
      </c>
      <c r="AF13" s="344">
        <f t="shared" ca="1" si="0"/>
        <v>5</v>
      </c>
      <c r="AG13" s="344">
        <f t="shared" ca="1" si="0"/>
        <v>6</v>
      </c>
      <c r="AH13" s="344">
        <f t="shared" ca="1" si="0"/>
        <v>7</v>
      </c>
      <c r="AI13" s="344">
        <f t="shared" ca="1" si="0"/>
        <v>8</v>
      </c>
      <c r="AJ13" s="344">
        <f t="shared" ca="1" si="0"/>
        <v>9</v>
      </c>
      <c r="AK13" s="344">
        <f t="shared" ca="1" si="0"/>
        <v>10</v>
      </c>
      <c r="AL13" s="344">
        <f t="shared" ca="1" si="0"/>
        <v>11</v>
      </c>
      <c r="AM13" s="344">
        <f t="shared" ca="1" si="0"/>
        <v>12</v>
      </c>
      <c r="AO13" s="109" t="s">
        <v>345</v>
      </c>
    </row>
    <row r="14" spans="1:41" hidden="1" x14ac:dyDescent="0.2">
      <c r="A14" t="str">
        <f ca="1">ORÇAMENTO!C14</f>
        <v>S</v>
      </c>
      <c r="B14">
        <f ca="1">ORÇAMENTO!D14</f>
        <v>0</v>
      </c>
      <c r="C14" s="116" t="str">
        <f ca="1">IF(OR($I14&gt;0,$A14=1,$A14=2,$A14=3,$A14=4),"F","")</f>
        <v/>
      </c>
      <c r="D14" s="119" t="str">
        <f ca="1">ORÇAMENTO!O14</f>
        <v>-</v>
      </c>
      <c r="E14" s="170" t="str">
        <f ca="1">ORÇAMENTO.Descricao</f>
        <v>(Sem Código)</v>
      </c>
      <c r="F14" s="171" t="str">
        <f ca="1">IF(RegimeExecucao="Global","",ORÇAMENTO.Unidade)</f>
        <v>-</v>
      </c>
      <c r="G14" s="124">
        <f ca="1">IF(RegimeExecucao="Global","",ORÇAMENTO!T14)</f>
        <v>0</v>
      </c>
      <c r="H14" s="124">
        <f ca="1">IF(RegimeExecucao="Global","",ORÇAMENTO!W14)</f>
        <v>0</v>
      </c>
      <c r="I14" s="127">
        <f ca="1">ORÇAMENTO!X14</f>
        <v>0</v>
      </c>
      <c r="J14" s="345">
        <f ca="1">IF($A14="S",IF(CAIXA.Modo,BM.AFAnterior,BM.MEDAnterior),IF(AND(RegimeExecucao="Global",$I14&gt;0,COUNTIF($AB$13:$AM$13,BM.medicao-1)&gt;0),M14/$I14*100,0))</f>
        <v>0</v>
      </c>
      <c r="K14" s="124">
        <f ca="1">L14-J14</f>
        <v>0</v>
      </c>
      <c r="L14" s="346">
        <f ca="1">IF($A14="S",IF(CAIXA.Modo,BM.AFAcumulado,BM.MEDAcumulado),IF(AND(RegimeExecucao="Global",$I14&gt;0,COUNTIF($AB$13:$AM$13,BM.medicao)&gt;0),O14/$I14*100,0))</f>
        <v>0</v>
      </c>
      <c r="M14" s="347">
        <f ca="1">IF($A14="S",VTOTALBM,IF($A14=0,0,ROUND(SomaAgrupBM,15-13*ORÇAMENTO!$AF$11)))</f>
        <v>0</v>
      </c>
      <c r="N14" s="348">
        <f ca="1">O14-M14</f>
        <v>0</v>
      </c>
      <c r="O14" s="127">
        <f ca="1">IF($A14="S",VTOTALBM,IF($A14=0,0,ROUND(SomaAgrupBM,15-13*ORÇAMENTO!$AF$11)))</f>
        <v>0</v>
      </c>
      <c r="Q14" s="349"/>
      <c r="R14" s="350"/>
      <c r="T14" s="119" t="str">
        <f ca="1">IF($W14&gt;0,$D14,"")</f>
        <v/>
      </c>
      <c r="U14" s="170" t="str">
        <f ca="1">IF($W14&gt;0,$E14,"")</f>
        <v/>
      </c>
      <c r="V14" s="171" t="str">
        <f ca="1">IF(AND($W14&gt;0,RegimeExecucao="Unitário"),$F14,"")</f>
        <v/>
      </c>
      <c r="W14" s="486">
        <f ca="1">IF($Y14&gt;0,CHOOSE(MATCH(RegimeExecucao,{"Unitário","Global"},0),IF($A14="S",$Y14/$X14,""),($Y14/$X14)*100),0)</f>
        <v>0</v>
      </c>
      <c r="X14" s="351" t="str">
        <f ca="1">IF($Y14&gt;0,CHOOSE(MATCH(RegimeExecucao,{"Unitário","Global"},0),IF($A14="S",ROUND($H14,ORÇAMENTO!$AF$10),""),ROUND($I14,ORÇAMENTO!$AF$11)),"")</f>
        <v/>
      </c>
      <c r="Y14" s="351">
        <f ca="1">AO14-O14</f>
        <v>0</v>
      </c>
      <c r="Z14" s="507"/>
      <c r="AB14" s="349"/>
      <c r="AC14" s="469"/>
      <c r="AD14" s="469"/>
      <c r="AE14" s="469"/>
      <c r="AF14" s="469"/>
      <c r="AG14" s="469"/>
      <c r="AH14" s="469"/>
      <c r="AI14" s="469"/>
      <c r="AJ14" s="469"/>
      <c r="AK14" s="469"/>
      <c r="AL14" s="469"/>
      <c r="AM14" s="350"/>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244</v>
      </c>
      <c r="D15" s="802" t="str">
        <f>"Objeto do CTEF: "&amp;Import.DescLote</f>
        <v>Objeto do CTEF: RUA COBERTA MUNICIPAL</v>
      </c>
      <c r="E15" s="802"/>
      <c r="F15" s="487"/>
      <c r="G15" s="488"/>
      <c r="H15" s="488" t="s">
        <v>346</v>
      </c>
      <c r="I15" s="489">
        <f>IF(OR(ACOMPANHAMENTO="PLE",TIPOORCAMENTO="Proposto"),0,ORÇAMENTO!$X$15)</f>
        <v>0</v>
      </c>
      <c r="J15" s="352">
        <f ca="1">IF(M$15=0,0,IF(RegimeExecucao="Global",M$15/$I$15*100,0))</f>
        <v>0</v>
      </c>
      <c r="K15" s="352">
        <f ca="1">L15-J15</f>
        <v>0</v>
      </c>
      <c r="L15" s="352">
        <f ca="1">IF(O$15=0,0,IF(RegimeExecucao="Global",O$15/$I$15*100,0))</f>
        <v>0</v>
      </c>
      <c r="M15" s="353">
        <f ca="1">IF(OR(ACOMPANHAMENTO="PLE",TIPOORCAMENTO="Proposto"),0,SUMIF(OFFSET($A15,1,0):$A$131,"S",OFFSET(M15,1,0):M$131))</f>
        <v>0</v>
      </c>
      <c r="N15" s="353">
        <f ca="1">O15-M15</f>
        <v>0</v>
      </c>
      <c r="O15" s="353">
        <f ca="1">IF(OR(ACOMPANHAMENTO="PLE",TIPOORCAMENTO="Proposto"),0,SUMIF(OFFSET($A15,1,0):$A$131,"S",OFFSET(O15,1,0):O$131))</f>
        <v>0</v>
      </c>
      <c r="Q15" s="354"/>
      <c r="R15" s="354"/>
      <c r="T15" s="355"/>
      <c r="U15" s="356"/>
      <c r="V15" s="356"/>
      <c r="W15" s="356"/>
      <c r="X15" s="356"/>
      <c r="Y15" s="356"/>
      <c r="Z15" s="357"/>
      <c r="AB15" s="798" t="str">
        <f ca="1">"Preencher abaixo com a "&amp;CHOOSE(MATCH(RegimeExecucao,{"Unitário","Global"},0),"QUANTIDADE","PORCENTAGEM")&amp;" executada no PERÍODO"</f>
        <v>Preencher abaixo com a QUANTIDADE executada no PERÍODO</v>
      </c>
      <c r="AC15" s="798"/>
      <c r="AD15" s="798"/>
      <c r="AE15" s="798"/>
      <c r="AF15" s="798"/>
      <c r="AG15" s="798"/>
      <c r="AH15" s="798"/>
      <c r="AI15" s="798"/>
      <c r="AJ15" s="798"/>
      <c r="AK15" s="798"/>
      <c r="AL15" s="798"/>
      <c r="AM15" s="798"/>
    </row>
    <row r="16" spans="1:41" x14ac:dyDescent="0.2">
      <c r="A16">
        <f ca="1">ORÇAMENTO!C16</f>
        <v>1</v>
      </c>
      <c r="B16">
        <f ca="1">ORÇAMENTO!D16</f>
        <v>115</v>
      </c>
      <c r="C16" s="116" t="str">
        <f t="shared" ref="C16:C20" ca="1" si="1">IF(OR($I16&gt;0,$A16=1,$A16=2,$A16=3,$A16=4),"F","")</f>
        <v>F</v>
      </c>
      <c r="D16" s="119" t="str">
        <f ca="1">ORÇAMENTO!O16</f>
        <v>1.</v>
      </c>
      <c r="E16" s="170" t="str">
        <f t="shared" ref="E16:E20" si="2">ORÇAMENTO.Descricao</f>
        <v xml:space="preserve">CONSTRUÇÃO DA RUA COBERTA MUNICIPAL </v>
      </c>
      <c r="F16" s="171" t="str">
        <f ca="1">IF(RegimeExecucao="Global","",ORÇAMENTO.Unidade)</f>
        <v>-</v>
      </c>
      <c r="G16" s="124">
        <f ca="1">IF(RegimeExecucao="Global","",ORÇAMENTO!T16)</f>
        <v>0</v>
      </c>
      <c r="H16" s="124">
        <f ca="1">IF(RegimeExecucao="Global","",ORÇAMENTO!W16)</f>
        <v>0</v>
      </c>
      <c r="I16" s="127">
        <f ca="1">ORÇAMENTO!X16</f>
        <v>1343349.71</v>
      </c>
      <c r="J16" s="345">
        <f ca="1">IF($A16="S",IF(CAIXA.Modo,BM.AFAnterior,BM.MEDAnterior),IF(AND(RegimeExecucao="Global",$I16&gt;0,COUNTIF($AB$13:$AM$13,BM.medicao-1)&gt;0),M16/$I16*100,0))</f>
        <v>0</v>
      </c>
      <c r="K16" s="124">
        <f t="shared" ref="K16:K20" ca="1" si="3">L16-J16</f>
        <v>0</v>
      </c>
      <c r="L16" s="346">
        <f ca="1">IF($A16="S",IF(CAIXA.Modo,BM.AFAcumulado,BM.MEDAcumulado),IF(AND(RegimeExecucao="Global",$I16&gt;0,COUNTIF($AB$13:$AM$13,BM.medicao)&gt;0),O16/$I16*100,0))</f>
        <v>0</v>
      </c>
      <c r="M16" s="347">
        <f ca="1">IF($A16="S",VTOTALBM,IF($A16=0,0,ROUND(SomaAgrupBM,15-13*ORÇAMENTO!$AF$11)))</f>
        <v>0</v>
      </c>
      <c r="N16" s="348">
        <f t="shared" ref="N16:N20" ca="1" si="4">O16-M16</f>
        <v>0</v>
      </c>
      <c r="O16" s="127">
        <f ca="1">IF($A16="S",VTOTALBM,IF($A16=0,0,ROUND(SomaAgrupBM,15-13*ORÇAMENTO!$AF$11)))</f>
        <v>0</v>
      </c>
      <c r="Q16" s="349"/>
      <c r="R16" s="350"/>
      <c r="T16" s="119" t="str">
        <f t="shared" ref="T16:T20" ca="1" si="5">IF($W16&gt;0,$D16,"")</f>
        <v/>
      </c>
      <c r="U16" s="170" t="str">
        <f t="shared" ref="U16:U20" ca="1" si="6">IF($W16&gt;0,$E16,"")</f>
        <v/>
      </c>
      <c r="V16" s="171" t="str">
        <f ca="1">IF(AND($W16&gt;0,RegimeExecucao="Unitário"),$F16,"")</f>
        <v/>
      </c>
      <c r="W16" s="486">
        <f ca="1">IF($Y16&gt;0,CHOOSE(MATCH(RegimeExecucao,{"Unitário","Global"},0),IF($A16="S",$Y16/$X16,""),($Y16/$X16)*100),0)</f>
        <v>0</v>
      </c>
      <c r="X16" s="351" t="str">
        <f ca="1">IF($Y16&gt;0,CHOOSE(MATCH(RegimeExecucao,{"Unitário","Global"},0),IF($A16="S",ROUND($H16,ORÇAMENTO!$AF$10),""),ROUND($I16,ORÇAMENTO!$AF$11)),"")</f>
        <v/>
      </c>
      <c r="Y16" s="351">
        <f t="shared" ref="Y16:Y20" ca="1" si="7">AO16-O16</f>
        <v>0</v>
      </c>
      <c r="Z16" s="507"/>
      <c r="AB16" s="349"/>
      <c r="AC16" s="469"/>
      <c r="AD16" s="469"/>
      <c r="AE16" s="469"/>
      <c r="AF16" s="469"/>
      <c r="AG16" s="469"/>
      <c r="AH16" s="469"/>
      <c r="AI16" s="469"/>
      <c r="AJ16" s="469"/>
      <c r="AK16" s="469"/>
      <c r="AL16" s="469"/>
      <c r="AM16" s="350"/>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6" t="str">
        <f t="shared" ca="1" si="1"/>
        <v>F</v>
      </c>
      <c r="D17" s="119" t="str">
        <f ca="1">ORÇAMENTO!O17</f>
        <v>1.1.</v>
      </c>
      <c r="E17" s="170" t="str">
        <f t="shared" si="2"/>
        <v>SERVIÇOS INICIAIS</v>
      </c>
      <c r="F17" s="171" t="str">
        <f ca="1">IF(RegimeExecucao="Global","",ORÇAMENTO.Unidade)</f>
        <v>-</v>
      </c>
      <c r="G17" s="124">
        <f ca="1">IF(RegimeExecucao="Global","",ORÇAMENTO!T17)</f>
        <v>0</v>
      </c>
      <c r="H17" s="124">
        <f ca="1">IF(RegimeExecucao="Global","",ORÇAMENTO!W17)</f>
        <v>0</v>
      </c>
      <c r="I17" s="127">
        <f ca="1">ORÇAMENTO!X17</f>
        <v>1786.09</v>
      </c>
      <c r="J17" s="345">
        <f ca="1">IF($A17="S",IF(CAIXA.Modo,BM.AFAnterior,BM.MEDAnterior),IF(AND(RegimeExecucao="Global",$I17&gt;0,COUNTIF($AB$13:$AM$13,BM.medicao-1)&gt;0),M17/$I17*100,0))</f>
        <v>0</v>
      </c>
      <c r="K17" s="124">
        <f t="shared" ca="1" si="3"/>
        <v>0</v>
      </c>
      <c r="L17" s="346">
        <f ca="1">IF($A17="S",IF(CAIXA.Modo,BM.AFAcumulado,BM.MEDAcumulado),IF(AND(RegimeExecucao="Global",$I17&gt;0,COUNTIF($AB$13:$AM$13,BM.medicao)&gt;0),O17/$I17*100,0))</f>
        <v>0</v>
      </c>
      <c r="M17" s="347">
        <f ca="1">IF($A17="S",VTOTALBM,IF($A17=0,0,ROUND(SomaAgrupBM,15-13*ORÇAMENTO!$AF$11)))</f>
        <v>0</v>
      </c>
      <c r="N17" s="348">
        <f t="shared" ca="1" si="4"/>
        <v>0</v>
      </c>
      <c r="O17" s="127">
        <f ca="1">IF($A17="S",VTOTALBM,IF($A17=0,0,ROUND(SomaAgrupBM,15-13*ORÇAMENTO!$AF$11)))</f>
        <v>0</v>
      </c>
      <c r="Q17" s="349"/>
      <c r="R17" s="350"/>
      <c r="T17" s="119" t="str">
        <f t="shared" ca="1" si="5"/>
        <v/>
      </c>
      <c r="U17" s="170" t="str">
        <f t="shared" ca="1" si="6"/>
        <v/>
      </c>
      <c r="V17" s="171" t="str">
        <f ca="1">IF(AND($W17&gt;0,RegimeExecucao="Unitário"),$F17,"")</f>
        <v/>
      </c>
      <c r="W17" s="486">
        <f ca="1">IF($Y17&gt;0,CHOOSE(MATCH(RegimeExecucao,{"Unitário","Global"},0),IF($A17="S",$Y17/$X17,""),($Y17/$X17)*100),0)</f>
        <v>0</v>
      </c>
      <c r="X17" s="351" t="str">
        <f ca="1">IF($Y17&gt;0,CHOOSE(MATCH(RegimeExecucao,{"Unitário","Global"},0),IF($A17="S",ROUND($H17,ORÇAMENTO!$AF$10),""),ROUND($I17,ORÇAMENTO!$AF$11)),"")</f>
        <v/>
      </c>
      <c r="Y17" s="351">
        <f t="shared" ca="1" si="7"/>
        <v>0</v>
      </c>
      <c r="Z17" s="507"/>
      <c r="AB17" s="349"/>
      <c r="AC17" s="469"/>
      <c r="AD17" s="469"/>
      <c r="AE17" s="469"/>
      <c r="AF17" s="469"/>
      <c r="AG17" s="469"/>
      <c r="AH17" s="469"/>
      <c r="AI17" s="469"/>
      <c r="AJ17" s="469"/>
      <c r="AK17" s="469"/>
      <c r="AL17" s="469"/>
      <c r="AM17" s="350"/>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6" t="str">
        <f t="shared" ca="1" si="1"/>
        <v>F</v>
      </c>
      <c r="D18" s="119" t="str">
        <f ca="1">ORÇAMENTO!O18</f>
        <v>1.1.0.0.1.</v>
      </c>
      <c r="E18" s="170" t="str">
        <f t="shared" ca="1" si="2"/>
        <v>FORNECIMENTO E INSTALAÇÃO DE PLACA DE OBRA COM CHAPA GALVANIZADA E ESTRUTURA DE MADEIRA. AF_03/2022_PS</v>
      </c>
      <c r="F18" s="171" t="str">
        <f ca="1">IF(RegimeExecucao="Global","",ORÇAMENTO.Unidade)</f>
        <v>M2</v>
      </c>
      <c r="G18" s="124">
        <f ca="1">IF(RegimeExecucao="Global","",ORÇAMENTO!T18)</f>
        <v>2.88</v>
      </c>
      <c r="H18" s="124">
        <f ca="1">IF(RegimeExecucao="Global","",ORÇAMENTO!W18)</f>
        <v>620.16999999999996</v>
      </c>
      <c r="I18" s="127">
        <f ca="1">ORÇAMENTO!X18</f>
        <v>1786.09</v>
      </c>
      <c r="J18" s="345">
        <f ca="1">IF($A18="S",IF(CAIXA.Modo,BM.AFAnterior,BM.MEDAnterior),IF(AND(RegimeExecucao="Global",$I18&gt;0,COUNTIF($AB$13:$AM$13,BM.medicao-1)&gt;0),M18/$I18*100,0))</f>
        <v>0</v>
      </c>
      <c r="K18" s="124">
        <f t="shared" ca="1" si="3"/>
        <v>0</v>
      </c>
      <c r="L18" s="346">
        <f ca="1">IF($A18="S",IF(CAIXA.Modo,BM.AFAcumulado,BM.MEDAcumulado),IF(AND(RegimeExecucao="Global",$I18&gt;0,COUNTIF($AB$13:$AM$13,BM.medicao)&gt;0),O18/$I18*100,0))</f>
        <v>0</v>
      </c>
      <c r="M18" s="347">
        <f ca="1">IF($A18="S",VTOTALBM,IF($A18=0,0,ROUND(SomaAgrupBM,15-13*ORÇAMENTO!$AF$11)))</f>
        <v>0</v>
      </c>
      <c r="N18" s="348">
        <f t="shared" ca="1" si="4"/>
        <v>0</v>
      </c>
      <c r="O18" s="127">
        <f ca="1">IF($A18="S",VTOTALBM,IF($A18=0,0,ROUND(SomaAgrupBM,15-13*ORÇAMENTO!$AF$11)))</f>
        <v>0</v>
      </c>
      <c r="Q18" s="349"/>
      <c r="R18" s="350"/>
      <c r="T18" s="119" t="str">
        <f t="shared" ca="1" si="5"/>
        <v/>
      </c>
      <c r="U18" s="170" t="str">
        <f t="shared" ca="1" si="6"/>
        <v/>
      </c>
      <c r="V18" s="171" t="str">
        <f ca="1">IF(AND($W18&gt;0,RegimeExecucao="Unitário"),$F18,"")</f>
        <v/>
      </c>
      <c r="W18" s="486">
        <f ca="1">IF($Y18&gt;0,CHOOSE(MATCH(RegimeExecucao,{"Unitário","Global"},0),IF($A18="S",$Y18/$X18,""),($Y18/$X18)*100),0)</f>
        <v>0</v>
      </c>
      <c r="X18" s="351" t="str">
        <f ca="1">IF($Y18&gt;0,CHOOSE(MATCH(RegimeExecucao,{"Unitário","Global"},0),IF($A18="S",ROUND($H18,ORÇAMENTO!$AF$10),""),ROUND($I18,ORÇAMENTO!$AF$11)),"")</f>
        <v/>
      </c>
      <c r="Y18" s="351">
        <f t="shared" ca="1" si="7"/>
        <v>0</v>
      </c>
      <c r="Z18" s="507"/>
      <c r="AB18" s="349"/>
      <c r="AC18" s="469"/>
      <c r="AD18" s="469"/>
      <c r="AE18" s="469"/>
      <c r="AF18" s="469"/>
      <c r="AG18" s="469"/>
      <c r="AH18" s="469"/>
      <c r="AI18" s="469"/>
      <c r="AJ18" s="469"/>
      <c r="AK18" s="469"/>
      <c r="AL18" s="469"/>
      <c r="AM18" s="350"/>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2</v>
      </c>
      <c r="C19" s="116" t="str">
        <f t="shared" ca="1" si="1"/>
        <v>F</v>
      </c>
      <c r="D19" s="119" t="str">
        <f ca="1">ORÇAMENTO!O19</f>
        <v>1.2.</v>
      </c>
      <c r="E19" s="170" t="str">
        <f t="shared" si="2"/>
        <v>LOCAÇÃO DE OBRA</v>
      </c>
      <c r="F19" s="171" t="str">
        <f ca="1">IF(RegimeExecucao="Global","",ORÇAMENTO.Unidade)</f>
        <v>-</v>
      </c>
      <c r="G19" s="124">
        <f ca="1">IF(RegimeExecucao="Global","",ORÇAMENTO!T19)</f>
        <v>0</v>
      </c>
      <c r="H19" s="124">
        <f ca="1">IF(RegimeExecucao="Global","",ORÇAMENTO!W19)</f>
        <v>0</v>
      </c>
      <c r="I19" s="127">
        <f ca="1">ORÇAMENTO!X19</f>
        <v>86506.2</v>
      </c>
      <c r="J19" s="345">
        <f ca="1">IF($A19="S",IF(CAIXA.Modo,BM.AFAnterior,BM.MEDAnterior),IF(AND(RegimeExecucao="Global",$I19&gt;0,COUNTIF($AB$13:$AM$13,BM.medicao-1)&gt;0),M19/$I19*100,0))</f>
        <v>0</v>
      </c>
      <c r="K19" s="124">
        <f t="shared" ca="1" si="3"/>
        <v>0</v>
      </c>
      <c r="L19" s="346">
        <f ca="1">IF($A19="S",IF(CAIXA.Modo,BM.AFAcumulado,BM.MEDAcumulado),IF(AND(RegimeExecucao="Global",$I19&gt;0,COUNTIF($AB$13:$AM$13,BM.medicao)&gt;0),O19/$I19*100,0))</f>
        <v>0</v>
      </c>
      <c r="M19" s="347">
        <f ca="1">IF($A19="S",VTOTALBM,IF($A19=0,0,ROUND(SomaAgrupBM,15-13*ORÇAMENTO!$AF$11)))</f>
        <v>0</v>
      </c>
      <c r="N19" s="348">
        <f t="shared" ca="1" si="4"/>
        <v>0</v>
      </c>
      <c r="O19" s="127">
        <f ca="1">IF($A19="S",VTOTALBM,IF($A19=0,0,ROUND(SomaAgrupBM,15-13*ORÇAMENTO!$AF$11)))</f>
        <v>0</v>
      </c>
      <c r="Q19" s="349"/>
      <c r="R19" s="350"/>
      <c r="T19" s="119" t="str">
        <f t="shared" ca="1" si="5"/>
        <v/>
      </c>
      <c r="U19" s="170" t="str">
        <f t="shared" ca="1" si="6"/>
        <v/>
      </c>
      <c r="V19" s="171" t="str">
        <f ca="1">IF(AND($W19&gt;0,RegimeExecucao="Unitário"),$F19,"")</f>
        <v/>
      </c>
      <c r="W19" s="486">
        <f ca="1">IF($Y19&gt;0,CHOOSE(MATCH(RegimeExecucao,{"Unitário","Global"},0),IF($A19="S",$Y19/$X19,""),($Y19/$X19)*100),0)</f>
        <v>0</v>
      </c>
      <c r="X19" s="351" t="str">
        <f ca="1">IF($Y19&gt;0,CHOOSE(MATCH(RegimeExecucao,{"Unitário","Global"},0),IF($A19="S",ROUND($H19,ORÇAMENTO!$AF$10),""),ROUND($I19,ORÇAMENTO!$AF$11)),"")</f>
        <v/>
      </c>
      <c r="Y19" s="351">
        <f t="shared" ca="1" si="7"/>
        <v>0</v>
      </c>
      <c r="Z19" s="507"/>
      <c r="AB19" s="349"/>
      <c r="AC19" s="469"/>
      <c r="AD19" s="469"/>
      <c r="AE19" s="469"/>
      <c r="AF19" s="469"/>
      <c r="AG19" s="469"/>
      <c r="AH19" s="469"/>
      <c r="AI19" s="469"/>
      <c r="AJ19" s="469"/>
      <c r="AK19" s="469"/>
      <c r="AL19" s="469"/>
      <c r="AM19" s="350"/>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6" t="str">
        <f t="shared" ca="1" si="1"/>
        <v>F</v>
      </c>
      <c r="D20" s="119" t="str">
        <f ca="1">ORÇAMENTO!O20</f>
        <v>1.2.0.0.1.</v>
      </c>
      <c r="E20" s="170" t="str">
        <f t="shared" ca="1" si="2"/>
        <v>TAPUME EM CHAPA DE MADEIRA COMPENSADA 6MM</v>
      </c>
      <c r="F20" s="171" t="str">
        <f ca="1">IF(RegimeExecucao="Global","",ORÇAMENTO.Unidade)</f>
        <v xml:space="preserve">M2    </v>
      </c>
      <c r="G20" s="124">
        <f ca="1">IF(RegimeExecucao="Global","",ORÇAMENTO!T20)</f>
        <v>1530</v>
      </c>
      <c r="H20" s="124">
        <f ca="1">IF(RegimeExecucao="Global","",ORÇAMENTO!W20)</f>
        <v>56.54</v>
      </c>
      <c r="I20" s="127">
        <f ca="1">ORÇAMENTO!X20</f>
        <v>86506.2</v>
      </c>
      <c r="J20" s="345">
        <f ca="1">IF($A20="S",IF(CAIXA.Modo,BM.AFAnterior,BM.MEDAnterior),IF(AND(RegimeExecucao="Global",$I20&gt;0,COUNTIF($AB$13:$AM$13,BM.medicao-1)&gt;0),M20/$I20*100,0))</f>
        <v>0</v>
      </c>
      <c r="K20" s="124">
        <f t="shared" ca="1" si="3"/>
        <v>0</v>
      </c>
      <c r="L20" s="346">
        <f ca="1">IF($A20="S",IF(CAIXA.Modo,BM.AFAcumulado,BM.MEDAcumulado),IF(AND(RegimeExecucao="Global",$I20&gt;0,COUNTIF($AB$13:$AM$13,BM.medicao)&gt;0),O20/$I20*100,0))</f>
        <v>0</v>
      </c>
      <c r="M20" s="347">
        <f ca="1">IF($A20="S",VTOTALBM,IF($A20=0,0,ROUND(SomaAgrupBM,15-13*ORÇAMENTO!$AF$11)))</f>
        <v>0</v>
      </c>
      <c r="N20" s="348">
        <f t="shared" ca="1" si="4"/>
        <v>0</v>
      </c>
      <c r="O20" s="127">
        <f ca="1">IF($A20="S",VTOTALBM,IF($A20=0,0,ROUND(SomaAgrupBM,15-13*ORÇAMENTO!$AF$11)))</f>
        <v>0</v>
      </c>
      <c r="Q20" s="349"/>
      <c r="R20" s="350"/>
      <c r="T20" s="119" t="str">
        <f t="shared" ca="1" si="5"/>
        <v/>
      </c>
      <c r="U20" s="170" t="str">
        <f t="shared" ca="1" si="6"/>
        <v/>
      </c>
      <c r="V20" s="171" t="str">
        <f ca="1">IF(AND($W20&gt;0,RegimeExecucao="Unitário"),$F20,"")</f>
        <v/>
      </c>
      <c r="W20" s="486">
        <f ca="1">IF($Y20&gt;0,CHOOSE(MATCH(RegimeExecucao,{"Unitário","Global"},0),IF($A20="S",$Y20/$X20,""),($Y20/$X20)*100),0)</f>
        <v>0</v>
      </c>
      <c r="X20" s="351" t="str">
        <f ca="1">IF($Y20&gt;0,CHOOSE(MATCH(RegimeExecucao,{"Unitário","Global"},0),IF($A20="S",ROUND($H20,ORÇAMENTO!$AF$10),""),ROUND($I20,ORÇAMENTO!$AF$11)),"")</f>
        <v/>
      </c>
      <c r="Y20" s="351">
        <f t="shared" ca="1" si="7"/>
        <v>0</v>
      </c>
      <c r="Z20" s="507"/>
      <c r="AB20" s="349"/>
      <c r="AC20" s="469"/>
      <c r="AD20" s="469"/>
      <c r="AE20" s="469"/>
      <c r="AF20" s="469"/>
      <c r="AG20" s="469"/>
      <c r="AH20" s="469"/>
      <c r="AI20" s="469"/>
      <c r="AJ20" s="469"/>
      <c r="AK20" s="469"/>
      <c r="AL20" s="469"/>
      <c r="AM20" s="350"/>
      <c r="AO20">
        <f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8</v>
      </c>
      <c r="C21" s="116" t="str">
        <f ca="1">IF(OR($I21&gt;0,$A21=1,$A21=2,$A21=3,$A21=4),"F","")</f>
        <v>F</v>
      </c>
      <c r="D21" s="119" t="str">
        <f ca="1">ORÇAMENTO!O21</f>
        <v>1.3.</v>
      </c>
      <c r="E21" s="170" t="str">
        <f>ORÇAMENTO.Descricao</f>
        <v>DEMOLIÇÕES E REMOÇÕES</v>
      </c>
      <c r="F21" s="171" t="str">
        <f ca="1">IF(RegimeExecucao="Global","",ORÇAMENTO.Unidade)</f>
        <v>-</v>
      </c>
      <c r="G21" s="124">
        <f ca="1">IF(RegimeExecucao="Global","",ORÇAMENTO!T21)</f>
        <v>0</v>
      </c>
      <c r="H21" s="124">
        <f ca="1">IF(RegimeExecucao="Global","",ORÇAMENTO!W21)</f>
        <v>0</v>
      </c>
      <c r="I21" s="127">
        <f ca="1">ORÇAMENTO!X21</f>
        <v>4402.6899999999996</v>
      </c>
      <c r="J21" s="345">
        <f ca="1">IF($A21="S",IF(CAIXA.Modo,BM.AFAnterior,BM.MEDAnterior),IF(AND(RegimeExecucao="Global",$I21&gt;0,COUNTIF($AB$13:$AM$13,BM.medicao-1)&gt;0),M21/$I21*100,0))</f>
        <v>0</v>
      </c>
      <c r="K21" s="124">
        <f ca="1">L21-J21</f>
        <v>0</v>
      </c>
      <c r="L21" s="346">
        <f ca="1">IF($A21="S",IF(CAIXA.Modo,BM.AFAcumulado,BM.MEDAcumulado),IF(AND(RegimeExecucao="Global",$I21&gt;0,COUNTIF($AB$13:$AM$13,BM.medicao)&gt;0),O21/$I21*100,0))</f>
        <v>0</v>
      </c>
      <c r="M21" s="347">
        <f ca="1">IF($A21="S",VTOTALBM,IF($A21=0,0,ROUND(SomaAgrupBM,15-13*ORÇAMENTO!$AF$11)))</f>
        <v>0</v>
      </c>
      <c r="N21" s="348">
        <f ca="1">O21-M21</f>
        <v>0</v>
      </c>
      <c r="O21" s="127">
        <f ca="1">IF($A21="S",VTOTALBM,IF($A21=0,0,ROUND(SomaAgrupBM,15-13*ORÇAMENTO!$AF$11)))</f>
        <v>0</v>
      </c>
      <c r="Q21" s="349"/>
      <c r="R21" s="350"/>
      <c r="T21" s="119" t="str">
        <f ca="1">IF($W21&gt;0,$D21,"")</f>
        <v/>
      </c>
      <c r="U21" s="170" t="str">
        <f ca="1">IF($W21&gt;0,$E21,"")</f>
        <v/>
      </c>
      <c r="V21" s="171" t="str">
        <f ca="1">IF(AND($W21&gt;0,RegimeExecucao="Unitário"),$F21,"")</f>
        <v/>
      </c>
      <c r="W21" s="486">
        <f ca="1">IF($Y21&gt;0,CHOOSE(MATCH(RegimeExecucao,{"Unitário","Global"},0),IF($A21="S",$Y21/$X21,""),($Y21/$X21)*100),0)</f>
        <v>0</v>
      </c>
      <c r="X21" s="351" t="str">
        <f ca="1">IF($Y21&gt;0,CHOOSE(MATCH(RegimeExecucao,{"Unitário","Global"},0),IF($A21="S",ROUND($H21,ORÇAMENTO!$AF$10),""),ROUND($I21,ORÇAMENTO!$AF$11)),"")</f>
        <v/>
      </c>
      <c r="Y21" s="351">
        <f ca="1">AO21-O21</f>
        <v>0</v>
      </c>
      <c r="Z21" s="507"/>
      <c r="AB21" s="349"/>
      <c r="AC21" s="469"/>
      <c r="AD21" s="469"/>
      <c r="AE21" s="469"/>
      <c r="AF21" s="469"/>
      <c r="AG21" s="469"/>
      <c r="AH21" s="469"/>
      <c r="AI21" s="469"/>
      <c r="AJ21" s="469"/>
      <c r="AK21" s="469"/>
      <c r="AL21" s="469"/>
      <c r="AM21" s="350"/>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3</v>
      </c>
      <c r="B22">
        <f ca="1">ORÇAMENTO!D22</f>
        <v>3</v>
      </c>
      <c r="C22" s="116" t="str">
        <f t="shared" ref="C22:C28" ca="1" si="8">IF(OR($I22&gt;0,$A22=1,$A22=2,$A22=3,$A22=4),"F","")</f>
        <v>F</v>
      </c>
      <c r="D22" s="119" t="str">
        <f ca="1">ORÇAMENTO!O22</f>
        <v>1.3.1.</v>
      </c>
      <c r="E22" s="170" t="str">
        <f t="shared" ref="E22:E28" si="9">ORÇAMENTO.Descricao</f>
        <v>ÁRVORES</v>
      </c>
      <c r="F22" s="171" t="str">
        <f ca="1">IF(RegimeExecucao="Global","",ORÇAMENTO.Unidade)</f>
        <v>-</v>
      </c>
      <c r="G22" s="124">
        <f ca="1">IF(RegimeExecucao="Global","",ORÇAMENTO!T22)</f>
        <v>0</v>
      </c>
      <c r="H22" s="124">
        <f ca="1">IF(RegimeExecucao="Global","",ORÇAMENTO!W22)</f>
        <v>0</v>
      </c>
      <c r="I22" s="127">
        <f ca="1">ORÇAMENTO!X22</f>
        <v>2016.88</v>
      </c>
      <c r="J22" s="345">
        <f ca="1">IF($A22="S",IF(CAIXA.Modo,BM.AFAnterior,BM.MEDAnterior),IF(AND(RegimeExecucao="Global",$I22&gt;0,COUNTIF($AB$13:$AM$13,BM.medicao-1)&gt;0),M22/$I22*100,0))</f>
        <v>0</v>
      </c>
      <c r="K22" s="124">
        <f t="shared" ref="K22:K28" ca="1" si="10">L22-J22</f>
        <v>0</v>
      </c>
      <c r="L22" s="346">
        <f ca="1">IF($A22="S",IF(CAIXA.Modo,BM.AFAcumulado,BM.MEDAcumulado),IF(AND(RegimeExecucao="Global",$I22&gt;0,COUNTIF($AB$13:$AM$13,BM.medicao)&gt;0),O22/$I22*100,0))</f>
        <v>0</v>
      </c>
      <c r="M22" s="347">
        <f ca="1">IF($A22="S",VTOTALBM,IF($A22=0,0,ROUND(SomaAgrupBM,15-13*ORÇAMENTO!$AF$11)))</f>
        <v>0</v>
      </c>
      <c r="N22" s="348">
        <f t="shared" ref="N22:N28" ca="1" si="11">O22-M22</f>
        <v>0</v>
      </c>
      <c r="O22" s="127">
        <f ca="1">IF($A22="S",VTOTALBM,IF($A22=0,0,ROUND(SomaAgrupBM,15-13*ORÇAMENTO!$AF$11)))</f>
        <v>0</v>
      </c>
      <c r="Q22" s="349"/>
      <c r="R22" s="350"/>
      <c r="T22" s="119" t="str">
        <f t="shared" ref="T22:T28" ca="1" si="12">IF($W22&gt;0,$D22,"")</f>
        <v/>
      </c>
      <c r="U22" s="170" t="str">
        <f t="shared" ref="U22:U28" ca="1" si="13">IF($W22&gt;0,$E22,"")</f>
        <v/>
      </c>
      <c r="V22" s="171" t="str">
        <f ca="1">IF(AND($W22&gt;0,RegimeExecucao="Unitário"),$F22,"")</f>
        <v/>
      </c>
      <c r="W22" s="486">
        <f ca="1">IF($Y22&gt;0,CHOOSE(MATCH(RegimeExecucao,{"Unitário","Global"},0),IF($A22="S",$Y22/$X22,""),($Y22/$X22)*100),0)</f>
        <v>0</v>
      </c>
      <c r="X22" s="351" t="str">
        <f ca="1">IF($Y22&gt;0,CHOOSE(MATCH(RegimeExecucao,{"Unitário","Global"},0),IF($A22="S",ROUND($H22,ORÇAMENTO!$AF$10),""),ROUND($I22,ORÇAMENTO!$AF$11)),"")</f>
        <v/>
      </c>
      <c r="Y22" s="351">
        <f t="shared" ref="Y22:Y28" ca="1" si="14">AO22-O22</f>
        <v>0</v>
      </c>
      <c r="Z22" s="507"/>
      <c r="AB22" s="349"/>
      <c r="AC22" s="469"/>
      <c r="AD22" s="469"/>
      <c r="AE22" s="469"/>
      <c r="AF22" s="469"/>
      <c r="AG22" s="469"/>
      <c r="AH22" s="469"/>
      <c r="AI22" s="469"/>
      <c r="AJ22" s="469"/>
      <c r="AK22" s="469"/>
      <c r="AL22" s="469"/>
      <c r="AM22" s="350"/>
      <c r="AO22">
        <f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6" t="str">
        <f t="shared" ca="1" si="8"/>
        <v>F</v>
      </c>
      <c r="D23" s="119" t="str">
        <f ca="1">ORÇAMENTO!O23</f>
        <v>1.3.1.0.1.</v>
      </c>
      <c r="E23" s="170" t="str">
        <f t="shared" ca="1" si="9"/>
        <v>CORTE RASO E RECORTE DE ÁRVORE COM DIÂMETRO DE TRONCO MAIOR OU IGUAL A 0,40 M E MENOR QUE 0,60 M. AF_03/2024</v>
      </c>
      <c r="F23" s="171" t="str">
        <f ca="1">IF(RegimeExecucao="Global","",ORÇAMENTO.Unidade)</f>
        <v>UN</v>
      </c>
      <c r="G23" s="124">
        <f ca="1">IF(RegimeExecucao="Global","",ORÇAMENTO!T23)</f>
        <v>4</v>
      </c>
      <c r="H23" s="124">
        <f ca="1">IF(RegimeExecucao="Global","",ORÇAMENTO!W23)</f>
        <v>206.4</v>
      </c>
      <c r="I23" s="127">
        <f ca="1">ORÇAMENTO!X23</f>
        <v>825.6</v>
      </c>
      <c r="J23" s="345">
        <f ca="1">IF($A23="S",IF(CAIXA.Modo,BM.AFAnterior,BM.MEDAnterior),IF(AND(RegimeExecucao="Global",$I23&gt;0,COUNTIF($AB$13:$AM$13,BM.medicao-1)&gt;0),M23/$I23*100,0))</f>
        <v>0</v>
      </c>
      <c r="K23" s="124">
        <f t="shared" ca="1" si="10"/>
        <v>0</v>
      </c>
      <c r="L23" s="346">
        <f ca="1">IF($A23="S",IF(CAIXA.Modo,BM.AFAcumulado,BM.MEDAcumulado),IF(AND(RegimeExecucao="Global",$I23&gt;0,COUNTIF($AB$13:$AM$13,BM.medicao)&gt;0),O23/$I23*100,0))</f>
        <v>0</v>
      </c>
      <c r="M23" s="347">
        <f ca="1">IF($A23="S",VTOTALBM,IF($A23=0,0,ROUND(SomaAgrupBM,15-13*ORÇAMENTO!$AF$11)))</f>
        <v>0</v>
      </c>
      <c r="N23" s="348">
        <f t="shared" ca="1" si="11"/>
        <v>0</v>
      </c>
      <c r="O23" s="127">
        <f ca="1">IF($A23="S",VTOTALBM,IF($A23=0,0,ROUND(SomaAgrupBM,15-13*ORÇAMENTO!$AF$11)))</f>
        <v>0</v>
      </c>
      <c r="Q23" s="349"/>
      <c r="R23" s="350"/>
      <c r="T23" s="119" t="str">
        <f t="shared" ca="1" si="12"/>
        <v/>
      </c>
      <c r="U23" s="170" t="str">
        <f t="shared" ca="1" si="13"/>
        <v/>
      </c>
      <c r="V23" s="171" t="str">
        <f ca="1">IF(AND($W23&gt;0,RegimeExecucao="Unitário"),$F23,"")</f>
        <v/>
      </c>
      <c r="W23" s="486">
        <f ca="1">IF($Y23&gt;0,CHOOSE(MATCH(RegimeExecucao,{"Unitário","Global"},0),IF($A23="S",$Y23/$X23,""),($Y23/$X23)*100),0)</f>
        <v>0</v>
      </c>
      <c r="X23" s="351" t="str">
        <f ca="1">IF($Y23&gt;0,CHOOSE(MATCH(RegimeExecucao,{"Unitário","Global"},0),IF($A23="S",ROUND($H23,ORÇAMENTO!$AF$10),""),ROUND($I23,ORÇAMENTO!$AF$11)),"")</f>
        <v/>
      </c>
      <c r="Y23" s="351">
        <f t="shared" ca="1" si="14"/>
        <v>0</v>
      </c>
      <c r="Z23" s="507"/>
      <c r="AB23" s="349"/>
      <c r="AC23" s="469"/>
      <c r="AD23" s="469"/>
      <c r="AE23" s="469"/>
      <c r="AF23" s="469"/>
      <c r="AG23" s="469"/>
      <c r="AH23" s="469"/>
      <c r="AI23" s="469"/>
      <c r="AJ23" s="469"/>
      <c r="AK23" s="469"/>
      <c r="AL23" s="469"/>
      <c r="AM23" s="350"/>
      <c r="AO23">
        <f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6" t="str">
        <f ca="1">IF(OR($I24&gt;0,$A24=1,$A24=2,$A24=3,$A24=4),"F","")</f>
        <v>F</v>
      </c>
      <c r="D24" s="119" t="str">
        <f ca="1">ORÇAMENTO!O24</f>
        <v>1.3.1.0.2.</v>
      </c>
      <c r="E24" s="170" t="str">
        <f ca="1">ORÇAMENTO.Descricao</f>
        <v>REMOÇÃO DE RAÍZES REMANESCENTES DE TRONCO DE ÁRVORE COM DIÂMETRO MAIOR OU IGUAL A 0,40 M E MENOR QUE 0,60 M. AF_03/2024</v>
      </c>
      <c r="F24" s="171" t="str">
        <f ca="1">IF(RegimeExecucao="Global","",ORÇAMENTO.Unidade)</f>
        <v>UN</v>
      </c>
      <c r="G24" s="124">
        <f ca="1">IF(RegimeExecucao="Global","",ORÇAMENTO!T24)</f>
        <v>4</v>
      </c>
      <c r="H24" s="124">
        <f ca="1">IF(RegimeExecucao="Global","",ORÇAMENTO!W24)</f>
        <v>297.82</v>
      </c>
      <c r="I24" s="127">
        <f ca="1">ORÇAMENTO!X24</f>
        <v>1191.28</v>
      </c>
      <c r="J24" s="345">
        <f ca="1">IF($A24="S",IF(CAIXA.Modo,BM.AFAnterior,BM.MEDAnterior),IF(AND(RegimeExecucao="Global",$I24&gt;0,COUNTIF($AB$13:$AM$13,BM.medicao-1)&gt;0),M24/$I24*100,0))</f>
        <v>0</v>
      </c>
      <c r="K24" s="124">
        <f ca="1">L24-J24</f>
        <v>0</v>
      </c>
      <c r="L24" s="346">
        <f ca="1">IF($A24="S",IF(CAIXA.Modo,BM.AFAcumulado,BM.MEDAcumulado),IF(AND(RegimeExecucao="Global",$I24&gt;0,COUNTIF($AB$13:$AM$13,BM.medicao)&gt;0),O24/$I24*100,0))</f>
        <v>0</v>
      </c>
      <c r="M24" s="347">
        <f ca="1">IF($A24="S",VTOTALBM,IF($A24=0,0,ROUND(SomaAgrupBM,15-13*ORÇAMENTO!$AF$11)))</f>
        <v>0</v>
      </c>
      <c r="N24" s="348">
        <f ca="1">O24-M24</f>
        <v>0</v>
      </c>
      <c r="O24" s="127">
        <f ca="1">IF($A24="S",VTOTALBM,IF($A24=0,0,ROUND(SomaAgrupBM,15-13*ORÇAMENTO!$AF$11)))</f>
        <v>0</v>
      </c>
      <c r="Q24" s="349"/>
      <c r="R24" s="350"/>
      <c r="T24" s="119" t="str">
        <f ca="1">IF($W24&gt;0,$D24,"")</f>
        <v/>
      </c>
      <c r="U24" s="170" t="str">
        <f ca="1">IF($W24&gt;0,$E24,"")</f>
        <v/>
      </c>
      <c r="V24" s="171" t="str">
        <f ca="1">IF(AND($W24&gt;0,RegimeExecucao="Unitário"),$F24,"")</f>
        <v/>
      </c>
      <c r="W24" s="486">
        <f ca="1">IF($Y24&gt;0,CHOOSE(MATCH(RegimeExecucao,{"Unitário","Global"},0),IF($A24="S",$Y24/$X24,""),($Y24/$X24)*100),0)</f>
        <v>0</v>
      </c>
      <c r="X24" s="351" t="str">
        <f ca="1">IF($Y24&gt;0,CHOOSE(MATCH(RegimeExecucao,{"Unitário","Global"},0),IF($A24="S",ROUND($H24,ORÇAMENTO!$AF$10),""),ROUND($I24,ORÇAMENTO!$AF$11)),"")</f>
        <v/>
      </c>
      <c r="Y24" s="351">
        <f ca="1">AO24-O24</f>
        <v>0</v>
      </c>
      <c r="Z24" s="507"/>
      <c r="AB24" s="349"/>
      <c r="AC24" s="469"/>
      <c r="AD24" s="469"/>
      <c r="AE24" s="469"/>
      <c r="AF24" s="469"/>
      <c r="AG24" s="469"/>
      <c r="AH24" s="469"/>
      <c r="AI24" s="469"/>
      <c r="AJ24" s="469"/>
      <c r="AK24" s="469"/>
      <c r="AL24" s="469"/>
      <c r="AM24" s="350"/>
      <c r="AO24">
        <f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3</v>
      </c>
      <c r="B25">
        <f ca="1">ORÇAMENTO!D25</f>
        <v>4</v>
      </c>
      <c r="C25" s="116" t="str">
        <f t="shared" ca="1" si="8"/>
        <v>F</v>
      </c>
      <c r="D25" s="119" t="str">
        <f ca="1">ORÇAMENTO!O25</f>
        <v>1.3.2.</v>
      </c>
      <c r="E25" s="170" t="str">
        <f t="shared" si="9"/>
        <v>CALÇADAS E CANTEIROS</v>
      </c>
      <c r="F25" s="171" t="str">
        <f ca="1">IF(RegimeExecucao="Global","",ORÇAMENTO.Unidade)</f>
        <v>-</v>
      </c>
      <c r="G25" s="124">
        <f ca="1">IF(RegimeExecucao="Global","",ORÇAMENTO!T25)</f>
        <v>0</v>
      </c>
      <c r="H25" s="124">
        <f ca="1">IF(RegimeExecucao="Global","",ORÇAMENTO!W25)</f>
        <v>0</v>
      </c>
      <c r="I25" s="127">
        <f ca="1">ORÇAMENTO!X25</f>
        <v>2385.81</v>
      </c>
      <c r="J25" s="345">
        <f ca="1">IF($A25="S",IF(CAIXA.Modo,BM.AFAnterior,BM.MEDAnterior),IF(AND(RegimeExecucao="Global",$I25&gt;0,COUNTIF($AB$13:$AM$13,BM.medicao-1)&gt;0),M25/$I25*100,0))</f>
        <v>0</v>
      </c>
      <c r="K25" s="124">
        <f t="shared" ca="1" si="10"/>
        <v>0</v>
      </c>
      <c r="L25" s="346">
        <f ca="1">IF($A25="S",IF(CAIXA.Modo,BM.AFAcumulado,BM.MEDAcumulado),IF(AND(RegimeExecucao="Global",$I25&gt;0,COUNTIF($AB$13:$AM$13,BM.medicao)&gt;0),O25/$I25*100,0))</f>
        <v>0</v>
      </c>
      <c r="M25" s="347">
        <f ca="1">IF($A25="S",VTOTALBM,IF($A25=0,0,ROUND(SomaAgrupBM,15-13*ORÇAMENTO!$AF$11)))</f>
        <v>0</v>
      </c>
      <c r="N25" s="348">
        <f t="shared" ca="1" si="11"/>
        <v>0</v>
      </c>
      <c r="O25" s="127">
        <f ca="1">IF($A25="S",VTOTALBM,IF($A25=0,0,ROUND(SomaAgrupBM,15-13*ORÇAMENTO!$AF$11)))</f>
        <v>0</v>
      </c>
      <c r="Q25" s="349"/>
      <c r="R25" s="350"/>
      <c r="T25" s="119" t="str">
        <f t="shared" ca="1" si="12"/>
        <v/>
      </c>
      <c r="U25" s="170" t="str">
        <f t="shared" ca="1" si="13"/>
        <v/>
      </c>
      <c r="V25" s="171" t="str">
        <f ca="1">IF(AND($W25&gt;0,RegimeExecucao="Unitário"),$F25,"")</f>
        <v/>
      </c>
      <c r="W25" s="486">
        <f ca="1">IF($Y25&gt;0,CHOOSE(MATCH(RegimeExecucao,{"Unitário","Global"},0),IF($A25="S",$Y25/$X25,""),($Y25/$X25)*100),0)</f>
        <v>0</v>
      </c>
      <c r="X25" s="351" t="str">
        <f ca="1">IF($Y25&gt;0,CHOOSE(MATCH(RegimeExecucao,{"Unitário","Global"},0),IF($A25="S",ROUND($H25,ORÇAMENTO!$AF$10),""),ROUND($I25,ORÇAMENTO!$AF$11)),"")</f>
        <v/>
      </c>
      <c r="Y25" s="351">
        <f t="shared" ca="1" si="14"/>
        <v>0</v>
      </c>
      <c r="Z25" s="507"/>
      <c r="AB25" s="349"/>
      <c r="AC25" s="469"/>
      <c r="AD25" s="469"/>
      <c r="AE25" s="469"/>
      <c r="AF25" s="469"/>
      <c r="AG25" s="469"/>
      <c r="AH25" s="469"/>
      <c r="AI25" s="469"/>
      <c r="AJ25" s="469"/>
      <c r="AK25" s="469"/>
      <c r="AL25" s="469"/>
      <c r="AM25" s="350"/>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6" t="str">
        <f t="shared" ca="1" si="8"/>
        <v>F</v>
      </c>
      <c r="D26" s="119" t="str">
        <f ca="1">ORÇAMENTO!O26</f>
        <v>1.3.2.0.1.</v>
      </c>
      <c r="E26" s="170" t="str">
        <f t="shared" ca="1" si="9"/>
        <v>DEMOLIÇÃO DE GUIAS, SARJETAS OU SARJETÕES, DE FORMA MECANIZADA, SEM REAPROVEITAMENTO. AF_09/2023</v>
      </c>
      <c r="F26" s="171" t="str">
        <f ca="1">IF(RegimeExecucao="Global","",ORÇAMENTO.Unidade)</f>
        <v>M</v>
      </c>
      <c r="G26" s="124">
        <f ca="1">IF(RegimeExecucao="Global","",ORÇAMENTO!T26)</f>
        <v>31.88</v>
      </c>
      <c r="H26" s="124">
        <f ca="1">IF(RegimeExecucao="Global","",ORÇAMENTO!W26)</f>
        <v>20.170000000000002</v>
      </c>
      <c r="I26" s="127">
        <f ca="1">ORÇAMENTO!X26</f>
        <v>643.02</v>
      </c>
      <c r="J26" s="345">
        <f ca="1">IF($A26="S",IF(CAIXA.Modo,BM.AFAnterior,BM.MEDAnterior),IF(AND(RegimeExecucao="Global",$I26&gt;0,COUNTIF($AB$13:$AM$13,BM.medicao-1)&gt;0),M26/$I26*100,0))</f>
        <v>0</v>
      </c>
      <c r="K26" s="124">
        <f t="shared" ca="1" si="10"/>
        <v>0</v>
      </c>
      <c r="L26" s="346">
        <f ca="1">IF($A26="S",IF(CAIXA.Modo,BM.AFAcumulado,BM.MEDAcumulado),IF(AND(RegimeExecucao="Global",$I26&gt;0,COUNTIF($AB$13:$AM$13,BM.medicao)&gt;0),O26/$I26*100,0))</f>
        <v>0</v>
      </c>
      <c r="M26" s="347">
        <f ca="1">IF($A26="S",VTOTALBM,IF($A26=0,0,ROUND(SomaAgrupBM,15-13*ORÇAMENTO!$AF$11)))</f>
        <v>0</v>
      </c>
      <c r="N26" s="348">
        <f t="shared" ca="1" si="11"/>
        <v>0</v>
      </c>
      <c r="O26" s="127">
        <f ca="1">IF($A26="S",VTOTALBM,IF($A26=0,0,ROUND(SomaAgrupBM,15-13*ORÇAMENTO!$AF$11)))</f>
        <v>0</v>
      </c>
      <c r="Q26" s="349"/>
      <c r="R26" s="350"/>
      <c r="T26" s="119" t="str">
        <f t="shared" ca="1" si="12"/>
        <v/>
      </c>
      <c r="U26" s="170" t="str">
        <f t="shared" ca="1" si="13"/>
        <v/>
      </c>
      <c r="V26" s="171" t="str">
        <f ca="1">IF(AND($W26&gt;0,RegimeExecucao="Unitário"),$F26,"")</f>
        <v/>
      </c>
      <c r="W26" s="486">
        <f ca="1">IF($Y26&gt;0,CHOOSE(MATCH(RegimeExecucao,{"Unitário","Global"},0),IF($A26="S",$Y26/$X26,""),($Y26/$X26)*100),0)</f>
        <v>0</v>
      </c>
      <c r="X26" s="351" t="str">
        <f ca="1">IF($Y26&gt;0,CHOOSE(MATCH(RegimeExecucao,{"Unitário","Global"},0),IF($A26="S",ROUND($H26,ORÇAMENTO!$AF$10),""),ROUND($I26,ORÇAMENTO!$AF$11)),"")</f>
        <v/>
      </c>
      <c r="Y26" s="351">
        <f t="shared" ca="1" si="14"/>
        <v>0</v>
      </c>
      <c r="Z26" s="507"/>
      <c r="AB26" s="349"/>
      <c r="AC26" s="469"/>
      <c r="AD26" s="469"/>
      <c r="AE26" s="469"/>
      <c r="AF26" s="469"/>
      <c r="AG26" s="469"/>
      <c r="AH26" s="469"/>
      <c r="AI26" s="469"/>
      <c r="AJ26" s="469"/>
      <c r="AK26" s="469"/>
      <c r="AL26" s="469"/>
      <c r="AM26" s="350"/>
      <c r="AO26">
        <f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6" t="str">
        <f t="shared" ca="1" si="8"/>
        <v>F</v>
      </c>
      <c r="D27" s="119" t="str">
        <f ca="1">ORÇAMENTO!O27</f>
        <v>1.3.2.0.2.</v>
      </c>
      <c r="E27" s="170" t="str">
        <f t="shared" ca="1" si="9"/>
        <v>DEMOLIÇÃO DE PISO DE CONCRETO SIMPLES, DE FORMA MECANIZADA COM MARTELETE, SEM REAPROVEITAMENTO. AF_09/2023</v>
      </c>
      <c r="F27" s="171" t="str">
        <f ca="1">IF(RegimeExecucao="Global","",ORÇAMENTO.Unidade)</f>
        <v>M3</v>
      </c>
      <c r="G27" s="124">
        <f ca="1">IF(RegimeExecucao="Global","",ORÇAMENTO!T27)</f>
        <v>4.78</v>
      </c>
      <c r="H27" s="124">
        <f ca="1">IF(RegimeExecucao="Global","",ORÇAMENTO!W27)</f>
        <v>151.63999999999999</v>
      </c>
      <c r="I27" s="127">
        <f ca="1">ORÇAMENTO!X27</f>
        <v>724.84</v>
      </c>
      <c r="J27" s="345">
        <f ca="1">IF($A27="S",IF(CAIXA.Modo,BM.AFAnterior,BM.MEDAnterior),IF(AND(RegimeExecucao="Global",$I27&gt;0,COUNTIF($AB$13:$AM$13,BM.medicao-1)&gt;0),M27/$I27*100,0))</f>
        <v>0</v>
      </c>
      <c r="K27" s="124">
        <f t="shared" ca="1" si="10"/>
        <v>0</v>
      </c>
      <c r="L27" s="346">
        <f ca="1">IF($A27="S",IF(CAIXA.Modo,BM.AFAcumulado,BM.MEDAcumulado),IF(AND(RegimeExecucao="Global",$I27&gt;0,COUNTIF($AB$13:$AM$13,BM.medicao)&gt;0),O27/$I27*100,0))</f>
        <v>0</v>
      </c>
      <c r="M27" s="347">
        <f ca="1">IF($A27="S",VTOTALBM,IF($A27=0,0,ROUND(SomaAgrupBM,15-13*ORÇAMENTO!$AF$11)))</f>
        <v>0</v>
      </c>
      <c r="N27" s="348">
        <f t="shared" ca="1" si="11"/>
        <v>0</v>
      </c>
      <c r="O27" s="127">
        <f ca="1">IF($A27="S",VTOTALBM,IF($A27=0,0,ROUND(SomaAgrupBM,15-13*ORÇAMENTO!$AF$11)))</f>
        <v>0</v>
      </c>
      <c r="Q27" s="349"/>
      <c r="R27" s="350"/>
      <c r="T27" s="119" t="str">
        <f t="shared" ca="1" si="12"/>
        <v/>
      </c>
      <c r="U27" s="170" t="str">
        <f t="shared" ca="1" si="13"/>
        <v/>
      </c>
      <c r="V27" s="171" t="str">
        <f ca="1">IF(AND($W27&gt;0,RegimeExecucao="Unitário"),$F27,"")</f>
        <v/>
      </c>
      <c r="W27" s="486">
        <f ca="1">IF($Y27&gt;0,CHOOSE(MATCH(RegimeExecucao,{"Unitário","Global"},0),IF($A27="S",$Y27/$X27,""),($Y27/$X27)*100),0)</f>
        <v>0</v>
      </c>
      <c r="X27" s="351" t="str">
        <f ca="1">IF($Y27&gt;0,CHOOSE(MATCH(RegimeExecucao,{"Unitário","Global"},0),IF($A27="S",ROUND($H27,ORÇAMENTO!$AF$10),""),ROUND($I27,ORÇAMENTO!$AF$11)),"")</f>
        <v/>
      </c>
      <c r="Y27" s="351">
        <f t="shared" ca="1" si="14"/>
        <v>0</v>
      </c>
      <c r="Z27" s="507"/>
      <c r="AB27" s="349"/>
      <c r="AC27" s="469"/>
      <c r="AD27" s="469"/>
      <c r="AE27" s="469"/>
      <c r="AF27" s="469"/>
      <c r="AG27" s="469"/>
      <c r="AH27" s="469"/>
      <c r="AI27" s="469"/>
      <c r="AJ27" s="469"/>
      <c r="AK27" s="469"/>
      <c r="AL27" s="469"/>
      <c r="AM27" s="350"/>
      <c r="AO27">
        <f ca="1">IF($A27="S",IF(BM!$I27=0,0,CHOOSE(MATCH(RegimeExecucao,{"Global","Unitário"},0),ROUND(ROUND(BM.MEDAcumulado,15-13*BM!$A$9)/100*BM!$I27,15-13*ORÇAMENTO!$AF$11),ROUND(ROUND(BM.MEDAcumulado,15-13*BM!$A$9)*ROUND(BM!$H27,15-13*ORÇAMENTO!$AF$10),15-13*ORÇAMENTO!$AF$11))),IF($A27=0,0,ROUND(SomaAgrupBM,15-13*ORÇAMENTO!$AF$11)))</f>
        <v>0</v>
      </c>
    </row>
    <row r="28" spans="1:41" ht="51" x14ac:dyDescent="0.2">
      <c r="A28" t="str">
        <f ca="1">ORÇAMENTO!C28</f>
        <v>S</v>
      </c>
      <c r="B28">
        <f ca="1">ORÇAMENTO!D28</f>
        <v>0</v>
      </c>
      <c r="C28" s="116" t="str">
        <f t="shared" ca="1" si="8"/>
        <v>F</v>
      </c>
      <c r="D28" s="119" t="str">
        <f ca="1">ORÇAMENTO!O28</f>
        <v>1.3.2.0.3.</v>
      </c>
      <c r="E28" s="170" t="str">
        <f t="shared" ca="1" si="9"/>
        <v>REMOÇÃO DE ENTULHO CLASSE A (ALVENARIA, CONCRETO, ARGAMASSAS E CERÂMICOS) POR DUTO DE ENTULHO E ACONDICIONAMENTO FINAL EM CAÇAMBA ESTACIONÁRIA. EXCLUSO FRETE. AF_09/2025</v>
      </c>
      <c r="F28" s="171" t="str">
        <f ca="1">IF(RegimeExecucao="Global","",ORÇAMENTO.Unidade)</f>
        <v>M3</v>
      </c>
      <c r="G28" s="124">
        <f ca="1">IF(RegimeExecucao="Global","",ORÇAMENTO!T28)</f>
        <v>9.56</v>
      </c>
      <c r="H28" s="124">
        <f ca="1">IF(RegimeExecucao="Global","",ORÇAMENTO!W28)</f>
        <v>106.48</v>
      </c>
      <c r="I28" s="127">
        <f ca="1">ORÇAMENTO!X28</f>
        <v>1017.95</v>
      </c>
      <c r="J28" s="345">
        <f ca="1">IF($A28="S",IF(CAIXA.Modo,BM.AFAnterior,BM.MEDAnterior),IF(AND(RegimeExecucao="Global",$I28&gt;0,COUNTIF($AB$13:$AM$13,BM.medicao-1)&gt;0),M28/$I28*100,0))</f>
        <v>0</v>
      </c>
      <c r="K28" s="124">
        <f t="shared" ca="1" si="10"/>
        <v>0</v>
      </c>
      <c r="L28" s="346">
        <f ca="1">IF($A28="S",IF(CAIXA.Modo,BM.AFAcumulado,BM.MEDAcumulado),IF(AND(RegimeExecucao="Global",$I28&gt;0,COUNTIF($AB$13:$AM$13,BM.medicao)&gt;0),O28/$I28*100,0))</f>
        <v>0</v>
      </c>
      <c r="M28" s="347">
        <f ca="1">IF($A28="S",VTOTALBM,IF($A28=0,0,ROUND(SomaAgrupBM,15-13*ORÇAMENTO!$AF$11)))</f>
        <v>0</v>
      </c>
      <c r="N28" s="348">
        <f t="shared" ca="1" si="11"/>
        <v>0</v>
      </c>
      <c r="O28" s="127">
        <f ca="1">IF($A28="S",VTOTALBM,IF($A28=0,0,ROUND(SomaAgrupBM,15-13*ORÇAMENTO!$AF$11)))</f>
        <v>0</v>
      </c>
      <c r="Q28" s="349"/>
      <c r="R28" s="350"/>
      <c r="T28" s="119" t="str">
        <f t="shared" ca="1" si="12"/>
        <v/>
      </c>
      <c r="U28" s="170" t="str">
        <f t="shared" ca="1" si="13"/>
        <v/>
      </c>
      <c r="V28" s="171" t="str">
        <f ca="1">IF(AND($W28&gt;0,RegimeExecucao="Unitário"),$F28,"")</f>
        <v/>
      </c>
      <c r="W28" s="486">
        <f ca="1">IF($Y28&gt;0,CHOOSE(MATCH(RegimeExecucao,{"Unitário","Global"},0),IF($A28="S",$Y28/$X28,""),($Y28/$X28)*100),0)</f>
        <v>0</v>
      </c>
      <c r="X28" s="351" t="str">
        <f ca="1">IF($Y28&gt;0,CHOOSE(MATCH(RegimeExecucao,{"Unitário","Global"},0),IF($A28="S",ROUND($H28,ORÇAMENTO!$AF$10),""),ROUND($I28,ORÇAMENTO!$AF$11)),"")</f>
        <v/>
      </c>
      <c r="Y28" s="351">
        <f t="shared" ca="1" si="14"/>
        <v>0</v>
      </c>
      <c r="Z28" s="507"/>
      <c r="AB28" s="349"/>
      <c r="AC28" s="469"/>
      <c r="AD28" s="469"/>
      <c r="AE28" s="469"/>
      <c r="AF28" s="469"/>
      <c r="AG28" s="469"/>
      <c r="AH28" s="469"/>
      <c r="AI28" s="469"/>
      <c r="AJ28" s="469"/>
      <c r="AK28" s="469"/>
      <c r="AL28" s="469"/>
      <c r="AM28" s="350"/>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5</v>
      </c>
      <c r="C29" s="116" t="str">
        <f t="shared" ref="C29" ca="1" si="15">IF(OR($I29&gt;0,$A29=1,$A29=2,$A29=3,$A29=4),"F","")</f>
        <v>F</v>
      </c>
      <c r="D29" s="119" t="str">
        <f ca="1">ORÇAMENTO!O29</f>
        <v>1.4.</v>
      </c>
      <c r="E29" s="170" t="str">
        <f t="shared" ref="E29" si="16">ORÇAMENTO.Descricao</f>
        <v>PAVIMENTAÇÃO</v>
      </c>
      <c r="F29" s="171" t="str">
        <f ca="1">IF(RegimeExecucao="Global","",ORÇAMENTO.Unidade)</f>
        <v>-</v>
      </c>
      <c r="G29" s="124">
        <f ca="1">IF(RegimeExecucao="Global","",ORÇAMENTO!T29)</f>
        <v>0</v>
      </c>
      <c r="H29" s="124">
        <f ca="1">IF(RegimeExecucao="Global","",ORÇAMENTO!W29)</f>
        <v>0</v>
      </c>
      <c r="I29" s="127">
        <f ca="1">ORÇAMENTO!X29</f>
        <v>68099.22</v>
      </c>
      <c r="J29" s="345">
        <f ca="1">IF($A29="S",IF(CAIXA.Modo,BM.AFAnterior,BM.MEDAnterior),IF(AND(RegimeExecucao="Global",$I29&gt;0,COUNTIF($AB$13:$AM$13,BM.medicao-1)&gt;0),M29/$I29*100,0))</f>
        <v>0</v>
      </c>
      <c r="K29" s="124">
        <f t="shared" ref="K29" ca="1" si="17">L29-J29</f>
        <v>0</v>
      </c>
      <c r="L29" s="346">
        <f ca="1">IF($A29="S",IF(CAIXA.Modo,BM.AFAcumulado,BM.MEDAcumulado),IF(AND(RegimeExecucao="Global",$I29&gt;0,COUNTIF($AB$13:$AM$13,BM.medicao)&gt;0),O29/$I29*100,0))</f>
        <v>0</v>
      </c>
      <c r="M29" s="347">
        <f ca="1">IF($A29="S",VTOTALBM,IF($A29=0,0,ROUND(SomaAgrupBM,15-13*ORÇAMENTO!$AF$11)))</f>
        <v>0</v>
      </c>
      <c r="N29" s="348">
        <f t="shared" ref="N29" ca="1" si="18">O29-M29</f>
        <v>0</v>
      </c>
      <c r="O29" s="127">
        <f ca="1">IF($A29="S",VTOTALBM,IF($A29=0,0,ROUND(SomaAgrupBM,15-13*ORÇAMENTO!$AF$11)))</f>
        <v>0</v>
      </c>
      <c r="Q29" s="349"/>
      <c r="R29" s="350"/>
      <c r="T29" s="119" t="str">
        <f t="shared" ref="T29" ca="1" si="19">IF($W29&gt;0,$D29,"")</f>
        <v/>
      </c>
      <c r="U29" s="170" t="str">
        <f t="shared" ref="U29" ca="1" si="20">IF($W29&gt;0,$E29,"")</f>
        <v/>
      </c>
      <c r="V29" s="171" t="str">
        <f ca="1">IF(AND($W29&gt;0,RegimeExecucao="Unitário"),$F29,"")</f>
        <v/>
      </c>
      <c r="W29" s="486">
        <f ca="1">IF($Y29&gt;0,CHOOSE(MATCH(RegimeExecucao,{"Unitário","Global"},0),IF($A29="S",$Y29/$X29,""),($Y29/$X29)*100),0)</f>
        <v>0</v>
      </c>
      <c r="X29" s="351" t="str">
        <f ca="1">IF($Y29&gt;0,CHOOSE(MATCH(RegimeExecucao,{"Unitário","Global"},0),IF($A29="S",ROUND($H29,ORÇAMENTO!$AF$10),""),ROUND($I29,ORÇAMENTO!$AF$11)),"")</f>
        <v/>
      </c>
      <c r="Y29" s="351">
        <f t="shared" ref="Y29" ca="1" si="21">AO29-O29</f>
        <v>0</v>
      </c>
      <c r="Z29" s="507"/>
      <c r="AB29" s="349"/>
      <c r="AC29" s="469"/>
      <c r="AD29" s="469"/>
      <c r="AE29" s="469"/>
      <c r="AF29" s="469"/>
      <c r="AG29" s="469"/>
      <c r="AH29" s="469"/>
      <c r="AI29" s="469"/>
      <c r="AJ29" s="469"/>
      <c r="AK29" s="469"/>
      <c r="AL29" s="469"/>
      <c r="AM29" s="350"/>
      <c r="AO29">
        <f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6" t="str">
        <f ca="1">IF(OR($I30&gt;0,$A30=1,$A30=2,$A30=3,$A30=4),"F","")</f>
        <v>F</v>
      </c>
      <c r="D30" s="119" t="str">
        <f ca="1">ORÇAMENTO!O30</f>
        <v>1.4.0.0.1.</v>
      </c>
      <c r="E30" s="170" t="str">
        <f ca="1">ORÇAMENTO.Descricao</f>
        <v>ASSENTAMENTO DE GUIA (MEIO-FIO) EM TRECHO RETO, CONFECCIONADA EM CONCRETO PRÉ-FABRICADO, DIMENSÕES 100X15X13X20 CM (COMPRIMENTO X BASE INFERIOR X BASE SUPERIOR X ALTURA). AF_01/2024</v>
      </c>
      <c r="F30" s="171" t="str">
        <f ca="1">IF(RegimeExecucao="Global","",ORÇAMENTO.Unidade)</f>
        <v>M</v>
      </c>
      <c r="G30" s="124">
        <f ca="1">IF(RegimeExecucao="Global","",ORÇAMENTO!T30)</f>
        <v>169.59</v>
      </c>
      <c r="H30" s="124">
        <f ca="1">IF(RegimeExecucao="Global","",ORÇAMENTO!W30)</f>
        <v>56.24</v>
      </c>
      <c r="I30" s="127">
        <f ca="1">ORÇAMENTO!X30</f>
        <v>9537.74</v>
      </c>
      <c r="J30" s="345">
        <f ca="1">IF($A30="S",IF(CAIXA.Modo,BM.AFAnterior,BM.MEDAnterior),IF(AND(RegimeExecucao="Global",$I30&gt;0,COUNTIF($AB$13:$AM$13,BM.medicao-1)&gt;0),M30/$I30*100,0))</f>
        <v>0</v>
      </c>
      <c r="K30" s="124">
        <f ca="1">L30-J30</f>
        <v>0</v>
      </c>
      <c r="L30" s="346">
        <f ca="1">IF($A30="S",IF(CAIXA.Modo,BM.AFAcumulado,BM.MEDAcumulado),IF(AND(RegimeExecucao="Global",$I30&gt;0,COUNTIF($AB$13:$AM$13,BM.medicao)&gt;0),O30/$I30*100,0))</f>
        <v>0</v>
      </c>
      <c r="M30" s="347">
        <f ca="1">IF($A30="S",VTOTALBM,IF($A30=0,0,ROUND(SomaAgrupBM,15-13*ORÇAMENTO!$AF$11)))</f>
        <v>0</v>
      </c>
      <c r="N30" s="348">
        <f ca="1">O30-M30</f>
        <v>0</v>
      </c>
      <c r="O30" s="127">
        <f ca="1">IF($A30="S",VTOTALBM,IF($A30=0,0,ROUND(SomaAgrupBM,15-13*ORÇAMENTO!$AF$11)))</f>
        <v>0</v>
      </c>
      <c r="Q30" s="349"/>
      <c r="R30" s="350"/>
      <c r="T30" s="119" t="str">
        <f ca="1">IF($W30&gt;0,$D30,"")</f>
        <v/>
      </c>
      <c r="U30" s="170" t="str">
        <f ca="1">IF($W30&gt;0,$E30,"")</f>
        <v/>
      </c>
      <c r="V30" s="171" t="str">
        <f ca="1">IF(AND($W30&gt;0,RegimeExecucao="Unitário"),$F30,"")</f>
        <v/>
      </c>
      <c r="W30" s="486">
        <f ca="1">IF($Y30&gt;0,CHOOSE(MATCH(RegimeExecucao,{"Unitário","Global"},0),IF($A30="S",$Y30/$X30,""),($Y30/$X30)*100),0)</f>
        <v>0</v>
      </c>
      <c r="X30" s="351" t="str">
        <f ca="1">IF($Y30&gt;0,CHOOSE(MATCH(RegimeExecucao,{"Unitário","Global"},0),IF($A30="S",ROUND($H30,ORÇAMENTO!$AF$10),""),ROUND($I30,ORÇAMENTO!$AF$11)),"")</f>
        <v/>
      </c>
      <c r="Y30" s="351">
        <f ca="1">AO30-O30</f>
        <v>0</v>
      </c>
      <c r="Z30" s="507"/>
      <c r="AB30" s="349"/>
      <c r="AC30" s="469"/>
      <c r="AD30" s="469"/>
      <c r="AE30" s="469"/>
      <c r="AF30" s="469"/>
      <c r="AG30" s="469"/>
      <c r="AH30" s="469"/>
      <c r="AI30" s="469"/>
      <c r="AJ30" s="469"/>
      <c r="AK30" s="469"/>
      <c r="AL30" s="469"/>
      <c r="AM30" s="350"/>
      <c r="AO30">
        <f ca="1">IF($A30="S",IF(BM!$I30=0,0,CHOOSE(MATCH(RegimeExecucao,{"Global","Unitário"},0),ROUND(ROUND(BM.MEDAcumulado,15-13*BM!$A$9)/100*BM!$I30,15-13*ORÇAMENTO!$AF$11),ROUND(ROUND(BM.MEDAcumulado,15-13*BM!$A$9)*ROUND(BM!$H30,15-13*ORÇAMENTO!$AF$10),15-13*ORÇAMENTO!$AF$11))),IF($A30=0,0,ROUND(SomaAgrupBM,15-13*ORÇAMENTO!$AF$11)))</f>
        <v>0</v>
      </c>
    </row>
    <row r="31" spans="1:41" ht="51" x14ac:dyDescent="0.2">
      <c r="A31" t="str">
        <f ca="1">ORÇAMENTO!C31</f>
        <v>S</v>
      </c>
      <c r="B31">
        <f ca="1">ORÇAMENTO!D31</f>
        <v>0</v>
      </c>
      <c r="C31" s="116" t="str">
        <f ca="1">IF(OR($I31&gt;0,$A31=1,$A31=2,$A31=3,$A31=4),"F","")</f>
        <v>F</v>
      </c>
      <c r="D31" s="119" t="str">
        <f ca="1">ORÇAMENTO!O31</f>
        <v>1.4.0.0.2.</v>
      </c>
      <c r="E31" s="170" t="str">
        <f ca="1">ORÇAMENTO.Descricao</f>
        <v>ASSENTAMENTO DE GUIA (MEIO-FIO) EM TRECHO CURVO, CONFECCIONADA EM CONCRETO PRÉ-FABRICADO, DIMENSÕES 100X15X13X20 CM (COMPRIMENTO X BASE INFERIOR X BASE SUPERIOR X ALTURA). AF_01/2024</v>
      </c>
      <c r="F31" s="171" t="str">
        <f ca="1">IF(RegimeExecucao="Global","",ORÇAMENTO.Unidade)</f>
        <v>M</v>
      </c>
      <c r="G31" s="124">
        <f ca="1">IF(RegimeExecucao="Global","",ORÇAMENTO!T31)</f>
        <v>7.85</v>
      </c>
      <c r="H31" s="124">
        <f ca="1">IF(RegimeExecucao="Global","",ORÇAMENTO!W31)</f>
        <v>60.37</v>
      </c>
      <c r="I31" s="127">
        <f ca="1">ORÇAMENTO!X31</f>
        <v>473.9</v>
      </c>
      <c r="J31" s="345">
        <f ca="1">IF($A31="S",IF(CAIXA.Modo,BM.AFAnterior,BM.MEDAnterior),IF(AND(RegimeExecucao="Global",$I31&gt;0,COUNTIF($AB$13:$AM$13,BM.medicao-1)&gt;0),M31/$I31*100,0))</f>
        <v>0</v>
      </c>
      <c r="K31" s="124">
        <f ca="1">L31-J31</f>
        <v>0</v>
      </c>
      <c r="L31" s="346">
        <f ca="1">IF($A31="S",IF(CAIXA.Modo,BM.AFAcumulado,BM.MEDAcumulado),IF(AND(RegimeExecucao="Global",$I31&gt;0,COUNTIF($AB$13:$AM$13,BM.medicao)&gt;0),O31/$I31*100,0))</f>
        <v>0</v>
      </c>
      <c r="M31" s="347">
        <f ca="1">IF($A31="S",VTOTALBM,IF($A31=0,0,ROUND(SomaAgrupBM,15-13*ORÇAMENTO!$AF$11)))</f>
        <v>0</v>
      </c>
      <c r="N31" s="348">
        <f ca="1">O31-M31</f>
        <v>0</v>
      </c>
      <c r="O31" s="127">
        <f ca="1">IF($A31="S",VTOTALBM,IF($A31=0,0,ROUND(SomaAgrupBM,15-13*ORÇAMENTO!$AF$11)))</f>
        <v>0</v>
      </c>
      <c r="Q31" s="349"/>
      <c r="R31" s="350"/>
      <c r="T31" s="119" t="str">
        <f ca="1">IF($W31&gt;0,$D31,"")</f>
        <v/>
      </c>
      <c r="U31" s="170" t="str">
        <f ca="1">IF($W31&gt;0,$E31,"")</f>
        <v/>
      </c>
      <c r="V31" s="171" t="str">
        <f ca="1">IF(AND($W31&gt;0,RegimeExecucao="Unitário"),$F31,"")</f>
        <v/>
      </c>
      <c r="W31" s="486">
        <f ca="1">IF($Y31&gt;0,CHOOSE(MATCH(RegimeExecucao,{"Unitário","Global"},0),IF($A31="S",$Y31/$X31,""),($Y31/$X31)*100),0)</f>
        <v>0</v>
      </c>
      <c r="X31" s="351" t="str">
        <f ca="1">IF($Y31&gt;0,CHOOSE(MATCH(RegimeExecucao,{"Unitário","Global"},0),IF($A31="S",ROUND($H31,ORÇAMENTO!$AF$10),""),ROUND($I31,ORÇAMENTO!$AF$11)),"")</f>
        <v/>
      </c>
      <c r="Y31" s="351">
        <f ca="1">AO31-O31</f>
        <v>0</v>
      </c>
      <c r="Z31" s="507"/>
      <c r="AB31" s="349"/>
      <c r="AC31" s="469"/>
      <c r="AD31" s="469"/>
      <c r="AE31" s="469"/>
      <c r="AF31" s="469"/>
      <c r="AG31" s="469"/>
      <c r="AH31" s="469"/>
      <c r="AI31" s="469"/>
      <c r="AJ31" s="469"/>
      <c r="AK31" s="469"/>
      <c r="AL31" s="469"/>
      <c r="AM31" s="350"/>
      <c r="AO31">
        <f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6" t="str">
        <f t="shared" ref="C32:C33" ca="1" si="22">IF(OR($I32&gt;0,$A32=1,$A32=2,$A32=3,$A32=4),"F","")</f>
        <v>F</v>
      </c>
      <c r="D32" s="119" t="str">
        <f ca="1">ORÇAMENTO!O32</f>
        <v>1.4.0.0.3.</v>
      </c>
      <c r="E32" s="170" t="str">
        <f ca="1">ORÇAMENTO.Descricao</f>
        <v>EXECUÇÃO DE PASSEIO (CALÇADA) OU PISO DE CONCRETO COM CONCRETO MOLDADO IN LOCO, USINADO, ACABAMENTO CONVENCIONAL, ESPESSURA 8 CM, ARMADO. AF_08/2022</v>
      </c>
      <c r="F32" s="171" t="str">
        <f ca="1">IF(RegimeExecucao="Global","",ORÇAMENTO.Unidade)</f>
        <v>M2</v>
      </c>
      <c r="G32" s="124">
        <f ca="1">IF(RegimeExecucao="Global","",ORÇAMENTO!T32)</f>
        <v>412.18</v>
      </c>
      <c r="H32" s="124">
        <f ca="1">IF(RegimeExecucao="Global","",ORÇAMENTO!W32)</f>
        <v>126.5</v>
      </c>
      <c r="I32" s="127">
        <f ca="1">ORÇAMENTO!X32</f>
        <v>52140.77</v>
      </c>
      <c r="J32" s="345">
        <f ca="1">IF($A32="S",IF(CAIXA.Modo,BM.AFAnterior,BM.MEDAnterior),IF(AND(RegimeExecucao="Global",$I32&gt;0,COUNTIF($AB$13:$AM$13,BM.medicao-1)&gt;0),M32/$I32*100,0))</f>
        <v>0</v>
      </c>
      <c r="K32" s="124">
        <f t="shared" ref="K32:K33" ca="1" si="23">L32-J32</f>
        <v>0</v>
      </c>
      <c r="L32" s="346">
        <f ca="1">IF($A32="S",IF(CAIXA.Modo,BM.AFAcumulado,BM.MEDAcumulado),IF(AND(RegimeExecucao="Global",$I32&gt;0,COUNTIF($AB$13:$AM$13,BM.medicao)&gt;0),O32/$I32*100,0))</f>
        <v>0</v>
      </c>
      <c r="M32" s="347">
        <f ca="1">IF($A32="S",VTOTALBM,IF($A32=0,0,ROUND(SomaAgrupBM,15-13*ORÇAMENTO!$AF$11)))</f>
        <v>0</v>
      </c>
      <c r="N32" s="348">
        <f t="shared" ref="N32:N33" ca="1" si="24">O32-M32</f>
        <v>0</v>
      </c>
      <c r="O32" s="127">
        <f ca="1">IF($A32="S",VTOTALBM,IF($A32=0,0,ROUND(SomaAgrupBM,15-13*ORÇAMENTO!$AF$11)))</f>
        <v>0</v>
      </c>
      <c r="Q32" s="349"/>
      <c r="R32" s="350"/>
      <c r="T32" s="119" t="str">
        <f t="shared" ref="T32:T33" ca="1" si="25">IF($W32&gt;0,$D32,"")</f>
        <v/>
      </c>
      <c r="U32" s="170" t="str">
        <f t="shared" ref="U32:U33" ca="1" si="26">IF($W32&gt;0,$E32,"")</f>
        <v/>
      </c>
      <c r="V32" s="171" t="str">
        <f ca="1">IF(AND($W32&gt;0,RegimeExecucao="Unitário"),$F32,"")</f>
        <v/>
      </c>
      <c r="W32" s="486">
        <f ca="1">IF($Y32&gt;0,CHOOSE(MATCH(RegimeExecucao,{"Unitário","Global"},0),IF($A32="S",$Y32/$X32,""),($Y32/$X32)*100),0)</f>
        <v>0</v>
      </c>
      <c r="X32" s="351" t="str">
        <f ca="1">IF($Y32&gt;0,CHOOSE(MATCH(RegimeExecucao,{"Unitário","Global"},0),IF($A32="S",ROUND($H32,ORÇAMENTO!$AF$10),""),ROUND($I32,ORÇAMENTO!$AF$11)),"")</f>
        <v/>
      </c>
      <c r="Y32" s="351">
        <f t="shared" ref="Y32:Y33" ca="1" si="27">AO32-O32</f>
        <v>0</v>
      </c>
      <c r="Z32" s="507"/>
      <c r="AB32" s="349"/>
      <c r="AC32" s="469"/>
      <c r="AD32" s="469"/>
      <c r="AE32" s="469"/>
      <c r="AF32" s="469"/>
      <c r="AG32" s="469"/>
      <c r="AH32" s="469"/>
      <c r="AI32" s="469"/>
      <c r="AJ32" s="469"/>
      <c r="AK32" s="469"/>
      <c r="AL32" s="469"/>
      <c r="AM32" s="350"/>
      <c r="AO32">
        <f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6" t="str">
        <f t="shared" ca="1" si="22"/>
        <v>F</v>
      </c>
      <c r="D33" s="119" t="str">
        <f ca="1">ORÇAMENTO!O33</f>
        <v>1.4.0.0.4.</v>
      </c>
      <c r="E33" s="170" t="str">
        <f ca="1">ORÇAMENTO.Descricao</f>
        <v>EXECUÇÃO DE PAVIMENTO EM PISO INTERTRAVADO, COM BLOCO RETANGULAR COR NATURAL DE 20 X 10 CM, ESPESSURA 8 CM. AF_10/2022</v>
      </c>
      <c r="F33" s="171" t="str">
        <f ca="1">IF(RegimeExecucao="Global","",ORÇAMENTO.Unidade)</f>
        <v>M2</v>
      </c>
      <c r="G33" s="124">
        <f ca="1">IF(RegimeExecucao="Global","",ORÇAMENTO!T33)</f>
        <v>56.94</v>
      </c>
      <c r="H33" s="124">
        <f ca="1">IF(RegimeExecucao="Global","",ORÇAMENTO!W33)</f>
        <v>104.44</v>
      </c>
      <c r="I33" s="127">
        <f ca="1">ORÇAMENTO!X33</f>
        <v>5946.81</v>
      </c>
      <c r="J33" s="345">
        <f ca="1">IF($A33="S",IF(CAIXA.Modo,BM.AFAnterior,BM.MEDAnterior),IF(AND(RegimeExecucao="Global",$I33&gt;0,COUNTIF($AB$13:$AM$13,BM.medicao-1)&gt;0),M33/$I33*100,0))</f>
        <v>0</v>
      </c>
      <c r="K33" s="124">
        <f t="shared" ca="1" si="23"/>
        <v>0</v>
      </c>
      <c r="L33" s="346">
        <f ca="1">IF($A33="S",IF(CAIXA.Modo,BM.AFAcumulado,BM.MEDAcumulado),IF(AND(RegimeExecucao="Global",$I33&gt;0,COUNTIF($AB$13:$AM$13,BM.medicao)&gt;0),O33/$I33*100,0))</f>
        <v>0</v>
      </c>
      <c r="M33" s="347">
        <f ca="1">IF($A33="S",VTOTALBM,IF($A33=0,0,ROUND(SomaAgrupBM,15-13*ORÇAMENTO!$AF$11)))</f>
        <v>0</v>
      </c>
      <c r="N33" s="348">
        <f t="shared" ca="1" si="24"/>
        <v>0</v>
      </c>
      <c r="O33" s="127">
        <f ca="1">IF($A33="S",VTOTALBM,IF($A33=0,0,ROUND(SomaAgrupBM,15-13*ORÇAMENTO!$AF$11)))</f>
        <v>0</v>
      </c>
      <c r="Q33" s="349"/>
      <c r="R33" s="350"/>
      <c r="T33" s="119" t="str">
        <f t="shared" ca="1" si="25"/>
        <v/>
      </c>
      <c r="U33" s="170" t="str">
        <f t="shared" ca="1" si="26"/>
        <v/>
      </c>
      <c r="V33" s="171" t="str">
        <f ca="1">IF(AND($W33&gt;0,RegimeExecucao="Unitário"),$F33,"")</f>
        <v/>
      </c>
      <c r="W33" s="486">
        <f ca="1">IF($Y33&gt;0,CHOOSE(MATCH(RegimeExecucao,{"Unitário","Global"},0),IF($A33="S",$Y33/$X33,""),($Y33/$X33)*100),0)</f>
        <v>0</v>
      </c>
      <c r="X33" s="351" t="str">
        <f ca="1">IF($Y33&gt;0,CHOOSE(MATCH(RegimeExecucao,{"Unitário","Global"},0),IF($A33="S",ROUND($H33,ORÇAMENTO!$AF$10),""),ROUND($I33,ORÇAMENTO!$AF$11)),"")</f>
        <v/>
      </c>
      <c r="Y33" s="351">
        <f t="shared" ca="1" si="27"/>
        <v>0</v>
      </c>
      <c r="Z33" s="507"/>
      <c r="AB33" s="349"/>
      <c r="AC33" s="469"/>
      <c r="AD33" s="469"/>
      <c r="AE33" s="469"/>
      <c r="AF33" s="469"/>
      <c r="AG33" s="469"/>
      <c r="AH33" s="469"/>
      <c r="AI33" s="469"/>
      <c r="AJ33" s="469"/>
      <c r="AK33" s="469"/>
      <c r="AL33" s="469"/>
      <c r="AM33" s="350"/>
      <c r="AO33">
        <f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f ca="1">ORÇAMENTO!C34</f>
        <v>2</v>
      </c>
      <c r="B34">
        <f ca="1">ORÇAMENTO!D34</f>
        <v>21</v>
      </c>
      <c r="C34" s="116" t="str">
        <f t="shared" ref="C34" ca="1" si="28">IF(OR($I34&gt;0,$A34=1,$A34=2,$A34=3,$A34=4),"F","")</f>
        <v>F</v>
      </c>
      <c r="D34" s="119" t="str">
        <f ca="1">ORÇAMENTO!O34</f>
        <v>1.5.</v>
      </c>
      <c r="E34" s="170" t="str">
        <f t="shared" ref="E34" si="29">ORÇAMENTO.Descricao</f>
        <v>ESTRUTURA E FUNDAÇÕES - PROJETO E ORÇAMENTO TERCERIZADO - AZEVEDO ENGENHARIA (AZ ENG)</v>
      </c>
      <c r="F34" s="171" t="str">
        <f ca="1">IF(RegimeExecucao="Global","",ORÇAMENTO.Unidade)</f>
        <v>-</v>
      </c>
      <c r="G34" s="124">
        <f ca="1">IF(RegimeExecucao="Global","",ORÇAMENTO!T34)</f>
        <v>0</v>
      </c>
      <c r="H34" s="124">
        <f ca="1">IF(RegimeExecucao="Global","",ORÇAMENTO!W34)</f>
        <v>0</v>
      </c>
      <c r="I34" s="127">
        <f ca="1">ORÇAMENTO!X34</f>
        <v>943277.74</v>
      </c>
      <c r="J34" s="345">
        <f ca="1">IF($A34="S",IF(CAIXA.Modo,BM.AFAnterior,BM.MEDAnterior),IF(AND(RegimeExecucao="Global",$I34&gt;0,COUNTIF($AB$13:$AM$13,BM.medicao-1)&gt;0),M34/$I34*100,0))</f>
        <v>0</v>
      </c>
      <c r="K34" s="124">
        <f t="shared" ref="K34" ca="1" si="30">L34-J34</f>
        <v>0</v>
      </c>
      <c r="L34" s="346">
        <f ca="1">IF($A34="S",IF(CAIXA.Modo,BM.AFAcumulado,BM.MEDAcumulado),IF(AND(RegimeExecucao="Global",$I34&gt;0,COUNTIF($AB$13:$AM$13,BM.medicao)&gt;0),O34/$I34*100,0))</f>
        <v>0</v>
      </c>
      <c r="M34" s="347">
        <f ca="1">IF($A34="S",VTOTALBM,IF($A34=0,0,ROUND(SomaAgrupBM,15-13*ORÇAMENTO!$AF$11)))</f>
        <v>0</v>
      </c>
      <c r="N34" s="348">
        <f t="shared" ref="N34" ca="1" si="31">O34-M34</f>
        <v>0</v>
      </c>
      <c r="O34" s="127">
        <f ca="1">IF($A34="S",VTOTALBM,IF($A34=0,0,ROUND(SomaAgrupBM,15-13*ORÇAMENTO!$AF$11)))</f>
        <v>0</v>
      </c>
      <c r="Q34" s="349"/>
      <c r="R34" s="350"/>
      <c r="T34" s="119" t="str">
        <f t="shared" ref="T34" ca="1" si="32">IF($W34&gt;0,$D34,"")</f>
        <v/>
      </c>
      <c r="U34" s="170" t="str">
        <f t="shared" ref="U34" ca="1" si="33">IF($W34&gt;0,$E34,"")</f>
        <v/>
      </c>
      <c r="V34" s="171" t="str">
        <f ca="1">IF(AND($W34&gt;0,RegimeExecucao="Unitário"),$F34,"")</f>
        <v/>
      </c>
      <c r="W34" s="486">
        <f ca="1">IF($Y34&gt;0,CHOOSE(MATCH(RegimeExecucao,{"Unitário","Global"},0),IF($A34="S",$Y34/$X34,""),($Y34/$X34)*100),0)</f>
        <v>0</v>
      </c>
      <c r="X34" s="351" t="str">
        <f ca="1">IF($Y34&gt;0,CHOOSE(MATCH(RegimeExecucao,{"Unitário","Global"},0),IF($A34="S",ROUND($H34,ORÇAMENTO!$AF$10),""),ROUND($I34,ORÇAMENTO!$AF$11)),"")</f>
        <v/>
      </c>
      <c r="Y34" s="351">
        <f t="shared" ref="Y34" ca="1" si="34">AO34-O34</f>
        <v>0</v>
      </c>
      <c r="Z34" s="507"/>
      <c r="AB34" s="349"/>
      <c r="AC34" s="469"/>
      <c r="AD34" s="469"/>
      <c r="AE34" s="469"/>
      <c r="AF34" s="469"/>
      <c r="AG34" s="469"/>
      <c r="AH34" s="469"/>
      <c r="AI34" s="469"/>
      <c r="AJ34" s="469"/>
      <c r="AK34" s="469"/>
      <c r="AL34" s="469"/>
      <c r="AM34" s="350"/>
      <c r="AO34">
        <f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3</v>
      </c>
      <c r="B35">
        <f ca="1">ORÇAMENTO!D35</f>
        <v>3</v>
      </c>
      <c r="C35" s="116" t="str">
        <f ca="1">IF(OR($I35&gt;0,$A35=1,$A35=2,$A35=3,$A35=4),"F","")</f>
        <v>F</v>
      </c>
      <c r="D35" s="119" t="str">
        <f ca="1">ORÇAMENTO!O35</f>
        <v>1.5.1.</v>
      </c>
      <c r="E35" s="170" t="str">
        <f t="shared" ref="E35:E53" si="35">ORÇAMENTO.Descricao</f>
        <v>ESCAVAÇÃO E REATERRO</v>
      </c>
      <c r="F35" s="171" t="str">
        <f ca="1">IF(RegimeExecucao="Global","",ORÇAMENTO.Unidade)</f>
        <v>-</v>
      </c>
      <c r="G35" s="124">
        <f ca="1">IF(RegimeExecucao="Global","",ORÇAMENTO!T35)</f>
        <v>0</v>
      </c>
      <c r="H35" s="124">
        <f ca="1">IF(RegimeExecucao="Global","",ORÇAMENTO!W35)</f>
        <v>0</v>
      </c>
      <c r="I35" s="127">
        <f ca="1">ORÇAMENTO!X35</f>
        <v>9182.01</v>
      </c>
      <c r="J35" s="345">
        <f ca="1">IF($A35="S",IF(CAIXA.Modo,BM.AFAnterior,BM.MEDAnterior),IF(AND(RegimeExecucao="Global",$I35&gt;0,COUNTIF($AB$13:$AM$13,BM.medicao-1)&gt;0),M35/$I35*100,0))</f>
        <v>0</v>
      </c>
      <c r="K35" s="124">
        <f ca="1">L35-J35</f>
        <v>0</v>
      </c>
      <c r="L35" s="346">
        <f ca="1">IF($A35="S",IF(CAIXA.Modo,BM.AFAcumulado,BM.MEDAcumulado),IF(AND(RegimeExecucao="Global",$I35&gt;0,COUNTIF($AB$13:$AM$13,BM.medicao)&gt;0),O35/$I35*100,0))</f>
        <v>0</v>
      </c>
      <c r="M35" s="347">
        <f ca="1">IF($A35="S",VTOTALBM,IF($A35=0,0,ROUND(SomaAgrupBM,15-13*ORÇAMENTO!$AF$11)))</f>
        <v>0</v>
      </c>
      <c r="N35" s="348">
        <f ca="1">O35-M35</f>
        <v>0</v>
      </c>
      <c r="O35" s="127">
        <f ca="1">IF($A35="S",VTOTALBM,IF($A35=0,0,ROUND(SomaAgrupBM,15-13*ORÇAMENTO!$AF$11)))</f>
        <v>0</v>
      </c>
      <c r="Q35" s="349"/>
      <c r="R35" s="350"/>
      <c r="T35" s="119" t="str">
        <f ca="1">IF($W35&gt;0,$D35,"")</f>
        <v/>
      </c>
      <c r="U35" s="170" t="str">
        <f ca="1">IF($W35&gt;0,$E35,"")</f>
        <v/>
      </c>
      <c r="V35" s="171" t="str">
        <f ca="1">IF(AND($W35&gt;0,RegimeExecucao="Unitário"),$F35,"")</f>
        <v/>
      </c>
      <c r="W35" s="486">
        <f ca="1">IF($Y35&gt;0,CHOOSE(MATCH(RegimeExecucao,{"Unitário","Global"},0),IF($A35="S",$Y35/$X35,""),($Y35/$X35)*100),0)</f>
        <v>0</v>
      </c>
      <c r="X35" s="351" t="str">
        <f ca="1">IF($Y35&gt;0,CHOOSE(MATCH(RegimeExecucao,{"Unitário","Global"},0),IF($A35="S",ROUND($H35,ORÇAMENTO!$AF$10),""),ROUND($I35,ORÇAMENTO!$AF$11)),"")</f>
        <v/>
      </c>
      <c r="Y35" s="351">
        <f ca="1">AO35-O35</f>
        <v>0</v>
      </c>
      <c r="Z35" s="507"/>
      <c r="AB35" s="349"/>
      <c r="AC35" s="469"/>
      <c r="AD35" s="469"/>
      <c r="AE35" s="469"/>
      <c r="AF35" s="469"/>
      <c r="AG35" s="469"/>
      <c r="AH35" s="469"/>
      <c r="AI35" s="469"/>
      <c r="AJ35" s="469"/>
      <c r="AK35" s="469"/>
      <c r="AL35" s="469"/>
      <c r="AM35" s="350"/>
      <c r="AO35">
        <f ca="1">IF($A35="S",IF(BM!$I35=0,0,CHOOSE(MATCH(RegimeExecucao,{"Global","Unitário"},0),ROUND(ROUND(BM.MEDAcumulado,15-13*BM!$A$9)/100*BM!$I35,15-13*ORÇAMENTO!$AF$11),ROUND(ROUND(BM.MEDAcumulado,15-13*BM!$A$9)*ROUND(BM!$H35,15-13*ORÇAMENTO!$AF$10),15-13*ORÇAMENTO!$AF$11))),IF($A35=0,0,ROUND(SomaAgrupBM,15-13*ORÇAMENTO!$AF$11)))</f>
        <v>0</v>
      </c>
    </row>
    <row r="36" spans="1:41" ht="63.75" x14ac:dyDescent="0.2">
      <c r="A36" t="str">
        <f ca="1">ORÇAMENTO!C36</f>
        <v>S</v>
      </c>
      <c r="B36">
        <f ca="1">ORÇAMENTO!D36</f>
        <v>0</v>
      </c>
      <c r="C36" s="116" t="str">
        <f ca="1">IF(OR($I36&gt;0,$A36=1,$A36=2,$A36=3,$A36=4),"F","")</f>
        <v>F</v>
      </c>
      <c r="D36" s="119" t="str">
        <f ca="1">ORÇAMENTO!O36</f>
        <v>1.5.1.0.1.</v>
      </c>
      <c r="E36" s="170" t="str">
        <f t="shared" ca="1" si="35"/>
        <v>ESCAVAÇÃO MECANIZADA DE VALA COM PROF. MAIOR QUE 1,5 M ATÉ 3,0 M (MÉDIA MONTANTE E JUSANTE/UMA COMPOSIÇÃO POR TRECHO), RETROESCAV. (0,26 M3), LARG. DE 0,8 M A 1,5 M, EM SOLO DE 2A CATEGORIA, EM LOCAIS COM BAIXO NÍVEL DE INTERFERÊNCIA. AF_09/2024</v>
      </c>
      <c r="F36" s="171" t="str">
        <f ca="1">IF(RegimeExecucao="Global","",ORÇAMENTO.Unidade)</f>
        <v>M3</v>
      </c>
      <c r="G36" s="124">
        <f ca="1">IF(RegimeExecucao="Global","",ORÇAMENTO!T36)</f>
        <v>281.60000000000002</v>
      </c>
      <c r="H36" s="124">
        <f ca="1">IF(RegimeExecucao="Global","",ORÇAMENTO!W36)</f>
        <v>12.78</v>
      </c>
      <c r="I36" s="127">
        <f ca="1">ORÇAMENTO!X36</f>
        <v>3598.85</v>
      </c>
      <c r="J36" s="345">
        <f ca="1">IF($A36="S",IF(CAIXA.Modo,BM.AFAnterior,BM.MEDAnterior),IF(AND(RegimeExecucao="Global",$I36&gt;0,COUNTIF($AB$13:$AM$13,BM.medicao-1)&gt;0),M36/$I36*100,0))</f>
        <v>0</v>
      </c>
      <c r="K36" s="124">
        <f ca="1">L36-J36</f>
        <v>0</v>
      </c>
      <c r="L36" s="346">
        <f ca="1">IF($A36="S",IF(CAIXA.Modo,BM.AFAcumulado,BM.MEDAcumulado),IF(AND(RegimeExecucao="Global",$I36&gt;0,COUNTIF($AB$13:$AM$13,BM.medicao)&gt;0),O36/$I36*100,0))</f>
        <v>0</v>
      </c>
      <c r="M36" s="347">
        <f ca="1">IF($A36="S",VTOTALBM,IF($A36=0,0,ROUND(SomaAgrupBM,15-13*ORÇAMENTO!$AF$11)))</f>
        <v>0</v>
      </c>
      <c r="N36" s="348">
        <f ca="1">O36-M36</f>
        <v>0</v>
      </c>
      <c r="O36" s="127">
        <f ca="1">IF($A36="S",VTOTALBM,IF($A36=0,0,ROUND(SomaAgrupBM,15-13*ORÇAMENTO!$AF$11)))</f>
        <v>0</v>
      </c>
      <c r="Q36" s="349"/>
      <c r="R36" s="350"/>
      <c r="T36" s="119" t="str">
        <f ca="1">IF($W36&gt;0,$D36,"")</f>
        <v/>
      </c>
      <c r="U36" s="170" t="str">
        <f ca="1">IF($W36&gt;0,$E36,"")</f>
        <v/>
      </c>
      <c r="V36" s="171" t="str">
        <f ca="1">IF(AND($W36&gt;0,RegimeExecucao="Unitário"),$F36,"")</f>
        <v/>
      </c>
      <c r="W36" s="486">
        <f ca="1">IF($Y36&gt;0,CHOOSE(MATCH(RegimeExecucao,{"Unitário","Global"},0),IF($A36="S",$Y36/$X36,""),($Y36/$X36)*100),0)</f>
        <v>0</v>
      </c>
      <c r="X36" s="351" t="str">
        <f ca="1">IF($Y36&gt;0,CHOOSE(MATCH(RegimeExecucao,{"Unitário","Global"},0),IF($A36="S",ROUND($H36,ORÇAMENTO!$AF$10),""),ROUND($I36,ORÇAMENTO!$AF$11)),"")</f>
        <v/>
      </c>
      <c r="Y36" s="351">
        <f ca="1">AO36-O36</f>
        <v>0</v>
      </c>
      <c r="Z36" s="507"/>
      <c r="AB36" s="349"/>
      <c r="AC36" s="469"/>
      <c r="AD36" s="469"/>
      <c r="AE36" s="469"/>
      <c r="AF36" s="469"/>
      <c r="AG36" s="469"/>
      <c r="AH36" s="469"/>
      <c r="AI36" s="469"/>
      <c r="AJ36" s="469"/>
      <c r="AK36" s="469"/>
      <c r="AL36" s="469"/>
      <c r="AM36" s="350"/>
      <c r="AO36">
        <f ca="1">IF($A36="S",IF(BM!$I36=0,0,CHOOSE(MATCH(RegimeExecucao,{"Global","Unitário"},0),ROUND(ROUND(BM.MEDAcumulado,15-13*BM!$A$9)/100*BM!$I36,15-13*ORÇAMENTO!$AF$11),ROUND(ROUND(BM.MEDAcumulado,15-13*BM!$A$9)*ROUND(BM!$H36,15-13*ORÇAMENTO!$AF$10),15-13*ORÇAMENTO!$AF$11))),IF($A36=0,0,ROUND(SomaAgrupBM,15-13*ORÇAMENTO!$AF$11)))</f>
        <v>0</v>
      </c>
    </row>
    <row r="37" spans="1:41" ht="63.75" x14ac:dyDescent="0.2">
      <c r="A37" t="str">
        <f ca="1">ORÇAMENTO!C37</f>
        <v>S</v>
      </c>
      <c r="B37">
        <f ca="1">ORÇAMENTO!D37</f>
        <v>0</v>
      </c>
      <c r="C37" s="116" t="str">
        <f ca="1">IF(OR($I37&gt;0,$A37=1,$A37=2,$A37=3,$A37=4),"F","")</f>
        <v>F</v>
      </c>
      <c r="D37" s="119" t="str">
        <f ca="1">ORÇAMENTO!O37</f>
        <v>1.5.1.0.2.</v>
      </c>
      <c r="E37" s="170" t="str">
        <f t="shared" ca="1" si="35"/>
        <v>REATERRO MECANIZADO DE VALA COM ESCAVADEIRA HIDRÁULICA (CAPACIDADE DA CAÇAMBA: 0,8 M³/POTÊNCIA: 111 HP), LARGURA 1,5 A 2,5 M, PROFUNDIDADE 1,5 A 3,0 M, COM SOLO (SEM SUBSTITUIÇÃO) DE 1ª CATEGORIA, COM COMPACTADOR DE SOLOS DE PERCUSSÃO. AF_08/2023</v>
      </c>
      <c r="F37" s="171" t="str">
        <f ca="1">IF(RegimeExecucao="Global","",ORÇAMENTO.Unidade)</f>
        <v>M3</v>
      </c>
      <c r="G37" s="124">
        <f ca="1">IF(RegimeExecucao="Global","",ORÇAMENTO!T37)</f>
        <v>230.9</v>
      </c>
      <c r="H37" s="124">
        <f ca="1">IF(RegimeExecucao="Global","",ORÇAMENTO!W37)</f>
        <v>24.18</v>
      </c>
      <c r="I37" s="127">
        <f ca="1">ORÇAMENTO!X37</f>
        <v>5583.16</v>
      </c>
      <c r="J37" s="345">
        <f ca="1">IF($A37="S",IF(CAIXA.Modo,BM.AFAnterior,BM.MEDAnterior),IF(AND(RegimeExecucao="Global",$I37&gt;0,COUNTIF($AB$13:$AM$13,BM.medicao-1)&gt;0),M37/$I37*100,0))</f>
        <v>0</v>
      </c>
      <c r="K37" s="124">
        <f ca="1">L37-J37</f>
        <v>0</v>
      </c>
      <c r="L37" s="346">
        <f ca="1">IF($A37="S",IF(CAIXA.Modo,BM.AFAcumulado,BM.MEDAcumulado),IF(AND(RegimeExecucao="Global",$I37&gt;0,COUNTIF($AB$13:$AM$13,BM.medicao)&gt;0),O37/$I37*100,0))</f>
        <v>0</v>
      </c>
      <c r="M37" s="347">
        <f ca="1">IF($A37="S",VTOTALBM,IF($A37=0,0,ROUND(SomaAgrupBM,15-13*ORÇAMENTO!$AF$11)))</f>
        <v>0</v>
      </c>
      <c r="N37" s="348">
        <f ca="1">O37-M37</f>
        <v>0</v>
      </c>
      <c r="O37" s="127">
        <f ca="1">IF($A37="S",VTOTALBM,IF($A37=0,0,ROUND(SomaAgrupBM,15-13*ORÇAMENTO!$AF$11)))</f>
        <v>0</v>
      </c>
      <c r="Q37" s="349"/>
      <c r="R37" s="350"/>
      <c r="T37" s="119" t="str">
        <f ca="1">IF($W37&gt;0,$D37,"")</f>
        <v/>
      </c>
      <c r="U37" s="170" t="str">
        <f ca="1">IF($W37&gt;0,$E37,"")</f>
        <v/>
      </c>
      <c r="V37" s="171" t="str">
        <f ca="1">IF(AND($W37&gt;0,RegimeExecucao="Unitário"),$F37,"")</f>
        <v/>
      </c>
      <c r="W37" s="486">
        <f ca="1">IF($Y37&gt;0,CHOOSE(MATCH(RegimeExecucao,{"Unitário","Global"},0),IF($A37="S",$Y37/$X37,""),($Y37/$X37)*100),0)</f>
        <v>0</v>
      </c>
      <c r="X37" s="351" t="str">
        <f ca="1">IF($Y37&gt;0,CHOOSE(MATCH(RegimeExecucao,{"Unitário","Global"},0),IF($A37="S",ROUND($H37,ORÇAMENTO!$AF$10),""),ROUND($I37,ORÇAMENTO!$AF$11)),"")</f>
        <v/>
      </c>
      <c r="Y37" s="351">
        <f ca="1">AO37-O37</f>
        <v>0</v>
      </c>
      <c r="Z37" s="507"/>
      <c r="AB37" s="349"/>
      <c r="AC37" s="469"/>
      <c r="AD37" s="469"/>
      <c r="AE37" s="469"/>
      <c r="AF37" s="469"/>
      <c r="AG37" s="469"/>
      <c r="AH37" s="469"/>
      <c r="AI37" s="469"/>
      <c r="AJ37" s="469"/>
      <c r="AK37" s="469"/>
      <c r="AL37" s="469"/>
      <c r="AM37" s="350"/>
      <c r="AO37">
        <f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f ca="1">ORÇAMENTO!C38</f>
        <v>3</v>
      </c>
      <c r="B38">
        <f ca="1">ORÇAMENTO!D38</f>
        <v>10</v>
      </c>
      <c r="C38" s="116" t="str">
        <f ca="1">IF(OR($I38&gt;0,$A38=1,$A38=2,$A38=3,$A38=4),"F","")</f>
        <v>F</v>
      </c>
      <c r="D38" s="119" t="str">
        <f ca="1">ORÇAMENTO!O38</f>
        <v>1.5.2.</v>
      </c>
      <c r="E38" s="170" t="str">
        <f t="shared" si="35"/>
        <v>FUNDAÇÃO EM CONCRETO</v>
      </c>
      <c r="F38" s="171" t="str">
        <f ca="1">IF(RegimeExecucao="Global","",ORÇAMENTO.Unidade)</f>
        <v>-</v>
      </c>
      <c r="G38" s="124">
        <f ca="1">IF(RegimeExecucao="Global","",ORÇAMENTO!T38)</f>
        <v>0</v>
      </c>
      <c r="H38" s="124">
        <f ca="1">IF(RegimeExecucao="Global","",ORÇAMENTO!W38)</f>
        <v>0</v>
      </c>
      <c r="I38" s="127">
        <f ca="1">ORÇAMENTO!X38</f>
        <v>58354.73</v>
      </c>
      <c r="J38" s="345">
        <f ca="1">IF($A38="S",IF(CAIXA.Modo,BM.AFAnterior,BM.MEDAnterior),IF(AND(RegimeExecucao="Global",$I38&gt;0,COUNTIF($AB$13:$AM$13,BM.medicao-1)&gt;0),M38/$I38*100,0))</f>
        <v>0</v>
      </c>
      <c r="K38" s="124">
        <f ca="1">L38-J38</f>
        <v>0</v>
      </c>
      <c r="L38" s="346">
        <f ca="1">IF($A38="S",IF(CAIXA.Modo,BM.AFAcumulado,BM.MEDAcumulado),IF(AND(RegimeExecucao="Global",$I38&gt;0,COUNTIF($AB$13:$AM$13,BM.medicao)&gt;0),O38/$I38*100,0))</f>
        <v>0</v>
      </c>
      <c r="M38" s="347">
        <f ca="1">IF($A38="S",VTOTALBM,IF($A38=0,0,ROUND(SomaAgrupBM,15-13*ORÇAMENTO!$AF$11)))</f>
        <v>0</v>
      </c>
      <c r="N38" s="348">
        <f ca="1">O38-M38</f>
        <v>0</v>
      </c>
      <c r="O38" s="127">
        <f ca="1">IF($A38="S",VTOTALBM,IF($A38=0,0,ROUND(SomaAgrupBM,15-13*ORÇAMENTO!$AF$11)))</f>
        <v>0</v>
      </c>
      <c r="Q38" s="349"/>
      <c r="R38" s="350"/>
      <c r="T38" s="119" t="str">
        <f ca="1">IF($W38&gt;0,$D38,"")</f>
        <v/>
      </c>
      <c r="U38" s="170" t="str">
        <f ca="1">IF($W38&gt;0,$E38,"")</f>
        <v/>
      </c>
      <c r="V38" s="171" t="str">
        <f ca="1">IF(AND($W38&gt;0,RegimeExecucao="Unitário"),$F38,"")</f>
        <v/>
      </c>
      <c r="W38" s="486">
        <f ca="1">IF($Y38&gt;0,CHOOSE(MATCH(RegimeExecucao,{"Unitário","Global"},0),IF($A38="S",$Y38/$X38,""),($Y38/$X38)*100),0)</f>
        <v>0</v>
      </c>
      <c r="X38" s="351" t="str">
        <f ca="1">IF($Y38&gt;0,CHOOSE(MATCH(RegimeExecucao,{"Unitário","Global"},0),IF($A38="S",ROUND($H38,ORÇAMENTO!$AF$10),""),ROUND($I38,ORÇAMENTO!$AF$11)),"")</f>
        <v/>
      </c>
      <c r="Y38" s="351">
        <f ca="1">AO38-O38</f>
        <v>0</v>
      </c>
      <c r="Z38" s="507"/>
      <c r="AB38" s="349"/>
      <c r="AC38" s="469"/>
      <c r="AD38" s="469"/>
      <c r="AE38" s="469"/>
      <c r="AF38" s="469"/>
      <c r="AG38" s="469"/>
      <c r="AH38" s="469"/>
      <c r="AI38" s="469"/>
      <c r="AJ38" s="469"/>
      <c r="AK38" s="469"/>
      <c r="AL38" s="469"/>
      <c r="AM38" s="350"/>
      <c r="AO38">
        <f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4</v>
      </c>
      <c r="B39">
        <f ca="1">ORÇAMENTO!D39</f>
        <v>2</v>
      </c>
      <c r="C39" s="116" t="str">
        <f t="shared" ref="C39:C40" ca="1" si="36">IF(OR($I39&gt;0,$A39=1,$A39=2,$A39=3,$A39=4),"F","")</f>
        <v>F</v>
      </c>
      <c r="D39" s="119" t="str">
        <f ca="1">ORÇAMENTO!O39</f>
        <v>1.5.2.1.</v>
      </c>
      <c r="E39" s="170" t="str">
        <f t="shared" si="35"/>
        <v>ESTACAS DE CONCRETO</v>
      </c>
      <c r="F39" s="171" t="str">
        <f ca="1">IF(RegimeExecucao="Global","",ORÇAMENTO.Unidade)</f>
        <v>-</v>
      </c>
      <c r="G39" s="124">
        <f ca="1">IF(RegimeExecucao="Global","",ORÇAMENTO!T39)</f>
        <v>0</v>
      </c>
      <c r="H39" s="124">
        <f ca="1">IF(RegimeExecucao="Global","",ORÇAMENTO!W39)</f>
        <v>0</v>
      </c>
      <c r="I39" s="127">
        <f ca="1">ORÇAMENTO!X39</f>
        <v>7557.68</v>
      </c>
      <c r="J39" s="345">
        <f ca="1">IF($A39="S",IF(CAIXA.Modo,BM.AFAnterior,BM.MEDAnterior),IF(AND(RegimeExecucao="Global",$I39&gt;0,COUNTIF($AB$13:$AM$13,BM.medicao-1)&gt;0),M39/$I39*100,0))</f>
        <v>0</v>
      </c>
      <c r="K39" s="124">
        <f t="shared" ref="K39:K40" ca="1" si="37">L39-J39</f>
        <v>0</v>
      </c>
      <c r="L39" s="346">
        <f ca="1">IF($A39="S",IF(CAIXA.Modo,BM.AFAcumulado,BM.MEDAcumulado),IF(AND(RegimeExecucao="Global",$I39&gt;0,COUNTIF($AB$13:$AM$13,BM.medicao)&gt;0),O39/$I39*100,0))</f>
        <v>0</v>
      </c>
      <c r="M39" s="347">
        <f ca="1">IF($A39="S",VTOTALBM,IF($A39=0,0,ROUND(SomaAgrupBM,15-13*ORÇAMENTO!$AF$11)))</f>
        <v>0</v>
      </c>
      <c r="N39" s="348">
        <f t="shared" ref="N39:N40" ca="1" si="38">O39-M39</f>
        <v>0</v>
      </c>
      <c r="O39" s="127">
        <f ca="1">IF($A39="S",VTOTALBM,IF($A39=0,0,ROUND(SomaAgrupBM,15-13*ORÇAMENTO!$AF$11)))</f>
        <v>0</v>
      </c>
      <c r="Q39" s="349"/>
      <c r="R39" s="350"/>
      <c r="T39" s="119" t="str">
        <f t="shared" ref="T39:T40" ca="1" si="39">IF($W39&gt;0,$D39,"")</f>
        <v/>
      </c>
      <c r="U39" s="170" t="str">
        <f t="shared" ref="U39:U40" ca="1" si="40">IF($W39&gt;0,$E39,"")</f>
        <v/>
      </c>
      <c r="V39" s="171" t="str">
        <f ca="1">IF(AND($W39&gt;0,RegimeExecucao="Unitário"),$F39,"")</f>
        <v/>
      </c>
      <c r="W39" s="486">
        <f ca="1">IF($Y39&gt;0,CHOOSE(MATCH(RegimeExecucao,{"Unitário","Global"},0),IF($A39="S",$Y39/$X39,""),($Y39/$X39)*100),0)</f>
        <v>0</v>
      </c>
      <c r="X39" s="351" t="str">
        <f ca="1">IF($Y39&gt;0,CHOOSE(MATCH(RegimeExecucao,{"Unitário","Global"},0),IF($A39="S",ROUND($H39,ORÇAMENTO!$AF$10),""),ROUND($I39,ORÇAMENTO!$AF$11)),"")</f>
        <v/>
      </c>
      <c r="Y39" s="351">
        <f t="shared" ref="Y39:Y40" ca="1" si="41">AO39-O39</f>
        <v>0</v>
      </c>
      <c r="Z39" s="507"/>
      <c r="AB39" s="349"/>
      <c r="AC39" s="469"/>
      <c r="AD39" s="469"/>
      <c r="AE39" s="469"/>
      <c r="AF39" s="469"/>
      <c r="AG39" s="469"/>
      <c r="AH39" s="469"/>
      <c r="AI39" s="469"/>
      <c r="AJ39" s="469"/>
      <c r="AK39" s="469"/>
      <c r="AL39" s="469"/>
      <c r="AM39" s="350"/>
      <c r="AO39">
        <f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t="str">
        <f ca="1">ORÇAMENTO!C40</f>
        <v>S</v>
      </c>
      <c r="B40">
        <f ca="1">ORÇAMENTO!D40</f>
        <v>0</v>
      </c>
      <c r="C40" s="116" t="str">
        <f t="shared" ca="1" si="36"/>
        <v>F</v>
      </c>
      <c r="D40" s="119" t="str">
        <f ca="1">ORÇAMENTO!O40</f>
        <v>1.5.2.1.1.</v>
      </c>
      <c r="E40" s="170" t="str">
        <f t="shared" ca="1" si="35"/>
        <v>COM-34700947 ESTACA ESCAVADA MECANICAMENTE, SEM FLUIDO ESTABILIZANTE, COM 30CM DE DIÂMETRO, CONCRETO LANÇADO POR
CAMINHÃO BETONEIRA - FORNECIMENTO E INSTALAÇÃO (M)</v>
      </c>
      <c r="F40" s="171" t="str">
        <f ca="1">IF(RegimeExecucao="Global","",ORÇAMENTO.Unidade)</f>
        <v>M</v>
      </c>
      <c r="G40" s="124">
        <f ca="1">IF(RegimeExecucao="Global","",ORÇAMENTO!T40)</f>
        <v>52</v>
      </c>
      <c r="H40" s="124">
        <f ca="1">IF(RegimeExecucao="Global","",ORÇAMENTO!W40)</f>
        <v>145.34</v>
      </c>
      <c r="I40" s="127">
        <f ca="1">ORÇAMENTO!X40</f>
        <v>7557.68</v>
      </c>
      <c r="J40" s="345">
        <f ca="1">IF($A40="S",IF(CAIXA.Modo,BM.AFAnterior,BM.MEDAnterior),IF(AND(RegimeExecucao="Global",$I40&gt;0,COUNTIF($AB$13:$AM$13,BM.medicao-1)&gt;0),M40/$I40*100,0))</f>
        <v>0</v>
      </c>
      <c r="K40" s="124">
        <f t="shared" ca="1" si="37"/>
        <v>0</v>
      </c>
      <c r="L40" s="346">
        <f ca="1">IF($A40="S",IF(CAIXA.Modo,BM.AFAcumulado,BM.MEDAcumulado),IF(AND(RegimeExecucao="Global",$I40&gt;0,COUNTIF($AB$13:$AM$13,BM.medicao)&gt;0),O40/$I40*100,0))</f>
        <v>0</v>
      </c>
      <c r="M40" s="347">
        <f ca="1">IF($A40="S",VTOTALBM,IF($A40=0,0,ROUND(SomaAgrupBM,15-13*ORÇAMENTO!$AF$11)))</f>
        <v>0</v>
      </c>
      <c r="N40" s="348">
        <f t="shared" ca="1" si="38"/>
        <v>0</v>
      </c>
      <c r="O40" s="127">
        <f ca="1">IF($A40="S",VTOTALBM,IF($A40=0,0,ROUND(SomaAgrupBM,15-13*ORÇAMENTO!$AF$11)))</f>
        <v>0</v>
      </c>
      <c r="Q40" s="349"/>
      <c r="R40" s="350"/>
      <c r="T40" s="119" t="str">
        <f t="shared" ca="1" si="39"/>
        <v/>
      </c>
      <c r="U40" s="170" t="str">
        <f t="shared" ca="1" si="40"/>
        <v/>
      </c>
      <c r="V40" s="171" t="str">
        <f ca="1">IF(AND($W40&gt;0,RegimeExecucao="Unitário"),$F40,"")</f>
        <v/>
      </c>
      <c r="W40" s="486">
        <f ca="1">IF($Y40&gt;0,CHOOSE(MATCH(RegimeExecucao,{"Unitário","Global"},0),IF($A40="S",$Y40/$X40,""),($Y40/$X40)*100),0)</f>
        <v>0</v>
      </c>
      <c r="X40" s="351" t="str">
        <f ca="1">IF($Y40&gt;0,CHOOSE(MATCH(RegimeExecucao,{"Unitário","Global"},0),IF($A40="S",ROUND($H40,ORÇAMENTO!$AF$10),""),ROUND($I40,ORÇAMENTO!$AF$11)),"")</f>
        <v/>
      </c>
      <c r="Y40" s="351">
        <f t="shared" ca="1" si="41"/>
        <v>0</v>
      </c>
      <c r="Z40" s="507"/>
      <c r="AB40" s="349"/>
      <c r="AC40" s="469"/>
      <c r="AD40" s="469"/>
      <c r="AE40" s="469"/>
      <c r="AF40" s="469"/>
      <c r="AG40" s="469"/>
      <c r="AH40" s="469"/>
      <c r="AI40" s="469"/>
      <c r="AJ40" s="469"/>
      <c r="AK40" s="469"/>
      <c r="AL40" s="469"/>
      <c r="AM40" s="350"/>
      <c r="AO40">
        <f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4</v>
      </c>
      <c r="B41">
        <f ca="1">ORÇAMENTO!D41</f>
        <v>7</v>
      </c>
      <c r="C41" s="116" t="str">
        <f ca="1">IF(OR($I41&gt;0,$A41=1,$A41=2,$A41=3,$A41=4),"F","")</f>
        <v>F</v>
      </c>
      <c r="D41" s="119" t="str">
        <f ca="1">ORÇAMENTO!O41</f>
        <v>1.5.2.2.</v>
      </c>
      <c r="E41" s="170" t="str">
        <f t="shared" si="35"/>
        <v>SAPATAS E BLOCOS DE CONCRETO</v>
      </c>
      <c r="F41" s="171" t="str">
        <f ca="1">IF(RegimeExecucao="Global","",ORÇAMENTO.Unidade)</f>
        <v>-</v>
      </c>
      <c r="G41" s="124">
        <f ca="1">IF(RegimeExecucao="Global","",ORÇAMENTO!T41)</f>
        <v>0</v>
      </c>
      <c r="H41" s="124">
        <f ca="1">IF(RegimeExecucao="Global","",ORÇAMENTO!W41)</f>
        <v>0</v>
      </c>
      <c r="I41" s="127">
        <f ca="1">ORÇAMENTO!X41</f>
        <v>50797.05</v>
      </c>
      <c r="J41" s="345">
        <f ca="1">IF($A41="S",IF(CAIXA.Modo,BM.AFAnterior,BM.MEDAnterior),IF(AND(RegimeExecucao="Global",$I41&gt;0,COUNTIF($AB$13:$AM$13,BM.medicao-1)&gt;0),M41/$I41*100,0))</f>
        <v>0</v>
      </c>
      <c r="K41" s="124">
        <f ca="1">L41-J41</f>
        <v>0</v>
      </c>
      <c r="L41" s="346">
        <f ca="1">IF($A41="S",IF(CAIXA.Modo,BM.AFAcumulado,BM.MEDAcumulado),IF(AND(RegimeExecucao="Global",$I41&gt;0,COUNTIF($AB$13:$AM$13,BM.medicao)&gt;0),O41/$I41*100,0))</f>
        <v>0</v>
      </c>
      <c r="M41" s="347">
        <f ca="1">IF($A41="S",VTOTALBM,IF($A41=0,0,ROUND(SomaAgrupBM,15-13*ORÇAMENTO!$AF$11)))</f>
        <v>0</v>
      </c>
      <c r="N41" s="348">
        <f ca="1">O41-M41</f>
        <v>0</v>
      </c>
      <c r="O41" s="127">
        <f ca="1">IF($A41="S",VTOTALBM,IF($A41=0,0,ROUND(SomaAgrupBM,15-13*ORÇAMENTO!$AF$11)))</f>
        <v>0</v>
      </c>
      <c r="Q41" s="349"/>
      <c r="R41" s="350"/>
      <c r="T41" s="119" t="str">
        <f ca="1">IF($W41&gt;0,$D41,"")</f>
        <v/>
      </c>
      <c r="U41" s="170" t="str">
        <f ca="1">IF($W41&gt;0,$E41,"")</f>
        <v/>
      </c>
      <c r="V41" s="171" t="str">
        <f ca="1">IF(AND($W41&gt;0,RegimeExecucao="Unitário"),$F41,"")</f>
        <v/>
      </c>
      <c r="W41" s="486">
        <f ca="1">IF($Y41&gt;0,CHOOSE(MATCH(RegimeExecucao,{"Unitário","Global"},0),IF($A41="S",$Y41/$X41,""),($Y41/$X41)*100),0)</f>
        <v>0</v>
      </c>
      <c r="X41" s="351" t="str">
        <f ca="1">IF($Y41&gt;0,CHOOSE(MATCH(RegimeExecucao,{"Unitário","Global"},0),IF($A41="S",ROUND($H41,ORÇAMENTO!$AF$10),""),ROUND($I41,ORÇAMENTO!$AF$11)),"")</f>
        <v/>
      </c>
      <c r="Y41" s="351">
        <f ca="1">AO41-O41</f>
        <v>0</v>
      </c>
      <c r="Z41" s="507"/>
      <c r="AB41" s="349"/>
      <c r="AC41" s="469"/>
      <c r="AD41" s="469"/>
      <c r="AE41" s="469"/>
      <c r="AF41" s="469"/>
      <c r="AG41" s="469"/>
      <c r="AH41" s="469"/>
      <c r="AI41" s="469"/>
      <c r="AJ41" s="469"/>
      <c r="AK41" s="469"/>
      <c r="AL41" s="469"/>
      <c r="AM41" s="350"/>
      <c r="AO41">
        <f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6" t="str">
        <f t="shared" ref="C42:C53" ca="1" si="42">IF(OR($I42&gt;0,$A42=1,$A42=2,$A42=3,$A42=4),"F","")</f>
        <v>F</v>
      </c>
      <c r="D42" s="119" t="str">
        <f ca="1">ORÇAMENTO!O42</f>
        <v>1.5.2.2.1.</v>
      </c>
      <c r="E42" s="170" t="str">
        <f t="shared" ca="1" si="35"/>
        <v>FABRICAÇÃO, MONTAGEM E DESMONTAGEM DE FÔRMA PARA BLOCO DE COROAMENTO, EM MADEIRA SERRADA, E=25 MM, 2 UTILIZAÇÕES. AF_01/2024</v>
      </c>
      <c r="F42" s="171" t="str">
        <f ca="1">IF(RegimeExecucao="Global","",ORÇAMENTO.Unidade)</f>
        <v>M2</v>
      </c>
      <c r="G42" s="124">
        <f ca="1">IF(RegimeExecucao="Global","",ORÇAMENTO!T42)</f>
        <v>75.459999999999994</v>
      </c>
      <c r="H42" s="124">
        <f ca="1">IF(RegimeExecucao="Global","",ORÇAMENTO!W42)</f>
        <v>143.02000000000001</v>
      </c>
      <c r="I42" s="127">
        <f ca="1">ORÇAMENTO!X42</f>
        <v>10792.29</v>
      </c>
      <c r="J42" s="345">
        <f ca="1">IF($A42="S",IF(CAIXA.Modo,BM.AFAnterior,BM.MEDAnterior),IF(AND(RegimeExecucao="Global",$I42&gt;0,COUNTIF($AB$13:$AM$13,BM.medicao-1)&gt;0),M42/$I42*100,0))</f>
        <v>0</v>
      </c>
      <c r="K42" s="124">
        <f t="shared" ref="K42:K53" ca="1" si="43">L42-J42</f>
        <v>0</v>
      </c>
      <c r="L42" s="346">
        <f ca="1">IF($A42="S",IF(CAIXA.Modo,BM.AFAcumulado,BM.MEDAcumulado),IF(AND(RegimeExecucao="Global",$I42&gt;0,COUNTIF($AB$13:$AM$13,BM.medicao)&gt;0),O42/$I42*100,0))</f>
        <v>0</v>
      </c>
      <c r="M42" s="347">
        <f ca="1">IF($A42="S",VTOTALBM,IF($A42=0,0,ROUND(SomaAgrupBM,15-13*ORÇAMENTO!$AF$11)))</f>
        <v>0</v>
      </c>
      <c r="N42" s="348">
        <f t="shared" ref="N42:N53" ca="1" si="44">O42-M42</f>
        <v>0</v>
      </c>
      <c r="O42" s="127">
        <f ca="1">IF($A42="S",VTOTALBM,IF($A42=0,0,ROUND(SomaAgrupBM,15-13*ORÇAMENTO!$AF$11)))</f>
        <v>0</v>
      </c>
      <c r="Q42" s="349"/>
      <c r="R42" s="350"/>
      <c r="T42" s="119" t="str">
        <f t="shared" ref="T42:T53" ca="1" si="45">IF($W42&gt;0,$D42,"")</f>
        <v/>
      </c>
      <c r="U42" s="170" t="str">
        <f t="shared" ref="U42:U53" ca="1" si="46">IF($W42&gt;0,$E42,"")</f>
        <v/>
      </c>
      <c r="V42" s="171" t="str">
        <f ca="1">IF(AND($W42&gt;0,RegimeExecucao="Unitário"),$F42,"")</f>
        <v/>
      </c>
      <c r="W42" s="486">
        <f ca="1">IF($Y42&gt;0,CHOOSE(MATCH(RegimeExecucao,{"Unitário","Global"},0),IF($A42="S",$Y42/$X42,""),($Y42/$X42)*100),0)</f>
        <v>0</v>
      </c>
      <c r="X42" s="351" t="str">
        <f ca="1">IF($Y42&gt;0,CHOOSE(MATCH(RegimeExecucao,{"Unitário","Global"},0),IF($A42="S",ROUND($H42,ORÇAMENTO!$AF$10),""),ROUND($I42,ORÇAMENTO!$AF$11)),"")</f>
        <v/>
      </c>
      <c r="Y42" s="351">
        <f t="shared" ref="Y42:Y53" ca="1" si="47">AO42-O42</f>
        <v>0</v>
      </c>
      <c r="Z42" s="507"/>
      <c r="AB42" s="349"/>
      <c r="AC42" s="469"/>
      <c r="AD42" s="469"/>
      <c r="AE42" s="469"/>
      <c r="AF42" s="469"/>
      <c r="AG42" s="469"/>
      <c r="AH42" s="469"/>
      <c r="AI42" s="469"/>
      <c r="AJ42" s="469"/>
      <c r="AK42" s="469"/>
      <c r="AL42" s="469"/>
      <c r="AM42" s="350"/>
      <c r="AO42">
        <f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6" t="str">
        <f t="shared" ca="1" si="42"/>
        <v>F</v>
      </c>
      <c r="D43" s="119" t="str">
        <f ca="1">ORÇAMENTO!O43</f>
        <v>1.5.2.2.2.</v>
      </c>
      <c r="E43" s="170" t="str">
        <f t="shared" ca="1" si="35"/>
        <v>ARMAÇÃO DE SAPATA ISOLADA, VIGA BALDRAME E SAPATA CORRIDA UTILIZANDO AÇO CA-60 DE 5 MM - MONTAGEM. AF_01/2024</v>
      </c>
      <c r="F43" s="171" t="str">
        <f ca="1">IF(RegimeExecucao="Global","",ORÇAMENTO.Unidade)</f>
        <v>KG</v>
      </c>
      <c r="G43" s="124">
        <f ca="1">IF(RegimeExecucao="Global","",ORÇAMENTO!T43)</f>
        <v>133.5</v>
      </c>
      <c r="H43" s="124">
        <f ca="1">IF(RegimeExecucao="Global","",ORÇAMENTO!W43)</f>
        <v>21.94</v>
      </c>
      <c r="I43" s="127">
        <f ca="1">ORÇAMENTO!X43</f>
        <v>2928.99</v>
      </c>
      <c r="J43" s="345">
        <f ca="1">IF($A43="S",IF(CAIXA.Modo,BM.AFAnterior,BM.MEDAnterior),IF(AND(RegimeExecucao="Global",$I43&gt;0,COUNTIF($AB$13:$AM$13,BM.medicao-1)&gt;0),M43/$I43*100,0))</f>
        <v>0</v>
      </c>
      <c r="K43" s="124">
        <f t="shared" ca="1" si="43"/>
        <v>0</v>
      </c>
      <c r="L43" s="346">
        <f ca="1">IF($A43="S",IF(CAIXA.Modo,BM.AFAcumulado,BM.MEDAcumulado),IF(AND(RegimeExecucao="Global",$I43&gt;0,COUNTIF($AB$13:$AM$13,BM.medicao)&gt;0),O43/$I43*100,0))</f>
        <v>0</v>
      </c>
      <c r="M43" s="347">
        <f ca="1">IF($A43="S",VTOTALBM,IF($A43=0,0,ROUND(SomaAgrupBM,15-13*ORÇAMENTO!$AF$11)))</f>
        <v>0</v>
      </c>
      <c r="N43" s="348">
        <f t="shared" ca="1" si="44"/>
        <v>0</v>
      </c>
      <c r="O43" s="127">
        <f ca="1">IF($A43="S",VTOTALBM,IF($A43=0,0,ROUND(SomaAgrupBM,15-13*ORÇAMENTO!$AF$11)))</f>
        <v>0</v>
      </c>
      <c r="Q43" s="349"/>
      <c r="R43" s="350"/>
      <c r="T43" s="119" t="str">
        <f t="shared" ca="1" si="45"/>
        <v/>
      </c>
      <c r="U43" s="170" t="str">
        <f t="shared" ca="1" si="46"/>
        <v/>
      </c>
      <c r="V43" s="171" t="str">
        <f ca="1">IF(AND($W43&gt;0,RegimeExecucao="Unitário"),$F43,"")</f>
        <v/>
      </c>
      <c r="W43" s="486">
        <f ca="1">IF($Y43&gt;0,CHOOSE(MATCH(RegimeExecucao,{"Unitário","Global"},0),IF($A43="S",$Y43/$X43,""),($Y43/$X43)*100),0)</f>
        <v>0</v>
      </c>
      <c r="X43" s="351" t="str">
        <f ca="1">IF($Y43&gt;0,CHOOSE(MATCH(RegimeExecucao,{"Unitário","Global"},0),IF($A43="S",ROUND($H43,ORÇAMENTO!$AF$10),""),ROUND($I43,ORÇAMENTO!$AF$11)),"")</f>
        <v/>
      </c>
      <c r="Y43" s="351">
        <f t="shared" ca="1" si="47"/>
        <v>0</v>
      </c>
      <c r="Z43" s="507"/>
      <c r="AB43" s="349"/>
      <c r="AC43" s="469"/>
      <c r="AD43" s="469"/>
      <c r="AE43" s="469"/>
      <c r="AF43" s="469"/>
      <c r="AG43" s="469"/>
      <c r="AH43" s="469"/>
      <c r="AI43" s="469"/>
      <c r="AJ43" s="469"/>
      <c r="AK43" s="469"/>
      <c r="AL43" s="469"/>
      <c r="AM43" s="350"/>
      <c r="AO43">
        <f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6" t="str">
        <f t="shared" ca="1" si="42"/>
        <v>F</v>
      </c>
      <c r="D44" s="119" t="str">
        <f ca="1">ORÇAMENTO!O44</f>
        <v>1.5.2.2.3.</v>
      </c>
      <c r="E44" s="170" t="str">
        <f t="shared" ca="1" si="35"/>
        <v>ARMAÇÃO DE SAPATA ISOLADA, VIGA BALDRAME E SAPATA CORRIDA UTILIZANDO AÇO CA-50 DE 8 MM - MONTAGEM. AF_01/2024</v>
      </c>
      <c r="F44" s="171" t="str">
        <f ca="1">IF(RegimeExecucao="Global","",ORÇAMENTO.Unidade)</f>
        <v>KG</v>
      </c>
      <c r="G44" s="124">
        <f ca="1">IF(RegimeExecucao="Global","",ORÇAMENTO!T44)</f>
        <v>240.1</v>
      </c>
      <c r="H44" s="124">
        <f ca="1">IF(RegimeExecucao="Global","",ORÇAMENTO!W44)</f>
        <v>17.87</v>
      </c>
      <c r="I44" s="127">
        <f ca="1">ORÇAMENTO!X44</f>
        <v>4290.59</v>
      </c>
      <c r="J44" s="345">
        <f ca="1">IF($A44="S",IF(CAIXA.Modo,BM.AFAnterior,BM.MEDAnterior),IF(AND(RegimeExecucao="Global",$I44&gt;0,COUNTIF($AB$13:$AM$13,BM.medicao-1)&gt;0),M44/$I44*100,0))</f>
        <v>0</v>
      </c>
      <c r="K44" s="124">
        <f t="shared" ca="1" si="43"/>
        <v>0</v>
      </c>
      <c r="L44" s="346">
        <f ca="1">IF($A44="S",IF(CAIXA.Modo,BM.AFAcumulado,BM.MEDAcumulado),IF(AND(RegimeExecucao="Global",$I44&gt;0,COUNTIF($AB$13:$AM$13,BM.medicao)&gt;0),O44/$I44*100,0))</f>
        <v>0</v>
      </c>
      <c r="M44" s="347">
        <f ca="1">IF($A44="S",VTOTALBM,IF($A44=0,0,ROUND(SomaAgrupBM,15-13*ORÇAMENTO!$AF$11)))</f>
        <v>0</v>
      </c>
      <c r="N44" s="348">
        <f t="shared" ca="1" si="44"/>
        <v>0</v>
      </c>
      <c r="O44" s="127">
        <f ca="1">IF($A44="S",VTOTALBM,IF($A44=0,0,ROUND(SomaAgrupBM,15-13*ORÇAMENTO!$AF$11)))</f>
        <v>0</v>
      </c>
      <c r="Q44" s="349"/>
      <c r="R44" s="350"/>
      <c r="T44" s="119" t="str">
        <f t="shared" ca="1" si="45"/>
        <v/>
      </c>
      <c r="U44" s="170" t="str">
        <f t="shared" ca="1" si="46"/>
        <v/>
      </c>
      <c r="V44" s="171" t="str">
        <f ca="1">IF(AND($W44&gt;0,RegimeExecucao="Unitário"),$F44,"")</f>
        <v/>
      </c>
      <c r="W44" s="486">
        <f ca="1">IF($Y44&gt;0,CHOOSE(MATCH(RegimeExecucao,{"Unitário","Global"},0),IF($A44="S",$Y44/$X44,""),($Y44/$X44)*100),0)</f>
        <v>0</v>
      </c>
      <c r="X44" s="351" t="str">
        <f ca="1">IF($Y44&gt;0,CHOOSE(MATCH(RegimeExecucao,{"Unitário","Global"},0),IF($A44="S",ROUND($H44,ORÇAMENTO!$AF$10),""),ROUND($I44,ORÇAMENTO!$AF$11)),"")</f>
        <v/>
      </c>
      <c r="Y44" s="351">
        <f t="shared" ca="1" si="47"/>
        <v>0</v>
      </c>
      <c r="Z44" s="507"/>
      <c r="AB44" s="349"/>
      <c r="AC44" s="469"/>
      <c r="AD44" s="469"/>
      <c r="AE44" s="469"/>
      <c r="AF44" s="469"/>
      <c r="AG44" s="469"/>
      <c r="AH44" s="469"/>
      <c r="AI44" s="469"/>
      <c r="AJ44" s="469"/>
      <c r="AK44" s="469"/>
      <c r="AL44" s="469"/>
      <c r="AM44" s="350"/>
      <c r="AO44">
        <f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6" t="str">
        <f t="shared" ca="1" si="42"/>
        <v>F</v>
      </c>
      <c r="D45" s="119" t="str">
        <f ca="1">ORÇAMENTO!O45</f>
        <v>1.5.2.2.4.</v>
      </c>
      <c r="E45" s="170" t="str">
        <f t="shared" ca="1" si="35"/>
        <v>ARMAÇÃO DE SAPATA ISOLADA, VIGA BALDRAME E SAPATA CORRIDA UTILIZANDO AÇO CA-50 DE 10 MM - MONTAGEM. AF_01/2024</v>
      </c>
      <c r="F45" s="171" t="str">
        <f ca="1">IF(RegimeExecucao="Global","",ORÇAMENTO.Unidade)</f>
        <v>KG</v>
      </c>
      <c r="G45" s="124">
        <f ca="1">IF(RegimeExecucao="Global","",ORÇAMENTO!T45)</f>
        <v>262.39999999999998</v>
      </c>
      <c r="H45" s="124">
        <f ca="1">IF(RegimeExecucao="Global","",ORÇAMENTO!W45)</f>
        <v>15.74</v>
      </c>
      <c r="I45" s="127">
        <f ca="1">ORÇAMENTO!X45</f>
        <v>4130.18</v>
      </c>
      <c r="J45" s="345">
        <f ca="1">IF($A45="S",IF(CAIXA.Modo,BM.AFAnterior,BM.MEDAnterior),IF(AND(RegimeExecucao="Global",$I45&gt;0,COUNTIF($AB$13:$AM$13,BM.medicao-1)&gt;0),M45/$I45*100,0))</f>
        <v>0</v>
      </c>
      <c r="K45" s="124">
        <f t="shared" ca="1" si="43"/>
        <v>0</v>
      </c>
      <c r="L45" s="346">
        <f ca="1">IF($A45="S",IF(CAIXA.Modo,BM.AFAcumulado,BM.MEDAcumulado),IF(AND(RegimeExecucao="Global",$I45&gt;0,COUNTIF($AB$13:$AM$13,BM.medicao)&gt;0),O45/$I45*100,0))</f>
        <v>0</v>
      </c>
      <c r="M45" s="347">
        <f ca="1">IF($A45="S",VTOTALBM,IF($A45=0,0,ROUND(SomaAgrupBM,15-13*ORÇAMENTO!$AF$11)))</f>
        <v>0</v>
      </c>
      <c r="N45" s="348">
        <f t="shared" ca="1" si="44"/>
        <v>0</v>
      </c>
      <c r="O45" s="127">
        <f ca="1">IF($A45="S",VTOTALBM,IF($A45=0,0,ROUND(SomaAgrupBM,15-13*ORÇAMENTO!$AF$11)))</f>
        <v>0</v>
      </c>
      <c r="Q45" s="349"/>
      <c r="R45" s="350"/>
      <c r="T45" s="119" t="str">
        <f t="shared" ca="1" si="45"/>
        <v/>
      </c>
      <c r="U45" s="170" t="str">
        <f t="shared" ca="1" si="46"/>
        <v/>
      </c>
      <c r="V45" s="171" t="str">
        <f ca="1">IF(AND($W45&gt;0,RegimeExecucao="Unitário"),$F45,"")</f>
        <v/>
      </c>
      <c r="W45" s="486">
        <f ca="1">IF($Y45&gt;0,CHOOSE(MATCH(RegimeExecucao,{"Unitário","Global"},0),IF($A45="S",$Y45/$X45,""),($Y45/$X45)*100),0)</f>
        <v>0</v>
      </c>
      <c r="X45" s="351" t="str">
        <f ca="1">IF($Y45&gt;0,CHOOSE(MATCH(RegimeExecucao,{"Unitário","Global"},0),IF($A45="S",ROUND($H45,ORÇAMENTO!$AF$10),""),ROUND($I45,ORÇAMENTO!$AF$11)),"")</f>
        <v/>
      </c>
      <c r="Y45" s="351">
        <f t="shared" ca="1" si="47"/>
        <v>0</v>
      </c>
      <c r="Z45" s="507"/>
      <c r="AB45" s="349"/>
      <c r="AC45" s="469"/>
      <c r="AD45" s="469"/>
      <c r="AE45" s="469"/>
      <c r="AF45" s="469"/>
      <c r="AG45" s="469"/>
      <c r="AH45" s="469"/>
      <c r="AI45" s="469"/>
      <c r="AJ45" s="469"/>
      <c r="AK45" s="469"/>
      <c r="AL45" s="469"/>
      <c r="AM45" s="350"/>
      <c r="AO45">
        <f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6" t="str">
        <f t="shared" ca="1" si="42"/>
        <v>F</v>
      </c>
      <c r="D46" s="119" t="str">
        <f ca="1">ORÇAMENTO!O46</f>
        <v>1.5.2.2.5.</v>
      </c>
      <c r="E46" s="170" t="str">
        <f t="shared" ca="1" si="35"/>
        <v>ARMAÇÃO DE BLOCO, SAPATA ISOLADA, VIGA BALDRAME E SAPATA CORRIDA UTILIZANDO AÇO CA-50 DE 12,5 MM - MONTAGEM. AF_01/2024</v>
      </c>
      <c r="F46" s="171" t="str">
        <f ca="1">IF(RegimeExecucao="Global","",ORÇAMENTO.Unidade)</f>
        <v>KG</v>
      </c>
      <c r="G46" s="124">
        <f ca="1">IF(RegimeExecucao="Global","",ORÇAMENTO!T46)</f>
        <v>184.6</v>
      </c>
      <c r="H46" s="124">
        <f ca="1">IF(RegimeExecucao="Global","",ORÇAMENTO!W46)</f>
        <v>13.29</v>
      </c>
      <c r="I46" s="127">
        <f ca="1">ORÇAMENTO!X46</f>
        <v>2453.33</v>
      </c>
      <c r="J46" s="345">
        <f ca="1">IF($A46="S",IF(CAIXA.Modo,BM.AFAnterior,BM.MEDAnterior),IF(AND(RegimeExecucao="Global",$I46&gt;0,COUNTIF($AB$13:$AM$13,BM.medicao-1)&gt;0),M46/$I46*100,0))</f>
        <v>0</v>
      </c>
      <c r="K46" s="124">
        <f t="shared" ca="1" si="43"/>
        <v>0</v>
      </c>
      <c r="L46" s="346">
        <f ca="1">IF($A46="S",IF(CAIXA.Modo,BM.AFAcumulado,BM.MEDAcumulado),IF(AND(RegimeExecucao="Global",$I46&gt;0,COUNTIF($AB$13:$AM$13,BM.medicao)&gt;0),O46/$I46*100,0))</f>
        <v>0</v>
      </c>
      <c r="M46" s="347">
        <f ca="1">IF($A46="S",VTOTALBM,IF($A46=0,0,ROUND(SomaAgrupBM,15-13*ORÇAMENTO!$AF$11)))</f>
        <v>0</v>
      </c>
      <c r="N46" s="348">
        <f t="shared" ca="1" si="44"/>
        <v>0</v>
      </c>
      <c r="O46" s="127">
        <f ca="1">IF($A46="S",VTOTALBM,IF($A46=0,0,ROUND(SomaAgrupBM,15-13*ORÇAMENTO!$AF$11)))</f>
        <v>0</v>
      </c>
      <c r="Q46" s="349"/>
      <c r="R46" s="350"/>
      <c r="T46" s="119" t="str">
        <f t="shared" ca="1" si="45"/>
        <v/>
      </c>
      <c r="U46" s="170" t="str">
        <f t="shared" ca="1" si="46"/>
        <v/>
      </c>
      <c r="V46" s="171" t="str">
        <f ca="1">IF(AND($W46&gt;0,RegimeExecucao="Unitário"),$F46,"")</f>
        <v/>
      </c>
      <c r="W46" s="486">
        <f ca="1">IF($Y46&gt;0,CHOOSE(MATCH(RegimeExecucao,{"Unitário","Global"},0),IF($A46="S",$Y46/$X46,""),($Y46/$X46)*100),0)</f>
        <v>0</v>
      </c>
      <c r="X46" s="351" t="str">
        <f ca="1">IF($Y46&gt;0,CHOOSE(MATCH(RegimeExecucao,{"Unitário","Global"},0),IF($A46="S",ROUND($H46,ORÇAMENTO!$AF$10),""),ROUND($I46,ORÇAMENTO!$AF$11)),"")</f>
        <v/>
      </c>
      <c r="Y46" s="351">
        <f t="shared" ca="1" si="47"/>
        <v>0</v>
      </c>
      <c r="Z46" s="507"/>
      <c r="AB46" s="349"/>
      <c r="AC46" s="469"/>
      <c r="AD46" s="469"/>
      <c r="AE46" s="469"/>
      <c r="AF46" s="469"/>
      <c r="AG46" s="469"/>
      <c r="AH46" s="469"/>
      <c r="AI46" s="469"/>
      <c r="AJ46" s="469"/>
      <c r="AK46" s="469"/>
      <c r="AL46" s="469"/>
      <c r="AM46" s="350"/>
      <c r="AO46">
        <f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6" t="str">
        <f t="shared" ca="1" si="42"/>
        <v>F</v>
      </c>
      <c r="D47" s="119" t="str">
        <f ca="1">ORÇAMENTO!O47</f>
        <v>1.5.2.2.6.</v>
      </c>
      <c r="E47" s="170" t="str">
        <f t="shared" ca="1" si="35"/>
        <v>CONCRETAGEM DE BLOCO DE COROAMENTO OU VIGA BALDRAME, FCK 30 MPA, COM USO DE BOMBA - LANÇAMENTO, ADENSAMENTO E ACABAMENTO. AF_01/2024</v>
      </c>
      <c r="F47" s="171" t="str">
        <f ca="1">IF(RegimeExecucao="Global","",ORÇAMENTO.Unidade)</f>
        <v>M3</v>
      </c>
      <c r="G47" s="124">
        <f ca="1">IF(RegimeExecucao="Global","",ORÇAMENTO!T47)</f>
        <v>23.62</v>
      </c>
      <c r="H47" s="124">
        <f ca="1">IF(RegimeExecucao="Global","",ORÇAMENTO!W47)</f>
        <v>1109.3</v>
      </c>
      <c r="I47" s="127">
        <f ca="1">ORÇAMENTO!X47</f>
        <v>26201.67</v>
      </c>
      <c r="J47" s="345">
        <f ca="1">IF($A47="S",IF(CAIXA.Modo,BM.AFAnterior,BM.MEDAnterior),IF(AND(RegimeExecucao="Global",$I47&gt;0,COUNTIF($AB$13:$AM$13,BM.medicao-1)&gt;0),M47/$I47*100,0))</f>
        <v>0</v>
      </c>
      <c r="K47" s="124">
        <f t="shared" ca="1" si="43"/>
        <v>0</v>
      </c>
      <c r="L47" s="346">
        <f ca="1">IF($A47="S",IF(CAIXA.Modo,BM.AFAcumulado,BM.MEDAcumulado),IF(AND(RegimeExecucao="Global",$I47&gt;0,COUNTIF($AB$13:$AM$13,BM.medicao)&gt;0),O47/$I47*100,0))</f>
        <v>0</v>
      </c>
      <c r="M47" s="347">
        <f ca="1">IF($A47="S",VTOTALBM,IF($A47=0,0,ROUND(SomaAgrupBM,15-13*ORÇAMENTO!$AF$11)))</f>
        <v>0</v>
      </c>
      <c r="N47" s="348">
        <f t="shared" ca="1" si="44"/>
        <v>0</v>
      </c>
      <c r="O47" s="127">
        <f ca="1">IF($A47="S",VTOTALBM,IF($A47=0,0,ROUND(SomaAgrupBM,15-13*ORÇAMENTO!$AF$11)))</f>
        <v>0</v>
      </c>
      <c r="Q47" s="349"/>
      <c r="R47" s="350"/>
      <c r="T47" s="119" t="str">
        <f t="shared" ca="1" si="45"/>
        <v/>
      </c>
      <c r="U47" s="170" t="str">
        <f t="shared" ca="1" si="46"/>
        <v/>
      </c>
      <c r="V47" s="171" t="str">
        <f ca="1">IF(AND($W47&gt;0,RegimeExecucao="Unitário"),$F47,"")</f>
        <v/>
      </c>
      <c r="W47" s="486">
        <f ca="1">IF($Y47&gt;0,CHOOSE(MATCH(RegimeExecucao,{"Unitário","Global"},0),IF($A47="S",$Y47/$X47,""),($Y47/$X47)*100),0)</f>
        <v>0</v>
      </c>
      <c r="X47" s="351" t="str">
        <f ca="1">IF($Y47&gt;0,CHOOSE(MATCH(RegimeExecucao,{"Unitário","Global"},0),IF($A47="S",ROUND($H47,ORÇAMENTO!$AF$10),""),ROUND($I47,ORÇAMENTO!$AF$11)),"")</f>
        <v/>
      </c>
      <c r="Y47" s="351">
        <f t="shared" ca="1" si="47"/>
        <v>0</v>
      </c>
      <c r="Z47" s="507"/>
      <c r="AB47" s="349"/>
      <c r="AC47" s="469"/>
      <c r="AD47" s="469"/>
      <c r="AE47" s="469"/>
      <c r="AF47" s="469"/>
      <c r="AG47" s="469"/>
      <c r="AH47" s="469"/>
      <c r="AI47" s="469"/>
      <c r="AJ47" s="469"/>
      <c r="AK47" s="469"/>
      <c r="AL47" s="469"/>
      <c r="AM47" s="350"/>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3</v>
      </c>
      <c r="B48">
        <f ca="1">ORÇAMENTO!D48</f>
        <v>7</v>
      </c>
      <c r="C48" s="116" t="str">
        <f t="shared" ca="1" si="42"/>
        <v>F</v>
      </c>
      <c r="D48" s="119" t="str">
        <f ca="1">ORÇAMENTO!O48</f>
        <v>1.5.3.</v>
      </c>
      <c r="E48" s="170" t="str">
        <f t="shared" si="35"/>
        <v>ESTRUTURA METÁLICA</v>
      </c>
      <c r="F48" s="171" t="str">
        <f ca="1">IF(RegimeExecucao="Global","",ORÇAMENTO.Unidade)</f>
        <v>-</v>
      </c>
      <c r="G48" s="124">
        <f ca="1">IF(RegimeExecucao="Global","",ORÇAMENTO!T48)</f>
        <v>0</v>
      </c>
      <c r="H48" s="124">
        <f ca="1">IF(RegimeExecucao="Global","",ORÇAMENTO!W48)</f>
        <v>0</v>
      </c>
      <c r="I48" s="127">
        <f ca="1">ORÇAMENTO!X48</f>
        <v>875741</v>
      </c>
      <c r="J48" s="345">
        <f ca="1">IF($A48="S",IF(CAIXA.Modo,BM.AFAnterior,BM.MEDAnterior),IF(AND(RegimeExecucao="Global",$I48&gt;0,COUNTIF($AB$13:$AM$13,BM.medicao-1)&gt;0),M48/$I48*100,0))</f>
        <v>0</v>
      </c>
      <c r="K48" s="124">
        <f t="shared" ca="1" si="43"/>
        <v>0</v>
      </c>
      <c r="L48" s="346">
        <f ca="1">IF($A48="S",IF(CAIXA.Modo,BM.AFAcumulado,BM.MEDAcumulado),IF(AND(RegimeExecucao="Global",$I48&gt;0,COUNTIF($AB$13:$AM$13,BM.medicao)&gt;0),O48/$I48*100,0))</f>
        <v>0</v>
      </c>
      <c r="M48" s="347">
        <f ca="1">IF($A48="S",VTOTALBM,IF($A48=0,0,ROUND(SomaAgrupBM,15-13*ORÇAMENTO!$AF$11)))</f>
        <v>0</v>
      </c>
      <c r="N48" s="348">
        <f t="shared" ca="1" si="44"/>
        <v>0</v>
      </c>
      <c r="O48" s="127">
        <f ca="1">IF($A48="S",VTOTALBM,IF($A48=0,0,ROUND(SomaAgrupBM,15-13*ORÇAMENTO!$AF$11)))</f>
        <v>0</v>
      </c>
      <c r="Q48" s="349"/>
      <c r="R48" s="350"/>
      <c r="T48" s="119" t="str">
        <f t="shared" ca="1" si="45"/>
        <v/>
      </c>
      <c r="U48" s="170" t="str">
        <f t="shared" ca="1" si="46"/>
        <v/>
      </c>
      <c r="V48" s="171" t="str">
        <f ca="1">IF(AND($W48&gt;0,RegimeExecucao="Unitário"),$F48,"")</f>
        <v/>
      </c>
      <c r="W48" s="486">
        <f ca="1">IF($Y48&gt;0,CHOOSE(MATCH(RegimeExecucao,{"Unitário","Global"},0),IF($A48="S",$Y48/$X48,""),($Y48/$X48)*100),0)</f>
        <v>0</v>
      </c>
      <c r="X48" s="351" t="str">
        <f ca="1">IF($Y48&gt;0,CHOOSE(MATCH(RegimeExecucao,{"Unitário","Global"},0),IF($A48="S",ROUND($H48,ORÇAMENTO!$AF$10),""),ROUND($I48,ORÇAMENTO!$AF$11)),"")</f>
        <v/>
      </c>
      <c r="Y48" s="351">
        <f t="shared" ca="1" si="47"/>
        <v>0</v>
      </c>
      <c r="Z48" s="507"/>
      <c r="AB48" s="349"/>
      <c r="AC48" s="469"/>
      <c r="AD48" s="469"/>
      <c r="AE48" s="469"/>
      <c r="AF48" s="469"/>
      <c r="AG48" s="469"/>
      <c r="AH48" s="469"/>
      <c r="AI48" s="469"/>
      <c r="AJ48" s="469"/>
      <c r="AK48" s="469"/>
      <c r="AL48" s="469"/>
      <c r="AM48" s="350"/>
      <c r="AO48">
        <f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f ca="1">ORÇAMENTO!C49</f>
        <v>4</v>
      </c>
      <c r="B49">
        <f ca="1">ORÇAMENTO!D49</f>
        <v>2</v>
      </c>
      <c r="C49" s="116" t="str">
        <f t="shared" ca="1" si="42"/>
        <v>F</v>
      </c>
      <c r="D49" s="119" t="str">
        <f ca="1">ORÇAMENTO!O49</f>
        <v>1.5.3.1.</v>
      </c>
      <c r="E49" s="170" t="str">
        <f t="shared" si="35"/>
        <v>BLANK DE FIXAÇÃO</v>
      </c>
      <c r="F49" s="171" t="str">
        <f ca="1">IF(RegimeExecucao="Global","",ORÇAMENTO.Unidade)</f>
        <v>-</v>
      </c>
      <c r="G49" s="124">
        <f ca="1">IF(RegimeExecucao="Global","",ORÇAMENTO!T49)</f>
        <v>0</v>
      </c>
      <c r="H49" s="124">
        <f ca="1">IF(RegimeExecucao="Global","",ORÇAMENTO!W49)</f>
        <v>0</v>
      </c>
      <c r="I49" s="127">
        <f ca="1">ORÇAMENTO!X49</f>
        <v>16133.09</v>
      </c>
      <c r="J49" s="345">
        <f ca="1">IF($A49="S",IF(CAIXA.Modo,BM.AFAnterior,BM.MEDAnterior),IF(AND(RegimeExecucao="Global",$I49&gt;0,COUNTIF($AB$13:$AM$13,BM.medicao-1)&gt;0),M49/$I49*100,0))</f>
        <v>0</v>
      </c>
      <c r="K49" s="124">
        <f t="shared" ca="1" si="43"/>
        <v>0</v>
      </c>
      <c r="L49" s="346">
        <f ca="1">IF($A49="S",IF(CAIXA.Modo,BM.AFAcumulado,BM.MEDAcumulado),IF(AND(RegimeExecucao="Global",$I49&gt;0,COUNTIF($AB$13:$AM$13,BM.medicao)&gt;0),O49/$I49*100,0))</f>
        <v>0</v>
      </c>
      <c r="M49" s="347">
        <f ca="1">IF($A49="S",VTOTALBM,IF($A49=0,0,ROUND(SomaAgrupBM,15-13*ORÇAMENTO!$AF$11)))</f>
        <v>0</v>
      </c>
      <c r="N49" s="348">
        <f t="shared" ca="1" si="44"/>
        <v>0</v>
      </c>
      <c r="O49" s="127">
        <f ca="1">IF($A49="S",VTOTALBM,IF($A49=0,0,ROUND(SomaAgrupBM,15-13*ORÇAMENTO!$AF$11)))</f>
        <v>0</v>
      </c>
      <c r="Q49" s="349"/>
      <c r="R49" s="350"/>
      <c r="T49" s="119" t="str">
        <f t="shared" ca="1" si="45"/>
        <v/>
      </c>
      <c r="U49" s="170" t="str">
        <f t="shared" ca="1" si="46"/>
        <v/>
      </c>
      <c r="V49" s="171" t="str">
        <f ca="1">IF(AND($W49&gt;0,RegimeExecucao="Unitário"),$F49,"")</f>
        <v/>
      </c>
      <c r="W49" s="486">
        <f ca="1">IF($Y49&gt;0,CHOOSE(MATCH(RegimeExecucao,{"Unitário","Global"},0),IF($A49="S",$Y49/$X49,""),($Y49/$X49)*100),0)</f>
        <v>0</v>
      </c>
      <c r="X49" s="351" t="str">
        <f ca="1">IF($Y49&gt;0,CHOOSE(MATCH(RegimeExecucao,{"Unitário","Global"},0),IF($A49="S",ROUND($H49,ORÇAMENTO!$AF$10),""),ROUND($I49,ORÇAMENTO!$AF$11)),"")</f>
        <v/>
      </c>
      <c r="Y49" s="351">
        <f t="shared" ca="1" si="47"/>
        <v>0</v>
      </c>
      <c r="Z49" s="507"/>
      <c r="AB49" s="349"/>
      <c r="AC49" s="469"/>
      <c r="AD49" s="469"/>
      <c r="AE49" s="469"/>
      <c r="AF49" s="469"/>
      <c r="AG49" s="469"/>
      <c r="AH49" s="469"/>
      <c r="AI49" s="469"/>
      <c r="AJ49" s="469"/>
      <c r="AK49" s="469"/>
      <c r="AL49" s="469"/>
      <c r="AM49" s="350"/>
      <c r="AO49">
        <f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6" t="str">
        <f t="shared" ca="1" si="42"/>
        <v>F</v>
      </c>
      <c r="D50" s="119" t="str">
        <f ca="1">ORÇAMENTO!O50</f>
        <v>1.5.3.1.1.</v>
      </c>
      <c r="E50" s="170" t="str">
        <f t="shared" ca="1" si="35"/>
        <v>​COM-13231562​ BLANCK DE FIXAÇÃO EM CHAPA DE AÇO, ESPESSURA 3/4", DIMENSÕES 50X25CM - FORNECIMENTO E INSTALAÇÃO​ (UND)</v>
      </c>
      <c r="F50" s="171" t="str">
        <f ca="1">IF(RegimeExecucao="Global","",ORÇAMENTO.Unidade)</f>
        <v>UN</v>
      </c>
      <c r="G50" s="124">
        <f ca="1">IF(RegimeExecucao="Global","",ORÇAMENTO!T50)</f>
        <v>41</v>
      </c>
      <c r="H50" s="124">
        <f ca="1">IF(RegimeExecucao="Global","",ORÇAMENTO!W50)</f>
        <v>393.49</v>
      </c>
      <c r="I50" s="127">
        <f ca="1">ORÇAMENTO!X50</f>
        <v>16133.09</v>
      </c>
      <c r="J50" s="345">
        <f ca="1">IF($A50="S",IF(CAIXA.Modo,BM.AFAnterior,BM.MEDAnterior),IF(AND(RegimeExecucao="Global",$I50&gt;0,COUNTIF($AB$13:$AM$13,BM.medicao-1)&gt;0),M50/$I50*100,0))</f>
        <v>0</v>
      </c>
      <c r="K50" s="124">
        <f t="shared" ca="1" si="43"/>
        <v>0</v>
      </c>
      <c r="L50" s="346">
        <f ca="1">IF($A50="S",IF(CAIXA.Modo,BM.AFAcumulado,BM.MEDAcumulado),IF(AND(RegimeExecucao="Global",$I50&gt;0,COUNTIF($AB$13:$AM$13,BM.medicao)&gt;0),O50/$I50*100,0))</f>
        <v>0</v>
      </c>
      <c r="M50" s="347">
        <f ca="1">IF($A50="S",VTOTALBM,IF($A50=0,0,ROUND(SomaAgrupBM,15-13*ORÇAMENTO!$AF$11)))</f>
        <v>0</v>
      </c>
      <c r="N50" s="348">
        <f t="shared" ca="1" si="44"/>
        <v>0</v>
      </c>
      <c r="O50" s="127">
        <f ca="1">IF($A50="S",VTOTALBM,IF($A50=0,0,ROUND(SomaAgrupBM,15-13*ORÇAMENTO!$AF$11)))</f>
        <v>0</v>
      </c>
      <c r="Q50" s="349"/>
      <c r="R50" s="350"/>
      <c r="T50" s="119" t="str">
        <f t="shared" ca="1" si="45"/>
        <v/>
      </c>
      <c r="U50" s="170" t="str">
        <f t="shared" ca="1" si="46"/>
        <v/>
      </c>
      <c r="V50" s="171" t="str">
        <f ca="1">IF(AND($W50&gt;0,RegimeExecucao="Unitário"),$F50,"")</f>
        <v/>
      </c>
      <c r="W50" s="486">
        <f ca="1">IF($Y50&gt;0,CHOOSE(MATCH(RegimeExecucao,{"Unitário","Global"},0),IF($A50="S",$Y50/$X50,""),($Y50/$X50)*100),0)</f>
        <v>0</v>
      </c>
      <c r="X50" s="351" t="str">
        <f ca="1">IF($Y50&gt;0,CHOOSE(MATCH(RegimeExecucao,{"Unitário","Global"},0),IF($A50="S",ROUND($H50,ORÇAMENTO!$AF$10),""),ROUND($I50,ORÇAMENTO!$AF$11)),"")</f>
        <v/>
      </c>
      <c r="Y50" s="351">
        <f t="shared" ca="1" si="47"/>
        <v>0</v>
      </c>
      <c r="Z50" s="507"/>
      <c r="AB50" s="349"/>
      <c r="AC50" s="469"/>
      <c r="AD50" s="469"/>
      <c r="AE50" s="469"/>
      <c r="AF50" s="469"/>
      <c r="AG50" s="469"/>
      <c r="AH50" s="469"/>
      <c r="AI50" s="469"/>
      <c r="AJ50" s="469"/>
      <c r="AK50" s="469"/>
      <c r="AL50" s="469"/>
      <c r="AM50" s="350"/>
      <c r="AO50">
        <f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4</v>
      </c>
      <c r="B51">
        <f ca="1">ORÇAMENTO!D51</f>
        <v>2</v>
      </c>
      <c r="C51" s="116" t="str">
        <f t="shared" ca="1" si="42"/>
        <v>F</v>
      </c>
      <c r="D51" s="119" t="str">
        <f ca="1">ORÇAMENTO!O51</f>
        <v>1.5.3.2.</v>
      </c>
      <c r="E51" s="170" t="str">
        <f t="shared" si="35"/>
        <v>ESTRUTURA DA COBERTURA</v>
      </c>
      <c r="F51" s="171" t="str">
        <f ca="1">IF(RegimeExecucao="Global","",ORÇAMENTO.Unidade)</f>
        <v>-</v>
      </c>
      <c r="G51" s="124">
        <f ca="1">IF(RegimeExecucao="Global","",ORÇAMENTO!T51)</f>
        <v>0</v>
      </c>
      <c r="H51" s="124">
        <f ca="1">IF(RegimeExecucao="Global","",ORÇAMENTO!W51)</f>
        <v>0</v>
      </c>
      <c r="I51" s="127">
        <f ca="1">ORÇAMENTO!X51</f>
        <v>653268.12</v>
      </c>
      <c r="J51" s="345">
        <f ca="1">IF($A51="S",IF(CAIXA.Modo,BM.AFAnterior,BM.MEDAnterior),IF(AND(RegimeExecucao="Global",$I51&gt;0,COUNTIF($AB$13:$AM$13,BM.medicao-1)&gt;0),M51/$I51*100,0))</f>
        <v>0</v>
      </c>
      <c r="K51" s="124">
        <f t="shared" ca="1" si="43"/>
        <v>0</v>
      </c>
      <c r="L51" s="346">
        <f ca="1">IF($A51="S",IF(CAIXA.Modo,BM.AFAcumulado,BM.MEDAcumulado),IF(AND(RegimeExecucao="Global",$I51&gt;0,COUNTIF($AB$13:$AM$13,BM.medicao)&gt;0),O51/$I51*100,0))</f>
        <v>0</v>
      </c>
      <c r="M51" s="347">
        <f ca="1">IF($A51="S",VTOTALBM,IF($A51=0,0,ROUND(SomaAgrupBM,15-13*ORÇAMENTO!$AF$11)))</f>
        <v>0</v>
      </c>
      <c r="N51" s="348">
        <f t="shared" ca="1" si="44"/>
        <v>0</v>
      </c>
      <c r="O51" s="127">
        <f ca="1">IF($A51="S",VTOTALBM,IF($A51=0,0,ROUND(SomaAgrupBM,15-13*ORÇAMENTO!$AF$11)))</f>
        <v>0</v>
      </c>
      <c r="Q51" s="349"/>
      <c r="R51" s="350"/>
      <c r="T51" s="119" t="str">
        <f t="shared" ca="1" si="45"/>
        <v/>
      </c>
      <c r="U51" s="170" t="str">
        <f t="shared" ca="1" si="46"/>
        <v/>
      </c>
      <c r="V51" s="171" t="str">
        <f ca="1">IF(AND($W51&gt;0,RegimeExecucao="Unitário"),$F51,"")</f>
        <v/>
      </c>
      <c r="W51" s="486">
        <f ca="1">IF($Y51&gt;0,CHOOSE(MATCH(RegimeExecucao,{"Unitário","Global"},0),IF($A51="S",$Y51/$X51,""),($Y51/$X51)*100),0)</f>
        <v>0</v>
      </c>
      <c r="X51" s="351" t="str">
        <f ca="1">IF($Y51&gt;0,CHOOSE(MATCH(RegimeExecucao,{"Unitário","Global"},0),IF($A51="S",ROUND($H51,ORÇAMENTO!$AF$10),""),ROUND($I51,ORÇAMENTO!$AF$11)),"")</f>
        <v/>
      </c>
      <c r="Y51" s="351">
        <f t="shared" ca="1" si="47"/>
        <v>0</v>
      </c>
      <c r="Z51" s="507"/>
      <c r="AB51" s="349"/>
      <c r="AC51" s="469"/>
      <c r="AD51" s="469"/>
      <c r="AE51" s="469"/>
      <c r="AF51" s="469"/>
      <c r="AG51" s="469"/>
      <c r="AH51" s="469"/>
      <c r="AI51" s="469"/>
      <c r="AJ51" s="469"/>
      <c r="AK51" s="469"/>
      <c r="AL51" s="469"/>
      <c r="AM51" s="350"/>
      <c r="AO51">
        <f ca="1">IF($A51="S",IF(BM!$I51=0,0,CHOOSE(MATCH(RegimeExecucao,{"Global","Unitário"},0),ROUND(ROUND(BM.MEDAcumulado,15-13*BM!$A$9)/100*BM!$I51,15-13*ORÇAMENTO!$AF$11),ROUND(ROUND(BM.MEDAcumulado,15-13*BM!$A$9)*ROUND(BM!$H51,15-13*ORÇAMENTO!$AF$10),15-13*ORÇAMENTO!$AF$11))),IF($A51=0,0,ROUND(SomaAgrupBM,15-13*ORÇAMENTO!$AF$11)))</f>
        <v>0</v>
      </c>
    </row>
    <row r="52" spans="1:41" ht="51" x14ac:dyDescent="0.2">
      <c r="A52" t="str">
        <f ca="1">ORÇAMENTO!C52</f>
        <v>S</v>
      </c>
      <c r="B52">
        <f ca="1">ORÇAMENTO!D52</f>
        <v>0</v>
      </c>
      <c r="C52" s="116" t="str">
        <f ca="1">IF(OR($I52&gt;0,$A52=1,$A52=2,$A52=3,$A52=4),"F","")</f>
        <v>F</v>
      </c>
      <c r="D52" s="119" t="str">
        <f ca="1">ORÇAMENTO!O52</f>
        <v>1.5.3.2.1.</v>
      </c>
      <c r="E52" s="170" t="str">
        <f ca="1">ORÇAMENTO.Descricao</f>
        <v>​COM-17140380​ ESTRUTURA TRELIÇADA DE COBERTURA, TIPO FINK, COM LIGAÇÕES SOLDADAS, INCLUSOS PERFIS METÁLICOS, CHAPAS METÁLICAS, MÃO DE OBRA E TRANSPORTE COM GUINDASTE - FORNECIMENTO E INSTALAÇÃO​ (KG)</v>
      </c>
      <c r="F52" s="171" t="str">
        <f ca="1">IF(RegimeExecucao="Global","",ORÇAMENTO.Unidade)</f>
        <v>KG</v>
      </c>
      <c r="G52" s="124">
        <f ca="1">IF(RegimeExecucao="Global","",ORÇAMENTO!T52)</f>
        <v>35658.74</v>
      </c>
      <c r="H52" s="124">
        <f ca="1">IF(RegimeExecucao="Global","",ORÇAMENTO!W52)</f>
        <v>18.32</v>
      </c>
      <c r="I52" s="127">
        <f ca="1">ORÇAMENTO!X52</f>
        <v>653268.12</v>
      </c>
      <c r="J52" s="345">
        <f ca="1">IF($A52="S",IF(CAIXA.Modo,BM.AFAnterior,BM.MEDAnterior),IF(AND(RegimeExecucao="Global",$I52&gt;0,COUNTIF($AB$13:$AM$13,BM.medicao-1)&gt;0),M52/$I52*100,0))</f>
        <v>0</v>
      </c>
      <c r="K52" s="124">
        <f ca="1">L52-J52</f>
        <v>0</v>
      </c>
      <c r="L52" s="346">
        <f ca="1">IF($A52="S",IF(CAIXA.Modo,BM.AFAcumulado,BM.MEDAcumulado),IF(AND(RegimeExecucao="Global",$I52&gt;0,COUNTIF($AB$13:$AM$13,BM.medicao)&gt;0),O52/$I52*100,0))</f>
        <v>0</v>
      </c>
      <c r="M52" s="347">
        <f ca="1">IF($A52="S",VTOTALBM,IF($A52=0,0,ROUND(SomaAgrupBM,15-13*ORÇAMENTO!$AF$11)))</f>
        <v>0</v>
      </c>
      <c r="N52" s="348">
        <f ca="1">O52-M52</f>
        <v>0</v>
      </c>
      <c r="O52" s="127">
        <f ca="1">IF($A52="S",VTOTALBM,IF($A52=0,0,ROUND(SomaAgrupBM,15-13*ORÇAMENTO!$AF$11)))</f>
        <v>0</v>
      </c>
      <c r="Q52" s="349"/>
      <c r="R52" s="350"/>
      <c r="T52" s="119" t="str">
        <f ca="1">IF($W52&gt;0,$D52,"")</f>
        <v/>
      </c>
      <c r="U52" s="170" t="str">
        <f ca="1">IF($W52&gt;0,$E52,"")</f>
        <v/>
      </c>
      <c r="V52" s="171" t="str">
        <f ca="1">IF(AND($W52&gt;0,RegimeExecucao="Unitário"),$F52,"")</f>
        <v/>
      </c>
      <c r="W52" s="486">
        <f ca="1">IF($Y52&gt;0,CHOOSE(MATCH(RegimeExecucao,{"Unitário","Global"},0),IF($A52="S",$Y52/$X52,""),($Y52/$X52)*100),0)</f>
        <v>0</v>
      </c>
      <c r="X52" s="351" t="str">
        <f ca="1">IF($Y52&gt;0,CHOOSE(MATCH(RegimeExecucao,{"Unitário","Global"},0),IF($A52="S",ROUND($H52,ORÇAMENTO!$AF$10),""),ROUND($I52,ORÇAMENTO!$AF$11)),"")</f>
        <v/>
      </c>
      <c r="Y52" s="351">
        <f ca="1">AO52-O52</f>
        <v>0</v>
      </c>
      <c r="Z52" s="507"/>
      <c r="AB52" s="349"/>
      <c r="AC52" s="469"/>
      <c r="AD52" s="469"/>
      <c r="AE52" s="469"/>
      <c r="AF52" s="469"/>
      <c r="AG52" s="469"/>
      <c r="AH52" s="469"/>
      <c r="AI52" s="469"/>
      <c r="AJ52" s="469"/>
      <c r="AK52" s="469"/>
      <c r="AL52" s="469"/>
      <c r="AM52" s="350"/>
      <c r="AO52">
        <f ca="1">IF($A52="S",IF(BM!$I52=0,0,CHOOSE(MATCH(RegimeExecucao,{"Global","Unitário"},0),ROUND(ROUND(BM.MEDAcumulado,15-13*BM!$A$9)/100*BM!$I52,15-13*ORÇAMENTO!$AF$11),ROUND(ROUND(BM.MEDAcumulado,15-13*BM!$A$9)*ROUND(BM!$H52,15-13*ORÇAMENTO!$AF$10),15-13*ORÇAMENTO!$AF$11))),IF($A52=0,0,ROUND(SomaAgrupBM,15-13*ORÇAMENTO!$AF$11)))</f>
        <v>0</v>
      </c>
    </row>
    <row r="53" spans="1:41" x14ac:dyDescent="0.2">
      <c r="A53">
        <f ca="1">ORÇAMENTO!C53</f>
        <v>4</v>
      </c>
      <c r="B53">
        <f ca="1">ORÇAMENTO!D53</f>
        <v>2</v>
      </c>
      <c r="C53" s="116" t="str">
        <f t="shared" ca="1" si="42"/>
        <v>F</v>
      </c>
      <c r="D53" s="119" t="str">
        <f ca="1">ORÇAMENTO!O53</f>
        <v>1.5.3.3.</v>
      </c>
      <c r="E53" s="170" t="str">
        <f t="shared" si="35"/>
        <v>MARQUIZE METÁLICA</v>
      </c>
      <c r="F53" s="171" t="str">
        <f ca="1">IF(RegimeExecucao="Global","",ORÇAMENTO.Unidade)</f>
        <v>-</v>
      </c>
      <c r="G53" s="124">
        <f ca="1">IF(RegimeExecucao="Global","",ORÇAMENTO!T53)</f>
        <v>0</v>
      </c>
      <c r="H53" s="124">
        <f ca="1">IF(RegimeExecucao="Global","",ORÇAMENTO!W53)</f>
        <v>0</v>
      </c>
      <c r="I53" s="127">
        <f ca="1">ORÇAMENTO!X53</f>
        <v>206339.79</v>
      </c>
      <c r="J53" s="345">
        <f ca="1">IF($A53="S",IF(CAIXA.Modo,BM.AFAnterior,BM.MEDAnterior),IF(AND(RegimeExecucao="Global",$I53&gt;0,COUNTIF($AB$13:$AM$13,BM.medicao-1)&gt;0),M53/$I53*100,0))</f>
        <v>0</v>
      </c>
      <c r="K53" s="124">
        <f t="shared" ca="1" si="43"/>
        <v>0</v>
      </c>
      <c r="L53" s="346">
        <f ca="1">IF($A53="S",IF(CAIXA.Modo,BM.AFAcumulado,BM.MEDAcumulado),IF(AND(RegimeExecucao="Global",$I53&gt;0,COUNTIF($AB$13:$AM$13,BM.medicao)&gt;0),O53/$I53*100,0))</f>
        <v>0</v>
      </c>
      <c r="M53" s="347">
        <f ca="1">IF($A53="S",VTOTALBM,IF($A53=0,0,ROUND(SomaAgrupBM,15-13*ORÇAMENTO!$AF$11)))</f>
        <v>0</v>
      </c>
      <c r="N53" s="348">
        <f t="shared" ca="1" si="44"/>
        <v>0</v>
      </c>
      <c r="O53" s="127">
        <f ca="1">IF($A53="S",VTOTALBM,IF($A53=0,0,ROUND(SomaAgrupBM,15-13*ORÇAMENTO!$AF$11)))</f>
        <v>0</v>
      </c>
      <c r="Q53" s="349"/>
      <c r="R53" s="350"/>
      <c r="T53" s="119" t="str">
        <f t="shared" ca="1" si="45"/>
        <v/>
      </c>
      <c r="U53" s="170" t="str">
        <f t="shared" ca="1" si="46"/>
        <v/>
      </c>
      <c r="V53" s="171" t="str">
        <f ca="1">IF(AND($W53&gt;0,RegimeExecucao="Unitário"),$F53,"")</f>
        <v/>
      </c>
      <c r="W53" s="486">
        <f ca="1">IF($Y53&gt;0,CHOOSE(MATCH(RegimeExecucao,{"Unitário","Global"},0),IF($A53="S",$Y53/$X53,""),($Y53/$X53)*100),0)</f>
        <v>0</v>
      </c>
      <c r="X53" s="351" t="str">
        <f ca="1">IF($Y53&gt;0,CHOOSE(MATCH(RegimeExecucao,{"Unitário","Global"},0),IF($A53="S",ROUND($H53,ORÇAMENTO!$AF$10),""),ROUND($I53,ORÇAMENTO!$AF$11)),"")</f>
        <v/>
      </c>
      <c r="Y53" s="351">
        <f t="shared" ca="1" si="47"/>
        <v>0</v>
      </c>
      <c r="Z53" s="507"/>
      <c r="AB53" s="349"/>
      <c r="AC53" s="469"/>
      <c r="AD53" s="469"/>
      <c r="AE53" s="469"/>
      <c r="AF53" s="469"/>
      <c r="AG53" s="469"/>
      <c r="AH53" s="469"/>
      <c r="AI53" s="469"/>
      <c r="AJ53" s="469"/>
      <c r="AK53" s="469"/>
      <c r="AL53" s="469"/>
      <c r="AM53" s="350"/>
      <c r="AO53">
        <f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6" t="str">
        <f ca="1">IF(OR($I54&gt;0,$A54=1,$A54=2,$A54=3,$A54=4),"F","")</f>
        <v>F</v>
      </c>
      <c r="D54" s="119" t="str">
        <f ca="1">ORÇAMENTO!O54</f>
        <v>1.5.3.3.1.</v>
      </c>
      <c r="E54" s="170" t="str">
        <f ca="1">ORÇAMENTO.Descricao</f>
        <v>​COM-68564105​ ESTRUTURA METÁLICA PARA MARQUIZE, EXECUTADA COM TUBOS DE AÇO QUADRADO 150X150X3,00MM - FORNECIMENTO E INSTALAÇÃO​ (M)</v>
      </c>
      <c r="F54" s="171" t="str">
        <f ca="1">IF(RegimeExecucao="Global","",ORÇAMENTO.Unidade)</f>
        <v>M</v>
      </c>
      <c r="G54" s="124">
        <f ca="1">IF(RegimeExecucao="Global","",ORÇAMENTO!T54)</f>
        <v>861.58</v>
      </c>
      <c r="H54" s="124">
        <f ca="1">IF(RegimeExecucao="Global","",ORÇAMENTO!W54)</f>
        <v>239.49</v>
      </c>
      <c r="I54" s="127">
        <f ca="1">ORÇAMENTO!X54</f>
        <v>206339.79</v>
      </c>
      <c r="J54" s="345">
        <f ca="1">IF($A54="S",IF(CAIXA.Modo,BM.AFAnterior,BM.MEDAnterior),IF(AND(RegimeExecucao="Global",$I54&gt;0,COUNTIF($AB$13:$AM$13,BM.medicao-1)&gt;0),M54/$I54*100,0))</f>
        <v>0</v>
      </c>
      <c r="K54" s="124">
        <f ca="1">L54-J54</f>
        <v>0</v>
      </c>
      <c r="L54" s="346">
        <f ca="1">IF($A54="S",IF(CAIXA.Modo,BM.AFAcumulado,BM.MEDAcumulado),IF(AND(RegimeExecucao="Global",$I54&gt;0,COUNTIF($AB$13:$AM$13,BM.medicao)&gt;0),O54/$I54*100,0))</f>
        <v>0</v>
      </c>
      <c r="M54" s="347">
        <f ca="1">IF($A54="S",VTOTALBM,IF($A54=0,0,ROUND(SomaAgrupBM,15-13*ORÇAMENTO!$AF$11)))</f>
        <v>0</v>
      </c>
      <c r="N54" s="348">
        <f ca="1">O54-M54</f>
        <v>0</v>
      </c>
      <c r="O54" s="127">
        <f ca="1">IF($A54="S",VTOTALBM,IF($A54=0,0,ROUND(SomaAgrupBM,15-13*ORÇAMENTO!$AF$11)))</f>
        <v>0</v>
      </c>
      <c r="Q54" s="349"/>
      <c r="R54" s="350"/>
      <c r="T54" s="119" t="str">
        <f ca="1">IF($W54&gt;0,$D54,"")</f>
        <v/>
      </c>
      <c r="U54" s="170" t="str">
        <f ca="1">IF($W54&gt;0,$E54,"")</f>
        <v/>
      </c>
      <c r="V54" s="171" t="str">
        <f ca="1">IF(AND($W54&gt;0,RegimeExecucao="Unitário"),$F54,"")</f>
        <v/>
      </c>
      <c r="W54" s="486">
        <f ca="1">IF($Y54&gt;0,CHOOSE(MATCH(RegimeExecucao,{"Unitário","Global"},0),IF($A54="S",$Y54/$X54,""),($Y54/$X54)*100),0)</f>
        <v>0</v>
      </c>
      <c r="X54" s="351" t="str">
        <f ca="1">IF($Y54&gt;0,CHOOSE(MATCH(RegimeExecucao,{"Unitário","Global"},0),IF($A54="S",ROUND($H54,ORÇAMENTO!$AF$10),""),ROUND($I54,ORÇAMENTO!$AF$11)),"")</f>
        <v/>
      </c>
      <c r="Y54" s="351">
        <f ca="1">AO54-O54</f>
        <v>0</v>
      </c>
      <c r="Z54" s="507"/>
      <c r="AB54" s="349"/>
      <c r="AC54" s="469"/>
      <c r="AD54" s="469"/>
      <c r="AE54" s="469"/>
      <c r="AF54" s="469"/>
      <c r="AG54" s="469"/>
      <c r="AH54" s="469"/>
      <c r="AI54" s="469"/>
      <c r="AJ54" s="469"/>
      <c r="AK54" s="469"/>
      <c r="AL54" s="469"/>
      <c r="AM54" s="350"/>
      <c r="AO54">
        <f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f ca="1">ORÇAMENTO!C55</f>
        <v>2</v>
      </c>
      <c r="B55">
        <f ca="1">ORÇAMENTO!D55</f>
        <v>8</v>
      </c>
      <c r="C55" s="116" t="str">
        <f t="shared" ref="C55:C66" ca="1" si="48">IF(OR($I55&gt;0,$A55=1,$A55=2,$A55=3,$A55=4),"F","")</f>
        <v>F</v>
      </c>
      <c r="D55" s="119" t="str">
        <f ca="1">ORÇAMENTO!O55</f>
        <v>1.6.</v>
      </c>
      <c r="E55" s="170" t="str">
        <f t="shared" ref="E55:E66" si="49">ORÇAMENTO.Descricao</f>
        <v>PAREDES DE FECHAMENTO</v>
      </c>
      <c r="F55" s="171" t="str">
        <f ca="1">IF(RegimeExecucao="Global","",ORÇAMENTO.Unidade)</f>
        <v>-</v>
      </c>
      <c r="G55" s="124">
        <f ca="1">IF(RegimeExecucao="Global","",ORÇAMENTO!T55)</f>
        <v>0</v>
      </c>
      <c r="H55" s="124">
        <f ca="1">IF(RegimeExecucao="Global","",ORÇAMENTO!W55)</f>
        <v>0</v>
      </c>
      <c r="I55" s="127">
        <f ca="1">ORÇAMENTO!X55</f>
        <v>39517.21</v>
      </c>
      <c r="J55" s="345">
        <f ca="1">IF($A55="S",IF(CAIXA.Modo,BM.AFAnterior,BM.MEDAnterior),IF(AND(RegimeExecucao="Global",$I55&gt;0,COUNTIF($AB$13:$AM$13,BM.medicao-1)&gt;0),M55/$I55*100,0))</f>
        <v>0</v>
      </c>
      <c r="K55" s="124">
        <f t="shared" ref="K55:K66" ca="1" si="50">L55-J55</f>
        <v>0</v>
      </c>
      <c r="L55" s="346">
        <f ca="1">IF($A55="S",IF(CAIXA.Modo,BM.AFAcumulado,BM.MEDAcumulado),IF(AND(RegimeExecucao="Global",$I55&gt;0,COUNTIF($AB$13:$AM$13,BM.medicao)&gt;0),O55/$I55*100,0))</f>
        <v>0</v>
      </c>
      <c r="M55" s="347">
        <f ca="1">IF($A55="S",VTOTALBM,IF($A55=0,0,ROUND(SomaAgrupBM,15-13*ORÇAMENTO!$AF$11)))</f>
        <v>0</v>
      </c>
      <c r="N55" s="348">
        <f t="shared" ref="N55:N66" ca="1" si="51">O55-M55</f>
        <v>0</v>
      </c>
      <c r="O55" s="127">
        <f ca="1">IF($A55="S",VTOTALBM,IF($A55=0,0,ROUND(SomaAgrupBM,15-13*ORÇAMENTO!$AF$11)))</f>
        <v>0</v>
      </c>
      <c r="Q55" s="349"/>
      <c r="R55" s="350"/>
      <c r="T55" s="119" t="str">
        <f t="shared" ref="T55:T66" ca="1" si="52">IF($W55&gt;0,$D55,"")</f>
        <v/>
      </c>
      <c r="U55" s="170" t="str">
        <f t="shared" ref="U55:U66" ca="1" si="53">IF($W55&gt;0,$E55,"")</f>
        <v/>
      </c>
      <c r="V55" s="171" t="str">
        <f ca="1">IF(AND($W55&gt;0,RegimeExecucao="Unitário"),$F55,"")</f>
        <v/>
      </c>
      <c r="W55" s="486">
        <f ca="1">IF($Y55&gt;0,CHOOSE(MATCH(RegimeExecucao,{"Unitário","Global"},0),IF($A55="S",$Y55/$X55,""),($Y55/$X55)*100),0)</f>
        <v>0</v>
      </c>
      <c r="X55" s="351" t="str">
        <f ca="1">IF($Y55&gt;0,CHOOSE(MATCH(RegimeExecucao,{"Unitário","Global"},0),IF($A55="S",ROUND($H55,ORÇAMENTO!$AF$10),""),ROUND($I55,ORÇAMENTO!$AF$11)),"")</f>
        <v/>
      </c>
      <c r="Y55" s="351">
        <f t="shared" ref="Y55:Y66" ca="1" si="54">AO55-O55</f>
        <v>0</v>
      </c>
      <c r="Z55" s="507"/>
      <c r="AB55" s="349"/>
      <c r="AC55" s="469"/>
      <c r="AD55" s="469"/>
      <c r="AE55" s="469"/>
      <c r="AF55" s="469"/>
      <c r="AG55" s="469"/>
      <c r="AH55" s="469"/>
      <c r="AI55" s="469"/>
      <c r="AJ55" s="469"/>
      <c r="AK55" s="469"/>
      <c r="AL55" s="469"/>
      <c r="AM55" s="350"/>
      <c r="AO55">
        <f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f ca="1">ORÇAMENTO!C56</f>
        <v>3</v>
      </c>
      <c r="B56">
        <f ca="1">ORÇAMENTO!D56</f>
        <v>4</v>
      </c>
      <c r="C56" s="116" t="str">
        <f ca="1">IF(OR($I56&gt;0,$A56=1,$A56=2,$A56=3,$A56=4),"F","")</f>
        <v>F</v>
      </c>
      <c r="D56" s="119" t="str">
        <f ca="1">ORÇAMENTO!O56</f>
        <v>1.6.1.</v>
      </c>
      <c r="E56" s="170" t="str">
        <f>ORÇAMENTO.Descricao</f>
        <v>ALVENARIA</v>
      </c>
      <c r="F56" s="171" t="str">
        <f ca="1">IF(RegimeExecucao="Global","",ORÇAMENTO.Unidade)</f>
        <v>-</v>
      </c>
      <c r="G56" s="124">
        <f ca="1">IF(RegimeExecucao="Global","",ORÇAMENTO!T56)</f>
        <v>0</v>
      </c>
      <c r="H56" s="124">
        <f ca="1">IF(RegimeExecucao="Global","",ORÇAMENTO!W56)</f>
        <v>0</v>
      </c>
      <c r="I56" s="127">
        <f ca="1">ORÇAMENTO!X56</f>
        <v>34409.050000000003</v>
      </c>
      <c r="J56" s="345">
        <f ca="1">IF($A56="S",IF(CAIXA.Modo,BM.AFAnterior,BM.MEDAnterior),IF(AND(RegimeExecucao="Global",$I56&gt;0,COUNTIF($AB$13:$AM$13,BM.medicao-1)&gt;0),M56/$I56*100,0))</f>
        <v>0</v>
      </c>
      <c r="K56" s="124">
        <f ca="1">L56-J56</f>
        <v>0</v>
      </c>
      <c r="L56" s="346">
        <f ca="1">IF($A56="S",IF(CAIXA.Modo,BM.AFAcumulado,BM.MEDAcumulado),IF(AND(RegimeExecucao="Global",$I56&gt;0,COUNTIF($AB$13:$AM$13,BM.medicao)&gt;0),O56/$I56*100,0))</f>
        <v>0</v>
      </c>
      <c r="M56" s="347">
        <f ca="1">IF($A56="S",VTOTALBM,IF($A56=0,0,ROUND(SomaAgrupBM,15-13*ORÇAMENTO!$AF$11)))</f>
        <v>0</v>
      </c>
      <c r="N56" s="348">
        <f ca="1">O56-M56</f>
        <v>0</v>
      </c>
      <c r="O56" s="127">
        <f ca="1">IF($A56="S",VTOTALBM,IF($A56=0,0,ROUND(SomaAgrupBM,15-13*ORÇAMENTO!$AF$11)))</f>
        <v>0</v>
      </c>
      <c r="Q56" s="349"/>
      <c r="R56" s="350"/>
      <c r="T56" s="119" t="str">
        <f ca="1">IF($W56&gt;0,$D56,"")</f>
        <v/>
      </c>
      <c r="U56" s="170" t="str">
        <f ca="1">IF($W56&gt;0,$E56,"")</f>
        <v/>
      </c>
      <c r="V56" s="171" t="str">
        <f ca="1">IF(AND($W56&gt;0,RegimeExecucao="Unitário"),$F56,"")</f>
        <v/>
      </c>
      <c r="W56" s="486">
        <f ca="1">IF($Y56&gt;0,CHOOSE(MATCH(RegimeExecucao,{"Unitário","Global"},0),IF($A56="S",$Y56/$X56,""),($Y56/$X56)*100),0)</f>
        <v>0</v>
      </c>
      <c r="X56" s="351" t="str">
        <f ca="1">IF($Y56&gt;0,CHOOSE(MATCH(RegimeExecucao,{"Unitário","Global"},0),IF($A56="S",ROUND($H56,ORÇAMENTO!$AF$10),""),ROUND($I56,ORÇAMENTO!$AF$11)),"")</f>
        <v/>
      </c>
      <c r="Y56" s="351">
        <f ca="1">AO56-O56</f>
        <v>0</v>
      </c>
      <c r="Z56" s="507"/>
      <c r="AB56" s="349"/>
      <c r="AC56" s="469"/>
      <c r="AD56" s="469"/>
      <c r="AE56" s="469"/>
      <c r="AF56" s="469"/>
      <c r="AG56" s="469"/>
      <c r="AH56" s="469"/>
      <c r="AI56" s="469"/>
      <c r="AJ56" s="469"/>
      <c r="AK56" s="469"/>
      <c r="AL56" s="469"/>
      <c r="AM56" s="350"/>
      <c r="AO56">
        <f ca="1">IF($A56="S",IF(BM!$I56=0,0,CHOOSE(MATCH(RegimeExecucao,{"Global","Unitário"},0),ROUND(ROUND(BM.MEDAcumulado,15-13*BM!$A$9)/100*BM!$I56,15-13*ORÇAMENTO!$AF$11),ROUND(ROUND(BM.MEDAcumulado,15-13*BM!$A$9)*ROUND(BM!$H56,15-13*ORÇAMENTO!$AF$10),15-13*ORÇAMENTO!$AF$11))),IF($A56=0,0,ROUND(SomaAgrupBM,15-13*ORÇAMENTO!$AF$11)))</f>
        <v>0</v>
      </c>
    </row>
    <row r="57" spans="1:41" ht="51" x14ac:dyDescent="0.2">
      <c r="A57" t="str">
        <f ca="1">ORÇAMENTO!C57</f>
        <v>S</v>
      </c>
      <c r="B57">
        <f ca="1">ORÇAMENTO!D57</f>
        <v>0</v>
      </c>
      <c r="C57" s="116" t="str">
        <f t="shared" ca="1" si="48"/>
        <v>F</v>
      </c>
      <c r="D57" s="119" t="str">
        <f ca="1">ORÇAMENTO!O57</f>
        <v>1.6.1.0.1.</v>
      </c>
      <c r="E57" s="170" t="str">
        <f t="shared" ca="1" si="49"/>
        <v>ALVENARIA DE VEDAÇÃO DE BLOCOS CERÂMICOS FURADOS NA HORIZONTAL DE 11,5X19X19 CM (ESPESSURA 11,5 CM) E ARGAMASSA DE ASSENTAMENTO COM PREPARO EM BETONEIRA. AF_12/2021</v>
      </c>
      <c r="F57" s="171" t="str">
        <f ca="1">IF(RegimeExecucao="Global","",ORÇAMENTO.Unidade)</f>
        <v>M2</v>
      </c>
      <c r="G57" s="124">
        <f ca="1">IF(RegimeExecucao="Global","",ORÇAMENTO!T57)</f>
        <v>160.46</v>
      </c>
      <c r="H57" s="124">
        <f ca="1">IF(RegimeExecucao="Global","",ORÇAMENTO!W57)</f>
        <v>124.49</v>
      </c>
      <c r="I57" s="127">
        <f ca="1">ORÇAMENTO!X57</f>
        <v>19975.669999999998</v>
      </c>
      <c r="J57" s="345">
        <f ca="1">IF($A57="S",IF(CAIXA.Modo,BM.AFAnterior,BM.MEDAnterior),IF(AND(RegimeExecucao="Global",$I57&gt;0,COUNTIF($AB$13:$AM$13,BM.medicao-1)&gt;0),M57/$I57*100,0))</f>
        <v>0</v>
      </c>
      <c r="K57" s="124">
        <f t="shared" ca="1" si="50"/>
        <v>0</v>
      </c>
      <c r="L57" s="346">
        <f ca="1">IF($A57="S",IF(CAIXA.Modo,BM.AFAcumulado,BM.MEDAcumulado),IF(AND(RegimeExecucao="Global",$I57&gt;0,COUNTIF($AB$13:$AM$13,BM.medicao)&gt;0),O57/$I57*100,0))</f>
        <v>0</v>
      </c>
      <c r="M57" s="347">
        <f ca="1">IF($A57="S",VTOTALBM,IF($A57=0,0,ROUND(SomaAgrupBM,15-13*ORÇAMENTO!$AF$11)))</f>
        <v>0</v>
      </c>
      <c r="N57" s="348">
        <f t="shared" ca="1" si="51"/>
        <v>0</v>
      </c>
      <c r="O57" s="127">
        <f ca="1">IF($A57="S",VTOTALBM,IF($A57=0,0,ROUND(SomaAgrupBM,15-13*ORÇAMENTO!$AF$11)))</f>
        <v>0</v>
      </c>
      <c r="Q57" s="349"/>
      <c r="R57" s="350"/>
      <c r="T57" s="119" t="str">
        <f t="shared" ca="1" si="52"/>
        <v/>
      </c>
      <c r="U57" s="170" t="str">
        <f t="shared" ca="1" si="53"/>
        <v/>
      </c>
      <c r="V57" s="171" t="str">
        <f ca="1">IF(AND($W57&gt;0,RegimeExecucao="Unitário"),$F57,"")</f>
        <v/>
      </c>
      <c r="W57" s="486">
        <f ca="1">IF($Y57&gt;0,CHOOSE(MATCH(RegimeExecucao,{"Unitário","Global"},0),IF($A57="S",$Y57/$X57,""),($Y57/$X57)*100),0)</f>
        <v>0</v>
      </c>
      <c r="X57" s="351" t="str">
        <f ca="1">IF($Y57&gt;0,CHOOSE(MATCH(RegimeExecucao,{"Unitário","Global"},0),IF($A57="S",ROUND($H57,ORÇAMENTO!$AF$10),""),ROUND($I57,ORÇAMENTO!$AF$11)),"")</f>
        <v/>
      </c>
      <c r="Y57" s="351">
        <f t="shared" ca="1" si="54"/>
        <v>0</v>
      </c>
      <c r="Z57" s="507"/>
      <c r="AB57" s="349"/>
      <c r="AC57" s="469"/>
      <c r="AD57" s="469"/>
      <c r="AE57" s="469"/>
      <c r="AF57" s="469"/>
      <c r="AG57" s="469"/>
      <c r="AH57" s="469"/>
      <c r="AI57" s="469"/>
      <c r="AJ57" s="469"/>
      <c r="AK57" s="469"/>
      <c r="AL57" s="469"/>
      <c r="AM57" s="350"/>
      <c r="AO57">
        <f ca="1">IF($A57="S",IF(BM!$I57=0,0,CHOOSE(MATCH(RegimeExecucao,{"Global","Unitário"},0),ROUND(ROUND(BM.MEDAcumulado,15-13*BM!$A$9)/100*BM!$I57,15-13*ORÇAMENTO!$AF$11),ROUND(ROUND(BM.MEDAcumulado,15-13*BM!$A$9)*ROUND(BM!$H57,15-13*ORÇAMENTO!$AF$10),15-13*ORÇAMENTO!$AF$11))),IF($A57=0,0,ROUND(SomaAgrupBM,15-13*ORÇAMENTO!$AF$11)))</f>
        <v>0</v>
      </c>
    </row>
    <row r="58" spans="1:41" ht="51" x14ac:dyDescent="0.2">
      <c r="A58" t="str">
        <f ca="1">ORÇAMENTO!C58</f>
        <v>S</v>
      </c>
      <c r="B58">
        <f ca="1">ORÇAMENTO!D58</f>
        <v>0</v>
      </c>
      <c r="C58" s="116" t="str">
        <f t="shared" ca="1" si="48"/>
        <v>F</v>
      </c>
      <c r="D58" s="119" t="str">
        <f ca="1">ORÇAMENTO!O58</f>
        <v>1.6.1.0.2.</v>
      </c>
      <c r="E58" s="170" t="str">
        <f t="shared" ca="1" si="49"/>
        <v>CHAPISCO APLICADO EM ALVENARIA (COM PRESENÇA DE VÃOS) E ESTRUTURAS DE CONCRETO DE FACHADA, COM COLHER DE PEDREIRO. ARGAMASSA TRAÇO 1:3 COM PREPARO EM BETONEIRA 400L. AF_10/2022</v>
      </c>
      <c r="F58" s="171" t="str">
        <f ca="1">IF(RegimeExecucao="Global","",ORÇAMENTO.Unidade)</f>
        <v>M2</v>
      </c>
      <c r="G58" s="124">
        <f ca="1">IF(RegimeExecucao="Global","",ORÇAMENTO!T58)</f>
        <v>160.46</v>
      </c>
      <c r="H58" s="124">
        <f ca="1">IF(RegimeExecucao="Global","",ORÇAMENTO!W58)</f>
        <v>12.15</v>
      </c>
      <c r="I58" s="127">
        <f ca="1">ORÇAMENTO!X58</f>
        <v>1949.59</v>
      </c>
      <c r="J58" s="345">
        <f ca="1">IF($A58="S",IF(CAIXA.Modo,BM.AFAnterior,BM.MEDAnterior),IF(AND(RegimeExecucao="Global",$I58&gt;0,COUNTIF($AB$13:$AM$13,BM.medicao-1)&gt;0),M58/$I58*100,0))</f>
        <v>0</v>
      </c>
      <c r="K58" s="124">
        <f t="shared" ca="1" si="50"/>
        <v>0</v>
      </c>
      <c r="L58" s="346">
        <f ca="1">IF($A58="S",IF(CAIXA.Modo,BM.AFAcumulado,BM.MEDAcumulado),IF(AND(RegimeExecucao="Global",$I58&gt;0,COUNTIF($AB$13:$AM$13,BM.medicao)&gt;0),O58/$I58*100,0))</f>
        <v>0</v>
      </c>
      <c r="M58" s="347">
        <f ca="1">IF($A58="S",VTOTALBM,IF($A58=0,0,ROUND(SomaAgrupBM,15-13*ORÇAMENTO!$AF$11)))</f>
        <v>0</v>
      </c>
      <c r="N58" s="348">
        <f t="shared" ca="1" si="51"/>
        <v>0</v>
      </c>
      <c r="O58" s="127">
        <f ca="1">IF($A58="S",VTOTALBM,IF($A58=0,0,ROUND(SomaAgrupBM,15-13*ORÇAMENTO!$AF$11)))</f>
        <v>0</v>
      </c>
      <c r="Q58" s="349"/>
      <c r="R58" s="350"/>
      <c r="T58" s="119" t="str">
        <f t="shared" ca="1" si="52"/>
        <v/>
      </c>
      <c r="U58" s="170" t="str">
        <f t="shared" ca="1" si="53"/>
        <v/>
      </c>
      <c r="V58" s="171" t="str">
        <f ca="1">IF(AND($W58&gt;0,RegimeExecucao="Unitário"),$F58,"")</f>
        <v/>
      </c>
      <c r="W58" s="486">
        <f ca="1">IF($Y58&gt;0,CHOOSE(MATCH(RegimeExecucao,{"Unitário","Global"},0),IF($A58="S",$Y58/$X58,""),($Y58/$X58)*100),0)</f>
        <v>0</v>
      </c>
      <c r="X58" s="351" t="str">
        <f ca="1">IF($Y58&gt;0,CHOOSE(MATCH(RegimeExecucao,{"Unitário","Global"},0),IF($A58="S",ROUND($H58,ORÇAMENTO!$AF$10),""),ROUND($I58,ORÇAMENTO!$AF$11)),"")</f>
        <v/>
      </c>
      <c r="Y58" s="351">
        <f t="shared" ca="1" si="54"/>
        <v>0</v>
      </c>
      <c r="Z58" s="507"/>
      <c r="AB58" s="349"/>
      <c r="AC58" s="469"/>
      <c r="AD58" s="469"/>
      <c r="AE58" s="469"/>
      <c r="AF58" s="469"/>
      <c r="AG58" s="469"/>
      <c r="AH58" s="469"/>
      <c r="AI58" s="469"/>
      <c r="AJ58" s="469"/>
      <c r="AK58" s="469"/>
      <c r="AL58" s="469"/>
      <c r="AM58" s="350"/>
      <c r="AO58">
        <f ca="1">IF($A58="S",IF(BM!$I58=0,0,CHOOSE(MATCH(RegimeExecucao,{"Global","Unitário"},0),ROUND(ROUND(BM.MEDAcumulado,15-13*BM!$A$9)/100*BM!$I58,15-13*ORÇAMENTO!$AF$11),ROUND(ROUND(BM.MEDAcumulado,15-13*BM!$A$9)*ROUND(BM!$H58,15-13*ORÇAMENTO!$AF$10),15-13*ORÇAMENTO!$AF$11))),IF($A58=0,0,ROUND(SomaAgrupBM,15-13*ORÇAMENTO!$AF$11)))</f>
        <v>0</v>
      </c>
    </row>
    <row r="59" spans="1:41" ht="51" x14ac:dyDescent="0.2">
      <c r="A59" t="str">
        <f ca="1">ORÇAMENTO!C59</f>
        <v>S</v>
      </c>
      <c r="B59">
        <f ca="1">ORÇAMENTO!D59</f>
        <v>0</v>
      </c>
      <c r="C59" s="116" t="str">
        <f t="shared" ca="1" si="48"/>
        <v>F</v>
      </c>
      <c r="D59" s="119" t="str">
        <f ca="1">ORÇAMENTO!O59</f>
        <v>1.6.1.0.3.</v>
      </c>
      <c r="E59" s="170" t="str">
        <f t="shared" ca="1" si="49"/>
        <v>EMBOÇO OU MASSA ÚNICA EM ARGAMASSA TRAÇO 1:2:8, PREPARO MANUAL, APLICADA MANUALMENTE EM PANOS DE FACHADA COM PRESENÇA DE VÃOS, ESPESSURA DE 25 MM, ACESSO POR ANDAIME. AF_08/2022</v>
      </c>
      <c r="F59" s="171" t="str">
        <f ca="1">IF(RegimeExecucao="Global","",ORÇAMENTO.Unidade)</f>
        <v>M2</v>
      </c>
      <c r="G59" s="124">
        <f ca="1">IF(RegimeExecucao="Global","",ORÇAMENTO!T59)</f>
        <v>160.46</v>
      </c>
      <c r="H59" s="124">
        <f ca="1">IF(RegimeExecucao="Global","",ORÇAMENTO!W59)</f>
        <v>77.8</v>
      </c>
      <c r="I59" s="127">
        <f ca="1">ORÇAMENTO!X59</f>
        <v>12483.79</v>
      </c>
      <c r="J59" s="345">
        <f ca="1">IF($A59="S",IF(CAIXA.Modo,BM.AFAnterior,BM.MEDAnterior),IF(AND(RegimeExecucao="Global",$I59&gt;0,COUNTIF($AB$13:$AM$13,BM.medicao-1)&gt;0),M59/$I59*100,0))</f>
        <v>0</v>
      </c>
      <c r="K59" s="124">
        <f t="shared" ca="1" si="50"/>
        <v>0</v>
      </c>
      <c r="L59" s="346">
        <f ca="1">IF($A59="S",IF(CAIXA.Modo,BM.AFAcumulado,BM.MEDAcumulado),IF(AND(RegimeExecucao="Global",$I59&gt;0,COUNTIF($AB$13:$AM$13,BM.medicao)&gt;0),O59/$I59*100,0))</f>
        <v>0</v>
      </c>
      <c r="M59" s="347">
        <f ca="1">IF($A59="S",VTOTALBM,IF($A59=0,0,ROUND(SomaAgrupBM,15-13*ORÇAMENTO!$AF$11)))</f>
        <v>0</v>
      </c>
      <c r="N59" s="348">
        <f t="shared" ca="1" si="51"/>
        <v>0</v>
      </c>
      <c r="O59" s="127">
        <f ca="1">IF($A59="S",VTOTALBM,IF($A59=0,0,ROUND(SomaAgrupBM,15-13*ORÇAMENTO!$AF$11)))</f>
        <v>0</v>
      </c>
      <c r="Q59" s="349"/>
      <c r="R59" s="350"/>
      <c r="T59" s="119" t="str">
        <f t="shared" ca="1" si="52"/>
        <v/>
      </c>
      <c r="U59" s="170" t="str">
        <f t="shared" ca="1" si="53"/>
        <v/>
      </c>
      <c r="V59" s="171" t="str">
        <f ca="1">IF(AND($W59&gt;0,RegimeExecucao="Unitário"),$F59,"")</f>
        <v/>
      </c>
      <c r="W59" s="486">
        <f ca="1">IF($Y59&gt;0,CHOOSE(MATCH(RegimeExecucao,{"Unitário","Global"},0),IF($A59="S",$Y59/$X59,""),($Y59/$X59)*100),0)</f>
        <v>0</v>
      </c>
      <c r="X59" s="351" t="str">
        <f ca="1">IF($Y59&gt;0,CHOOSE(MATCH(RegimeExecucao,{"Unitário","Global"},0),IF($A59="S",ROUND($H59,ORÇAMENTO!$AF$10),""),ROUND($I59,ORÇAMENTO!$AF$11)),"")</f>
        <v/>
      </c>
      <c r="Y59" s="351">
        <f t="shared" ca="1" si="54"/>
        <v>0</v>
      </c>
      <c r="Z59" s="507"/>
      <c r="AB59" s="349"/>
      <c r="AC59" s="469"/>
      <c r="AD59" s="469"/>
      <c r="AE59" s="469"/>
      <c r="AF59" s="469"/>
      <c r="AG59" s="469"/>
      <c r="AH59" s="469"/>
      <c r="AI59" s="469"/>
      <c r="AJ59" s="469"/>
      <c r="AK59" s="469"/>
      <c r="AL59" s="469"/>
      <c r="AM59" s="350"/>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3</v>
      </c>
      <c r="B60">
        <f ca="1">ORÇAMENTO!D60</f>
        <v>3</v>
      </c>
      <c r="C60" s="116" t="str">
        <f t="shared" ca="1" si="48"/>
        <v>F</v>
      </c>
      <c r="D60" s="119" t="str">
        <f ca="1">ORÇAMENTO!O60</f>
        <v>1.6.2.</v>
      </c>
      <c r="E60" s="170" t="str">
        <f t="shared" si="49"/>
        <v>VERGAS E CONTRAVERGAS</v>
      </c>
      <c r="F60" s="171" t="str">
        <f ca="1">IF(RegimeExecucao="Global","",ORÇAMENTO.Unidade)</f>
        <v>-</v>
      </c>
      <c r="G60" s="124">
        <f ca="1">IF(RegimeExecucao="Global","",ORÇAMENTO!T60)</f>
        <v>0</v>
      </c>
      <c r="H60" s="124">
        <f ca="1">IF(RegimeExecucao="Global","",ORÇAMENTO!W60)</f>
        <v>0</v>
      </c>
      <c r="I60" s="127">
        <f ca="1">ORÇAMENTO!X60</f>
        <v>5108.16</v>
      </c>
      <c r="J60" s="345">
        <f ca="1">IF($A60="S",IF(CAIXA.Modo,BM.AFAnterior,BM.MEDAnterior),IF(AND(RegimeExecucao="Global",$I60&gt;0,COUNTIF($AB$13:$AM$13,BM.medicao-1)&gt;0),M60/$I60*100,0))</f>
        <v>0</v>
      </c>
      <c r="K60" s="124">
        <f t="shared" ca="1" si="50"/>
        <v>0</v>
      </c>
      <c r="L60" s="346">
        <f ca="1">IF($A60="S",IF(CAIXA.Modo,BM.AFAcumulado,BM.MEDAcumulado),IF(AND(RegimeExecucao="Global",$I60&gt;0,COUNTIF($AB$13:$AM$13,BM.medicao)&gt;0),O60/$I60*100,0))</f>
        <v>0</v>
      </c>
      <c r="M60" s="347">
        <f ca="1">IF($A60="S",VTOTALBM,IF($A60=0,0,ROUND(SomaAgrupBM,15-13*ORÇAMENTO!$AF$11)))</f>
        <v>0</v>
      </c>
      <c r="N60" s="348">
        <f t="shared" ca="1" si="51"/>
        <v>0</v>
      </c>
      <c r="O60" s="127">
        <f ca="1">IF($A60="S",VTOTALBM,IF($A60=0,0,ROUND(SomaAgrupBM,15-13*ORÇAMENTO!$AF$11)))</f>
        <v>0</v>
      </c>
      <c r="Q60" s="349"/>
      <c r="R60" s="350"/>
      <c r="T60" s="119" t="str">
        <f t="shared" ca="1" si="52"/>
        <v/>
      </c>
      <c r="U60" s="170" t="str">
        <f t="shared" ca="1" si="53"/>
        <v/>
      </c>
      <c r="V60" s="171" t="str">
        <f ca="1">IF(AND($W60&gt;0,RegimeExecucao="Unitário"),$F60,"")</f>
        <v/>
      </c>
      <c r="W60" s="486">
        <f ca="1">IF($Y60&gt;0,CHOOSE(MATCH(RegimeExecucao,{"Unitário","Global"},0),IF($A60="S",$Y60/$X60,""),($Y60/$X60)*100),0)</f>
        <v>0</v>
      </c>
      <c r="X60" s="351" t="str">
        <f ca="1">IF($Y60&gt;0,CHOOSE(MATCH(RegimeExecucao,{"Unitário","Global"},0),IF($A60="S",ROUND($H60,ORÇAMENTO!$AF$10),""),ROUND($I60,ORÇAMENTO!$AF$11)),"")</f>
        <v/>
      </c>
      <c r="Y60" s="351">
        <f t="shared" ca="1" si="54"/>
        <v>0</v>
      </c>
      <c r="Z60" s="507"/>
      <c r="AB60" s="349"/>
      <c r="AC60" s="469"/>
      <c r="AD60" s="469"/>
      <c r="AE60" s="469"/>
      <c r="AF60" s="469"/>
      <c r="AG60" s="469"/>
      <c r="AH60" s="469"/>
      <c r="AI60" s="469"/>
      <c r="AJ60" s="469"/>
      <c r="AK60" s="469"/>
      <c r="AL60" s="469"/>
      <c r="AM60" s="350"/>
      <c r="AO60">
        <f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6" t="str">
        <f t="shared" ca="1" si="48"/>
        <v>F</v>
      </c>
      <c r="D61" s="119" t="str">
        <f ca="1">ORÇAMENTO!O61</f>
        <v>1.6.2.0.1.</v>
      </c>
      <c r="E61" s="170" t="str">
        <f t="shared" ca="1" si="49"/>
        <v>VERGA MOLDADA IN LOCO COM UTILIZAÇÃO DE BLOCOS CANALETA, ESPESSURA DE *10* CM. AF_03/2024</v>
      </c>
      <c r="F61" s="171" t="str">
        <f ca="1">IF(RegimeExecucao="Global","",ORÇAMENTO.Unidade)</f>
        <v>M</v>
      </c>
      <c r="G61" s="124">
        <f ca="1">IF(RegimeExecucao="Global","",ORÇAMENTO!T61)</f>
        <v>48</v>
      </c>
      <c r="H61" s="124">
        <f ca="1">IF(RegimeExecucao="Global","",ORÇAMENTO!W61)</f>
        <v>61.5</v>
      </c>
      <c r="I61" s="127">
        <f ca="1">ORÇAMENTO!X61</f>
        <v>2952</v>
      </c>
      <c r="J61" s="345">
        <f ca="1">IF($A61="S",IF(CAIXA.Modo,BM.AFAnterior,BM.MEDAnterior),IF(AND(RegimeExecucao="Global",$I61&gt;0,COUNTIF($AB$13:$AM$13,BM.medicao-1)&gt;0),M61/$I61*100,0))</f>
        <v>0</v>
      </c>
      <c r="K61" s="124">
        <f t="shared" ca="1" si="50"/>
        <v>0</v>
      </c>
      <c r="L61" s="346">
        <f ca="1">IF($A61="S",IF(CAIXA.Modo,BM.AFAcumulado,BM.MEDAcumulado),IF(AND(RegimeExecucao="Global",$I61&gt;0,COUNTIF($AB$13:$AM$13,BM.medicao)&gt;0),O61/$I61*100,0))</f>
        <v>0</v>
      </c>
      <c r="M61" s="347">
        <f ca="1">IF($A61="S",VTOTALBM,IF($A61=0,0,ROUND(SomaAgrupBM,15-13*ORÇAMENTO!$AF$11)))</f>
        <v>0</v>
      </c>
      <c r="N61" s="348">
        <f t="shared" ca="1" si="51"/>
        <v>0</v>
      </c>
      <c r="O61" s="127">
        <f ca="1">IF($A61="S",VTOTALBM,IF($A61=0,0,ROUND(SomaAgrupBM,15-13*ORÇAMENTO!$AF$11)))</f>
        <v>0</v>
      </c>
      <c r="Q61" s="349"/>
      <c r="R61" s="350"/>
      <c r="T61" s="119" t="str">
        <f t="shared" ca="1" si="52"/>
        <v/>
      </c>
      <c r="U61" s="170" t="str">
        <f t="shared" ca="1" si="53"/>
        <v/>
      </c>
      <c r="V61" s="171" t="str">
        <f ca="1">IF(AND($W61&gt;0,RegimeExecucao="Unitário"),$F61,"")</f>
        <v/>
      </c>
      <c r="W61" s="486">
        <f ca="1">IF($Y61&gt;0,CHOOSE(MATCH(RegimeExecucao,{"Unitário","Global"},0),IF($A61="S",$Y61/$X61,""),($Y61/$X61)*100),0)</f>
        <v>0</v>
      </c>
      <c r="X61" s="351" t="str">
        <f ca="1">IF($Y61&gt;0,CHOOSE(MATCH(RegimeExecucao,{"Unitário","Global"},0),IF($A61="S",ROUND($H61,ORÇAMENTO!$AF$10),""),ROUND($I61,ORÇAMENTO!$AF$11)),"")</f>
        <v/>
      </c>
      <c r="Y61" s="351">
        <f t="shared" ca="1" si="54"/>
        <v>0</v>
      </c>
      <c r="Z61" s="507"/>
      <c r="AB61" s="349"/>
      <c r="AC61" s="469"/>
      <c r="AD61" s="469"/>
      <c r="AE61" s="469"/>
      <c r="AF61" s="469"/>
      <c r="AG61" s="469"/>
      <c r="AH61" s="469"/>
      <c r="AI61" s="469"/>
      <c r="AJ61" s="469"/>
      <c r="AK61" s="469"/>
      <c r="AL61" s="469"/>
      <c r="AM61" s="350"/>
      <c r="AO61">
        <f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6" t="str">
        <f t="shared" ca="1" si="48"/>
        <v>F</v>
      </c>
      <c r="D62" s="119" t="str">
        <f ca="1">ORÇAMENTO!O62</f>
        <v>1.6.2.0.2.</v>
      </c>
      <c r="E62" s="170" t="str">
        <f t="shared" ca="1" si="49"/>
        <v>CONTRAVERGA MOLDADA IN LOCO COM UTILIZAÇÃO DE BLOCOS CANALETA, ESPESSURA DE *10* CM. AF_03/2024</v>
      </c>
      <c r="F62" s="171" t="str">
        <f ca="1">IF(RegimeExecucao="Global","",ORÇAMENTO.Unidade)</f>
        <v>M</v>
      </c>
      <c r="G62" s="124">
        <f ca="1">IF(RegimeExecucao="Global","",ORÇAMENTO!T62)</f>
        <v>48</v>
      </c>
      <c r="H62" s="124">
        <f ca="1">IF(RegimeExecucao="Global","",ORÇAMENTO!W62)</f>
        <v>44.92</v>
      </c>
      <c r="I62" s="127">
        <f ca="1">ORÇAMENTO!X62</f>
        <v>2156.16</v>
      </c>
      <c r="J62" s="345">
        <f ca="1">IF($A62="S",IF(CAIXA.Modo,BM.AFAnterior,BM.MEDAnterior),IF(AND(RegimeExecucao="Global",$I62&gt;0,COUNTIF($AB$13:$AM$13,BM.medicao-1)&gt;0),M62/$I62*100,0))</f>
        <v>0</v>
      </c>
      <c r="K62" s="124">
        <f t="shared" ca="1" si="50"/>
        <v>0</v>
      </c>
      <c r="L62" s="346">
        <f ca="1">IF($A62="S",IF(CAIXA.Modo,BM.AFAcumulado,BM.MEDAcumulado),IF(AND(RegimeExecucao="Global",$I62&gt;0,COUNTIF($AB$13:$AM$13,BM.medicao)&gt;0),O62/$I62*100,0))</f>
        <v>0</v>
      </c>
      <c r="M62" s="347">
        <f ca="1">IF($A62="S",VTOTALBM,IF($A62=0,0,ROUND(SomaAgrupBM,15-13*ORÇAMENTO!$AF$11)))</f>
        <v>0</v>
      </c>
      <c r="N62" s="348">
        <f t="shared" ca="1" si="51"/>
        <v>0</v>
      </c>
      <c r="O62" s="127">
        <f ca="1">IF($A62="S",VTOTALBM,IF($A62=0,0,ROUND(SomaAgrupBM,15-13*ORÇAMENTO!$AF$11)))</f>
        <v>0</v>
      </c>
      <c r="Q62" s="349"/>
      <c r="R62" s="350"/>
      <c r="T62" s="119" t="str">
        <f t="shared" ca="1" si="52"/>
        <v/>
      </c>
      <c r="U62" s="170" t="str">
        <f t="shared" ca="1" si="53"/>
        <v/>
      </c>
      <c r="V62" s="171" t="str">
        <f ca="1">IF(AND($W62&gt;0,RegimeExecucao="Unitário"),$F62,"")</f>
        <v/>
      </c>
      <c r="W62" s="486">
        <f ca="1">IF($Y62&gt;0,CHOOSE(MATCH(RegimeExecucao,{"Unitário","Global"},0),IF($A62="S",$Y62/$X62,""),($Y62/$X62)*100),0)</f>
        <v>0</v>
      </c>
      <c r="X62" s="351" t="str">
        <f ca="1">IF($Y62&gt;0,CHOOSE(MATCH(RegimeExecucao,{"Unitário","Global"},0),IF($A62="S",ROUND($H62,ORÇAMENTO!$AF$10),""),ROUND($I62,ORÇAMENTO!$AF$11)),"")</f>
        <v/>
      </c>
      <c r="Y62" s="351">
        <f t="shared" ca="1" si="54"/>
        <v>0</v>
      </c>
      <c r="Z62" s="507"/>
      <c r="AB62" s="349"/>
      <c r="AC62" s="469"/>
      <c r="AD62" s="469"/>
      <c r="AE62" s="469"/>
      <c r="AF62" s="469"/>
      <c r="AG62" s="469"/>
      <c r="AH62" s="469"/>
      <c r="AI62" s="469"/>
      <c r="AJ62" s="469"/>
      <c r="AK62" s="469"/>
      <c r="AL62" s="469"/>
      <c r="AM62" s="350"/>
      <c r="AO62">
        <f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2</v>
      </c>
      <c r="B63">
        <f ca="1">ORÇAMENTO!D63</f>
        <v>2</v>
      </c>
      <c r="C63" s="116" t="str">
        <f t="shared" ca="1" si="48"/>
        <v>F</v>
      </c>
      <c r="D63" s="119" t="str">
        <f ca="1">ORÇAMENTO!O63</f>
        <v>1.7.</v>
      </c>
      <c r="E63" s="170" t="str">
        <f t="shared" si="49"/>
        <v>ESQUADRIAS</v>
      </c>
      <c r="F63" s="171" t="str">
        <f ca="1">IF(RegimeExecucao="Global","",ORÇAMENTO.Unidade)</f>
        <v>-</v>
      </c>
      <c r="G63" s="124">
        <f ca="1">IF(RegimeExecucao="Global","",ORÇAMENTO!T63)</f>
        <v>0</v>
      </c>
      <c r="H63" s="124">
        <f ca="1">IF(RegimeExecucao="Global","",ORÇAMENTO!W63)</f>
        <v>0</v>
      </c>
      <c r="I63" s="127">
        <f ca="1">ORÇAMENTO!X63</f>
        <v>35832.15</v>
      </c>
      <c r="J63" s="345">
        <f ca="1">IF($A63="S",IF(CAIXA.Modo,BM.AFAnterior,BM.MEDAnterior),IF(AND(RegimeExecucao="Global",$I63&gt;0,COUNTIF($AB$13:$AM$13,BM.medicao-1)&gt;0),M63/$I63*100,0))</f>
        <v>0</v>
      </c>
      <c r="K63" s="124">
        <f t="shared" ca="1" si="50"/>
        <v>0</v>
      </c>
      <c r="L63" s="346">
        <f ca="1">IF($A63="S",IF(CAIXA.Modo,BM.AFAcumulado,BM.MEDAcumulado),IF(AND(RegimeExecucao="Global",$I63&gt;0,COUNTIF($AB$13:$AM$13,BM.medicao)&gt;0),O63/$I63*100,0))</f>
        <v>0</v>
      </c>
      <c r="M63" s="347">
        <f ca="1">IF($A63="S",VTOTALBM,IF($A63=0,0,ROUND(SomaAgrupBM,15-13*ORÇAMENTO!$AF$11)))</f>
        <v>0</v>
      </c>
      <c r="N63" s="348">
        <f t="shared" ca="1" si="51"/>
        <v>0</v>
      </c>
      <c r="O63" s="127">
        <f ca="1">IF($A63="S",VTOTALBM,IF($A63=0,0,ROUND(SomaAgrupBM,15-13*ORÇAMENTO!$AF$11)))</f>
        <v>0</v>
      </c>
      <c r="Q63" s="349"/>
      <c r="R63" s="350"/>
      <c r="T63" s="119" t="str">
        <f t="shared" ca="1" si="52"/>
        <v/>
      </c>
      <c r="U63" s="170" t="str">
        <f t="shared" ca="1" si="53"/>
        <v/>
      </c>
      <c r="V63" s="171" t="str">
        <f ca="1">IF(AND($W63&gt;0,RegimeExecucao="Unitário"),$F63,"")</f>
        <v/>
      </c>
      <c r="W63" s="486">
        <f ca="1">IF($Y63&gt;0,CHOOSE(MATCH(RegimeExecucao,{"Unitário","Global"},0),IF($A63="S",$Y63/$X63,""),($Y63/$X63)*100),0)</f>
        <v>0</v>
      </c>
      <c r="X63" s="351" t="str">
        <f ca="1">IF($Y63&gt;0,CHOOSE(MATCH(RegimeExecucao,{"Unitário","Global"},0),IF($A63="S",ROUND($H63,ORÇAMENTO!$AF$10),""),ROUND($I63,ORÇAMENTO!$AF$11)),"")</f>
        <v/>
      </c>
      <c r="Y63" s="351">
        <f t="shared" ca="1" si="54"/>
        <v>0</v>
      </c>
      <c r="Z63" s="507"/>
      <c r="AB63" s="349"/>
      <c r="AC63" s="469"/>
      <c r="AD63" s="469"/>
      <c r="AE63" s="469"/>
      <c r="AF63" s="469"/>
      <c r="AG63" s="469"/>
      <c r="AH63" s="469"/>
      <c r="AI63" s="469"/>
      <c r="AJ63" s="469"/>
      <c r="AK63" s="469"/>
      <c r="AL63" s="469"/>
      <c r="AM63" s="350"/>
      <c r="AO63">
        <f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6" t="str">
        <f t="shared" ca="1" si="48"/>
        <v>F</v>
      </c>
      <c r="D64" s="119" t="str">
        <f ca="1">ORÇAMENTO!O64</f>
        <v>1.7.0.0.1.</v>
      </c>
      <c r="E64" s="170" t="str">
        <f t="shared" ca="1" si="49"/>
        <v>JANELA RETANGULAR FIXA EM ALUMÍNIO BRANCO 60 X 90 CM COM GUARNIÇÃO EM PRETA E VIDRO FIXO INCOLOR 4 MM. INCLUSO FORNECIMENTO E INSTALAÇÃO</v>
      </c>
      <c r="F64" s="171" t="str">
        <f ca="1">IF(RegimeExecucao="Global","",ORÇAMENTO.Unidade)</f>
        <v>M2</v>
      </c>
      <c r="G64" s="124">
        <f ca="1">IF(RegimeExecucao="Global","",ORÇAMENTO!T64)</f>
        <v>34.56</v>
      </c>
      <c r="H64" s="124">
        <f ca="1">IF(RegimeExecucao="Global","",ORÇAMENTO!W64)</f>
        <v>1036.81</v>
      </c>
      <c r="I64" s="127">
        <f ca="1">ORÇAMENTO!X64</f>
        <v>35832.15</v>
      </c>
      <c r="J64" s="345">
        <f ca="1">IF($A64="S",IF(CAIXA.Modo,BM.AFAnterior,BM.MEDAnterior),IF(AND(RegimeExecucao="Global",$I64&gt;0,COUNTIF($AB$13:$AM$13,BM.medicao-1)&gt;0),M64/$I64*100,0))</f>
        <v>0</v>
      </c>
      <c r="K64" s="124">
        <f t="shared" ca="1" si="50"/>
        <v>0</v>
      </c>
      <c r="L64" s="346">
        <f ca="1">IF($A64="S",IF(CAIXA.Modo,BM.AFAcumulado,BM.MEDAcumulado),IF(AND(RegimeExecucao="Global",$I64&gt;0,COUNTIF($AB$13:$AM$13,BM.medicao)&gt;0),O64/$I64*100,0))</f>
        <v>0</v>
      </c>
      <c r="M64" s="347">
        <f ca="1">IF($A64="S",VTOTALBM,IF($A64=0,0,ROUND(SomaAgrupBM,15-13*ORÇAMENTO!$AF$11)))</f>
        <v>0</v>
      </c>
      <c r="N64" s="348">
        <f t="shared" ca="1" si="51"/>
        <v>0</v>
      </c>
      <c r="O64" s="127">
        <f ca="1">IF($A64="S",VTOTALBM,IF($A64=0,0,ROUND(SomaAgrupBM,15-13*ORÇAMENTO!$AF$11)))</f>
        <v>0</v>
      </c>
      <c r="Q64" s="349"/>
      <c r="R64" s="350"/>
      <c r="T64" s="119" t="str">
        <f t="shared" ca="1" si="52"/>
        <v/>
      </c>
      <c r="U64" s="170" t="str">
        <f t="shared" ca="1" si="53"/>
        <v/>
      </c>
      <c r="V64" s="171" t="str">
        <f ca="1">IF(AND($W64&gt;0,RegimeExecucao="Unitário"),$F64,"")</f>
        <v/>
      </c>
      <c r="W64" s="486">
        <f ca="1">IF($Y64&gt;0,CHOOSE(MATCH(RegimeExecucao,{"Unitário","Global"},0),IF($A64="S",$Y64/$X64,""),($Y64/$X64)*100),0)</f>
        <v>0</v>
      </c>
      <c r="X64" s="351" t="str">
        <f ca="1">IF($Y64&gt;0,CHOOSE(MATCH(RegimeExecucao,{"Unitário","Global"},0),IF($A64="S",ROUND($H64,ORÇAMENTO!$AF$10),""),ROUND($I64,ORÇAMENTO!$AF$11)),"")</f>
        <v/>
      </c>
      <c r="Y64" s="351">
        <f t="shared" ca="1" si="54"/>
        <v>0</v>
      </c>
      <c r="Z64" s="507"/>
      <c r="AB64" s="349"/>
      <c r="AC64" s="469"/>
      <c r="AD64" s="469"/>
      <c r="AE64" s="469"/>
      <c r="AF64" s="469"/>
      <c r="AG64" s="469"/>
      <c r="AH64" s="469"/>
      <c r="AI64" s="469"/>
      <c r="AJ64" s="469"/>
      <c r="AK64" s="469"/>
      <c r="AL64" s="469"/>
      <c r="AM64" s="350"/>
      <c r="AO64">
        <f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2</v>
      </c>
      <c r="B65">
        <f ca="1">ORÇAMENTO!D65</f>
        <v>5</v>
      </c>
      <c r="C65" s="116" t="str">
        <f t="shared" ca="1" si="48"/>
        <v>F</v>
      </c>
      <c r="D65" s="119" t="str">
        <f ca="1">ORÇAMENTO!O65</f>
        <v>1.8.</v>
      </c>
      <c r="E65" s="170" t="str">
        <f t="shared" si="49"/>
        <v>PINTURA</v>
      </c>
      <c r="F65" s="171" t="str">
        <f ca="1">IF(RegimeExecucao="Global","",ORÇAMENTO.Unidade)</f>
        <v>-</v>
      </c>
      <c r="G65" s="124">
        <f ca="1">IF(RegimeExecucao="Global","",ORÇAMENTO!T65)</f>
        <v>0</v>
      </c>
      <c r="H65" s="124">
        <f ca="1">IF(RegimeExecucao="Global","",ORÇAMENTO!W65)</f>
        <v>0</v>
      </c>
      <c r="I65" s="127">
        <f ca="1">ORÇAMENTO!X65</f>
        <v>15539.26</v>
      </c>
      <c r="J65" s="345">
        <f ca="1">IF($A65="S",IF(CAIXA.Modo,BM.AFAnterior,BM.MEDAnterior),IF(AND(RegimeExecucao="Global",$I65&gt;0,COUNTIF($AB$13:$AM$13,BM.medicao-1)&gt;0),M65/$I65*100,0))</f>
        <v>0</v>
      </c>
      <c r="K65" s="124">
        <f t="shared" ca="1" si="50"/>
        <v>0</v>
      </c>
      <c r="L65" s="346">
        <f ca="1">IF($A65="S",IF(CAIXA.Modo,BM.AFAcumulado,BM.MEDAcumulado),IF(AND(RegimeExecucao="Global",$I65&gt;0,COUNTIF($AB$13:$AM$13,BM.medicao)&gt;0),O65/$I65*100,0))</f>
        <v>0</v>
      </c>
      <c r="M65" s="347">
        <f ca="1">IF($A65="S",VTOTALBM,IF($A65=0,0,ROUND(SomaAgrupBM,15-13*ORÇAMENTO!$AF$11)))</f>
        <v>0</v>
      </c>
      <c r="N65" s="348">
        <f t="shared" ca="1" si="51"/>
        <v>0</v>
      </c>
      <c r="O65" s="127">
        <f ca="1">IF($A65="S",VTOTALBM,IF($A65=0,0,ROUND(SomaAgrupBM,15-13*ORÇAMENTO!$AF$11)))</f>
        <v>0</v>
      </c>
      <c r="Q65" s="349"/>
      <c r="R65" s="350"/>
      <c r="T65" s="119" t="str">
        <f t="shared" ca="1" si="52"/>
        <v/>
      </c>
      <c r="U65" s="170" t="str">
        <f t="shared" ca="1" si="53"/>
        <v/>
      </c>
      <c r="V65" s="171" t="str">
        <f ca="1">IF(AND($W65&gt;0,RegimeExecucao="Unitário"),$F65,"")</f>
        <v/>
      </c>
      <c r="W65" s="486">
        <f ca="1">IF($Y65&gt;0,CHOOSE(MATCH(RegimeExecucao,{"Unitário","Global"},0),IF($A65="S",$Y65/$X65,""),($Y65/$X65)*100),0)</f>
        <v>0</v>
      </c>
      <c r="X65" s="351" t="str">
        <f ca="1">IF($Y65&gt;0,CHOOSE(MATCH(RegimeExecucao,{"Unitário","Global"},0),IF($A65="S",ROUND($H65,ORÇAMENTO!$AF$10),""),ROUND($I65,ORÇAMENTO!$AF$11)),"")</f>
        <v/>
      </c>
      <c r="Y65" s="351">
        <f t="shared" ca="1" si="54"/>
        <v>0</v>
      </c>
      <c r="Z65" s="507"/>
      <c r="AB65" s="349"/>
      <c r="AC65" s="469"/>
      <c r="AD65" s="469"/>
      <c r="AE65" s="469"/>
      <c r="AF65" s="469"/>
      <c r="AG65" s="469"/>
      <c r="AH65" s="469"/>
      <c r="AI65" s="469"/>
      <c r="AJ65" s="469"/>
      <c r="AK65" s="469"/>
      <c r="AL65" s="469"/>
      <c r="AM65" s="350"/>
      <c r="AO65">
        <f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6" t="str">
        <f t="shared" ca="1" si="48"/>
        <v>F</v>
      </c>
      <c r="D66" s="119" t="str">
        <f ca="1">ORÇAMENTO!O66</f>
        <v>1.8.0.0.1.</v>
      </c>
      <c r="E66" s="170" t="str">
        <f t="shared" ca="1" si="49"/>
        <v>EMASSAMENTO COM MASSA LÁTEX, APLICAÇÃO EM PAREDE, DUAS DEMÃOS, LIXAMENTO MANUAL. AF_04/2023</v>
      </c>
      <c r="F66" s="171" t="str">
        <f ca="1">IF(RegimeExecucao="Global","",ORÇAMENTO.Unidade)</f>
        <v>M2</v>
      </c>
      <c r="G66" s="124">
        <f ca="1">IF(RegimeExecucao="Global","",ORÇAMENTO!T66)</f>
        <v>311.29000000000002</v>
      </c>
      <c r="H66" s="124">
        <f ca="1">IF(RegimeExecucao="Global","",ORÇAMENTO!W66)</f>
        <v>26.8</v>
      </c>
      <c r="I66" s="127">
        <f ca="1">ORÇAMENTO!X66</f>
        <v>8342.57</v>
      </c>
      <c r="J66" s="345">
        <f ca="1">IF($A66="S",IF(CAIXA.Modo,BM.AFAnterior,BM.MEDAnterior),IF(AND(RegimeExecucao="Global",$I66&gt;0,COUNTIF($AB$13:$AM$13,BM.medicao-1)&gt;0),M66/$I66*100,0))</f>
        <v>0</v>
      </c>
      <c r="K66" s="124">
        <f t="shared" ca="1" si="50"/>
        <v>0</v>
      </c>
      <c r="L66" s="346">
        <f ca="1">IF($A66="S",IF(CAIXA.Modo,BM.AFAcumulado,BM.MEDAcumulado),IF(AND(RegimeExecucao="Global",$I66&gt;0,COUNTIF($AB$13:$AM$13,BM.medicao)&gt;0),O66/$I66*100,0))</f>
        <v>0</v>
      </c>
      <c r="M66" s="347">
        <f ca="1">IF($A66="S",VTOTALBM,IF($A66=0,0,ROUND(SomaAgrupBM,15-13*ORÇAMENTO!$AF$11)))</f>
        <v>0</v>
      </c>
      <c r="N66" s="348">
        <f t="shared" ca="1" si="51"/>
        <v>0</v>
      </c>
      <c r="O66" s="127">
        <f ca="1">IF($A66="S",VTOTALBM,IF($A66=0,0,ROUND(SomaAgrupBM,15-13*ORÇAMENTO!$AF$11)))</f>
        <v>0</v>
      </c>
      <c r="Q66" s="349"/>
      <c r="R66" s="350"/>
      <c r="T66" s="119" t="str">
        <f t="shared" ca="1" si="52"/>
        <v/>
      </c>
      <c r="U66" s="170" t="str">
        <f t="shared" ca="1" si="53"/>
        <v/>
      </c>
      <c r="V66" s="171" t="str">
        <f ca="1">IF(AND($W66&gt;0,RegimeExecucao="Unitário"),$F66,"")</f>
        <v/>
      </c>
      <c r="W66" s="486">
        <f ca="1">IF($Y66&gt;0,CHOOSE(MATCH(RegimeExecucao,{"Unitário","Global"},0),IF($A66="S",$Y66/$X66,""),($Y66/$X66)*100),0)</f>
        <v>0</v>
      </c>
      <c r="X66" s="351" t="str">
        <f ca="1">IF($Y66&gt;0,CHOOSE(MATCH(RegimeExecucao,{"Unitário","Global"},0),IF($A66="S",ROUND($H66,ORÇAMENTO!$AF$10),""),ROUND($I66,ORÇAMENTO!$AF$11)),"")</f>
        <v/>
      </c>
      <c r="Y66" s="351">
        <f t="shared" ca="1" si="54"/>
        <v>0</v>
      </c>
      <c r="Z66" s="507"/>
      <c r="AB66" s="349"/>
      <c r="AC66" s="469"/>
      <c r="AD66" s="469"/>
      <c r="AE66" s="469"/>
      <c r="AF66" s="469"/>
      <c r="AG66" s="469"/>
      <c r="AH66" s="469"/>
      <c r="AI66" s="469"/>
      <c r="AJ66" s="469"/>
      <c r="AK66" s="469"/>
      <c r="AL66" s="469"/>
      <c r="AM66" s="350"/>
      <c r="AO66">
        <f ca="1">IF($A66="S",IF(BM!$I66=0,0,CHOOSE(MATCH(RegimeExecucao,{"Global","Unitário"},0),ROUND(ROUND(BM.MEDAcumulado,15-13*BM!$A$9)/100*BM!$I66,15-13*ORÇAMENTO!$AF$11),ROUND(ROUND(BM.MEDAcumulado,15-13*BM!$A$9)*ROUND(BM!$H66,15-13*ORÇAMENTO!$AF$10),15-13*ORÇAMENTO!$AF$11))),IF($A66=0,0,ROUND(SomaAgrupBM,15-13*ORÇAMENTO!$AF$11)))</f>
        <v>0</v>
      </c>
    </row>
    <row r="67" spans="1:41" ht="25.5" x14ac:dyDescent="0.2">
      <c r="A67" t="str">
        <f ca="1">ORÇAMENTO!C67</f>
        <v>S</v>
      </c>
      <c r="B67">
        <f ca="1">ORÇAMENTO!D67</f>
        <v>0</v>
      </c>
      <c r="C67" s="116" t="str">
        <f ca="1">IF(OR($I67&gt;0,$A67=1,$A67=2,$A67=3,$A67=4),"F","")</f>
        <v>F</v>
      </c>
      <c r="D67" s="119" t="str">
        <f ca="1">ORÇAMENTO!O67</f>
        <v>1.8.0.0.2.</v>
      </c>
      <c r="E67" s="170" t="str">
        <f t="shared" ref="E67:E68" ca="1" si="55">ORÇAMENTO.Descricao</f>
        <v>APLICAÇÃO MANUAL DE FUNDO SELADOR ACRÍLICO EM PAREDES EXTERNAS DE CASAS. AF_03/2024</v>
      </c>
      <c r="F67" s="171" t="str">
        <f ca="1">IF(RegimeExecucao="Global","",ORÇAMENTO.Unidade)</f>
        <v>M2</v>
      </c>
      <c r="G67" s="124">
        <f ca="1">IF(RegimeExecucao="Global","",ORÇAMENTO!T67)</f>
        <v>311.29000000000002</v>
      </c>
      <c r="H67" s="124">
        <f ca="1">IF(RegimeExecucao="Global","",ORÇAMENTO!W67)</f>
        <v>5.66</v>
      </c>
      <c r="I67" s="127">
        <f ca="1">ORÇAMENTO!X67</f>
        <v>1761.9</v>
      </c>
      <c r="J67" s="345">
        <f ca="1">IF($A67="S",IF(CAIXA.Modo,BM.AFAnterior,BM.MEDAnterior),IF(AND(RegimeExecucao="Global",$I67&gt;0,COUNTIF($AB$13:$AM$13,BM.medicao-1)&gt;0),M67/$I67*100,0))</f>
        <v>0</v>
      </c>
      <c r="K67" s="124">
        <f ca="1">L67-J67</f>
        <v>0</v>
      </c>
      <c r="L67" s="346">
        <f ca="1">IF($A67="S",IF(CAIXA.Modo,BM.AFAcumulado,BM.MEDAcumulado),IF(AND(RegimeExecucao="Global",$I67&gt;0,COUNTIF($AB$13:$AM$13,BM.medicao)&gt;0),O67/$I67*100,0))</f>
        <v>0</v>
      </c>
      <c r="M67" s="347">
        <f ca="1">IF($A67="S",VTOTALBM,IF($A67=0,0,ROUND(SomaAgrupBM,15-13*ORÇAMENTO!$AF$11)))</f>
        <v>0</v>
      </c>
      <c r="N67" s="348">
        <f ca="1">O67-M67</f>
        <v>0</v>
      </c>
      <c r="O67" s="127">
        <f ca="1">IF($A67="S",VTOTALBM,IF($A67=0,0,ROUND(SomaAgrupBM,15-13*ORÇAMENTO!$AF$11)))</f>
        <v>0</v>
      </c>
      <c r="Q67" s="349"/>
      <c r="R67" s="350"/>
      <c r="T67" s="119" t="str">
        <f ca="1">IF($W67&gt;0,$D67,"")</f>
        <v/>
      </c>
      <c r="U67" s="170" t="str">
        <f ca="1">IF($W67&gt;0,$E67,"")</f>
        <v/>
      </c>
      <c r="V67" s="171" t="str">
        <f ca="1">IF(AND($W67&gt;0,RegimeExecucao="Unitário"),$F67,"")</f>
        <v/>
      </c>
      <c r="W67" s="486">
        <f ca="1">IF($Y67&gt;0,CHOOSE(MATCH(RegimeExecucao,{"Unitário","Global"},0),IF($A67="S",$Y67/$X67,""),($Y67/$X67)*100),0)</f>
        <v>0</v>
      </c>
      <c r="X67" s="351" t="str">
        <f ca="1">IF($Y67&gt;0,CHOOSE(MATCH(RegimeExecucao,{"Unitário","Global"},0),IF($A67="S",ROUND($H67,ORÇAMENTO!$AF$10),""),ROUND($I67,ORÇAMENTO!$AF$11)),"")</f>
        <v/>
      </c>
      <c r="Y67" s="351">
        <f ca="1">AO67-O67</f>
        <v>0</v>
      </c>
      <c r="Z67" s="507"/>
      <c r="AB67" s="349"/>
      <c r="AC67" s="469"/>
      <c r="AD67" s="469"/>
      <c r="AE67" s="469"/>
      <c r="AF67" s="469"/>
      <c r="AG67" s="469"/>
      <c r="AH67" s="469"/>
      <c r="AI67" s="469"/>
      <c r="AJ67" s="469"/>
      <c r="AK67" s="469"/>
      <c r="AL67" s="469"/>
      <c r="AM67" s="350"/>
      <c r="AO67">
        <f ca="1">IF($A67="S",IF(BM!$I67=0,0,CHOOSE(MATCH(RegimeExecucao,{"Global","Unitário"},0),ROUND(ROUND(BM.MEDAcumulado,15-13*BM!$A$9)/100*BM!$I67,15-13*ORÇAMENTO!$AF$11),ROUND(ROUND(BM.MEDAcumulado,15-13*BM!$A$9)*ROUND(BM!$H67,15-13*ORÇAMENTO!$AF$10),15-13*ORÇAMENTO!$AF$11))),IF($A67=0,0,ROUND(SomaAgrupBM,15-13*ORÇAMENTO!$AF$11)))</f>
        <v>0</v>
      </c>
    </row>
    <row r="68" spans="1:41" ht="25.5" x14ac:dyDescent="0.2">
      <c r="A68" t="str">
        <f ca="1">ORÇAMENTO!C68</f>
        <v>S</v>
      </c>
      <c r="B68">
        <f ca="1">ORÇAMENTO!D68</f>
        <v>0</v>
      </c>
      <c r="C68" s="116" t="str">
        <f ca="1">IF(OR($I68&gt;0,$A68=1,$A68=2,$A68=3,$A68=4),"F","")</f>
        <v>F</v>
      </c>
      <c r="D68" s="119" t="str">
        <f ca="1">ORÇAMENTO!O68</f>
        <v>1.8.0.0.3.</v>
      </c>
      <c r="E68" s="170" t="str">
        <f t="shared" ca="1" si="55"/>
        <v>PINTURA LÁTEX ACRÍLICA PREMIUM, APLICAÇÃO MANUAL EM PAREDES, DUAS DEMÃOS. AF_04/2023</v>
      </c>
      <c r="F68" s="171" t="str">
        <f ca="1">IF(RegimeExecucao="Global","",ORÇAMENTO.Unidade)</f>
        <v>M2</v>
      </c>
      <c r="G68" s="124">
        <f ca="1">IF(RegimeExecucao="Global","",ORÇAMENTO!T68)</f>
        <v>311.29000000000002</v>
      </c>
      <c r="H68" s="124">
        <f ca="1">IF(RegimeExecucao="Global","",ORÇAMENTO!W68)</f>
        <v>17.03</v>
      </c>
      <c r="I68" s="127">
        <f ca="1">ORÇAMENTO!X68</f>
        <v>5301.27</v>
      </c>
      <c r="J68" s="345">
        <f ca="1">IF($A68="S",IF(CAIXA.Modo,BM.AFAnterior,BM.MEDAnterior),IF(AND(RegimeExecucao="Global",$I68&gt;0,COUNTIF($AB$13:$AM$13,BM.medicao-1)&gt;0),M68/$I68*100,0))</f>
        <v>0</v>
      </c>
      <c r="K68" s="124">
        <f ca="1">L68-J68</f>
        <v>0</v>
      </c>
      <c r="L68" s="346">
        <f ca="1">IF($A68="S",IF(CAIXA.Modo,BM.AFAcumulado,BM.MEDAcumulado),IF(AND(RegimeExecucao="Global",$I68&gt;0,COUNTIF($AB$13:$AM$13,BM.medicao)&gt;0),O68/$I68*100,0))</f>
        <v>0</v>
      </c>
      <c r="M68" s="347">
        <f ca="1">IF($A68="S",VTOTALBM,IF($A68=0,0,ROUND(SomaAgrupBM,15-13*ORÇAMENTO!$AF$11)))</f>
        <v>0</v>
      </c>
      <c r="N68" s="348">
        <f ca="1">O68-M68</f>
        <v>0</v>
      </c>
      <c r="O68" s="127">
        <f ca="1">IF($A68="S",VTOTALBM,IF($A68=0,0,ROUND(SomaAgrupBM,15-13*ORÇAMENTO!$AF$11)))</f>
        <v>0</v>
      </c>
      <c r="Q68" s="349"/>
      <c r="R68" s="350"/>
      <c r="T68" s="119" t="str">
        <f ca="1">IF($W68&gt;0,$D68,"")</f>
        <v/>
      </c>
      <c r="U68" s="170" t="str">
        <f ca="1">IF($W68&gt;0,$E68,"")</f>
        <v/>
      </c>
      <c r="V68" s="171" t="str">
        <f ca="1">IF(AND($W68&gt;0,RegimeExecucao="Unitário"),$F68,"")</f>
        <v/>
      </c>
      <c r="W68" s="486">
        <f ca="1">IF($Y68&gt;0,CHOOSE(MATCH(RegimeExecucao,{"Unitário","Global"},0),IF($A68="S",$Y68/$X68,""),($Y68/$X68)*100),0)</f>
        <v>0</v>
      </c>
      <c r="X68" s="351" t="str">
        <f ca="1">IF($Y68&gt;0,CHOOSE(MATCH(RegimeExecucao,{"Unitário","Global"},0),IF($A68="S",ROUND($H68,ORÇAMENTO!$AF$10),""),ROUND($I68,ORÇAMENTO!$AF$11)),"")</f>
        <v/>
      </c>
      <c r="Y68" s="351">
        <f ca="1">AO68-O68</f>
        <v>0</v>
      </c>
      <c r="Z68" s="507"/>
      <c r="AB68" s="349"/>
      <c r="AC68" s="469"/>
      <c r="AD68" s="469"/>
      <c r="AE68" s="469"/>
      <c r="AF68" s="469"/>
      <c r="AG68" s="469"/>
      <c r="AH68" s="469"/>
      <c r="AI68" s="469"/>
      <c r="AJ68" s="469"/>
      <c r="AK68" s="469"/>
      <c r="AL68" s="469"/>
      <c r="AM68" s="350"/>
      <c r="AO68">
        <f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6" t="str">
        <f ca="1">IF(OR($I69&gt;0,$A69=1,$A69=2,$A69=3,$A69=4),"F","")</f>
        <v>F</v>
      </c>
      <c r="D69" s="119" t="str">
        <f ca="1">ORÇAMENTO!O69</f>
        <v>1.8.0.0.4.</v>
      </c>
      <c r="E69" s="170" t="str">
        <f ca="1">ORÇAMENTO.Descricao</f>
        <v>PINTURA LÁTEX ACRÍLICA PREMIUM, APLICAÇÃO MANUAL EM PAREDES, DUAS DEMÃOS. AF_04/2023</v>
      </c>
      <c r="F69" s="171" t="str">
        <f ca="1">IF(RegimeExecucao="Global","",ORÇAMENTO.Unidade)</f>
        <v>M2</v>
      </c>
      <c r="G69" s="124">
        <f ca="1">IF(RegimeExecucao="Global","",ORÇAMENTO!T69)</f>
        <v>7.84</v>
      </c>
      <c r="H69" s="124">
        <f ca="1">IF(RegimeExecucao="Global","",ORÇAMENTO!W69)</f>
        <v>17.03</v>
      </c>
      <c r="I69" s="127">
        <f ca="1">ORÇAMENTO!X69</f>
        <v>133.52000000000001</v>
      </c>
      <c r="J69" s="345">
        <f ca="1">IF($A69="S",IF(CAIXA.Modo,BM.AFAnterior,BM.MEDAnterior),IF(AND(RegimeExecucao="Global",$I69&gt;0,COUNTIF($AB$13:$AM$13,BM.medicao-1)&gt;0),M69/$I69*100,0))</f>
        <v>0</v>
      </c>
      <c r="K69" s="124">
        <f ca="1">L69-J69</f>
        <v>0</v>
      </c>
      <c r="L69" s="346">
        <f ca="1">IF($A69="S",IF(CAIXA.Modo,BM.AFAcumulado,BM.MEDAcumulado),IF(AND(RegimeExecucao="Global",$I69&gt;0,COUNTIF($AB$13:$AM$13,BM.medicao)&gt;0),O69/$I69*100,0))</f>
        <v>0</v>
      </c>
      <c r="M69" s="347">
        <f ca="1">IF($A69="S",VTOTALBM,IF($A69=0,0,ROUND(SomaAgrupBM,15-13*ORÇAMENTO!$AF$11)))</f>
        <v>0</v>
      </c>
      <c r="N69" s="348">
        <f ca="1">O69-M69</f>
        <v>0</v>
      </c>
      <c r="O69" s="127">
        <f ca="1">IF($A69="S",VTOTALBM,IF($A69=0,0,ROUND(SomaAgrupBM,15-13*ORÇAMENTO!$AF$11)))</f>
        <v>0</v>
      </c>
      <c r="Q69" s="349"/>
      <c r="R69" s="350"/>
      <c r="T69" s="119" t="str">
        <f ca="1">IF($W69&gt;0,$D69,"")</f>
        <v/>
      </c>
      <c r="U69" s="170" t="str">
        <f ca="1">IF($W69&gt;0,$E69,"")</f>
        <v/>
      </c>
      <c r="V69" s="171" t="str">
        <f ca="1">IF(AND($W69&gt;0,RegimeExecucao="Unitário"),$F69,"")</f>
        <v/>
      </c>
      <c r="W69" s="486">
        <f ca="1">IF($Y69&gt;0,CHOOSE(MATCH(RegimeExecucao,{"Unitário","Global"},0),IF($A69="S",$Y69/$X69,""),($Y69/$X69)*100),0)</f>
        <v>0</v>
      </c>
      <c r="X69" s="351" t="str">
        <f ca="1">IF($Y69&gt;0,CHOOSE(MATCH(RegimeExecucao,{"Unitário","Global"},0),IF($A69="S",ROUND($H69,ORÇAMENTO!$AF$10),""),ROUND($I69,ORÇAMENTO!$AF$11)),"")</f>
        <v/>
      </c>
      <c r="Y69" s="351">
        <f ca="1">AO69-O69</f>
        <v>0</v>
      </c>
      <c r="Z69" s="507"/>
      <c r="AB69" s="349"/>
      <c r="AC69" s="469"/>
      <c r="AD69" s="469"/>
      <c r="AE69" s="469"/>
      <c r="AF69" s="469"/>
      <c r="AG69" s="469"/>
      <c r="AH69" s="469"/>
      <c r="AI69" s="469"/>
      <c r="AJ69" s="469"/>
      <c r="AK69" s="469"/>
      <c r="AL69" s="469"/>
      <c r="AM69" s="350"/>
      <c r="AO69">
        <f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f ca="1">ORÇAMENTO!C70</f>
        <v>2</v>
      </c>
      <c r="B70">
        <f ca="1">ORÇAMENTO!D70</f>
        <v>7</v>
      </c>
      <c r="C70" s="116" t="str">
        <f t="shared" ref="C70:C130" ca="1" si="56">IF(OR($I70&gt;0,$A70=1,$A70=2,$A70=3,$A70=4),"F","")</f>
        <v>F</v>
      </c>
      <c r="D70" s="119" t="str">
        <f ca="1">ORÇAMENTO!O70</f>
        <v>1.9.</v>
      </c>
      <c r="E70" s="170" t="str">
        <f t="shared" ref="E70:E130" si="57">ORÇAMENTO.Descricao</f>
        <v>EQUIPAMENTOS E MOBILIÁRIOS URBANOS</v>
      </c>
      <c r="F70" s="171" t="str">
        <f ca="1">IF(RegimeExecucao="Global","",ORÇAMENTO.Unidade)</f>
        <v>-</v>
      </c>
      <c r="G70" s="124">
        <f ca="1">IF(RegimeExecucao="Global","",ORÇAMENTO!T70)</f>
        <v>0</v>
      </c>
      <c r="H70" s="124">
        <f ca="1">IF(RegimeExecucao="Global","",ORÇAMENTO!W70)</f>
        <v>0</v>
      </c>
      <c r="I70" s="127">
        <f ca="1">ORÇAMENTO!X70</f>
        <v>74775.08</v>
      </c>
      <c r="J70" s="345">
        <f ca="1">IF($A70="S",IF(CAIXA.Modo,BM.AFAnterior,BM.MEDAnterior),IF(AND(RegimeExecucao="Global",$I70&gt;0,COUNTIF($AB$13:$AM$13,BM.medicao-1)&gt;0),M70/$I70*100,0))</f>
        <v>0</v>
      </c>
      <c r="K70" s="124">
        <f t="shared" ref="K70:K130" ca="1" si="58">L70-J70</f>
        <v>0</v>
      </c>
      <c r="L70" s="346">
        <f ca="1">IF($A70="S",IF(CAIXA.Modo,BM.AFAcumulado,BM.MEDAcumulado),IF(AND(RegimeExecucao="Global",$I70&gt;0,COUNTIF($AB$13:$AM$13,BM.medicao)&gt;0),O70/$I70*100,0))</f>
        <v>0</v>
      </c>
      <c r="M70" s="347">
        <f ca="1">IF($A70="S",VTOTALBM,IF($A70=0,0,ROUND(SomaAgrupBM,15-13*ORÇAMENTO!$AF$11)))</f>
        <v>0</v>
      </c>
      <c r="N70" s="348">
        <f t="shared" ref="N70:N130" ca="1" si="59">O70-M70</f>
        <v>0</v>
      </c>
      <c r="O70" s="127">
        <f ca="1">IF($A70="S",VTOTALBM,IF($A70=0,0,ROUND(SomaAgrupBM,15-13*ORÇAMENTO!$AF$11)))</f>
        <v>0</v>
      </c>
      <c r="Q70" s="349"/>
      <c r="R70" s="350"/>
      <c r="T70" s="119" t="str">
        <f t="shared" ref="T70:T130" ca="1" si="60">IF($W70&gt;0,$D70,"")</f>
        <v/>
      </c>
      <c r="U70" s="170" t="str">
        <f t="shared" ref="U70:U130" ca="1" si="61">IF($W70&gt;0,$E70,"")</f>
        <v/>
      </c>
      <c r="V70" s="171" t="str">
        <f ca="1">IF(AND($W70&gt;0,RegimeExecucao="Unitário"),$F70,"")</f>
        <v/>
      </c>
      <c r="W70" s="486">
        <f ca="1">IF($Y70&gt;0,CHOOSE(MATCH(RegimeExecucao,{"Unitário","Global"},0),IF($A70="S",$Y70/$X70,""),($Y70/$X70)*100),0)</f>
        <v>0</v>
      </c>
      <c r="X70" s="351" t="str">
        <f ca="1">IF($Y70&gt;0,CHOOSE(MATCH(RegimeExecucao,{"Unitário","Global"},0),IF($A70="S",ROUND($H70,ORÇAMENTO!$AF$10),""),ROUND($I70,ORÇAMENTO!$AF$11)),"")</f>
        <v/>
      </c>
      <c r="Y70" s="351">
        <f t="shared" ref="Y70:Y130" ca="1" si="62">AO70-O70</f>
        <v>0</v>
      </c>
      <c r="Z70" s="507"/>
      <c r="AB70" s="349"/>
      <c r="AC70" s="469"/>
      <c r="AD70" s="469"/>
      <c r="AE70" s="469"/>
      <c r="AF70" s="469"/>
      <c r="AG70" s="469"/>
      <c r="AH70" s="469"/>
      <c r="AI70" s="469"/>
      <c r="AJ70" s="469"/>
      <c r="AK70" s="469"/>
      <c r="AL70" s="469"/>
      <c r="AM70" s="350"/>
      <c r="AO70">
        <f ca="1">IF($A70="S",IF(BM!$I70=0,0,CHOOSE(MATCH(RegimeExecucao,{"Global","Unitário"},0),ROUND(ROUND(BM.MEDAcumulado,15-13*BM!$A$9)/100*BM!$I70,15-13*ORÇAMENTO!$AF$11),ROUND(ROUND(BM.MEDAcumulado,15-13*BM!$A$9)*ROUND(BM!$H70,15-13*ORÇAMENTO!$AF$10),15-13*ORÇAMENTO!$AF$11))),IF($A70=0,0,ROUND(SomaAgrupBM,15-13*ORÇAMENTO!$AF$11)))</f>
        <v>0</v>
      </c>
    </row>
    <row r="71" spans="1:41" ht="38.25" x14ac:dyDescent="0.2">
      <c r="A71" t="str">
        <f ca="1">ORÇAMENTO!C71</f>
        <v>S</v>
      </c>
      <c r="B71">
        <f ca="1">ORÇAMENTO!D71</f>
        <v>0</v>
      </c>
      <c r="C71" s="116" t="str">
        <f ca="1">IF(OR($I71&gt;0,$A71=1,$A71=2,$A71=3,$A71=4),"F","")</f>
        <v>F</v>
      </c>
      <c r="D71" s="119" t="str">
        <f ca="1">ORÇAMENTO!O71</f>
        <v>1.9.0.0.1.</v>
      </c>
      <c r="E71" s="170" t="str">
        <f ca="1">ORÇAMENTO.Descricao</f>
        <v>GUARDA-CORPO DE FERRO COM FORMATO PERSONALIZADO E PINTURA ELETROSTÁTICA NA COR PRETA, FRABRICAÇÃO E INSTALAÇÃO.</v>
      </c>
      <c r="F71" s="171" t="str">
        <f ca="1">IF(RegimeExecucao="Global","",ORÇAMENTO.Unidade)</f>
        <v>UN</v>
      </c>
      <c r="G71" s="124">
        <f ca="1">IF(RegimeExecucao="Global","",ORÇAMENTO!T71)</f>
        <v>1</v>
      </c>
      <c r="H71" s="124">
        <f ca="1">IF(RegimeExecucao="Global","",ORÇAMENTO!W71)</f>
        <v>55962.04</v>
      </c>
      <c r="I71" s="127">
        <f ca="1">ORÇAMENTO!X71</f>
        <v>55962.04</v>
      </c>
      <c r="J71" s="345">
        <f ca="1">IF($A71="S",IF(CAIXA.Modo,BM.AFAnterior,BM.MEDAnterior),IF(AND(RegimeExecucao="Global",$I71&gt;0,COUNTIF($AB$13:$AM$13,BM.medicao-1)&gt;0),M71/$I71*100,0))</f>
        <v>0</v>
      </c>
      <c r="K71" s="124">
        <f ca="1">L71-J71</f>
        <v>0</v>
      </c>
      <c r="L71" s="346">
        <f ca="1">IF($A71="S",IF(CAIXA.Modo,BM.AFAcumulado,BM.MEDAcumulado),IF(AND(RegimeExecucao="Global",$I71&gt;0,COUNTIF($AB$13:$AM$13,BM.medicao)&gt;0),O71/$I71*100,0))</f>
        <v>0</v>
      </c>
      <c r="M71" s="347">
        <f ca="1">IF($A71="S",VTOTALBM,IF($A71=0,0,ROUND(SomaAgrupBM,15-13*ORÇAMENTO!$AF$11)))</f>
        <v>0</v>
      </c>
      <c r="N71" s="348">
        <f ca="1">O71-M71</f>
        <v>0</v>
      </c>
      <c r="O71" s="127">
        <f ca="1">IF($A71="S",VTOTALBM,IF($A71=0,0,ROUND(SomaAgrupBM,15-13*ORÇAMENTO!$AF$11)))</f>
        <v>0</v>
      </c>
      <c r="Q71" s="349"/>
      <c r="R71" s="350"/>
      <c r="T71" s="119" t="str">
        <f ca="1">IF($W71&gt;0,$D71,"")</f>
        <v/>
      </c>
      <c r="U71" s="170" t="str">
        <f ca="1">IF($W71&gt;0,$E71,"")</f>
        <v/>
      </c>
      <c r="V71" s="171" t="str">
        <f ca="1">IF(AND($W71&gt;0,RegimeExecucao="Unitário"),$F71,"")</f>
        <v/>
      </c>
      <c r="W71" s="486">
        <f ca="1">IF($Y71&gt;0,CHOOSE(MATCH(RegimeExecucao,{"Unitário","Global"},0),IF($A71="S",$Y71/$X71,""),($Y71/$X71)*100),0)</f>
        <v>0</v>
      </c>
      <c r="X71" s="351" t="str">
        <f ca="1">IF($Y71&gt;0,CHOOSE(MATCH(RegimeExecucao,{"Unitário","Global"},0),IF($A71="S",ROUND($H71,ORÇAMENTO!$AF$10),""),ROUND($I71,ORÇAMENTO!$AF$11)),"")</f>
        <v/>
      </c>
      <c r="Y71" s="351">
        <f ca="1">AO71-O71</f>
        <v>0</v>
      </c>
      <c r="Z71" s="507"/>
      <c r="AB71" s="349"/>
      <c r="AC71" s="469"/>
      <c r="AD71" s="469"/>
      <c r="AE71" s="469"/>
      <c r="AF71" s="469"/>
      <c r="AG71" s="469"/>
      <c r="AH71" s="469"/>
      <c r="AI71" s="469"/>
      <c r="AJ71" s="469"/>
      <c r="AK71" s="469"/>
      <c r="AL71" s="469"/>
      <c r="AM71" s="350"/>
      <c r="AO71">
        <f ca="1">IF($A71="S",IF(BM!$I71=0,0,CHOOSE(MATCH(RegimeExecucao,{"Global","Unitário"},0),ROUND(ROUND(BM.MEDAcumulado,15-13*BM!$A$9)/100*BM!$I71,15-13*ORÇAMENTO!$AF$11),ROUND(ROUND(BM.MEDAcumulado,15-13*BM!$A$9)*ROUND(BM!$H71,15-13*ORÇAMENTO!$AF$10),15-13*ORÇAMENTO!$AF$11))),IF($A71=0,0,ROUND(SomaAgrupBM,15-13*ORÇAMENTO!$AF$11)))</f>
        <v>0</v>
      </c>
    </row>
    <row r="72" spans="1:41" ht="51" x14ac:dyDescent="0.2">
      <c r="A72" t="str">
        <f ca="1">ORÇAMENTO!C72</f>
        <v>S</v>
      </c>
      <c r="B72">
        <f ca="1">ORÇAMENTO!D72</f>
        <v>0</v>
      </c>
      <c r="C72" s="116" t="str">
        <f t="shared" ca="1" si="56"/>
        <v>F</v>
      </c>
      <c r="D72" s="119" t="str">
        <f ca="1">ORÇAMENTO!O72</f>
        <v>1.9.0.0.2.</v>
      </c>
      <c r="E72" s="170" t="str">
        <f t="shared" ca="1" si="57"/>
        <v>INSTALAÇÃO DE LIXEIRA METÁLICA DUPLA, CAPACIDADE DE 60 L, EM TUBO DE AÇO CARBONO E CESTOS EM CHAPA DE AÇO COM PINTURA ELETROSTÁTICA, SOBRE PISO DE CONCRETO EXISTENTE. AF_11/2021</v>
      </c>
      <c r="F72" s="171" t="str">
        <f ca="1">IF(RegimeExecucao="Global","",ORÇAMENTO.Unidade)</f>
        <v>UN</v>
      </c>
      <c r="G72" s="124">
        <f ca="1">IF(RegimeExecucao="Global","",ORÇAMENTO!T72)</f>
        <v>4</v>
      </c>
      <c r="H72" s="124">
        <f ca="1">IF(RegimeExecucao="Global","",ORÇAMENTO!W72)</f>
        <v>1686.05</v>
      </c>
      <c r="I72" s="127">
        <f ca="1">ORÇAMENTO!X72</f>
        <v>6744.2</v>
      </c>
      <c r="J72" s="345">
        <f ca="1">IF($A72="S",IF(CAIXA.Modo,BM.AFAnterior,BM.MEDAnterior),IF(AND(RegimeExecucao="Global",$I72&gt;0,COUNTIF($AB$13:$AM$13,BM.medicao-1)&gt;0),M72/$I72*100,0))</f>
        <v>0</v>
      </c>
      <c r="K72" s="124">
        <f t="shared" ca="1" si="58"/>
        <v>0</v>
      </c>
      <c r="L72" s="346">
        <f ca="1">IF($A72="S",IF(CAIXA.Modo,BM.AFAcumulado,BM.MEDAcumulado),IF(AND(RegimeExecucao="Global",$I72&gt;0,COUNTIF($AB$13:$AM$13,BM.medicao)&gt;0),O72/$I72*100,0))</f>
        <v>0</v>
      </c>
      <c r="M72" s="347">
        <f ca="1">IF($A72="S",VTOTALBM,IF($A72=0,0,ROUND(SomaAgrupBM,15-13*ORÇAMENTO!$AF$11)))</f>
        <v>0</v>
      </c>
      <c r="N72" s="348">
        <f t="shared" ca="1" si="59"/>
        <v>0</v>
      </c>
      <c r="O72" s="127">
        <f ca="1">IF($A72="S",VTOTALBM,IF($A72=0,0,ROUND(SomaAgrupBM,15-13*ORÇAMENTO!$AF$11)))</f>
        <v>0</v>
      </c>
      <c r="Q72" s="349"/>
      <c r="R72" s="350"/>
      <c r="T72" s="119" t="str">
        <f t="shared" ca="1" si="60"/>
        <v/>
      </c>
      <c r="U72" s="170" t="str">
        <f t="shared" ca="1" si="61"/>
        <v/>
      </c>
      <c r="V72" s="171" t="str">
        <f ca="1">IF(AND($W72&gt;0,RegimeExecucao="Unitário"),$F72,"")</f>
        <v/>
      </c>
      <c r="W72" s="486">
        <f ca="1">IF($Y72&gt;0,CHOOSE(MATCH(RegimeExecucao,{"Unitário","Global"},0),IF($A72="S",$Y72/$X72,""),($Y72/$X72)*100),0)</f>
        <v>0</v>
      </c>
      <c r="X72" s="351" t="str">
        <f ca="1">IF($Y72&gt;0,CHOOSE(MATCH(RegimeExecucao,{"Unitário","Global"},0),IF($A72="S",ROUND($H72,ORÇAMENTO!$AF$10),""),ROUND($I72,ORÇAMENTO!$AF$11)),"")</f>
        <v/>
      </c>
      <c r="Y72" s="351">
        <f t="shared" ca="1" si="62"/>
        <v>0</v>
      </c>
      <c r="Z72" s="507"/>
      <c r="AB72" s="349"/>
      <c r="AC72" s="469"/>
      <c r="AD72" s="469"/>
      <c r="AE72" s="469"/>
      <c r="AF72" s="469"/>
      <c r="AG72" s="469"/>
      <c r="AH72" s="469"/>
      <c r="AI72" s="469"/>
      <c r="AJ72" s="469"/>
      <c r="AK72" s="469"/>
      <c r="AL72" s="469"/>
      <c r="AM72" s="350"/>
      <c r="AO72">
        <f ca="1">IF($A72="S",IF(BM!$I72=0,0,CHOOSE(MATCH(RegimeExecucao,{"Global","Unitário"},0),ROUND(ROUND(BM.MEDAcumulado,15-13*BM!$A$9)/100*BM!$I72,15-13*ORÇAMENTO!$AF$11),ROUND(ROUND(BM.MEDAcumulado,15-13*BM!$A$9)*ROUND(BM!$H72,15-13*ORÇAMENTO!$AF$10),15-13*ORÇAMENTO!$AF$11))),IF($A72=0,0,ROUND(SomaAgrupBM,15-13*ORÇAMENTO!$AF$11)))</f>
        <v>0</v>
      </c>
    </row>
    <row r="73" spans="1:41" ht="25.5" x14ac:dyDescent="0.2">
      <c r="A73" t="str">
        <f ca="1">ORÇAMENTO!C73</f>
        <v>S</v>
      </c>
      <c r="B73">
        <f ca="1">ORÇAMENTO!D73</f>
        <v>0</v>
      </c>
      <c r="C73" s="116" t="str">
        <f ca="1">IF(OR($I73&gt;0,$A73=1,$A73=2,$A73=3,$A73=4),"F","")</f>
        <v>F</v>
      </c>
      <c r="D73" s="119" t="str">
        <f ca="1">ORÇAMENTO!O73</f>
        <v>1.9.0.0.3.</v>
      </c>
      <c r="E73" s="170" t="str">
        <f ca="1">ORÇAMENTO.Descricao</f>
        <v>BANCO DE MADEIRA-PLÁSTICA SEM ENCOSTO COM BASE EM CONCRETO DESEMPENADO</v>
      </c>
      <c r="F73" s="171" t="str">
        <f ca="1">IF(RegimeExecucao="Global","",ORÇAMENTO.Unidade)</f>
        <v>UN</v>
      </c>
      <c r="G73" s="124">
        <f ca="1">IF(RegimeExecucao="Global","",ORÇAMENTO!T73)</f>
        <v>6</v>
      </c>
      <c r="H73" s="124">
        <f ca="1">IF(RegimeExecucao="Global","",ORÇAMENTO!W73)</f>
        <v>1245.3</v>
      </c>
      <c r="I73" s="127">
        <f ca="1">ORÇAMENTO!X73</f>
        <v>7471.8</v>
      </c>
      <c r="J73" s="345">
        <f ca="1">IF($A73="S",IF(CAIXA.Modo,BM.AFAnterior,BM.MEDAnterior),IF(AND(RegimeExecucao="Global",$I73&gt;0,COUNTIF($AB$13:$AM$13,BM.medicao-1)&gt;0),M73/$I73*100,0))</f>
        <v>0</v>
      </c>
      <c r="K73" s="124">
        <f ca="1">L73-J73</f>
        <v>0</v>
      </c>
      <c r="L73" s="346">
        <f ca="1">IF($A73="S",IF(CAIXA.Modo,BM.AFAcumulado,BM.MEDAcumulado),IF(AND(RegimeExecucao="Global",$I73&gt;0,COUNTIF($AB$13:$AM$13,BM.medicao)&gt;0),O73/$I73*100,0))</f>
        <v>0</v>
      </c>
      <c r="M73" s="347">
        <f ca="1">IF($A73="S",VTOTALBM,IF($A73=0,0,ROUND(SomaAgrupBM,15-13*ORÇAMENTO!$AF$11)))</f>
        <v>0</v>
      </c>
      <c r="N73" s="348">
        <f ca="1">O73-M73</f>
        <v>0</v>
      </c>
      <c r="O73" s="127">
        <f ca="1">IF($A73="S",VTOTALBM,IF($A73=0,0,ROUND(SomaAgrupBM,15-13*ORÇAMENTO!$AF$11)))</f>
        <v>0</v>
      </c>
      <c r="Q73" s="349"/>
      <c r="R73" s="350"/>
      <c r="T73" s="119" t="str">
        <f ca="1">IF($W73&gt;0,$D73,"")</f>
        <v/>
      </c>
      <c r="U73" s="170" t="str">
        <f ca="1">IF($W73&gt;0,$E73,"")</f>
        <v/>
      </c>
      <c r="V73" s="171" t="str">
        <f ca="1">IF(AND($W73&gt;0,RegimeExecucao="Unitário"),$F73,"")</f>
        <v/>
      </c>
      <c r="W73" s="486">
        <f ca="1">IF($Y73&gt;0,CHOOSE(MATCH(RegimeExecucao,{"Unitário","Global"},0),IF($A73="S",$Y73/$X73,""),($Y73/$X73)*100),0)</f>
        <v>0</v>
      </c>
      <c r="X73" s="351" t="str">
        <f ca="1">IF($Y73&gt;0,CHOOSE(MATCH(RegimeExecucao,{"Unitário","Global"},0),IF($A73="S",ROUND($H73,ORÇAMENTO!$AF$10),""),ROUND($I73,ORÇAMENTO!$AF$11)),"")</f>
        <v/>
      </c>
      <c r="Y73" s="351">
        <f ca="1">AO73-O73</f>
        <v>0</v>
      </c>
      <c r="Z73" s="507"/>
      <c r="AB73" s="349"/>
      <c r="AC73" s="469"/>
      <c r="AD73" s="469"/>
      <c r="AE73" s="469"/>
      <c r="AF73" s="469"/>
      <c r="AG73" s="469"/>
      <c r="AH73" s="469"/>
      <c r="AI73" s="469"/>
      <c r="AJ73" s="469"/>
      <c r="AK73" s="469"/>
      <c r="AL73" s="469"/>
      <c r="AM73" s="350"/>
      <c r="AO73">
        <f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6" t="str">
        <f t="shared" ca="1" si="56"/>
        <v>F</v>
      </c>
      <c r="D74" s="119" t="str">
        <f ca="1">ORÇAMENTO!O74</f>
        <v>1.9.0.0.4.</v>
      </c>
      <c r="E74" s="170" t="str">
        <f t="shared" ca="1" si="57"/>
        <v>BANCO DE MADEIRA-PLÁSTICA SEM ENCOSTO COM BASE EM CONCRETO DESEMPENADO</v>
      </c>
      <c r="F74" s="171" t="str">
        <f ca="1">IF(RegimeExecucao="Global","",ORÇAMENTO.Unidade)</f>
        <v>UN</v>
      </c>
      <c r="G74" s="124">
        <f ca="1">IF(RegimeExecucao="Global","",ORÇAMENTO!T74)</f>
        <v>2</v>
      </c>
      <c r="H74" s="124">
        <f ca="1">IF(RegimeExecucao="Global","",ORÇAMENTO!W74)</f>
        <v>1245.3</v>
      </c>
      <c r="I74" s="127">
        <f ca="1">ORÇAMENTO!X74</f>
        <v>2490.6</v>
      </c>
      <c r="J74" s="345">
        <f ca="1">IF($A74="S",IF(CAIXA.Modo,BM.AFAnterior,BM.MEDAnterior),IF(AND(RegimeExecucao="Global",$I74&gt;0,COUNTIF($AB$13:$AM$13,BM.medicao-1)&gt;0),M74/$I74*100,0))</f>
        <v>0</v>
      </c>
      <c r="K74" s="124">
        <f t="shared" ca="1" si="58"/>
        <v>0</v>
      </c>
      <c r="L74" s="346">
        <f ca="1">IF($A74="S",IF(CAIXA.Modo,BM.AFAcumulado,BM.MEDAcumulado),IF(AND(RegimeExecucao="Global",$I74&gt;0,COUNTIF($AB$13:$AM$13,BM.medicao)&gt;0),O74/$I74*100,0))</f>
        <v>0</v>
      </c>
      <c r="M74" s="347">
        <f ca="1">IF($A74="S",VTOTALBM,IF($A74=0,0,ROUND(SomaAgrupBM,15-13*ORÇAMENTO!$AF$11)))</f>
        <v>0</v>
      </c>
      <c r="N74" s="348">
        <f t="shared" ca="1" si="59"/>
        <v>0</v>
      </c>
      <c r="O74" s="127">
        <f ca="1">IF($A74="S",VTOTALBM,IF($A74=0,0,ROUND(SomaAgrupBM,15-13*ORÇAMENTO!$AF$11)))</f>
        <v>0</v>
      </c>
      <c r="Q74" s="349"/>
      <c r="R74" s="350"/>
      <c r="T74" s="119" t="str">
        <f t="shared" ca="1" si="60"/>
        <v/>
      </c>
      <c r="U74" s="170" t="str">
        <f t="shared" ca="1" si="61"/>
        <v/>
      </c>
      <c r="V74" s="171" t="str">
        <f ca="1">IF(AND($W74&gt;0,RegimeExecucao="Unitário"),$F74,"")</f>
        <v/>
      </c>
      <c r="W74" s="486">
        <f ca="1">IF($Y74&gt;0,CHOOSE(MATCH(RegimeExecucao,{"Unitário","Global"},0),IF($A74="S",$Y74/$X74,""),($Y74/$X74)*100),0)</f>
        <v>0</v>
      </c>
      <c r="X74" s="351" t="str">
        <f ca="1">IF($Y74&gt;0,CHOOSE(MATCH(RegimeExecucao,{"Unitário","Global"},0),IF($A74="S",ROUND($H74,ORÇAMENTO!$AF$10),""),ROUND($I74,ORÇAMENTO!$AF$11)),"")</f>
        <v/>
      </c>
      <c r="Y74" s="351">
        <f t="shared" ca="1" si="62"/>
        <v>0</v>
      </c>
      <c r="Z74" s="507"/>
      <c r="AB74" s="349"/>
      <c r="AC74" s="469"/>
      <c r="AD74" s="469"/>
      <c r="AE74" s="469"/>
      <c r="AF74" s="469"/>
      <c r="AG74" s="469"/>
      <c r="AH74" s="469"/>
      <c r="AI74" s="469"/>
      <c r="AJ74" s="469"/>
      <c r="AK74" s="469"/>
      <c r="AL74" s="469"/>
      <c r="AM74" s="350"/>
      <c r="AO74">
        <f ca="1">IF($A74="S",IF(BM!$I74=0,0,CHOOSE(MATCH(RegimeExecucao,{"Global","Unitário"},0),ROUND(ROUND(BM.MEDAcumulado,15-13*BM!$A$9)/100*BM!$I74,15-13*ORÇAMENTO!$AF$11),ROUND(ROUND(BM.MEDAcumulado,15-13*BM!$A$9)*ROUND(BM!$H74,15-13*ORÇAMENTO!$AF$10),15-13*ORÇAMENTO!$AF$11))),IF($A74=0,0,ROUND(SomaAgrupBM,15-13*ORÇAMENTO!$AF$11)))</f>
        <v>0</v>
      </c>
    </row>
    <row r="75" spans="1:41" ht="25.5" x14ac:dyDescent="0.2">
      <c r="A75" t="str">
        <f ca="1">ORÇAMENTO!C75</f>
        <v>S</v>
      </c>
      <c r="B75">
        <f ca="1">ORÇAMENTO!D75</f>
        <v>0</v>
      </c>
      <c r="C75" s="116" t="str">
        <f t="shared" ca="1" si="56"/>
        <v>F</v>
      </c>
      <c r="D75" s="119" t="str">
        <f ca="1">ORÇAMENTO!O75</f>
        <v>1.9.0.0.5.</v>
      </c>
      <c r="E75" s="170" t="str">
        <f t="shared" ca="1" si="57"/>
        <v>FLOREIRA CÔNICA ESTILO VASO DE FIBROCIMENTO ALTO H= 1,10 M COR CIMENTO APOIADA SOBRE O PISO. EXCLUSO FRETE</v>
      </c>
      <c r="F75" s="171" t="str">
        <f ca="1">IF(RegimeExecucao="Global","",ORÇAMENTO.Unidade)</f>
        <v>UN</v>
      </c>
      <c r="G75" s="124">
        <f ca="1">IF(RegimeExecucao="Global","",ORÇAMENTO!T75)</f>
        <v>2</v>
      </c>
      <c r="H75" s="124">
        <f ca="1">IF(RegimeExecucao="Global","",ORÇAMENTO!W75)</f>
        <v>618.52</v>
      </c>
      <c r="I75" s="127">
        <f ca="1">ORÇAMENTO!X75</f>
        <v>1237.04</v>
      </c>
      <c r="J75" s="345">
        <f ca="1">IF($A75="S",IF(CAIXA.Modo,BM.AFAnterior,BM.MEDAnterior),IF(AND(RegimeExecucao="Global",$I75&gt;0,COUNTIF($AB$13:$AM$13,BM.medicao-1)&gt;0),M75/$I75*100,0))</f>
        <v>0</v>
      </c>
      <c r="K75" s="124">
        <f t="shared" ca="1" si="58"/>
        <v>0</v>
      </c>
      <c r="L75" s="346">
        <f ca="1">IF($A75="S",IF(CAIXA.Modo,BM.AFAcumulado,BM.MEDAcumulado),IF(AND(RegimeExecucao="Global",$I75&gt;0,COUNTIF($AB$13:$AM$13,BM.medicao)&gt;0),O75/$I75*100,0))</f>
        <v>0</v>
      </c>
      <c r="M75" s="347">
        <f ca="1">IF($A75="S",VTOTALBM,IF($A75=0,0,ROUND(SomaAgrupBM,15-13*ORÇAMENTO!$AF$11)))</f>
        <v>0</v>
      </c>
      <c r="N75" s="348">
        <f t="shared" ca="1" si="59"/>
        <v>0</v>
      </c>
      <c r="O75" s="127">
        <f ca="1">IF($A75="S",VTOTALBM,IF($A75=0,0,ROUND(SomaAgrupBM,15-13*ORÇAMENTO!$AF$11)))</f>
        <v>0</v>
      </c>
      <c r="Q75" s="349"/>
      <c r="R75" s="350"/>
      <c r="T75" s="119" t="str">
        <f t="shared" ca="1" si="60"/>
        <v/>
      </c>
      <c r="U75" s="170" t="str">
        <f t="shared" ca="1" si="61"/>
        <v/>
      </c>
      <c r="V75" s="171" t="str">
        <f ca="1">IF(AND($W75&gt;0,RegimeExecucao="Unitário"),$F75,"")</f>
        <v/>
      </c>
      <c r="W75" s="486">
        <f ca="1">IF($Y75&gt;0,CHOOSE(MATCH(RegimeExecucao,{"Unitário","Global"},0),IF($A75="S",$Y75/$X75,""),($Y75/$X75)*100),0)</f>
        <v>0</v>
      </c>
      <c r="X75" s="351" t="str">
        <f ca="1">IF($Y75&gt;0,CHOOSE(MATCH(RegimeExecucao,{"Unitário","Global"},0),IF($A75="S",ROUND($H75,ORÇAMENTO!$AF$10),""),ROUND($I75,ORÇAMENTO!$AF$11)),"")</f>
        <v/>
      </c>
      <c r="Y75" s="351">
        <f t="shared" ca="1" si="62"/>
        <v>0</v>
      </c>
      <c r="Z75" s="507"/>
      <c r="AB75" s="349"/>
      <c r="AC75" s="469"/>
      <c r="AD75" s="469"/>
      <c r="AE75" s="469"/>
      <c r="AF75" s="469"/>
      <c r="AG75" s="469"/>
      <c r="AH75" s="469"/>
      <c r="AI75" s="469"/>
      <c r="AJ75" s="469"/>
      <c r="AK75" s="469"/>
      <c r="AL75" s="469"/>
      <c r="AM75" s="350"/>
      <c r="AO75">
        <f ca="1">IF($A75="S",IF(BM!$I75=0,0,CHOOSE(MATCH(RegimeExecucao,{"Global","Unitário"},0),ROUND(ROUND(BM.MEDAcumulado,15-13*BM!$A$9)/100*BM!$I75,15-13*ORÇAMENTO!$AF$11),ROUND(ROUND(BM.MEDAcumulado,15-13*BM!$A$9)*ROUND(BM!$H75,15-13*ORÇAMENTO!$AF$10),15-13*ORÇAMENTO!$AF$11))),IF($A75=0,0,ROUND(SomaAgrupBM,15-13*ORÇAMENTO!$AF$11)))</f>
        <v>0</v>
      </c>
    </row>
    <row r="76" spans="1:41" ht="25.5" x14ac:dyDescent="0.2">
      <c r="A76" t="str">
        <f ca="1">ORÇAMENTO!C76</f>
        <v>S</v>
      </c>
      <c r="B76">
        <f ca="1">ORÇAMENTO!D76</f>
        <v>0</v>
      </c>
      <c r="C76" s="116" t="str">
        <f t="shared" ca="1" si="56"/>
        <v>F</v>
      </c>
      <c r="D76" s="119" t="str">
        <f ca="1">ORÇAMENTO!O76</f>
        <v>1.9.0.0.6.</v>
      </c>
      <c r="E76" s="170" t="str">
        <f t="shared" ca="1" si="57"/>
        <v>FLOREIRA CÔNICA ESTILO VASO DE FIBROCIMENTO BAIXO H= 0,58 M COR CIMENTO APOIADA SOBRE O PISO. EXCLUSO FRETE</v>
      </c>
      <c r="F76" s="171" t="str">
        <f ca="1">IF(RegimeExecucao="Global","",ORÇAMENTO.Unidade)</f>
        <v>UN</v>
      </c>
      <c r="G76" s="124">
        <f ca="1">IF(RegimeExecucao="Global","",ORÇAMENTO!T76)</f>
        <v>2</v>
      </c>
      <c r="H76" s="124">
        <f ca="1">IF(RegimeExecucao="Global","",ORÇAMENTO!W76)</f>
        <v>434.7</v>
      </c>
      <c r="I76" s="127">
        <f ca="1">ORÇAMENTO!X76</f>
        <v>869.4</v>
      </c>
      <c r="J76" s="345">
        <f ca="1">IF($A76="S",IF(CAIXA.Modo,BM.AFAnterior,BM.MEDAnterior),IF(AND(RegimeExecucao="Global",$I76&gt;0,COUNTIF($AB$13:$AM$13,BM.medicao-1)&gt;0),M76/$I76*100,0))</f>
        <v>0</v>
      </c>
      <c r="K76" s="124">
        <f t="shared" ca="1" si="58"/>
        <v>0</v>
      </c>
      <c r="L76" s="346">
        <f ca="1">IF($A76="S",IF(CAIXA.Modo,BM.AFAcumulado,BM.MEDAcumulado),IF(AND(RegimeExecucao="Global",$I76&gt;0,COUNTIF($AB$13:$AM$13,BM.medicao)&gt;0),O76/$I76*100,0))</f>
        <v>0</v>
      </c>
      <c r="M76" s="347">
        <f ca="1">IF($A76="S",VTOTALBM,IF($A76=0,0,ROUND(SomaAgrupBM,15-13*ORÇAMENTO!$AF$11)))</f>
        <v>0</v>
      </c>
      <c r="N76" s="348">
        <f t="shared" ca="1" si="59"/>
        <v>0</v>
      </c>
      <c r="O76" s="127">
        <f ca="1">IF($A76="S",VTOTALBM,IF($A76=0,0,ROUND(SomaAgrupBM,15-13*ORÇAMENTO!$AF$11)))</f>
        <v>0</v>
      </c>
      <c r="Q76" s="349"/>
      <c r="R76" s="350"/>
      <c r="T76" s="119" t="str">
        <f t="shared" ca="1" si="60"/>
        <v/>
      </c>
      <c r="U76" s="170" t="str">
        <f t="shared" ca="1" si="61"/>
        <v/>
      </c>
      <c r="V76" s="171" t="str">
        <f ca="1">IF(AND($W76&gt;0,RegimeExecucao="Unitário"),$F76,"")</f>
        <v/>
      </c>
      <c r="W76" s="486">
        <f ca="1">IF($Y76&gt;0,CHOOSE(MATCH(RegimeExecucao,{"Unitário","Global"},0),IF($A76="S",$Y76/$X76,""),($Y76/$X76)*100),0)</f>
        <v>0</v>
      </c>
      <c r="X76" s="351" t="str">
        <f ca="1">IF($Y76&gt;0,CHOOSE(MATCH(RegimeExecucao,{"Unitário","Global"},0),IF($A76="S",ROUND($H76,ORÇAMENTO!$AF$10),""),ROUND($I76,ORÇAMENTO!$AF$11)),"")</f>
        <v/>
      </c>
      <c r="Y76" s="351">
        <f t="shared" ca="1" si="62"/>
        <v>0</v>
      </c>
      <c r="Z76" s="507"/>
      <c r="AB76" s="349"/>
      <c r="AC76" s="469"/>
      <c r="AD76" s="469"/>
      <c r="AE76" s="469"/>
      <c r="AF76" s="469"/>
      <c r="AG76" s="469"/>
      <c r="AH76" s="469"/>
      <c r="AI76" s="469"/>
      <c r="AJ76" s="469"/>
      <c r="AK76" s="469"/>
      <c r="AL76" s="469"/>
      <c r="AM76" s="350"/>
      <c r="AO76">
        <f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f ca="1">ORÇAMENTO!C77</f>
        <v>2</v>
      </c>
      <c r="B77">
        <f ca="1">ORÇAMENTO!D77</f>
        <v>6</v>
      </c>
      <c r="C77" s="116" t="str">
        <f t="shared" ca="1" si="56"/>
        <v>F</v>
      </c>
      <c r="D77" s="119" t="str">
        <f ca="1">ORÇAMENTO!O77</f>
        <v>1.10.</v>
      </c>
      <c r="E77" s="170" t="str">
        <f t="shared" si="57"/>
        <v>PAISAGISMO</v>
      </c>
      <c r="F77" s="171" t="str">
        <f ca="1">IF(RegimeExecucao="Global","",ORÇAMENTO.Unidade)</f>
        <v>-</v>
      </c>
      <c r="G77" s="124">
        <f ca="1">IF(RegimeExecucao="Global","",ORÇAMENTO!T77)</f>
        <v>0</v>
      </c>
      <c r="H77" s="124">
        <f ca="1">IF(RegimeExecucao="Global","",ORÇAMENTO!W77)</f>
        <v>0</v>
      </c>
      <c r="I77" s="127">
        <f ca="1">ORÇAMENTO!X77</f>
        <v>3156.42</v>
      </c>
      <c r="J77" s="345">
        <f ca="1">IF($A77="S",IF(CAIXA.Modo,BM.AFAnterior,BM.MEDAnterior),IF(AND(RegimeExecucao="Global",$I77&gt;0,COUNTIF($AB$13:$AM$13,BM.medicao-1)&gt;0),M77/$I77*100,0))</f>
        <v>0</v>
      </c>
      <c r="K77" s="124">
        <f t="shared" ca="1" si="58"/>
        <v>0</v>
      </c>
      <c r="L77" s="346">
        <f ca="1">IF($A77="S",IF(CAIXA.Modo,BM.AFAcumulado,BM.MEDAcumulado),IF(AND(RegimeExecucao="Global",$I77&gt;0,COUNTIF($AB$13:$AM$13,BM.medicao)&gt;0),O77/$I77*100,0))</f>
        <v>0</v>
      </c>
      <c r="M77" s="347">
        <f ca="1">IF($A77="S",VTOTALBM,IF($A77=0,0,ROUND(SomaAgrupBM,15-13*ORÇAMENTO!$AF$11)))</f>
        <v>0</v>
      </c>
      <c r="N77" s="348">
        <f t="shared" ca="1" si="59"/>
        <v>0</v>
      </c>
      <c r="O77" s="127">
        <f ca="1">IF($A77="S",VTOTALBM,IF($A77=0,0,ROUND(SomaAgrupBM,15-13*ORÇAMENTO!$AF$11)))</f>
        <v>0</v>
      </c>
      <c r="Q77" s="349"/>
      <c r="R77" s="350"/>
      <c r="T77" s="119" t="str">
        <f t="shared" ca="1" si="60"/>
        <v/>
      </c>
      <c r="U77" s="170" t="str">
        <f t="shared" ca="1" si="61"/>
        <v/>
      </c>
      <c r="V77" s="171" t="str">
        <f ca="1">IF(AND($W77&gt;0,RegimeExecucao="Unitário"),$F77,"")</f>
        <v/>
      </c>
      <c r="W77" s="486">
        <f ca="1">IF($Y77&gt;0,CHOOSE(MATCH(RegimeExecucao,{"Unitário","Global"},0),IF($A77="S",$Y77/$X77,""),($Y77/$X77)*100),0)</f>
        <v>0</v>
      </c>
      <c r="X77" s="351" t="str">
        <f ca="1">IF($Y77&gt;0,CHOOSE(MATCH(RegimeExecucao,{"Unitário","Global"},0),IF($A77="S",ROUND($H77,ORÇAMENTO!$AF$10),""),ROUND($I77,ORÇAMENTO!$AF$11)),"")</f>
        <v/>
      </c>
      <c r="Y77" s="351">
        <f t="shared" ca="1" si="62"/>
        <v>0</v>
      </c>
      <c r="Z77" s="507"/>
      <c r="AB77" s="349"/>
      <c r="AC77" s="469"/>
      <c r="AD77" s="469"/>
      <c r="AE77" s="469"/>
      <c r="AF77" s="469"/>
      <c r="AG77" s="469"/>
      <c r="AH77" s="469"/>
      <c r="AI77" s="469"/>
      <c r="AJ77" s="469"/>
      <c r="AK77" s="469"/>
      <c r="AL77" s="469"/>
      <c r="AM77" s="350"/>
      <c r="AO77">
        <f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6" t="str">
        <f ca="1">IF(OR($I78&gt;0,$A78=1,$A78=2,$A78=3,$A78=4),"F","")</f>
        <v>F</v>
      </c>
      <c r="D78" s="119" t="str">
        <f ca="1">ORÇAMENTO!O78</f>
        <v>1.10.0.0.1.</v>
      </c>
      <c r="E78" s="170" t="str">
        <f ca="1">ORÇAMENTO.Descricao</f>
        <v>ESPALHAMENTO DE TERRA VEGETAL PARA O PLANTIO. AF_07/2024</v>
      </c>
      <c r="F78" s="171" t="str">
        <f ca="1">IF(RegimeExecucao="Global","",ORÇAMENTO.Unidade)</f>
        <v>M2</v>
      </c>
      <c r="G78" s="124">
        <f ca="1">IF(RegimeExecucao="Global","",ORÇAMENTO!T78)</f>
        <v>94.54</v>
      </c>
      <c r="H78" s="124">
        <f ca="1">IF(RegimeExecucao="Global","",ORÇAMENTO!W78)</f>
        <v>5.65</v>
      </c>
      <c r="I78" s="127">
        <f ca="1">ORÇAMENTO!X78</f>
        <v>534.15</v>
      </c>
      <c r="J78" s="345">
        <f ca="1">IF($A78="S",IF(CAIXA.Modo,BM.AFAnterior,BM.MEDAnterior),IF(AND(RegimeExecucao="Global",$I78&gt;0,COUNTIF($AB$13:$AM$13,BM.medicao-1)&gt;0),M78/$I78*100,0))</f>
        <v>0</v>
      </c>
      <c r="K78" s="124">
        <f ca="1">L78-J78</f>
        <v>0</v>
      </c>
      <c r="L78" s="346">
        <f ca="1">IF($A78="S",IF(CAIXA.Modo,BM.AFAcumulado,BM.MEDAcumulado),IF(AND(RegimeExecucao="Global",$I78&gt;0,COUNTIF($AB$13:$AM$13,BM.medicao)&gt;0),O78/$I78*100,0))</f>
        <v>0</v>
      </c>
      <c r="M78" s="347">
        <f ca="1">IF($A78="S",VTOTALBM,IF($A78=0,0,ROUND(SomaAgrupBM,15-13*ORÇAMENTO!$AF$11)))</f>
        <v>0</v>
      </c>
      <c r="N78" s="348">
        <f ca="1">O78-M78</f>
        <v>0</v>
      </c>
      <c r="O78" s="127">
        <f ca="1">IF($A78="S",VTOTALBM,IF($A78=0,0,ROUND(SomaAgrupBM,15-13*ORÇAMENTO!$AF$11)))</f>
        <v>0</v>
      </c>
      <c r="Q78" s="349"/>
      <c r="R78" s="350"/>
      <c r="T78" s="119" t="str">
        <f ca="1">IF($W78&gt;0,$D78,"")</f>
        <v/>
      </c>
      <c r="U78" s="170" t="str">
        <f ca="1">IF($W78&gt;0,$E78,"")</f>
        <v/>
      </c>
      <c r="V78" s="171" t="str">
        <f ca="1">IF(AND($W78&gt;0,RegimeExecucao="Unitário"),$F78,"")</f>
        <v/>
      </c>
      <c r="W78" s="486">
        <f ca="1">IF($Y78&gt;0,CHOOSE(MATCH(RegimeExecucao,{"Unitário","Global"},0),IF($A78="S",$Y78/$X78,""),($Y78/$X78)*100),0)</f>
        <v>0</v>
      </c>
      <c r="X78" s="351" t="str">
        <f ca="1">IF($Y78&gt;0,CHOOSE(MATCH(RegimeExecucao,{"Unitário","Global"},0),IF($A78="S",ROUND($H78,ORÇAMENTO!$AF$10),""),ROUND($I78,ORÇAMENTO!$AF$11)),"")</f>
        <v/>
      </c>
      <c r="Y78" s="351">
        <f ca="1">AO78-O78</f>
        <v>0</v>
      </c>
      <c r="Z78" s="507"/>
      <c r="AB78" s="349"/>
      <c r="AC78" s="469"/>
      <c r="AD78" s="469"/>
      <c r="AE78" s="469"/>
      <c r="AF78" s="469"/>
      <c r="AG78" s="469"/>
      <c r="AH78" s="469"/>
      <c r="AI78" s="469"/>
      <c r="AJ78" s="469"/>
      <c r="AK78" s="469"/>
      <c r="AL78" s="469"/>
      <c r="AM78" s="350"/>
      <c r="AO78">
        <f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116" t="str">
        <f t="shared" ref="C79" ca="1" si="63">IF(OR($I79&gt;0,$A79=1,$A79=2,$A79=3,$A79=4),"F","")</f>
        <v>F</v>
      </c>
      <c r="D79" s="119" t="str">
        <f ca="1">ORÇAMENTO!O79</f>
        <v>1.10.0.0.2.</v>
      </c>
      <c r="E79" s="170" t="str">
        <f ca="1">ORÇAMENTO.Descricao</f>
        <v>APLICAÇÃO DE ADUBO EM SOLO. AF_07/2024</v>
      </c>
      <c r="F79" s="171" t="str">
        <f ca="1">IF(RegimeExecucao="Global","",ORÇAMENTO.Unidade)</f>
        <v>M2</v>
      </c>
      <c r="G79" s="124">
        <f ca="1">IF(RegimeExecucao="Global","",ORÇAMENTO!T79)</f>
        <v>94.54</v>
      </c>
      <c r="H79" s="124">
        <f ca="1">IF(RegimeExecucao="Global","",ORÇAMENTO!W79)</f>
        <v>8.4700000000000006</v>
      </c>
      <c r="I79" s="127">
        <f ca="1">ORÇAMENTO!X79</f>
        <v>800.75</v>
      </c>
      <c r="J79" s="345">
        <f ca="1">IF($A79="S",IF(CAIXA.Modo,BM.AFAnterior,BM.MEDAnterior),IF(AND(RegimeExecucao="Global",$I79&gt;0,COUNTIF($AB$13:$AM$13,BM.medicao-1)&gt;0),M79/$I79*100,0))</f>
        <v>0</v>
      </c>
      <c r="K79" s="124">
        <f t="shared" ref="K79" ca="1" si="64">L79-J79</f>
        <v>0</v>
      </c>
      <c r="L79" s="346">
        <f ca="1">IF($A79="S",IF(CAIXA.Modo,BM.AFAcumulado,BM.MEDAcumulado),IF(AND(RegimeExecucao="Global",$I79&gt;0,COUNTIF($AB$13:$AM$13,BM.medicao)&gt;0),O79/$I79*100,0))</f>
        <v>0</v>
      </c>
      <c r="M79" s="347">
        <f ca="1">IF($A79="S",VTOTALBM,IF($A79=0,0,ROUND(SomaAgrupBM,15-13*ORÇAMENTO!$AF$11)))</f>
        <v>0</v>
      </c>
      <c r="N79" s="348">
        <f t="shared" ref="N79" ca="1" si="65">O79-M79</f>
        <v>0</v>
      </c>
      <c r="O79" s="127">
        <f ca="1">IF($A79="S",VTOTALBM,IF($A79=0,0,ROUND(SomaAgrupBM,15-13*ORÇAMENTO!$AF$11)))</f>
        <v>0</v>
      </c>
      <c r="Q79" s="349"/>
      <c r="R79" s="350"/>
      <c r="T79" s="119" t="str">
        <f t="shared" ref="T79" ca="1" si="66">IF($W79&gt;0,$D79,"")</f>
        <v/>
      </c>
      <c r="U79" s="170" t="str">
        <f t="shared" ref="U79" ca="1" si="67">IF($W79&gt;0,$E79,"")</f>
        <v/>
      </c>
      <c r="V79" s="171" t="str">
        <f ca="1">IF(AND($W79&gt;0,RegimeExecucao="Unitário"),$F79,"")</f>
        <v/>
      </c>
      <c r="W79" s="486">
        <f ca="1">IF($Y79&gt;0,CHOOSE(MATCH(RegimeExecucao,{"Unitário","Global"},0),IF($A79="S",$Y79/$X79,""),($Y79/$X79)*100),0)</f>
        <v>0</v>
      </c>
      <c r="X79" s="351" t="str">
        <f ca="1">IF($Y79&gt;0,CHOOSE(MATCH(RegimeExecucao,{"Unitário","Global"},0),IF($A79="S",ROUND($H79,ORÇAMENTO!$AF$10),""),ROUND($I79,ORÇAMENTO!$AF$11)),"")</f>
        <v/>
      </c>
      <c r="Y79" s="351">
        <f t="shared" ref="Y79" ca="1" si="68">AO79-O79</f>
        <v>0</v>
      </c>
      <c r="Z79" s="507"/>
      <c r="AB79" s="349"/>
      <c r="AC79" s="469"/>
      <c r="AD79" s="469"/>
      <c r="AE79" s="469"/>
      <c r="AF79" s="469"/>
      <c r="AG79" s="469"/>
      <c r="AH79" s="469"/>
      <c r="AI79" s="469"/>
      <c r="AJ79" s="469"/>
      <c r="AK79" s="469"/>
      <c r="AL79" s="469"/>
      <c r="AM79" s="350"/>
      <c r="AO79">
        <f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t="str">
        <f ca="1">ORÇAMENTO!C80</f>
        <v>S</v>
      </c>
      <c r="B80">
        <f ca="1">ORÇAMENTO!D80</f>
        <v>0</v>
      </c>
      <c r="C80" s="116" t="str">
        <f t="shared" ref="C80:C127" ca="1" si="69">IF(OR($I80&gt;0,$A80=1,$A80=2,$A80=3,$A80=4),"F","")</f>
        <v>F</v>
      </c>
      <c r="D80" s="119" t="str">
        <f ca="1">ORÇAMENTO!O80</f>
        <v>1.10.0.0.3.</v>
      </c>
      <c r="E80" s="170" t="str">
        <f ca="1">ORÇAMENTO.Descricao</f>
        <v>MUDA DE ARBUSTO, PINGO DE OURO/ VIOLETEIRA, H = *10 A 20* CM</v>
      </c>
      <c r="F80" s="171" t="str">
        <f ca="1">IF(RegimeExecucao="Global","",ORÇAMENTO.Unidade)</f>
        <v>UN</v>
      </c>
      <c r="G80" s="124">
        <f ca="1">IF(RegimeExecucao="Global","",ORÇAMENTO!T80)</f>
        <v>240</v>
      </c>
      <c r="H80" s="124">
        <f ca="1">IF(RegimeExecucao="Global","",ORÇAMENTO!W80)</f>
        <v>3.24</v>
      </c>
      <c r="I80" s="127">
        <f ca="1">ORÇAMENTO!X80</f>
        <v>777.6</v>
      </c>
      <c r="J80" s="345">
        <f ca="1">IF($A80="S",IF(CAIXA.Modo,BM.AFAnterior,BM.MEDAnterior),IF(AND(RegimeExecucao="Global",$I80&gt;0,COUNTIF($AB$13:$AM$13,BM.medicao-1)&gt;0),M80/$I80*100,0))</f>
        <v>0</v>
      </c>
      <c r="K80" s="124">
        <f t="shared" ref="K80:K127" ca="1" si="70">L80-J80</f>
        <v>0</v>
      </c>
      <c r="L80" s="346">
        <f ca="1">IF($A80="S",IF(CAIXA.Modo,BM.AFAcumulado,BM.MEDAcumulado),IF(AND(RegimeExecucao="Global",$I80&gt;0,COUNTIF($AB$13:$AM$13,BM.medicao)&gt;0),O80/$I80*100,0))</f>
        <v>0</v>
      </c>
      <c r="M80" s="347">
        <f ca="1">IF($A80="S",VTOTALBM,IF($A80=0,0,ROUND(SomaAgrupBM,15-13*ORÇAMENTO!$AF$11)))</f>
        <v>0</v>
      </c>
      <c r="N80" s="348">
        <f t="shared" ref="N80:N127" ca="1" si="71">O80-M80</f>
        <v>0</v>
      </c>
      <c r="O80" s="127">
        <f ca="1">IF($A80="S",VTOTALBM,IF($A80=0,0,ROUND(SomaAgrupBM,15-13*ORÇAMENTO!$AF$11)))</f>
        <v>0</v>
      </c>
      <c r="Q80" s="349"/>
      <c r="R80" s="350"/>
      <c r="T80" s="119" t="str">
        <f t="shared" ref="T80:T127" ca="1" si="72">IF($W80&gt;0,$D80,"")</f>
        <v/>
      </c>
      <c r="U80" s="170" t="str">
        <f t="shared" ref="U80:U127" ca="1" si="73">IF($W80&gt;0,$E80,"")</f>
        <v/>
      </c>
      <c r="V80" s="171" t="str">
        <f ca="1">IF(AND($W80&gt;0,RegimeExecucao="Unitário"),$F80,"")</f>
        <v/>
      </c>
      <c r="W80" s="486">
        <f ca="1">IF($Y80&gt;0,CHOOSE(MATCH(RegimeExecucao,{"Unitário","Global"},0),IF($A80="S",$Y80/$X80,""),($Y80/$X80)*100),0)</f>
        <v>0</v>
      </c>
      <c r="X80" s="351" t="str">
        <f ca="1">IF($Y80&gt;0,CHOOSE(MATCH(RegimeExecucao,{"Unitário","Global"},0),IF($A80="S",ROUND($H80,ORÇAMENTO!$AF$10),""),ROUND($I80,ORÇAMENTO!$AF$11)),"")</f>
        <v/>
      </c>
      <c r="Y80" s="351">
        <f t="shared" ref="Y80:Y127" ca="1" si="74">AO80-O80</f>
        <v>0</v>
      </c>
      <c r="Z80" s="507"/>
      <c r="AB80" s="349"/>
      <c r="AC80" s="469"/>
      <c r="AD80" s="469"/>
      <c r="AE80" s="469"/>
      <c r="AF80" s="469"/>
      <c r="AG80" s="469"/>
      <c r="AH80" s="469"/>
      <c r="AI80" s="469"/>
      <c r="AJ80" s="469"/>
      <c r="AK80" s="469"/>
      <c r="AL80" s="469"/>
      <c r="AM80" s="350"/>
      <c r="AO80">
        <f ca="1">IF($A80="S",IF(BM!$I80=0,0,CHOOSE(MATCH(RegimeExecucao,{"Global","Unitário"},0),ROUND(ROUND(BM.MEDAcumulado,15-13*BM!$A$9)/100*BM!$I80,15-13*ORÇAMENTO!$AF$11),ROUND(ROUND(BM.MEDAcumulado,15-13*BM!$A$9)*ROUND(BM!$H80,15-13*ORÇAMENTO!$AF$10),15-13*ORÇAMENTO!$AF$11))),IF($A80=0,0,ROUND(SomaAgrupBM,15-13*ORÇAMENTO!$AF$11)))</f>
        <v>0</v>
      </c>
    </row>
    <row r="81" spans="1:41" ht="25.5" x14ac:dyDescent="0.2">
      <c r="A81" t="str">
        <f ca="1">ORÇAMENTO!C81</f>
        <v>S</v>
      </c>
      <c r="B81">
        <f ca="1">ORÇAMENTO!D81</f>
        <v>0</v>
      </c>
      <c r="C81" s="116" t="str">
        <f t="shared" ca="1" si="69"/>
        <v>F</v>
      </c>
      <c r="D81" s="119" t="str">
        <f ca="1">ORÇAMENTO!O81</f>
        <v>1.10.0.0.4.</v>
      </c>
      <c r="E81" s="170" t="str">
        <f ca="1">ORÇAMENTO.Descricao</f>
        <v>PLANTIO DE PALMEIRA COM ALTURA DE MUDA MENOR OU IGUAL A 2,00 M . AF_07/2024</v>
      </c>
      <c r="F81" s="171" t="str">
        <f ca="1">IF(RegimeExecucao="Global","",ORÇAMENTO.Unidade)</f>
        <v>UN</v>
      </c>
      <c r="G81" s="124">
        <f ca="1">IF(RegimeExecucao="Global","",ORÇAMENTO!T81)</f>
        <v>2</v>
      </c>
      <c r="H81" s="124">
        <f ca="1">IF(RegimeExecucao="Global","",ORÇAMENTO!W81)</f>
        <v>417.62</v>
      </c>
      <c r="I81" s="127">
        <f ca="1">ORÇAMENTO!X81</f>
        <v>835.24</v>
      </c>
      <c r="J81" s="345">
        <f ca="1">IF($A81="S",IF(CAIXA.Modo,BM.AFAnterior,BM.MEDAnterior),IF(AND(RegimeExecucao="Global",$I81&gt;0,COUNTIF($AB$13:$AM$13,BM.medicao-1)&gt;0),M81/$I81*100,0))</f>
        <v>0</v>
      </c>
      <c r="K81" s="124">
        <f t="shared" ca="1" si="70"/>
        <v>0</v>
      </c>
      <c r="L81" s="346">
        <f ca="1">IF($A81="S",IF(CAIXA.Modo,BM.AFAcumulado,BM.MEDAcumulado),IF(AND(RegimeExecucao="Global",$I81&gt;0,COUNTIF($AB$13:$AM$13,BM.medicao)&gt;0),O81/$I81*100,0))</f>
        <v>0</v>
      </c>
      <c r="M81" s="347">
        <f ca="1">IF($A81="S",VTOTALBM,IF($A81=0,0,ROUND(SomaAgrupBM,15-13*ORÇAMENTO!$AF$11)))</f>
        <v>0</v>
      </c>
      <c r="N81" s="348">
        <f t="shared" ca="1" si="71"/>
        <v>0</v>
      </c>
      <c r="O81" s="127">
        <f ca="1">IF($A81="S",VTOTALBM,IF($A81=0,0,ROUND(SomaAgrupBM,15-13*ORÇAMENTO!$AF$11)))</f>
        <v>0</v>
      </c>
      <c r="Q81" s="349"/>
      <c r="R81" s="350"/>
      <c r="T81" s="119" t="str">
        <f t="shared" ca="1" si="72"/>
        <v/>
      </c>
      <c r="U81" s="170" t="str">
        <f t="shared" ca="1" si="73"/>
        <v/>
      </c>
      <c r="V81" s="171" t="str">
        <f ca="1">IF(AND($W81&gt;0,RegimeExecucao="Unitário"),$F81,"")</f>
        <v/>
      </c>
      <c r="W81" s="486">
        <f ca="1">IF($Y81&gt;0,CHOOSE(MATCH(RegimeExecucao,{"Unitário","Global"},0),IF($A81="S",$Y81/$X81,""),($Y81/$X81)*100),0)</f>
        <v>0</v>
      </c>
      <c r="X81" s="351" t="str">
        <f ca="1">IF($Y81&gt;0,CHOOSE(MATCH(RegimeExecucao,{"Unitário","Global"},0),IF($A81="S",ROUND($H81,ORÇAMENTO!$AF$10),""),ROUND($I81,ORÇAMENTO!$AF$11)),"")</f>
        <v/>
      </c>
      <c r="Y81" s="351">
        <f t="shared" ca="1" si="74"/>
        <v>0</v>
      </c>
      <c r="Z81" s="507"/>
      <c r="AB81" s="349"/>
      <c r="AC81" s="469"/>
      <c r="AD81" s="469"/>
      <c r="AE81" s="469"/>
      <c r="AF81" s="469"/>
      <c r="AG81" s="469"/>
      <c r="AH81" s="469"/>
      <c r="AI81" s="469"/>
      <c r="AJ81" s="469"/>
      <c r="AK81" s="469"/>
      <c r="AL81" s="469"/>
      <c r="AM81" s="350"/>
      <c r="AO81">
        <f ca="1">IF($A81="S",IF(BM!$I81=0,0,CHOOSE(MATCH(RegimeExecucao,{"Global","Unitário"},0),ROUND(ROUND(BM.MEDAcumulado,15-13*BM!$A$9)/100*BM!$I81,15-13*ORÇAMENTO!$AF$11),ROUND(ROUND(BM.MEDAcumulado,15-13*BM!$A$9)*ROUND(BM!$H81,15-13*ORÇAMENTO!$AF$10),15-13*ORÇAMENTO!$AF$11))),IF($A81=0,0,ROUND(SomaAgrupBM,15-13*ORÇAMENTO!$AF$11)))</f>
        <v>0</v>
      </c>
    </row>
    <row r="82" spans="1:41" ht="25.5" x14ac:dyDescent="0.2">
      <c r="A82" t="str">
        <f ca="1">ORÇAMENTO!C82</f>
        <v>S</v>
      </c>
      <c r="B82">
        <f ca="1">ORÇAMENTO!D82</f>
        <v>0</v>
      </c>
      <c r="C82" s="116" t="str">
        <f t="shared" ca="1" si="69"/>
        <v>F</v>
      </c>
      <c r="D82" s="119" t="str">
        <f ca="1">ORÇAMENTO!O82</f>
        <v>1.10.0.0.5.</v>
      </c>
      <c r="E82" s="170" t="str">
        <f ca="1">ORÇAMENTO.Descricao</f>
        <v>MUDA DE PLANTA FOLHAGEM OU SUCULENTA, TIPO ESPADA DE SÃO JORGE OU SEMELHANTE</v>
      </c>
      <c r="F82" s="171" t="str">
        <f ca="1">IF(RegimeExecucao="Global","",ORÇAMENTO.Unidade)</f>
        <v>UN</v>
      </c>
      <c r="G82" s="124">
        <f ca="1">IF(RegimeExecucao="Global","",ORÇAMENTO!T82)</f>
        <v>6</v>
      </c>
      <c r="H82" s="124">
        <f ca="1">IF(RegimeExecucao="Global","",ORÇAMENTO!W82)</f>
        <v>34.78</v>
      </c>
      <c r="I82" s="127">
        <f ca="1">ORÇAMENTO!X82</f>
        <v>208.68</v>
      </c>
      <c r="J82" s="345">
        <f ca="1">IF($A82="S",IF(CAIXA.Modo,BM.AFAnterior,BM.MEDAnterior),IF(AND(RegimeExecucao="Global",$I82&gt;0,COUNTIF($AB$13:$AM$13,BM.medicao-1)&gt;0),M82/$I82*100,0))</f>
        <v>0</v>
      </c>
      <c r="K82" s="124">
        <f t="shared" ca="1" si="70"/>
        <v>0</v>
      </c>
      <c r="L82" s="346">
        <f ca="1">IF($A82="S",IF(CAIXA.Modo,BM.AFAcumulado,BM.MEDAcumulado),IF(AND(RegimeExecucao="Global",$I82&gt;0,COUNTIF($AB$13:$AM$13,BM.medicao)&gt;0),O82/$I82*100,0))</f>
        <v>0</v>
      </c>
      <c r="M82" s="347">
        <f ca="1">IF($A82="S",VTOTALBM,IF($A82=0,0,ROUND(SomaAgrupBM,15-13*ORÇAMENTO!$AF$11)))</f>
        <v>0</v>
      </c>
      <c r="N82" s="348">
        <f t="shared" ca="1" si="71"/>
        <v>0</v>
      </c>
      <c r="O82" s="127">
        <f ca="1">IF($A82="S",VTOTALBM,IF($A82=0,0,ROUND(SomaAgrupBM,15-13*ORÇAMENTO!$AF$11)))</f>
        <v>0</v>
      </c>
      <c r="Q82" s="349"/>
      <c r="R82" s="350"/>
      <c r="T82" s="119" t="str">
        <f t="shared" ca="1" si="72"/>
        <v/>
      </c>
      <c r="U82" s="170" t="str">
        <f t="shared" ca="1" si="73"/>
        <v/>
      </c>
      <c r="V82" s="171" t="str">
        <f ca="1">IF(AND($W82&gt;0,RegimeExecucao="Unitário"),$F82,"")</f>
        <v/>
      </c>
      <c r="W82" s="486">
        <f ca="1">IF($Y82&gt;0,CHOOSE(MATCH(RegimeExecucao,{"Unitário","Global"},0),IF($A82="S",$Y82/$X82,""),($Y82/$X82)*100),0)</f>
        <v>0</v>
      </c>
      <c r="X82" s="351" t="str">
        <f ca="1">IF($Y82&gt;0,CHOOSE(MATCH(RegimeExecucao,{"Unitário","Global"},0),IF($A82="S",ROUND($H82,ORÇAMENTO!$AF$10),""),ROUND($I82,ORÇAMENTO!$AF$11)),"")</f>
        <v/>
      </c>
      <c r="Y82" s="351">
        <f t="shared" ca="1" si="74"/>
        <v>0</v>
      </c>
      <c r="Z82" s="507"/>
      <c r="AB82" s="349"/>
      <c r="AC82" s="469"/>
      <c r="AD82" s="469"/>
      <c r="AE82" s="469"/>
      <c r="AF82" s="469"/>
      <c r="AG82" s="469"/>
      <c r="AH82" s="469"/>
      <c r="AI82" s="469"/>
      <c r="AJ82" s="469"/>
      <c r="AK82" s="469"/>
      <c r="AL82" s="469"/>
      <c r="AM82" s="350"/>
      <c r="AO82">
        <f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2</v>
      </c>
      <c r="B83">
        <f ca="1">ORÇAMENTO!D83</f>
        <v>3</v>
      </c>
      <c r="C83" s="116" t="str">
        <f t="shared" ca="1" si="69"/>
        <v>F</v>
      </c>
      <c r="D83" s="119" t="str">
        <f ca="1">ORÇAMENTO!O83</f>
        <v>1.11.</v>
      </c>
      <c r="E83" s="170" t="str">
        <f t="shared" ref="E83:E84" si="75">ORÇAMENTO.Descricao</f>
        <v>ACESSIBILIDADE</v>
      </c>
      <c r="F83" s="171" t="str">
        <f ca="1">IF(RegimeExecucao="Global","",ORÇAMENTO.Unidade)</f>
        <v>-</v>
      </c>
      <c r="G83" s="124">
        <f ca="1">IF(RegimeExecucao="Global","",ORÇAMENTO!T83)</f>
        <v>0</v>
      </c>
      <c r="H83" s="124">
        <f ca="1">IF(RegimeExecucao="Global","",ORÇAMENTO!W83)</f>
        <v>0</v>
      </c>
      <c r="I83" s="127">
        <f ca="1">ORÇAMENTO!X83</f>
        <v>18899.990000000002</v>
      </c>
      <c r="J83" s="345">
        <f ca="1">IF($A83="S",IF(CAIXA.Modo,BM.AFAnterior,BM.MEDAnterior),IF(AND(RegimeExecucao="Global",$I83&gt;0,COUNTIF($AB$13:$AM$13,BM.medicao-1)&gt;0),M83/$I83*100,0))</f>
        <v>0</v>
      </c>
      <c r="K83" s="124">
        <f t="shared" ca="1" si="70"/>
        <v>0</v>
      </c>
      <c r="L83" s="346">
        <f ca="1">IF($A83="S",IF(CAIXA.Modo,BM.AFAcumulado,BM.MEDAcumulado),IF(AND(RegimeExecucao="Global",$I83&gt;0,COUNTIF($AB$13:$AM$13,BM.medicao)&gt;0),O83/$I83*100,0))</f>
        <v>0</v>
      </c>
      <c r="M83" s="347">
        <f ca="1">IF($A83="S",VTOTALBM,IF($A83=0,0,ROUND(SomaAgrupBM,15-13*ORÇAMENTO!$AF$11)))</f>
        <v>0</v>
      </c>
      <c r="N83" s="348">
        <f t="shared" ca="1" si="71"/>
        <v>0</v>
      </c>
      <c r="O83" s="127">
        <f ca="1">IF($A83="S",VTOTALBM,IF($A83=0,0,ROUND(SomaAgrupBM,15-13*ORÇAMENTO!$AF$11)))</f>
        <v>0</v>
      </c>
      <c r="Q83" s="349"/>
      <c r="R83" s="350"/>
      <c r="T83" s="119" t="str">
        <f t="shared" ca="1" si="72"/>
        <v/>
      </c>
      <c r="U83" s="170" t="str">
        <f t="shared" ca="1" si="73"/>
        <v/>
      </c>
      <c r="V83" s="171" t="str">
        <f ca="1">IF(AND($W83&gt;0,RegimeExecucao="Unitário"),$F83,"")</f>
        <v/>
      </c>
      <c r="W83" s="486">
        <f ca="1">IF($Y83&gt;0,CHOOSE(MATCH(RegimeExecucao,{"Unitário","Global"},0),IF($A83="S",$Y83/$X83,""),($Y83/$X83)*100),0)</f>
        <v>0</v>
      </c>
      <c r="X83" s="351" t="str">
        <f ca="1">IF($Y83&gt;0,CHOOSE(MATCH(RegimeExecucao,{"Unitário","Global"},0),IF($A83="S",ROUND($H83,ORÇAMENTO!$AF$10),""),ROUND($I83,ORÇAMENTO!$AF$11)),"")</f>
        <v/>
      </c>
      <c r="Y83" s="351">
        <f t="shared" ca="1" si="74"/>
        <v>0</v>
      </c>
      <c r="Z83" s="507"/>
      <c r="AB83" s="349"/>
      <c r="AC83" s="469"/>
      <c r="AD83" s="469"/>
      <c r="AE83" s="469"/>
      <c r="AF83" s="469"/>
      <c r="AG83" s="469"/>
      <c r="AH83" s="469"/>
      <c r="AI83" s="469"/>
      <c r="AJ83" s="469"/>
      <c r="AK83" s="469"/>
      <c r="AL83" s="469"/>
      <c r="AM83" s="350"/>
      <c r="AO83">
        <f ca="1">IF($A83="S",IF(BM!$I83=0,0,CHOOSE(MATCH(RegimeExecucao,{"Global","Unitário"},0),ROUND(ROUND(BM.MEDAcumulado,15-13*BM!$A$9)/100*BM!$I83,15-13*ORÇAMENTO!$AF$11),ROUND(ROUND(BM.MEDAcumulado,15-13*BM!$A$9)*ROUND(BM!$H83,15-13*ORÇAMENTO!$AF$10),15-13*ORÇAMENTO!$AF$11))),IF($A83=0,0,ROUND(SomaAgrupBM,15-13*ORÇAMENTO!$AF$11)))</f>
        <v>0</v>
      </c>
    </row>
    <row r="84" spans="1:41" ht="25.5" x14ac:dyDescent="0.2">
      <c r="A84" t="str">
        <f ca="1">ORÇAMENTO!C84</f>
        <v>S</v>
      </c>
      <c r="B84">
        <f ca="1">ORÇAMENTO!D84</f>
        <v>0</v>
      </c>
      <c r="C84" s="116" t="str">
        <f t="shared" ca="1" si="69"/>
        <v>F</v>
      </c>
      <c r="D84" s="119" t="str">
        <f ca="1">ORÇAMENTO!O84</f>
        <v>1.11.0.0.1.</v>
      </c>
      <c r="E84" s="170" t="str">
        <f t="shared" si="75"/>
        <v>PISO PODOTÁTIL DE ALERTA, DE CONCRETO, ASSENTADO SOBRE ARGAMASSA. AF_03/2024</v>
      </c>
      <c r="F84" s="171" t="str">
        <f ca="1">IF(RegimeExecucao="Global","",ORÇAMENTO.Unidade)</f>
        <v>M2</v>
      </c>
      <c r="G84" s="124">
        <f ca="1">IF(RegimeExecucao="Global","",ORÇAMENTO!T84)</f>
        <v>51.07</v>
      </c>
      <c r="H84" s="124">
        <f ca="1">IF(RegimeExecucao="Global","",ORÇAMENTO!W84)</f>
        <v>184.98</v>
      </c>
      <c r="I84" s="127">
        <f ca="1">ORÇAMENTO!X84</f>
        <v>9446.93</v>
      </c>
      <c r="J84" s="345">
        <f ca="1">IF($A84="S",IF(CAIXA.Modo,BM.AFAnterior,BM.MEDAnterior),IF(AND(RegimeExecucao="Global",$I84&gt;0,COUNTIF($AB$13:$AM$13,BM.medicao-1)&gt;0),M84/$I84*100,0))</f>
        <v>0</v>
      </c>
      <c r="K84" s="124">
        <f t="shared" ca="1" si="70"/>
        <v>0</v>
      </c>
      <c r="L84" s="346">
        <f ca="1">IF($A84="S",IF(CAIXA.Modo,BM.AFAcumulado,BM.MEDAcumulado),IF(AND(RegimeExecucao="Global",$I84&gt;0,COUNTIF($AB$13:$AM$13,BM.medicao)&gt;0),O84/$I84*100,0))</f>
        <v>0</v>
      </c>
      <c r="M84" s="347">
        <f ca="1">IF($A84="S",VTOTALBM,IF($A84=0,0,ROUND(SomaAgrupBM,15-13*ORÇAMENTO!$AF$11)))</f>
        <v>0</v>
      </c>
      <c r="N84" s="348">
        <f t="shared" ca="1" si="71"/>
        <v>0</v>
      </c>
      <c r="O84" s="127">
        <f ca="1">IF($A84="S",VTOTALBM,IF($A84=0,0,ROUND(SomaAgrupBM,15-13*ORÇAMENTO!$AF$11)))</f>
        <v>0</v>
      </c>
      <c r="Q84" s="349"/>
      <c r="R84" s="350"/>
      <c r="T84" s="119" t="str">
        <f t="shared" ca="1" si="72"/>
        <v/>
      </c>
      <c r="U84" s="170" t="str">
        <f t="shared" ca="1" si="73"/>
        <v/>
      </c>
      <c r="V84" s="171" t="str">
        <f ca="1">IF(AND($W84&gt;0,RegimeExecucao="Unitário"),$F84,"")</f>
        <v/>
      </c>
      <c r="W84" s="486">
        <f ca="1">IF($Y84&gt;0,CHOOSE(MATCH(RegimeExecucao,{"Unitário","Global"},0),IF($A84="S",$Y84/$X84,""),($Y84/$X84)*100),0)</f>
        <v>0</v>
      </c>
      <c r="X84" s="351" t="str">
        <f ca="1">IF($Y84&gt;0,CHOOSE(MATCH(RegimeExecucao,{"Unitário","Global"},0),IF($A84="S",ROUND($H84,ORÇAMENTO!$AF$10),""),ROUND($I84,ORÇAMENTO!$AF$11)),"")</f>
        <v/>
      </c>
      <c r="Y84" s="351">
        <f t="shared" ca="1" si="74"/>
        <v>0</v>
      </c>
      <c r="Z84" s="507"/>
      <c r="AB84" s="349"/>
      <c r="AC84" s="469"/>
      <c r="AD84" s="469"/>
      <c r="AE84" s="469"/>
      <c r="AF84" s="469"/>
      <c r="AG84" s="469"/>
      <c r="AH84" s="469"/>
      <c r="AI84" s="469"/>
      <c r="AJ84" s="469"/>
      <c r="AK84" s="469"/>
      <c r="AL84" s="469"/>
      <c r="AM84" s="350"/>
      <c r="AO84">
        <f ca="1">IF($A84="S",IF(BM!$I84=0,0,CHOOSE(MATCH(RegimeExecucao,{"Global","Unitário"},0),ROUND(ROUND(BM.MEDAcumulado,15-13*BM!$A$9)/100*BM!$I84,15-13*ORÇAMENTO!$AF$11),ROUND(ROUND(BM.MEDAcumulado,15-13*BM!$A$9)*ROUND(BM!$H84,15-13*ORÇAMENTO!$AF$10),15-13*ORÇAMENTO!$AF$11))),IF($A84=0,0,ROUND(SomaAgrupBM,15-13*ORÇAMENTO!$AF$11)))</f>
        <v>0</v>
      </c>
    </row>
    <row r="85" spans="1:41" ht="25.5" x14ac:dyDescent="0.2">
      <c r="A85" t="str">
        <f ca="1">ORÇAMENTO!C85</f>
        <v>S</v>
      </c>
      <c r="B85">
        <f ca="1">ORÇAMENTO!D85</f>
        <v>0</v>
      </c>
      <c r="C85" s="116" t="str">
        <f t="shared" ca="1" si="69"/>
        <v>F</v>
      </c>
      <c r="D85" s="119" t="str">
        <f ca="1">ORÇAMENTO!O85</f>
        <v>1.11.0.0.2.</v>
      </c>
      <c r="E85" s="170" t="str">
        <f t="shared" ref="E85:E127" si="76">ORÇAMENTO.Descricao</f>
        <v>PISO PODOTÁTIL DIRECIONAL, DE CONCRETO, ASSENTADO SOBRE ARGAMASSA. AF_03/2024</v>
      </c>
      <c r="F85" s="171" t="str">
        <f ca="1">IF(RegimeExecucao="Global","",ORÇAMENTO.Unidade)</f>
        <v>M2</v>
      </c>
      <c r="G85" s="124">
        <f ca="1">IF(RegimeExecucao="Global","",ORÇAMENTO!T85)</f>
        <v>51.07</v>
      </c>
      <c r="H85" s="124">
        <f ca="1">IF(RegimeExecucao="Global","",ORÇAMENTO!W85)</f>
        <v>185.1</v>
      </c>
      <c r="I85" s="127">
        <f ca="1">ORÇAMENTO!X85</f>
        <v>9453.06</v>
      </c>
      <c r="J85" s="345">
        <f ca="1">IF($A85="S",IF(CAIXA.Modo,BM.AFAnterior,BM.MEDAnterior),IF(AND(RegimeExecucao="Global",$I85&gt;0,COUNTIF($AB$13:$AM$13,BM.medicao-1)&gt;0),M85/$I85*100,0))</f>
        <v>0</v>
      </c>
      <c r="K85" s="124">
        <f t="shared" ca="1" si="70"/>
        <v>0</v>
      </c>
      <c r="L85" s="346">
        <f ca="1">IF($A85="S",IF(CAIXA.Modo,BM.AFAcumulado,BM.MEDAcumulado),IF(AND(RegimeExecucao="Global",$I85&gt;0,COUNTIF($AB$13:$AM$13,BM.medicao)&gt;0),O85/$I85*100,0))</f>
        <v>0</v>
      </c>
      <c r="M85" s="347">
        <f ca="1">IF($A85="S",VTOTALBM,IF($A85=0,0,ROUND(SomaAgrupBM,15-13*ORÇAMENTO!$AF$11)))</f>
        <v>0</v>
      </c>
      <c r="N85" s="348">
        <f t="shared" ca="1" si="71"/>
        <v>0</v>
      </c>
      <c r="O85" s="127">
        <f ca="1">IF($A85="S",VTOTALBM,IF($A85=0,0,ROUND(SomaAgrupBM,15-13*ORÇAMENTO!$AF$11)))</f>
        <v>0</v>
      </c>
      <c r="Q85" s="349"/>
      <c r="R85" s="350"/>
      <c r="T85" s="119" t="str">
        <f t="shared" ca="1" si="72"/>
        <v/>
      </c>
      <c r="U85" s="170" t="str">
        <f t="shared" ca="1" si="73"/>
        <v/>
      </c>
      <c r="V85" s="171" t="str">
        <f ca="1">IF(AND($W85&gt;0,RegimeExecucao="Unitário"),$F85,"")</f>
        <v/>
      </c>
      <c r="W85" s="486">
        <f ca="1">IF($Y85&gt;0,CHOOSE(MATCH(RegimeExecucao,{"Unitário","Global"},0),IF($A85="S",$Y85/$X85,""),($Y85/$X85)*100),0)</f>
        <v>0</v>
      </c>
      <c r="X85" s="351" t="str">
        <f ca="1">IF($Y85&gt;0,CHOOSE(MATCH(RegimeExecucao,{"Unitário","Global"},0),IF($A85="S",ROUND($H85,ORÇAMENTO!$AF$10),""),ROUND($I85,ORÇAMENTO!$AF$11)),"")</f>
        <v/>
      </c>
      <c r="Y85" s="351">
        <f t="shared" ca="1" si="74"/>
        <v>0</v>
      </c>
      <c r="Z85" s="507"/>
      <c r="AB85" s="349"/>
      <c r="AC85" s="469"/>
      <c r="AD85" s="469"/>
      <c r="AE85" s="469"/>
      <c r="AF85" s="469"/>
      <c r="AG85" s="469"/>
      <c r="AH85" s="469"/>
      <c r="AI85" s="469"/>
      <c r="AJ85" s="469"/>
      <c r="AK85" s="469"/>
      <c r="AL85" s="469"/>
      <c r="AM85" s="350"/>
      <c r="AO85">
        <f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f ca="1">ORÇAMENTO!C86</f>
        <v>2</v>
      </c>
      <c r="B86">
        <f ca="1">ORÇAMENTO!D86</f>
        <v>42</v>
      </c>
      <c r="C86" s="116" t="str">
        <f t="shared" ca="1" si="69"/>
        <v>F</v>
      </c>
      <c r="D86" s="119" t="str">
        <f ca="1">ORÇAMENTO!O86</f>
        <v>1.12.</v>
      </c>
      <c r="E86" s="170" t="str">
        <f t="shared" si="76"/>
        <v>INSTALAÇÕES ELÉTRICAS</v>
      </c>
      <c r="F86" s="171" t="str">
        <f ca="1">IF(RegimeExecucao="Global","",ORÇAMENTO.Unidade)</f>
        <v>-</v>
      </c>
      <c r="G86" s="124">
        <f ca="1">IF(RegimeExecucao="Global","",ORÇAMENTO!T86)</f>
        <v>0</v>
      </c>
      <c r="H86" s="124">
        <f ca="1">IF(RegimeExecucao="Global","",ORÇAMENTO!W86)</f>
        <v>0</v>
      </c>
      <c r="I86" s="127">
        <f ca="1">ORÇAMENTO!X86</f>
        <v>50312.77</v>
      </c>
      <c r="J86" s="345">
        <f ca="1">IF($A86="S",IF(CAIXA.Modo,BM.AFAnterior,BM.MEDAnterior),IF(AND(RegimeExecucao="Global",$I86&gt;0,COUNTIF($AB$13:$AM$13,BM.medicao-1)&gt;0),M86/$I86*100,0))</f>
        <v>0</v>
      </c>
      <c r="K86" s="124">
        <f t="shared" ca="1" si="70"/>
        <v>0</v>
      </c>
      <c r="L86" s="346">
        <f ca="1">IF($A86="S",IF(CAIXA.Modo,BM.AFAcumulado,BM.MEDAcumulado),IF(AND(RegimeExecucao="Global",$I86&gt;0,COUNTIF($AB$13:$AM$13,BM.medicao)&gt;0),O86/$I86*100,0))</f>
        <v>0</v>
      </c>
      <c r="M86" s="347">
        <f ca="1">IF($A86="S",VTOTALBM,IF($A86=0,0,ROUND(SomaAgrupBM,15-13*ORÇAMENTO!$AF$11)))</f>
        <v>0</v>
      </c>
      <c r="N86" s="348">
        <f t="shared" ca="1" si="71"/>
        <v>0</v>
      </c>
      <c r="O86" s="127">
        <f ca="1">IF($A86="S",VTOTALBM,IF($A86=0,0,ROUND(SomaAgrupBM,15-13*ORÇAMENTO!$AF$11)))</f>
        <v>0</v>
      </c>
      <c r="Q86" s="349"/>
      <c r="R86" s="350"/>
      <c r="T86" s="119" t="str">
        <f t="shared" ca="1" si="72"/>
        <v/>
      </c>
      <c r="U86" s="170" t="str">
        <f t="shared" ca="1" si="73"/>
        <v/>
      </c>
      <c r="V86" s="171" t="str">
        <f ca="1">IF(AND($W86&gt;0,RegimeExecucao="Unitário"),$F86,"")</f>
        <v/>
      </c>
      <c r="W86" s="486">
        <f ca="1">IF($Y86&gt;0,CHOOSE(MATCH(RegimeExecucao,{"Unitário","Global"},0),IF($A86="S",$Y86/$X86,""),($Y86/$X86)*100),0)</f>
        <v>0</v>
      </c>
      <c r="X86" s="351" t="str">
        <f ca="1">IF($Y86&gt;0,CHOOSE(MATCH(RegimeExecucao,{"Unitário","Global"},0),IF($A86="S",ROUND($H86,ORÇAMENTO!$AF$10),""),ROUND($I86,ORÇAMENTO!$AF$11)),"")</f>
        <v/>
      </c>
      <c r="Y86" s="351">
        <f t="shared" ca="1" si="74"/>
        <v>0</v>
      </c>
      <c r="Z86" s="507"/>
      <c r="AB86" s="349"/>
      <c r="AC86" s="469"/>
      <c r="AD86" s="469"/>
      <c r="AE86" s="469"/>
      <c r="AF86" s="469"/>
      <c r="AG86" s="469"/>
      <c r="AH86" s="469"/>
      <c r="AI86" s="469"/>
      <c r="AJ86" s="469"/>
      <c r="AK86" s="469"/>
      <c r="AL86" s="469"/>
      <c r="AM86" s="350"/>
      <c r="AO86">
        <f ca="1">IF($A86="S",IF(BM!$I86=0,0,CHOOSE(MATCH(RegimeExecucao,{"Global","Unitário"},0),ROUND(ROUND(BM.MEDAcumulado,15-13*BM!$A$9)/100*BM!$I86,15-13*ORÇAMENTO!$AF$11),ROUND(ROUND(BM.MEDAcumulado,15-13*BM!$A$9)*ROUND(BM!$H86,15-13*ORÇAMENTO!$AF$10),15-13*ORÇAMENTO!$AF$11))),IF($A86=0,0,ROUND(SomaAgrupBM,15-13*ORÇAMENTO!$AF$11)))</f>
        <v>0</v>
      </c>
    </row>
    <row r="87" spans="1:41" ht="38.25" x14ac:dyDescent="0.2">
      <c r="A87" t="str">
        <f ca="1">ORÇAMENTO!C87</f>
        <v>S</v>
      </c>
      <c r="B87">
        <f ca="1">ORÇAMENTO!D87</f>
        <v>0</v>
      </c>
      <c r="C87" s="116" t="str">
        <f t="shared" ca="1" si="69"/>
        <v>F</v>
      </c>
      <c r="D87" s="119" t="str">
        <f ca="1">ORÇAMENTO!O87</f>
        <v>1.12.0.0.1.</v>
      </c>
      <c r="E87" s="170" t="str">
        <f t="shared" ca="1" si="76"/>
        <v>CAIXA RETANGULAR 4" X 2" BAIXA (0,30 M DO PISO), METÁLICA, INSTALADA EM PAREDE - FORNECIMENTO E INSTALAÇÃO. AF_03/2023</v>
      </c>
      <c r="F87" s="171" t="str">
        <f ca="1">IF(RegimeExecucao="Global","",ORÇAMENTO.Unidade)</f>
        <v>UN</v>
      </c>
      <c r="G87" s="124">
        <f ca="1">IF(RegimeExecucao="Global","",ORÇAMENTO!T87)</f>
        <v>1</v>
      </c>
      <c r="H87" s="124">
        <f ca="1">IF(RegimeExecucao="Global","",ORÇAMENTO!W87)</f>
        <v>17.239999999999998</v>
      </c>
      <c r="I87" s="127">
        <f ca="1">ORÇAMENTO!X87</f>
        <v>17.239999999999998</v>
      </c>
      <c r="J87" s="345">
        <f ca="1">IF($A87="S",IF(CAIXA.Modo,BM.AFAnterior,BM.MEDAnterior),IF(AND(RegimeExecucao="Global",$I87&gt;0,COUNTIF($AB$13:$AM$13,BM.medicao-1)&gt;0),M87/$I87*100,0))</f>
        <v>0</v>
      </c>
      <c r="K87" s="124">
        <f t="shared" ca="1" si="70"/>
        <v>0</v>
      </c>
      <c r="L87" s="346">
        <f ca="1">IF($A87="S",IF(CAIXA.Modo,BM.AFAcumulado,BM.MEDAcumulado),IF(AND(RegimeExecucao="Global",$I87&gt;0,COUNTIF($AB$13:$AM$13,BM.medicao)&gt;0),O87/$I87*100,0))</f>
        <v>0</v>
      </c>
      <c r="M87" s="347">
        <f ca="1">IF($A87="S",VTOTALBM,IF($A87=0,0,ROUND(SomaAgrupBM,15-13*ORÇAMENTO!$AF$11)))</f>
        <v>0</v>
      </c>
      <c r="N87" s="348">
        <f t="shared" ca="1" si="71"/>
        <v>0</v>
      </c>
      <c r="O87" s="127">
        <f ca="1">IF($A87="S",VTOTALBM,IF($A87=0,0,ROUND(SomaAgrupBM,15-13*ORÇAMENTO!$AF$11)))</f>
        <v>0</v>
      </c>
      <c r="Q87" s="349"/>
      <c r="R87" s="350"/>
      <c r="T87" s="119" t="str">
        <f t="shared" ca="1" si="72"/>
        <v/>
      </c>
      <c r="U87" s="170" t="str">
        <f t="shared" ca="1" si="73"/>
        <v/>
      </c>
      <c r="V87" s="171" t="str">
        <f ca="1">IF(AND($W87&gt;0,RegimeExecucao="Unitário"),$F87,"")</f>
        <v/>
      </c>
      <c r="W87" s="486">
        <f ca="1">IF($Y87&gt;0,CHOOSE(MATCH(RegimeExecucao,{"Unitário","Global"},0),IF($A87="S",$Y87/$X87,""),($Y87/$X87)*100),0)</f>
        <v>0</v>
      </c>
      <c r="X87" s="351" t="str">
        <f ca="1">IF($Y87&gt;0,CHOOSE(MATCH(RegimeExecucao,{"Unitário","Global"},0),IF($A87="S",ROUND($H87,ORÇAMENTO!$AF$10),""),ROUND($I87,ORÇAMENTO!$AF$11)),"")</f>
        <v/>
      </c>
      <c r="Y87" s="351">
        <f t="shared" ca="1" si="74"/>
        <v>0</v>
      </c>
      <c r="Z87" s="507"/>
      <c r="AB87" s="349"/>
      <c r="AC87" s="469"/>
      <c r="AD87" s="469"/>
      <c r="AE87" s="469"/>
      <c r="AF87" s="469"/>
      <c r="AG87" s="469"/>
      <c r="AH87" s="469"/>
      <c r="AI87" s="469"/>
      <c r="AJ87" s="469"/>
      <c r="AK87" s="469"/>
      <c r="AL87" s="469"/>
      <c r="AM87" s="350"/>
      <c r="AO87">
        <f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6" t="str">
        <f t="shared" ca="1" si="69"/>
        <v>F</v>
      </c>
      <c r="D88" s="119" t="str">
        <f ca="1">ORÇAMENTO!O88</f>
        <v>1.12.0.0.2.</v>
      </c>
      <c r="E88" s="170" t="str">
        <f t="shared" ca="1" si="76"/>
        <v>CONDULETE DE PVC, TIPO LB, PARA ELETRODUTO DE PVC SOLDÁVEL DN 25 MM (3/4''), APARENTE - FORNECIMENTO E INSTALAÇÃO. AF_01/2026</v>
      </c>
      <c r="F88" s="171" t="str">
        <f ca="1">IF(RegimeExecucao="Global","",ORÇAMENTO.Unidade)</f>
        <v>UN</v>
      </c>
      <c r="G88" s="124">
        <f ca="1">IF(RegimeExecucao="Global","",ORÇAMENTO!T88)</f>
        <v>8</v>
      </c>
      <c r="H88" s="124">
        <f ca="1">IF(RegimeExecucao="Global","",ORÇAMENTO!W88)</f>
        <v>19.079999999999998</v>
      </c>
      <c r="I88" s="127">
        <f ca="1">ORÇAMENTO!X88</f>
        <v>152.63999999999999</v>
      </c>
      <c r="J88" s="345">
        <f ca="1">IF($A88="S",IF(CAIXA.Modo,BM.AFAnterior,BM.MEDAnterior),IF(AND(RegimeExecucao="Global",$I88&gt;0,COUNTIF($AB$13:$AM$13,BM.medicao-1)&gt;0),M88/$I88*100,0))</f>
        <v>0</v>
      </c>
      <c r="K88" s="124">
        <f t="shared" ca="1" si="70"/>
        <v>0</v>
      </c>
      <c r="L88" s="346">
        <f ca="1">IF($A88="S",IF(CAIXA.Modo,BM.AFAcumulado,BM.MEDAcumulado),IF(AND(RegimeExecucao="Global",$I88&gt;0,COUNTIF($AB$13:$AM$13,BM.medicao)&gt;0),O88/$I88*100,0))</f>
        <v>0</v>
      </c>
      <c r="M88" s="347">
        <f ca="1">IF($A88="S",VTOTALBM,IF($A88=0,0,ROUND(SomaAgrupBM,15-13*ORÇAMENTO!$AF$11)))</f>
        <v>0</v>
      </c>
      <c r="N88" s="348">
        <f t="shared" ca="1" si="71"/>
        <v>0</v>
      </c>
      <c r="O88" s="127">
        <f ca="1">IF($A88="S",VTOTALBM,IF($A88=0,0,ROUND(SomaAgrupBM,15-13*ORÇAMENTO!$AF$11)))</f>
        <v>0</v>
      </c>
      <c r="Q88" s="349"/>
      <c r="R88" s="350"/>
      <c r="T88" s="119" t="str">
        <f t="shared" ca="1" si="72"/>
        <v/>
      </c>
      <c r="U88" s="170" t="str">
        <f t="shared" ca="1" si="73"/>
        <v/>
      </c>
      <c r="V88" s="171" t="str">
        <f ca="1">IF(AND($W88&gt;0,RegimeExecucao="Unitário"),$F88,"")</f>
        <v/>
      </c>
      <c r="W88" s="486">
        <f ca="1">IF($Y88&gt;0,CHOOSE(MATCH(RegimeExecucao,{"Unitário","Global"},0),IF($A88="S",$Y88/$X88,""),($Y88/$X88)*100),0)</f>
        <v>0</v>
      </c>
      <c r="X88" s="351" t="str">
        <f ca="1">IF($Y88&gt;0,CHOOSE(MATCH(RegimeExecucao,{"Unitário","Global"},0),IF($A88="S",ROUND($H88,ORÇAMENTO!$AF$10),""),ROUND($I88,ORÇAMENTO!$AF$11)),"")</f>
        <v/>
      </c>
      <c r="Y88" s="351">
        <f t="shared" ca="1" si="74"/>
        <v>0</v>
      </c>
      <c r="Z88" s="507"/>
      <c r="AB88" s="349"/>
      <c r="AC88" s="469"/>
      <c r="AD88" s="469"/>
      <c r="AE88" s="469"/>
      <c r="AF88" s="469"/>
      <c r="AG88" s="469"/>
      <c r="AH88" s="469"/>
      <c r="AI88" s="469"/>
      <c r="AJ88" s="469"/>
      <c r="AK88" s="469"/>
      <c r="AL88" s="469"/>
      <c r="AM88" s="350"/>
      <c r="AO88">
        <f ca="1">IF($A88="S",IF(BM!$I88=0,0,CHOOSE(MATCH(RegimeExecucao,{"Global","Unitário"},0),ROUND(ROUND(BM.MEDAcumulado,15-13*BM!$A$9)/100*BM!$I88,15-13*ORÇAMENTO!$AF$11),ROUND(ROUND(BM.MEDAcumulado,15-13*BM!$A$9)*ROUND(BM!$H88,15-13*ORÇAMENTO!$AF$10),15-13*ORÇAMENTO!$AF$11))),IF($A88=0,0,ROUND(SomaAgrupBM,15-13*ORÇAMENTO!$AF$11)))</f>
        <v>0</v>
      </c>
    </row>
    <row r="89" spans="1:41" ht="38.25" x14ac:dyDescent="0.2">
      <c r="A89" t="str">
        <f ca="1">ORÇAMENTO!C89</f>
        <v>S</v>
      </c>
      <c r="B89">
        <f ca="1">ORÇAMENTO!D89</f>
        <v>0</v>
      </c>
      <c r="C89" s="116" t="str">
        <f t="shared" ca="1" si="69"/>
        <v>F</v>
      </c>
      <c r="D89" s="119" t="str">
        <f ca="1">ORÇAMENTO!O89</f>
        <v>1.12.0.0.3.</v>
      </c>
      <c r="E89" s="170" t="str">
        <f t="shared" ca="1" si="76"/>
        <v>CONDULETE DE PVC, TIPO LR, PARA ELETRODUTO DE PVC SOLDÁVEL DN 25 MM (3/4''), APARENTE - FORNECIMENTO E INSTALAÇÃO. AF_01/2026</v>
      </c>
      <c r="F89" s="171" t="str">
        <f ca="1">IF(RegimeExecucao="Global","",ORÇAMENTO.Unidade)</f>
        <v>UN</v>
      </c>
      <c r="G89" s="124">
        <f ca="1">IF(RegimeExecucao="Global","",ORÇAMENTO!T89)</f>
        <v>5</v>
      </c>
      <c r="H89" s="124">
        <f ca="1">IF(RegimeExecucao="Global","",ORÇAMENTO!W89)</f>
        <v>31.63</v>
      </c>
      <c r="I89" s="127">
        <f ca="1">ORÇAMENTO!X89</f>
        <v>158.15</v>
      </c>
      <c r="J89" s="345">
        <f ca="1">IF($A89="S",IF(CAIXA.Modo,BM.AFAnterior,BM.MEDAnterior),IF(AND(RegimeExecucao="Global",$I89&gt;0,COUNTIF($AB$13:$AM$13,BM.medicao-1)&gt;0),M89/$I89*100,0))</f>
        <v>0</v>
      </c>
      <c r="K89" s="124">
        <f t="shared" ca="1" si="70"/>
        <v>0</v>
      </c>
      <c r="L89" s="346">
        <f ca="1">IF($A89="S",IF(CAIXA.Modo,BM.AFAcumulado,BM.MEDAcumulado),IF(AND(RegimeExecucao="Global",$I89&gt;0,COUNTIF($AB$13:$AM$13,BM.medicao)&gt;0),O89/$I89*100,0))</f>
        <v>0</v>
      </c>
      <c r="M89" s="347">
        <f ca="1">IF($A89="S",VTOTALBM,IF($A89=0,0,ROUND(SomaAgrupBM,15-13*ORÇAMENTO!$AF$11)))</f>
        <v>0</v>
      </c>
      <c r="N89" s="348">
        <f t="shared" ca="1" si="71"/>
        <v>0</v>
      </c>
      <c r="O89" s="127">
        <f ca="1">IF($A89="S",VTOTALBM,IF($A89=0,0,ROUND(SomaAgrupBM,15-13*ORÇAMENTO!$AF$11)))</f>
        <v>0</v>
      </c>
      <c r="Q89" s="349"/>
      <c r="R89" s="350"/>
      <c r="T89" s="119" t="str">
        <f t="shared" ca="1" si="72"/>
        <v/>
      </c>
      <c r="U89" s="170" t="str">
        <f t="shared" ca="1" si="73"/>
        <v/>
      </c>
      <c r="V89" s="171" t="str">
        <f ca="1">IF(AND($W89&gt;0,RegimeExecucao="Unitário"),$F89,"")</f>
        <v/>
      </c>
      <c r="W89" s="486">
        <f ca="1">IF($Y89&gt;0,CHOOSE(MATCH(RegimeExecucao,{"Unitário","Global"},0),IF($A89="S",$Y89/$X89,""),($Y89/$X89)*100),0)</f>
        <v>0</v>
      </c>
      <c r="X89" s="351" t="str">
        <f ca="1">IF($Y89&gt;0,CHOOSE(MATCH(RegimeExecucao,{"Unitário","Global"},0),IF($A89="S",ROUND($H89,ORÇAMENTO!$AF$10),""),ROUND($I89,ORÇAMENTO!$AF$11)),"")</f>
        <v/>
      </c>
      <c r="Y89" s="351">
        <f t="shared" ca="1" si="74"/>
        <v>0</v>
      </c>
      <c r="Z89" s="507"/>
      <c r="AB89" s="349"/>
      <c r="AC89" s="469"/>
      <c r="AD89" s="469"/>
      <c r="AE89" s="469"/>
      <c r="AF89" s="469"/>
      <c r="AG89" s="469"/>
      <c r="AH89" s="469"/>
      <c r="AI89" s="469"/>
      <c r="AJ89" s="469"/>
      <c r="AK89" s="469"/>
      <c r="AL89" s="469"/>
      <c r="AM89" s="350"/>
      <c r="AO89">
        <f ca="1">IF($A89="S",IF(BM!$I89=0,0,CHOOSE(MATCH(RegimeExecucao,{"Global","Unitário"},0),ROUND(ROUND(BM.MEDAcumulado,15-13*BM!$A$9)/100*BM!$I89,15-13*ORÇAMENTO!$AF$11),ROUND(ROUND(BM.MEDAcumulado,15-13*BM!$A$9)*ROUND(BM!$H89,15-13*ORÇAMENTO!$AF$10),15-13*ORÇAMENTO!$AF$11))),IF($A89=0,0,ROUND(SomaAgrupBM,15-13*ORÇAMENTO!$AF$11)))</f>
        <v>0</v>
      </c>
    </row>
    <row r="90" spans="1:41" ht="38.25" x14ac:dyDescent="0.2">
      <c r="A90" t="str">
        <f ca="1">ORÇAMENTO!C90</f>
        <v>S</v>
      </c>
      <c r="B90">
        <f ca="1">ORÇAMENTO!D90</f>
        <v>0</v>
      </c>
      <c r="C90" s="116" t="str">
        <f t="shared" ca="1" si="69"/>
        <v>F</v>
      </c>
      <c r="D90" s="119" t="str">
        <f ca="1">ORÇAMENTO!O90</f>
        <v>1.12.0.0.4.</v>
      </c>
      <c r="E90" s="170" t="str">
        <f t="shared" ca="1" si="76"/>
        <v>CONDULETE DE PVC, TIPO T, PARA ELETRODUTO DE PVC SOLDÁVEL DN 25 MM (3/4''), APARENTE - FORNECIMENTO E INSTALAÇÃO. AF_01/2026</v>
      </c>
      <c r="F90" s="171" t="str">
        <f ca="1">IF(RegimeExecucao="Global","",ORÇAMENTO.Unidade)</f>
        <v>UN</v>
      </c>
      <c r="G90" s="124">
        <f ca="1">IF(RegimeExecucao="Global","",ORÇAMENTO!T90)</f>
        <v>20</v>
      </c>
      <c r="H90" s="124">
        <f ca="1">IF(RegimeExecucao="Global","",ORÇAMENTO!W90)</f>
        <v>36.29</v>
      </c>
      <c r="I90" s="127">
        <f ca="1">ORÇAMENTO!X90</f>
        <v>725.8</v>
      </c>
      <c r="J90" s="345">
        <f ca="1">IF($A90="S",IF(CAIXA.Modo,BM.AFAnterior,BM.MEDAnterior),IF(AND(RegimeExecucao="Global",$I90&gt;0,COUNTIF($AB$13:$AM$13,BM.medicao-1)&gt;0),M90/$I90*100,0))</f>
        <v>0</v>
      </c>
      <c r="K90" s="124">
        <f t="shared" ca="1" si="70"/>
        <v>0</v>
      </c>
      <c r="L90" s="346">
        <f ca="1">IF($A90="S",IF(CAIXA.Modo,BM.AFAcumulado,BM.MEDAcumulado),IF(AND(RegimeExecucao="Global",$I90&gt;0,COUNTIF($AB$13:$AM$13,BM.medicao)&gt;0),O90/$I90*100,0))</f>
        <v>0</v>
      </c>
      <c r="M90" s="347">
        <f ca="1">IF($A90="S",VTOTALBM,IF($A90=0,0,ROUND(SomaAgrupBM,15-13*ORÇAMENTO!$AF$11)))</f>
        <v>0</v>
      </c>
      <c r="N90" s="348">
        <f t="shared" ca="1" si="71"/>
        <v>0</v>
      </c>
      <c r="O90" s="127">
        <f ca="1">IF($A90="S",VTOTALBM,IF($A90=0,0,ROUND(SomaAgrupBM,15-13*ORÇAMENTO!$AF$11)))</f>
        <v>0</v>
      </c>
      <c r="Q90" s="349"/>
      <c r="R90" s="350"/>
      <c r="T90" s="119" t="str">
        <f t="shared" ca="1" si="72"/>
        <v/>
      </c>
      <c r="U90" s="170" t="str">
        <f t="shared" ca="1" si="73"/>
        <v/>
      </c>
      <c r="V90" s="171" t="str">
        <f ca="1">IF(AND($W90&gt;0,RegimeExecucao="Unitário"),$F90,"")</f>
        <v/>
      </c>
      <c r="W90" s="486">
        <f ca="1">IF($Y90&gt;0,CHOOSE(MATCH(RegimeExecucao,{"Unitário","Global"},0),IF($A90="S",$Y90/$X90,""),($Y90/$X90)*100),0)</f>
        <v>0</v>
      </c>
      <c r="X90" s="351" t="str">
        <f ca="1">IF($Y90&gt;0,CHOOSE(MATCH(RegimeExecucao,{"Unitário","Global"},0),IF($A90="S",ROUND($H90,ORÇAMENTO!$AF$10),""),ROUND($I90,ORÇAMENTO!$AF$11)),"")</f>
        <v/>
      </c>
      <c r="Y90" s="351">
        <f t="shared" ca="1" si="74"/>
        <v>0</v>
      </c>
      <c r="Z90" s="507"/>
      <c r="AB90" s="349"/>
      <c r="AC90" s="469"/>
      <c r="AD90" s="469"/>
      <c r="AE90" s="469"/>
      <c r="AF90" s="469"/>
      <c r="AG90" s="469"/>
      <c r="AH90" s="469"/>
      <c r="AI90" s="469"/>
      <c r="AJ90" s="469"/>
      <c r="AK90" s="469"/>
      <c r="AL90" s="469"/>
      <c r="AM90" s="350"/>
      <c r="AO90">
        <f ca="1">IF($A90="S",IF(BM!$I90=0,0,CHOOSE(MATCH(RegimeExecucao,{"Global","Unitário"},0),ROUND(ROUND(BM.MEDAcumulado,15-13*BM!$A$9)/100*BM!$I90,15-13*ORÇAMENTO!$AF$11),ROUND(ROUND(BM.MEDAcumulado,15-13*BM!$A$9)*ROUND(BM!$H90,15-13*ORÇAMENTO!$AF$10),15-13*ORÇAMENTO!$AF$11))),IF($A90=0,0,ROUND(SomaAgrupBM,15-13*ORÇAMENTO!$AF$11)))</f>
        <v>0</v>
      </c>
    </row>
    <row r="91" spans="1:41" ht="38.25" x14ac:dyDescent="0.2">
      <c r="A91" t="str">
        <f ca="1">ORÇAMENTO!C91</f>
        <v>S</v>
      </c>
      <c r="B91">
        <f ca="1">ORÇAMENTO!D91</f>
        <v>0</v>
      </c>
      <c r="C91" s="116" t="str">
        <f t="shared" ca="1" si="69"/>
        <v>F</v>
      </c>
      <c r="D91" s="119" t="str">
        <f ca="1">ORÇAMENTO!O91</f>
        <v>1.12.0.0.5.</v>
      </c>
      <c r="E91" s="170" t="str">
        <f t="shared" ca="1" si="76"/>
        <v>CONDULETE DE PVC, TIPO X, PARA ELETRODUTO DE PVC SOLDÁVEL DN 25 MM (3/4"), APARENTE - FORNECIMENTO E INSTALAÇÃO. AF_01/2026</v>
      </c>
      <c r="F91" s="171" t="str">
        <f ca="1">IF(RegimeExecucao="Global","",ORÇAMENTO.Unidade)</f>
        <v>UN</v>
      </c>
      <c r="G91" s="124">
        <f ca="1">IF(RegimeExecucao="Global","",ORÇAMENTO!T91)</f>
        <v>3</v>
      </c>
      <c r="H91" s="124">
        <f ca="1">IF(RegimeExecucao="Global","",ORÇAMENTO!W91)</f>
        <v>40.29</v>
      </c>
      <c r="I91" s="127">
        <f ca="1">ORÇAMENTO!X91</f>
        <v>120.87</v>
      </c>
      <c r="J91" s="345">
        <f ca="1">IF($A91="S",IF(CAIXA.Modo,BM.AFAnterior,BM.MEDAnterior),IF(AND(RegimeExecucao="Global",$I91&gt;0,COUNTIF($AB$13:$AM$13,BM.medicao-1)&gt;0),M91/$I91*100,0))</f>
        <v>0</v>
      </c>
      <c r="K91" s="124">
        <f t="shared" ca="1" si="70"/>
        <v>0</v>
      </c>
      <c r="L91" s="346">
        <f ca="1">IF($A91="S",IF(CAIXA.Modo,BM.AFAcumulado,BM.MEDAcumulado),IF(AND(RegimeExecucao="Global",$I91&gt;0,COUNTIF($AB$13:$AM$13,BM.medicao)&gt;0),O91/$I91*100,0))</f>
        <v>0</v>
      </c>
      <c r="M91" s="347">
        <f ca="1">IF($A91="S",VTOTALBM,IF($A91=0,0,ROUND(SomaAgrupBM,15-13*ORÇAMENTO!$AF$11)))</f>
        <v>0</v>
      </c>
      <c r="N91" s="348">
        <f t="shared" ca="1" si="71"/>
        <v>0</v>
      </c>
      <c r="O91" s="127">
        <f ca="1">IF($A91="S",VTOTALBM,IF($A91=0,0,ROUND(SomaAgrupBM,15-13*ORÇAMENTO!$AF$11)))</f>
        <v>0</v>
      </c>
      <c r="Q91" s="349"/>
      <c r="R91" s="350"/>
      <c r="T91" s="119" t="str">
        <f t="shared" ca="1" si="72"/>
        <v/>
      </c>
      <c r="U91" s="170" t="str">
        <f t="shared" ca="1" si="73"/>
        <v/>
      </c>
      <c r="V91" s="171" t="str">
        <f ca="1">IF(AND($W91&gt;0,RegimeExecucao="Unitário"),$F91,"")</f>
        <v/>
      </c>
      <c r="W91" s="486">
        <f ca="1">IF($Y91&gt;0,CHOOSE(MATCH(RegimeExecucao,{"Unitário","Global"},0),IF($A91="S",$Y91/$X91,""),($Y91/$X91)*100),0)</f>
        <v>0</v>
      </c>
      <c r="X91" s="351" t="str">
        <f ca="1">IF($Y91&gt;0,CHOOSE(MATCH(RegimeExecucao,{"Unitário","Global"},0),IF($A91="S",ROUND($H91,ORÇAMENTO!$AF$10),""),ROUND($I91,ORÇAMENTO!$AF$11)),"")</f>
        <v/>
      </c>
      <c r="Y91" s="351">
        <f t="shared" ca="1" si="74"/>
        <v>0</v>
      </c>
      <c r="Z91" s="507"/>
      <c r="AB91" s="349"/>
      <c r="AC91" s="469"/>
      <c r="AD91" s="469"/>
      <c r="AE91" s="469"/>
      <c r="AF91" s="469"/>
      <c r="AG91" s="469"/>
      <c r="AH91" s="469"/>
      <c r="AI91" s="469"/>
      <c r="AJ91" s="469"/>
      <c r="AK91" s="469"/>
      <c r="AL91" s="469"/>
      <c r="AM91" s="350"/>
      <c r="AO91">
        <f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t="str">
        <f ca="1">ORÇAMENTO!C92</f>
        <v>S</v>
      </c>
      <c r="B92">
        <f ca="1">ORÇAMENTO!D92</f>
        <v>0</v>
      </c>
      <c r="C92" s="116" t="str">
        <f t="shared" ca="1" si="69"/>
        <v>F</v>
      </c>
      <c r="D92" s="119" t="str">
        <f ca="1">ORÇAMENTO!O92</f>
        <v>1.12.0.0.6.</v>
      </c>
      <c r="E92" s="170" t="str">
        <f t="shared" ca="1" si="76"/>
        <v>BUCHA EM ALUMINIO, COM ROSCA, DE 3/4", PARA ELETRODUTO</v>
      </c>
      <c r="F92" s="171" t="str">
        <f ca="1">IF(RegimeExecucao="Global","",ORÇAMENTO.Unidade)</f>
        <v>UN</v>
      </c>
      <c r="G92" s="124">
        <f ca="1">IF(RegimeExecucao="Global","",ORÇAMENTO!T92)</f>
        <v>148</v>
      </c>
      <c r="H92" s="124">
        <f ca="1">IF(RegimeExecucao="Global","",ORÇAMENTO!W92)</f>
        <v>1.43</v>
      </c>
      <c r="I92" s="127">
        <f ca="1">ORÇAMENTO!X92</f>
        <v>211.64</v>
      </c>
      <c r="J92" s="345">
        <f ca="1">IF($A92="S",IF(CAIXA.Modo,BM.AFAnterior,BM.MEDAnterior),IF(AND(RegimeExecucao="Global",$I92&gt;0,COUNTIF($AB$13:$AM$13,BM.medicao-1)&gt;0),M92/$I92*100,0))</f>
        <v>0</v>
      </c>
      <c r="K92" s="124">
        <f t="shared" ca="1" si="70"/>
        <v>0</v>
      </c>
      <c r="L92" s="346">
        <f ca="1">IF($A92="S",IF(CAIXA.Modo,BM.AFAcumulado,BM.MEDAcumulado),IF(AND(RegimeExecucao="Global",$I92&gt;0,COUNTIF($AB$13:$AM$13,BM.medicao)&gt;0),O92/$I92*100,0))</f>
        <v>0</v>
      </c>
      <c r="M92" s="347">
        <f ca="1">IF($A92="S",VTOTALBM,IF($A92=0,0,ROUND(SomaAgrupBM,15-13*ORÇAMENTO!$AF$11)))</f>
        <v>0</v>
      </c>
      <c r="N92" s="348">
        <f t="shared" ca="1" si="71"/>
        <v>0</v>
      </c>
      <c r="O92" s="127">
        <f ca="1">IF($A92="S",VTOTALBM,IF($A92=0,0,ROUND(SomaAgrupBM,15-13*ORÇAMENTO!$AF$11)))</f>
        <v>0</v>
      </c>
      <c r="Q92" s="349"/>
      <c r="R92" s="350"/>
      <c r="T92" s="119" t="str">
        <f t="shared" ca="1" si="72"/>
        <v/>
      </c>
      <c r="U92" s="170" t="str">
        <f t="shared" ca="1" si="73"/>
        <v/>
      </c>
      <c r="V92" s="171" t="str">
        <f ca="1">IF(AND($W92&gt;0,RegimeExecucao="Unitário"),$F92,"")</f>
        <v/>
      </c>
      <c r="W92" s="486">
        <f ca="1">IF($Y92&gt;0,CHOOSE(MATCH(RegimeExecucao,{"Unitário","Global"},0),IF($A92="S",$Y92/$X92,""),($Y92/$X92)*100),0)</f>
        <v>0</v>
      </c>
      <c r="X92" s="351" t="str">
        <f ca="1">IF($Y92&gt;0,CHOOSE(MATCH(RegimeExecucao,{"Unitário","Global"},0),IF($A92="S",ROUND($H92,ORÇAMENTO!$AF$10),""),ROUND($I92,ORÇAMENTO!$AF$11)),"")</f>
        <v/>
      </c>
      <c r="Y92" s="351">
        <f t="shared" ca="1" si="74"/>
        <v>0</v>
      </c>
      <c r="Z92" s="507"/>
      <c r="AB92" s="349"/>
      <c r="AC92" s="469"/>
      <c r="AD92" s="469"/>
      <c r="AE92" s="469"/>
      <c r="AF92" s="469"/>
      <c r="AG92" s="469"/>
      <c r="AH92" s="469"/>
      <c r="AI92" s="469"/>
      <c r="AJ92" s="469"/>
      <c r="AK92" s="469"/>
      <c r="AL92" s="469"/>
      <c r="AM92" s="350"/>
      <c r="AO92">
        <f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t="str">
        <f ca="1">ORÇAMENTO!C93</f>
        <v>S</v>
      </c>
      <c r="B93">
        <f ca="1">ORÇAMENTO!D93</f>
        <v>0</v>
      </c>
      <c r="C93" s="116" t="str">
        <f t="shared" ca="1" si="69"/>
        <v>F</v>
      </c>
      <c r="D93" s="119" t="str">
        <f ca="1">ORÇAMENTO!O93</f>
        <v>1.12.0.0.7.</v>
      </c>
      <c r="E93" s="170" t="str">
        <f t="shared" ca="1" si="76"/>
        <v>BUCHA EM ALUMINIO, COM ROSCA, DE 1 1/4", PARA ELETRODUTO</v>
      </c>
      <c r="F93" s="171" t="str">
        <f ca="1">IF(RegimeExecucao="Global","",ORÇAMENTO.Unidade)</f>
        <v>UN</v>
      </c>
      <c r="G93" s="124">
        <f ca="1">IF(RegimeExecucao="Global","",ORÇAMENTO!T93)</f>
        <v>2</v>
      </c>
      <c r="H93" s="124">
        <f ca="1">IF(RegimeExecucao="Global","",ORÇAMENTO!W93)</f>
        <v>2.35</v>
      </c>
      <c r="I93" s="127">
        <f ca="1">ORÇAMENTO!X93</f>
        <v>4.7</v>
      </c>
      <c r="J93" s="345">
        <f ca="1">IF($A93="S",IF(CAIXA.Modo,BM.AFAnterior,BM.MEDAnterior),IF(AND(RegimeExecucao="Global",$I93&gt;0,COUNTIF($AB$13:$AM$13,BM.medicao-1)&gt;0),M93/$I93*100,0))</f>
        <v>0</v>
      </c>
      <c r="K93" s="124">
        <f t="shared" ca="1" si="70"/>
        <v>0</v>
      </c>
      <c r="L93" s="346">
        <f ca="1">IF($A93="S",IF(CAIXA.Modo,BM.AFAcumulado,BM.MEDAcumulado),IF(AND(RegimeExecucao="Global",$I93&gt;0,COUNTIF($AB$13:$AM$13,BM.medicao)&gt;0),O93/$I93*100,0))</f>
        <v>0</v>
      </c>
      <c r="M93" s="347">
        <f ca="1">IF($A93="S",VTOTALBM,IF($A93=0,0,ROUND(SomaAgrupBM,15-13*ORÇAMENTO!$AF$11)))</f>
        <v>0</v>
      </c>
      <c r="N93" s="348">
        <f t="shared" ca="1" si="71"/>
        <v>0</v>
      </c>
      <c r="O93" s="127">
        <f ca="1">IF($A93="S",VTOTALBM,IF($A93=0,0,ROUND(SomaAgrupBM,15-13*ORÇAMENTO!$AF$11)))</f>
        <v>0</v>
      </c>
      <c r="Q93" s="349"/>
      <c r="R93" s="350"/>
      <c r="T93" s="119" t="str">
        <f t="shared" ca="1" si="72"/>
        <v/>
      </c>
      <c r="U93" s="170" t="str">
        <f t="shared" ca="1" si="73"/>
        <v/>
      </c>
      <c r="V93" s="171" t="str">
        <f ca="1">IF(AND($W93&gt;0,RegimeExecucao="Unitário"),$F93,"")</f>
        <v/>
      </c>
      <c r="W93" s="486">
        <f ca="1">IF($Y93&gt;0,CHOOSE(MATCH(RegimeExecucao,{"Unitário","Global"},0),IF($A93="S",$Y93/$X93,""),($Y93/$X93)*100),0)</f>
        <v>0</v>
      </c>
      <c r="X93" s="351" t="str">
        <f ca="1">IF($Y93&gt;0,CHOOSE(MATCH(RegimeExecucao,{"Unitário","Global"},0),IF($A93="S",ROUND($H93,ORÇAMENTO!$AF$10),""),ROUND($I93,ORÇAMENTO!$AF$11)),"")</f>
        <v/>
      </c>
      <c r="Y93" s="351">
        <f t="shared" ca="1" si="74"/>
        <v>0</v>
      </c>
      <c r="Z93" s="507"/>
      <c r="AB93" s="349"/>
      <c r="AC93" s="469"/>
      <c r="AD93" s="469"/>
      <c r="AE93" s="469"/>
      <c r="AF93" s="469"/>
      <c r="AG93" s="469"/>
      <c r="AH93" s="469"/>
      <c r="AI93" s="469"/>
      <c r="AJ93" s="469"/>
      <c r="AK93" s="469"/>
      <c r="AL93" s="469"/>
      <c r="AM93" s="350"/>
      <c r="AO93">
        <f ca="1">IF($A93="S",IF(BM!$I93=0,0,CHOOSE(MATCH(RegimeExecucao,{"Global","Unitário"},0),ROUND(ROUND(BM.MEDAcumulado,15-13*BM!$A$9)/100*BM!$I93,15-13*ORÇAMENTO!$AF$11),ROUND(ROUND(BM.MEDAcumulado,15-13*BM!$A$9)*ROUND(BM!$H93,15-13*ORÇAMENTO!$AF$10),15-13*ORÇAMENTO!$AF$11))),IF($A93=0,0,ROUND(SomaAgrupBM,15-13*ORÇAMENTO!$AF$11)))</f>
        <v>0</v>
      </c>
    </row>
    <row r="94" spans="1:41" ht="25.5" x14ac:dyDescent="0.2">
      <c r="A94" t="str">
        <f ca="1">ORÇAMENTO!C94</f>
        <v>S</v>
      </c>
      <c r="B94">
        <f ca="1">ORÇAMENTO!D94</f>
        <v>0</v>
      </c>
      <c r="C94" s="116" t="str">
        <f t="shared" ca="1" si="69"/>
        <v>F</v>
      </c>
      <c r="D94" s="119" t="str">
        <f ca="1">ORÇAMENTO!O94</f>
        <v>1.12.0.0.8.</v>
      </c>
      <c r="E94" s="170" t="str">
        <f t="shared" ca="1" si="76"/>
        <v>TOMADA BAIXA DE EMBUTIR (2 MÓDULOS), 2P+T 20 A, INCLUINDO SUPORTE E PLACA - FORNECIMENTO E INSTALAÇÃO. AF_03/2023</v>
      </c>
      <c r="F94" s="171" t="str">
        <f ca="1">IF(RegimeExecucao="Global","",ORÇAMENTO.Unidade)</f>
        <v>UN</v>
      </c>
      <c r="G94" s="124">
        <f ca="1">IF(RegimeExecucao="Global","",ORÇAMENTO!T94)</f>
        <v>14</v>
      </c>
      <c r="H94" s="124">
        <f ca="1">IF(RegimeExecucao="Global","",ORÇAMENTO!W94)</f>
        <v>80.08</v>
      </c>
      <c r="I94" s="127">
        <f ca="1">ORÇAMENTO!X94</f>
        <v>1121.1199999999999</v>
      </c>
      <c r="J94" s="345">
        <f ca="1">IF($A94="S",IF(CAIXA.Modo,BM.AFAnterior,BM.MEDAnterior),IF(AND(RegimeExecucao="Global",$I94&gt;0,COUNTIF($AB$13:$AM$13,BM.medicao-1)&gt;0),M94/$I94*100,0))</f>
        <v>0</v>
      </c>
      <c r="K94" s="124">
        <f t="shared" ca="1" si="70"/>
        <v>0</v>
      </c>
      <c r="L94" s="346">
        <f ca="1">IF($A94="S",IF(CAIXA.Modo,BM.AFAcumulado,BM.MEDAcumulado),IF(AND(RegimeExecucao="Global",$I94&gt;0,COUNTIF($AB$13:$AM$13,BM.medicao)&gt;0),O94/$I94*100,0))</f>
        <v>0</v>
      </c>
      <c r="M94" s="347">
        <f ca="1">IF($A94="S",VTOTALBM,IF($A94=0,0,ROUND(SomaAgrupBM,15-13*ORÇAMENTO!$AF$11)))</f>
        <v>0</v>
      </c>
      <c r="N94" s="348">
        <f t="shared" ca="1" si="71"/>
        <v>0</v>
      </c>
      <c r="O94" s="127">
        <f ca="1">IF($A94="S",VTOTALBM,IF($A94=0,0,ROUND(SomaAgrupBM,15-13*ORÇAMENTO!$AF$11)))</f>
        <v>0</v>
      </c>
      <c r="Q94" s="349"/>
      <c r="R94" s="350"/>
      <c r="T94" s="119" t="str">
        <f t="shared" ca="1" si="72"/>
        <v/>
      </c>
      <c r="U94" s="170" t="str">
        <f t="shared" ca="1" si="73"/>
        <v/>
      </c>
      <c r="V94" s="171" t="str">
        <f ca="1">IF(AND($W94&gt;0,RegimeExecucao="Unitário"),$F94,"")</f>
        <v/>
      </c>
      <c r="W94" s="486">
        <f ca="1">IF($Y94&gt;0,CHOOSE(MATCH(RegimeExecucao,{"Unitário","Global"},0),IF($A94="S",$Y94/$X94,""),($Y94/$X94)*100),0)</f>
        <v>0</v>
      </c>
      <c r="X94" s="351" t="str">
        <f ca="1">IF($Y94&gt;0,CHOOSE(MATCH(RegimeExecucao,{"Unitário","Global"},0),IF($A94="S",ROUND($H94,ORÇAMENTO!$AF$10),""),ROUND($I94,ORÇAMENTO!$AF$11)),"")</f>
        <v/>
      </c>
      <c r="Y94" s="351">
        <f t="shared" ca="1" si="74"/>
        <v>0</v>
      </c>
      <c r="Z94" s="507"/>
      <c r="AB94" s="349"/>
      <c r="AC94" s="469"/>
      <c r="AD94" s="469"/>
      <c r="AE94" s="469"/>
      <c r="AF94" s="469"/>
      <c r="AG94" s="469"/>
      <c r="AH94" s="469"/>
      <c r="AI94" s="469"/>
      <c r="AJ94" s="469"/>
      <c r="AK94" s="469"/>
      <c r="AL94" s="469"/>
      <c r="AM94" s="350"/>
      <c r="AO94">
        <f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6" t="str">
        <f t="shared" ca="1" si="69"/>
        <v>F</v>
      </c>
      <c r="D95" s="119" t="str">
        <f ca="1">ORÇAMENTO!O95</f>
        <v>1.12.0.0.9.</v>
      </c>
      <c r="E95" s="170" t="str">
        <f t="shared" ca="1" si="76"/>
        <v>TOMADA ALTA DE EMBUTIR (1 MÓDULO), 2P+T 10 A, INCLUINDO SUPORTE E PLACA - FORNECIMENTO E INSTALAÇÃO. AF_03/2023</v>
      </c>
      <c r="F95" s="171" t="str">
        <f ca="1">IF(RegimeExecucao="Global","",ORÇAMENTO.Unidade)</f>
        <v>UN</v>
      </c>
      <c r="G95" s="124">
        <f ca="1">IF(RegimeExecucao="Global","",ORÇAMENTO!T95)</f>
        <v>1</v>
      </c>
      <c r="H95" s="124">
        <f ca="1">IF(RegimeExecucao="Global","",ORÇAMENTO!W95)</f>
        <v>72.23</v>
      </c>
      <c r="I95" s="127">
        <f ca="1">ORÇAMENTO!X95</f>
        <v>72.23</v>
      </c>
      <c r="J95" s="345">
        <f ca="1">IF($A95="S",IF(CAIXA.Modo,BM.AFAnterior,BM.MEDAnterior),IF(AND(RegimeExecucao="Global",$I95&gt;0,COUNTIF($AB$13:$AM$13,BM.medicao-1)&gt;0),M95/$I95*100,0))</f>
        <v>0</v>
      </c>
      <c r="K95" s="124">
        <f t="shared" ca="1" si="70"/>
        <v>0</v>
      </c>
      <c r="L95" s="346">
        <f ca="1">IF($A95="S",IF(CAIXA.Modo,BM.AFAcumulado,BM.MEDAcumulado),IF(AND(RegimeExecucao="Global",$I95&gt;0,COUNTIF($AB$13:$AM$13,BM.medicao)&gt;0),O95/$I95*100,0))</f>
        <v>0</v>
      </c>
      <c r="M95" s="347">
        <f ca="1">IF($A95="S",VTOTALBM,IF($A95=0,0,ROUND(SomaAgrupBM,15-13*ORÇAMENTO!$AF$11)))</f>
        <v>0</v>
      </c>
      <c r="N95" s="348">
        <f t="shared" ca="1" si="71"/>
        <v>0</v>
      </c>
      <c r="O95" s="127">
        <f ca="1">IF($A95="S",VTOTALBM,IF($A95=0,0,ROUND(SomaAgrupBM,15-13*ORÇAMENTO!$AF$11)))</f>
        <v>0</v>
      </c>
      <c r="Q95" s="349"/>
      <c r="R95" s="350"/>
      <c r="T95" s="119" t="str">
        <f t="shared" ca="1" si="72"/>
        <v/>
      </c>
      <c r="U95" s="170" t="str">
        <f t="shared" ca="1" si="73"/>
        <v/>
      </c>
      <c r="V95" s="171" t="str">
        <f ca="1">IF(AND($W95&gt;0,RegimeExecucao="Unitário"),$F95,"")</f>
        <v/>
      </c>
      <c r="W95" s="486">
        <f ca="1">IF($Y95&gt;0,CHOOSE(MATCH(RegimeExecucao,{"Unitário","Global"},0),IF($A95="S",$Y95/$X95,""),($Y95/$X95)*100),0)</f>
        <v>0</v>
      </c>
      <c r="X95" s="351" t="str">
        <f ca="1">IF($Y95&gt;0,CHOOSE(MATCH(RegimeExecucao,{"Unitário","Global"},0),IF($A95="S",ROUND($H95,ORÇAMENTO!$AF$10),""),ROUND($I95,ORÇAMENTO!$AF$11)),"")</f>
        <v/>
      </c>
      <c r="Y95" s="351">
        <f t="shared" ca="1" si="74"/>
        <v>0</v>
      </c>
      <c r="Z95" s="507"/>
      <c r="AB95" s="349"/>
      <c r="AC95" s="469"/>
      <c r="AD95" s="469"/>
      <c r="AE95" s="469"/>
      <c r="AF95" s="469"/>
      <c r="AG95" s="469"/>
      <c r="AH95" s="469"/>
      <c r="AI95" s="469"/>
      <c r="AJ95" s="469"/>
      <c r="AK95" s="469"/>
      <c r="AL95" s="469"/>
      <c r="AM95" s="350"/>
      <c r="AO95">
        <f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6" t="str">
        <f t="shared" ca="1" si="69"/>
        <v>F</v>
      </c>
      <c r="D96" s="119" t="str">
        <f ca="1">ORÇAMENTO!O96</f>
        <v>1.12.0.0.10.</v>
      </c>
      <c r="E96" s="170" t="str">
        <f t="shared" ca="1" si="76"/>
        <v>CURVA 90 GRAUS PARA ELETRODUTO, PVC, ROSCÁVEL, DN 40 MM (1 1/4"), PARA CIRCUITOS TERMINAIS, INSTALADA EM PAREDE - FORNECIMENTO E INSTALAÇÃO. AF_03/2023</v>
      </c>
      <c r="F96" s="171" t="str">
        <f ca="1">IF(RegimeExecucao="Global","",ORÇAMENTO.Unidade)</f>
        <v>UN</v>
      </c>
      <c r="G96" s="124">
        <f ca="1">IF(RegimeExecucao="Global","",ORÇAMENTO!T96)</f>
        <v>2</v>
      </c>
      <c r="H96" s="124">
        <f ca="1">IF(RegimeExecucao="Global","",ORÇAMENTO!W96)</f>
        <v>36.909999999999997</v>
      </c>
      <c r="I96" s="127">
        <f ca="1">ORÇAMENTO!X96</f>
        <v>73.819999999999993</v>
      </c>
      <c r="J96" s="345">
        <f ca="1">IF($A96="S",IF(CAIXA.Modo,BM.AFAnterior,BM.MEDAnterior),IF(AND(RegimeExecucao="Global",$I96&gt;0,COUNTIF($AB$13:$AM$13,BM.medicao-1)&gt;0),M96/$I96*100,0))</f>
        <v>0</v>
      </c>
      <c r="K96" s="124">
        <f t="shared" ca="1" si="70"/>
        <v>0</v>
      </c>
      <c r="L96" s="346">
        <f ca="1">IF($A96="S",IF(CAIXA.Modo,BM.AFAcumulado,BM.MEDAcumulado),IF(AND(RegimeExecucao="Global",$I96&gt;0,COUNTIF($AB$13:$AM$13,BM.medicao)&gt;0),O96/$I96*100,0))</f>
        <v>0</v>
      </c>
      <c r="M96" s="347">
        <f ca="1">IF($A96="S",VTOTALBM,IF($A96=0,0,ROUND(SomaAgrupBM,15-13*ORÇAMENTO!$AF$11)))</f>
        <v>0</v>
      </c>
      <c r="N96" s="348">
        <f t="shared" ca="1" si="71"/>
        <v>0</v>
      </c>
      <c r="O96" s="127">
        <f ca="1">IF($A96="S",VTOTALBM,IF($A96=0,0,ROUND(SomaAgrupBM,15-13*ORÇAMENTO!$AF$11)))</f>
        <v>0</v>
      </c>
      <c r="Q96" s="349"/>
      <c r="R96" s="350"/>
      <c r="T96" s="119" t="str">
        <f t="shared" ca="1" si="72"/>
        <v/>
      </c>
      <c r="U96" s="170" t="str">
        <f t="shared" ca="1" si="73"/>
        <v/>
      </c>
      <c r="V96" s="171" t="str">
        <f ca="1">IF(AND($W96&gt;0,RegimeExecucao="Unitário"),$F96,"")</f>
        <v/>
      </c>
      <c r="W96" s="486">
        <f ca="1">IF($Y96&gt;0,CHOOSE(MATCH(RegimeExecucao,{"Unitário","Global"},0),IF($A96="S",$Y96/$X96,""),($Y96/$X96)*100),0)</f>
        <v>0</v>
      </c>
      <c r="X96" s="351" t="str">
        <f ca="1">IF($Y96&gt;0,CHOOSE(MATCH(RegimeExecucao,{"Unitário","Global"},0),IF($A96="S",ROUND($H96,ORÇAMENTO!$AF$10),""),ROUND($I96,ORÇAMENTO!$AF$11)),"")</f>
        <v/>
      </c>
      <c r="Y96" s="351">
        <f t="shared" ca="1" si="74"/>
        <v>0</v>
      </c>
      <c r="Z96" s="507"/>
      <c r="AB96" s="349"/>
      <c r="AC96" s="469"/>
      <c r="AD96" s="469"/>
      <c r="AE96" s="469"/>
      <c r="AF96" s="469"/>
      <c r="AG96" s="469"/>
      <c r="AH96" s="469"/>
      <c r="AI96" s="469"/>
      <c r="AJ96" s="469"/>
      <c r="AK96" s="469"/>
      <c r="AL96" s="469"/>
      <c r="AM96" s="350"/>
      <c r="AO96">
        <f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6" t="str">
        <f t="shared" ca="1" si="69"/>
        <v>F</v>
      </c>
      <c r="D97" s="119" t="str">
        <f ca="1">ORÇAMENTO!O97</f>
        <v>1.12.0.0.11.</v>
      </c>
      <c r="E97" s="170" t="str">
        <f t="shared" ca="1" si="76"/>
        <v>CURVA 90 GRAUS PARA ELETRODUTO, PVC, ROSCÁVEL, DN 25 MM (3/4"), PARA CIRCUITOS TERMINAIS, INSTALADA EM PAREDE - FORNECIMENTO E INSTALAÇÃO. AF_03/2023</v>
      </c>
      <c r="F97" s="171" t="str">
        <f ca="1">IF(RegimeExecucao="Global","",ORÇAMENTO.Unidade)</f>
        <v>UN</v>
      </c>
      <c r="G97" s="124">
        <f ca="1">IF(RegimeExecucao="Global","",ORÇAMENTO!T97)</f>
        <v>11</v>
      </c>
      <c r="H97" s="124">
        <f ca="1">IF(RegimeExecucao="Global","",ORÇAMENTO!W97)</f>
        <v>28.79</v>
      </c>
      <c r="I97" s="127">
        <f ca="1">ORÇAMENTO!X97</f>
        <v>316.69</v>
      </c>
      <c r="J97" s="345">
        <f ca="1">IF($A97="S",IF(CAIXA.Modo,BM.AFAnterior,BM.MEDAnterior),IF(AND(RegimeExecucao="Global",$I97&gt;0,COUNTIF($AB$13:$AM$13,BM.medicao-1)&gt;0),M97/$I97*100,0))</f>
        <v>0</v>
      </c>
      <c r="K97" s="124">
        <f t="shared" ca="1" si="70"/>
        <v>0</v>
      </c>
      <c r="L97" s="346">
        <f ca="1">IF($A97="S",IF(CAIXA.Modo,BM.AFAcumulado,BM.MEDAcumulado),IF(AND(RegimeExecucao="Global",$I97&gt;0,COUNTIF($AB$13:$AM$13,BM.medicao)&gt;0),O97/$I97*100,0))</f>
        <v>0</v>
      </c>
      <c r="M97" s="347">
        <f ca="1">IF($A97="S",VTOTALBM,IF($A97=0,0,ROUND(SomaAgrupBM,15-13*ORÇAMENTO!$AF$11)))</f>
        <v>0</v>
      </c>
      <c r="N97" s="348">
        <f t="shared" ca="1" si="71"/>
        <v>0</v>
      </c>
      <c r="O97" s="127">
        <f ca="1">IF($A97="S",VTOTALBM,IF($A97=0,0,ROUND(SomaAgrupBM,15-13*ORÇAMENTO!$AF$11)))</f>
        <v>0</v>
      </c>
      <c r="Q97" s="349"/>
      <c r="R97" s="350"/>
      <c r="T97" s="119" t="str">
        <f t="shared" ca="1" si="72"/>
        <v/>
      </c>
      <c r="U97" s="170" t="str">
        <f t="shared" ca="1" si="73"/>
        <v/>
      </c>
      <c r="V97" s="171" t="str">
        <f ca="1">IF(AND($W97&gt;0,RegimeExecucao="Unitário"),$F97,"")</f>
        <v/>
      </c>
      <c r="W97" s="486">
        <f ca="1">IF($Y97&gt;0,CHOOSE(MATCH(RegimeExecucao,{"Unitário","Global"},0),IF($A97="S",$Y97/$X97,""),($Y97/$X97)*100),0)</f>
        <v>0</v>
      </c>
      <c r="X97" s="351" t="str">
        <f ca="1">IF($Y97&gt;0,CHOOSE(MATCH(RegimeExecucao,{"Unitário","Global"},0),IF($A97="S",ROUND($H97,ORÇAMENTO!$AF$10),""),ROUND($I97,ORÇAMENTO!$AF$11)),"")</f>
        <v/>
      </c>
      <c r="Y97" s="351">
        <f t="shared" ca="1" si="74"/>
        <v>0</v>
      </c>
      <c r="Z97" s="507"/>
      <c r="AB97" s="349"/>
      <c r="AC97" s="469"/>
      <c r="AD97" s="469"/>
      <c r="AE97" s="469"/>
      <c r="AF97" s="469"/>
      <c r="AG97" s="469"/>
      <c r="AH97" s="469"/>
      <c r="AI97" s="469"/>
      <c r="AJ97" s="469"/>
      <c r="AK97" s="469"/>
      <c r="AL97" s="469"/>
      <c r="AM97" s="350"/>
      <c r="AO97">
        <f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6" t="str">
        <f t="shared" ca="1" si="69"/>
        <v>F</v>
      </c>
      <c r="D98" s="119" t="str">
        <f ca="1">ORÇAMENTO!O98</f>
        <v>1.12.0.0.12.</v>
      </c>
      <c r="E98" s="170" t="str">
        <f t="shared" ca="1" si="76"/>
        <v>DISJUNTOR MONOPOLAR TIPO DIN, CORRENTE NOMINAL DE 10A - FORNECIMENTO E INSTALAÇÃO. AF_07/2025</v>
      </c>
      <c r="F98" s="171" t="str">
        <f ca="1">IF(RegimeExecucao="Global","",ORÇAMENTO.Unidade)</f>
        <v>UN</v>
      </c>
      <c r="G98" s="124">
        <f ca="1">IF(RegimeExecucao="Global","",ORÇAMENTO!T98)</f>
        <v>3</v>
      </c>
      <c r="H98" s="124">
        <f ca="1">IF(RegimeExecucao="Global","",ORÇAMENTO!W98)</f>
        <v>14.79</v>
      </c>
      <c r="I98" s="127">
        <f ca="1">ORÇAMENTO!X98</f>
        <v>44.37</v>
      </c>
      <c r="J98" s="345">
        <f ca="1">IF($A98="S",IF(CAIXA.Modo,BM.AFAnterior,BM.MEDAnterior),IF(AND(RegimeExecucao="Global",$I98&gt;0,COUNTIF($AB$13:$AM$13,BM.medicao-1)&gt;0),M98/$I98*100,0))</f>
        <v>0</v>
      </c>
      <c r="K98" s="124">
        <f t="shared" ca="1" si="70"/>
        <v>0</v>
      </c>
      <c r="L98" s="346">
        <f ca="1">IF($A98="S",IF(CAIXA.Modo,BM.AFAcumulado,BM.MEDAcumulado),IF(AND(RegimeExecucao="Global",$I98&gt;0,COUNTIF($AB$13:$AM$13,BM.medicao)&gt;0),O98/$I98*100,0))</f>
        <v>0</v>
      </c>
      <c r="M98" s="347">
        <f ca="1">IF($A98="S",VTOTALBM,IF($A98=0,0,ROUND(SomaAgrupBM,15-13*ORÇAMENTO!$AF$11)))</f>
        <v>0</v>
      </c>
      <c r="N98" s="348">
        <f t="shared" ca="1" si="71"/>
        <v>0</v>
      </c>
      <c r="O98" s="127">
        <f ca="1">IF($A98="S",VTOTALBM,IF($A98=0,0,ROUND(SomaAgrupBM,15-13*ORÇAMENTO!$AF$11)))</f>
        <v>0</v>
      </c>
      <c r="Q98" s="349"/>
      <c r="R98" s="350"/>
      <c r="T98" s="119" t="str">
        <f t="shared" ca="1" si="72"/>
        <v/>
      </c>
      <c r="U98" s="170" t="str">
        <f t="shared" ca="1" si="73"/>
        <v/>
      </c>
      <c r="V98" s="171" t="str">
        <f ca="1">IF(AND($W98&gt;0,RegimeExecucao="Unitário"),$F98,"")</f>
        <v/>
      </c>
      <c r="W98" s="486">
        <f ca="1">IF($Y98&gt;0,CHOOSE(MATCH(RegimeExecucao,{"Unitário","Global"},0),IF($A98="S",$Y98/$X98,""),($Y98/$X98)*100),0)</f>
        <v>0</v>
      </c>
      <c r="X98" s="351" t="str">
        <f ca="1">IF($Y98&gt;0,CHOOSE(MATCH(RegimeExecucao,{"Unitário","Global"},0),IF($A98="S",ROUND($H98,ORÇAMENTO!$AF$10),""),ROUND($I98,ORÇAMENTO!$AF$11)),"")</f>
        <v/>
      </c>
      <c r="Y98" s="351">
        <f t="shared" ca="1" si="74"/>
        <v>0</v>
      </c>
      <c r="Z98" s="507"/>
      <c r="AB98" s="349"/>
      <c r="AC98" s="469"/>
      <c r="AD98" s="469"/>
      <c r="AE98" s="469"/>
      <c r="AF98" s="469"/>
      <c r="AG98" s="469"/>
      <c r="AH98" s="469"/>
      <c r="AI98" s="469"/>
      <c r="AJ98" s="469"/>
      <c r="AK98" s="469"/>
      <c r="AL98" s="469"/>
      <c r="AM98" s="350"/>
      <c r="AO98">
        <f ca="1">IF($A98="S",IF(BM!$I98=0,0,CHOOSE(MATCH(RegimeExecucao,{"Global","Unitário"},0),ROUND(ROUND(BM.MEDAcumulado,15-13*BM!$A$9)/100*BM!$I98,15-13*ORÇAMENTO!$AF$11),ROUND(ROUND(BM.MEDAcumulado,15-13*BM!$A$9)*ROUND(BM!$H98,15-13*ORÇAMENTO!$AF$10),15-13*ORÇAMENTO!$AF$11))),IF($A98=0,0,ROUND(SomaAgrupBM,15-13*ORÇAMENTO!$AF$11)))</f>
        <v>0</v>
      </c>
    </row>
    <row r="99" spans="1:41" ht="25.5" x14ac:dyDescent="0.2">
      <c r="A99" t="str">
        <f ca="1">ORÇAMENTO!C99</f>
        <v>S</v>
      </c>
      <c r="B99">
        <f ca="1">ORÇAMENTO!D99</f>
        <v>0</v>
      </c>
      <c r="C99" s="116" t="str">
        <f t="shared" ca="1" si="69"/>
        <v>F</v>
      </c>
      <c r="D99" s="119" t="str">
        <f ca="1">ORÇAMENTO!O99</f>
        <v>1.12.0.0.13.</v>
      </c>
      <c r="E99" s="170" t="str">
        <f t="shared" ca="1" si="76"/>
        <v>DISJUNTOR MONOPOLAR TIPO DIN, CORRENTE NOMINAL DE 20A - FORNECIMENTO E INSTALAÇÃO. AF_07/2025</v>
      </c>
      <c r="F99" s="171" t="str">
        <f ca="1">IF(RegimeExecucao="Global","",ORÇAMENTO.Unidade)</f>
        <v>UN</v>
      </c>
      <c r="G99" s="124">
        <f ca="1">IF(RegimeExecucao="Global","",ORÇAMENTO!T99)</f>
        <v>1</v>
      </c>
      <c r="H99" s="124">
        <f ca="1">IF(RegimeExecucao="Global","",ORÇAMENTO!W99)</f>
        <v>16.13</v>
      </c>
      <c r="I99" s="127">
        <f ca="1">ORÇAMENTO!X99</f>
        <v>16.13</v>
      </c>
      <c r="J99" s="345">
        <f ca="1">IF($A99="S",IF(CAIXA.Modo,BM.AFAnterior,BM.MEDAnterior),IF(AND(RegimeExecucao="Global",$I99&gt;0,COUNTIF($AB$13:$AM$13,BM.medicao-1)&gt;0),M99/$I99*100,0))</f>
        <v>0</v>
      </c>
      <c r="K99" s="124">
        <f t="shared" ca="1" si="70"/>
        <v>0</v>
      </c>
      <c r="L99" s="346">
        <f ca="1">IF($A99="S",IF(CAIXA.Modo,BM.AFAcumulado,BM.MEDAcumulado),IF(AND(RegimeExecucao="Global",$I99&gt;0,COUNTIF($AB$13:$AM$13,BM.medicao)&gt;0),O99/$I99*100,0))</f>
        <v>0</v>
      </c>
      <c r="M99" s="347">
        <f ca="1">IF($A99="S",VTOTALBM,IF($A99=0,0,ROUND(SomaAgrupBM,15-13*ORÇAMENTO!$AF$11)))</f>
        <v>0</v>
      </c>
      <c r="N99" s="348">
        <f t="shared" ca="1" si="71"/>
        <v>0</v>
      </c>
      <c r="O99" s="127">
        <f ca="1">IF($A99="S",VTOTALBM,IF($A99=0,0,ROUND(SomaAgrupBM,15-13*ORÇAMENTO!$AF$11)))</f>
        <v>0</v>
      </c>
      <c r="Q99" s="349"/>
      <c r="R99" s="350"/>
      <c r="T99" s="119" t="str">
        <f t="shared" ca="1" si="72"/>
        <v/>
      </c>
      <c r="U99" s="170" t="str">
        <f t="shared" ca="1" si="73"/>
        <v/>
      </c>
      <c r="V99" s="171" t="str">
        <f ca="1">IF(AND($W99&gt;0,RegimeExecucao="Unitário"),$F99,"")</f>
        <v/>
      </c>
      <c r="W99" s="486">
        <f ca="1">IF($Y99&gt;0,CHOOSE(MATCH(RegimeExecucao,{"Unitário","Global"},0),IF($A99="S",$Y99/$X99,""),($Y99/$X99)*100),0)</f>
        <v>0</v>
      </c>
      <c r="X99" s="351" t="str">
        <f ca="1">IF($Y99&gt;0,CHOOSE(MATCH(RegimeExecucao,{"Unitário","Global"},0),IF($A99="S",ROUND($H99,ORÇAMENTO!$AF$10),""),ROUND($I99,ORÇAMENTO!$AF$11)),"")</f>
        <v/>
      </c>
      <c r="Y99" s="351">
        <f t="shared" ca="1" si="74"/>
        <v>0</v>
      </c>
      <c r="Z99" s="507"/>
      <c r="AB99" s="349"/>
      <c r="AC99" s="469"/>
      <c r="AD99" s="469"/>
      <c r="AE99" s="469"/>
      <c r="AF99" s="469"/>
      <c r="AG99" s="469"/>
      <c r="AH99" s="469"/>
      <c r="AI99" s="469"/>
      <c r="AJ99" s="469"/>
      <c r="AK99" s="469"/>
      <c r="AL99" s="469"/>
      <c r="AM99" s="350"/>
      <c r="AO99">
        <f ca="1">IF($A99="S",IF(BM!$I99=0,0,CHOOSE(MATCH(RegimeExecucao,{"Global","Unitário"},0),ROUND(ROUND(BM.MEDAcumulado,15-13*BM!$A$9)/100*BM!$I99,15-13*ORÇAMENTO!$AF$11),ROUND(ROUND(BM.MEDAcumulado,15-13*BM!$A$9)*ROUND(BM!$H99,15-13*ORÇAMENTO!$AF$10),15-13*ORÇAMENTO!$AF$11))),IF($A99=0,0,ROUND(SomaAgrupBM,15-13*ORÇAMENTO!$AF$11)))</f>
        <v>0</v>
      </c>
    </row>
    <row r="100" spans="1:41" ht="25.5" x14ac:dyDescent="0.2">
      <c r="A100" t="str">
        <f ca="1">ORÇAMENTO!C100</f>
        <v>S</v>
      </c>
      <c r="B100">
        <f ca="1">ORÇAMENTO!D100</f>
        <v>0</v>
      </c>
      <c r="C100" s="116" t="str">
        <f t="shared" ca="1" si="69"/>
        <v>F</v>
      </c>
      <c r="D100" s="119" t="str">
        <f ca="1">ORÇAMENTO!O100</f>
        <v>1.12.0.0.14.</v>
      </c>
      <c r="E100" s="170" t="str">
        <f t="shared" ca="1" si="76"/>
        <v>DISJUNTOR MONOPOLAR TIPO DIN, CORRENTE NOMINAL DE 25A - FORNECIMENTO E INSTALAÇÃO. AF_07/2025</v>
      </c>
      <c r="F100" s="171" t="str">
        <f ca="1">IF(RegimeExecucao="Global","",ORÇAMENTO.Unidade)</f>
        <v>UN</v>
      </c>
      <c r="G100" s="124">
        <f ca="1">IF(RegimeExecucao="Global","",ORÇAMENTO!T100)</f>
        <v>1</v>
      </c>
      <c r="H100" s="124">
        <f ca="1">IF(RegimeExecucao="Global","",ORÇAMENTO!W100)</f>
        <v>17.649999999999999</v>
      </c>
      <c r="I100" s="127">
        <f ca="1">ORÇAMENTO!X100</f>
        <v>17.649999999999999</v>
      </c>
      <c r="J100" s="345">
        <f ca="1">IF($A100="S",IF(CAIXA.Modo,BM.AFAnterior,BM.MEDAnterior),IF(AND(RegimeExecucao="Global",$I100&gt;0,COUNTIF($AB$13:$AM$13,BM.medicao-1)&gt;0),M100/$I100*100,0))</f>
        <v>0</v>
      </c>
      <c r="K100" s="124">
        <f t="shared" ca="1" si="70"/>
        <v>0</v>
      </c>
      <c r="L100" s="346">
        <f ca="1">IF($A100="S",IF(CAIXA.Modo,BM.AFAcumulado,BM.MEDAcumulado),IF(AND(RegimeExecucao="Global",$I100&gt;0,COUNTIF($AB$13:$AM$13,BM.medicao)&gt;0),O100/$I100*100,0))</f>
        <v>0</v>
      </c>
      <c r="M100" s="347">
        <f ca="1">IF($A100="S",VTOTALBM,IF($A100=0,0,ROUND(SomaAgrupBM,15-13*ORÇAMENTO!$AF$11)))</f>
        <v>0</v>
      </c>
      <c r="N100" s="348">
        <f t="shared" ca="1" si="71"/>
        <v>0</v>
      </c>
      <c r="O100" s="127">
        <f ca="1">IF($A100="S",VTOTALBM,IF($A100=0,0,ROUND(SomaAgrupBM,15-13*ORÇAMENTO!$AF$11)))</f>
        <v>0</v>
      </c>
      <c r="Q100" s="349"/>
      <c r="R100" s="350"/>
      <c r="T100" s="119" t="str">
        <f t="shared" ca="1" si="72"/>
        <v/>
      </c>
      <c r="U100" s="170" t="str">
        <f t="shared" ca="1" si="73"/>
        <v/>
      </c>
      <c r="V100" s="171" t="str">
        <f ca="1">IF(AND($W100&gt;0,RegimeExecucao="Unitário"),$F100,"")</f>
        <v/>
      </c>
      <c r="W100" s="486">
        <f ca="1">IF($Y100&gt;0,CHOOSE(MATCH(RegimeExecucao,{"Unitário","Global"},0),IF($A100="S",$Y100/$X100,""),($Y100/$X100)*100),0)</f>
        <v>0</v>
      </c>
      <c r="X100" s="351" t="str">
        <f ca="1">IF($Y100&gt;0,CHOOSE(MATCH(RegimeExecucao,{"Unitário","Global"},0),IF($A100="S",ROUND($H100,ORÇAMENTO!$AF$10),""),ROUND($I100,ORÇAMENTO!$AF$11)),"")</f>
        <v/>
      </c>
      <c r="Y100" s="351">
        <f t="shared" ca="1" si="74"/>
        <v>0</v>
      </c>
      <c r="Z100" s="507"/>
      <c r="AB100" s="349"/>
      <c r="AC100" s="469"/>
      <c r="AD100" s="469"/>
      <c r="AE100" s="469"/>
      <c r="AF100" s="469"/>
      <c r="AG100" s="469"/>
      <c r="AH100" s="469"/>
      <c r="AI100" s="469"/>
      <c r="AJ100" s="469"/>
      <c r="AK100" s="469"/>
      <c r="AL100" s="469"/>
      <c r="AM100" s="350"/>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25.5" x14ac:dyDescent="0.2">
      <c r="A101" t="str">
        <f ca="1">ORÇAMENTO!C101</f>
        <v>S</v>
      </c>
      <c r="B101">
        <f ca="1">ORÇAMENTO!D101</f>
        <v>0</v>
      </c>
      <c r="C101" s="116" t="str">
        <f t="shared" ca="1" si="69"/>
        <v>F</v>
      </c>
      <c r="D101" s="119" t="str">
        <f ca="1">ORÇAMENTO!O101</f>
        <v>1.12.0.0.15.</v>
      </c>
      <c r="E101" s="170" t="str">
        <f t="shared" ca="1" si="76"/>
        <v>DISJUNTOR MONOPOLAR TIPO DIN, CORRENTE NOMINAL DE 50A - FORNECIMENTO E INSTALAÇÃO. AF_07/2025</v>
      </c>
      <c r="F101" s="171" t="str">
        <f ca="1">IF(RegimeExecucao="Global","",ORÇAMENTO.Unidade)</f>
        <v>UN</v>
      </c>
      <c r="G101" s="124">
        <f ca="1">IF(RegimeExecucao="Global","",ORÇAMENTO!T101)</f>
        <v>1</v>
      </c>
      <c r="H101" s="124">
        <f ca="1">IF(RegimeExecucao="Global","",ORÇAMENTO!W101)</f>
        <v>33.479999999999997</v>
      </c>
      <c r="I101" s="127">
        <f ca="1">ORÇAMENTO!X101</f>
        <v>33.479999999999997</v>
      </c>
      <c r="J101" s="345">
        <f ca="1">IF($A101="S",IF(CAIXA.Modo,BM.AFAnterior,BM.MEDAnterior),IF(AND(RegimeExecucao="Global",$I101&gt;0,COUNTIF($AB$13:$AM$13,BM.medicao-1)&gt;0),M101/$I101*100,0))</f>
        <v>0</v>
      </c>
      <c r="K101" s="124">
        <f t="shared" ca="1" si="70"/>
        <v>0</v>
      </c>
      <c r="L101" s="346">
        <f ca="1">IF($A101="S",IF(CAIXA.Modo,BM.AFAcumulado,BM.MEDAcumulado),IF(AND(RegimeExecucao="Global",$I101&gt;0,COUNTIF($AB$13:$AM$13,BM.medicao)&gt;0),O101/$I101*100,0))</f>
        <v>0</v>
      </c>
      <c r="M101" s="347">
        <f ca="1">IF($A101="S",VTOTALBM,IF($A101=0,0,ROUND(SomaAgrupBM,15-13*ORÇAMENTO!$AF$11)))</f>
        <v>0</v>
      </c>
      <c r="N101" s="348">
        <f t="shared" ca="1" si="71"/>
        <v>0</v>
      </c>
      <c r="O101" s="127">
        <f ca="1">IF($A101="S",VTOTALBM,IF($A101=0,0,ROUND(SomaAgrupBM,15-13*ORÇAMENTO!$AF$11)))</f>
        <v>0</v>
      </c>
      <c r="Q101" s="349"/>
      <c r="R101" s="350"/>
      <c r="T101" s="119" t="str">
        <f t="shared" ca="1" si="72"/>
        <v/>
      </c>
      <c r="U101" s="170" t="str">
        <f t="shared" ca="1" si="73"/>
        <v/>
      </c>
      <c r="V101" s="171" t="str">
        <f ca="1">IF(AND($W101&gt;0,RegimeExecucao="Unitário"),$F101,"")</f>
        <v/>
      </c>
      <c r="W101" s="486">
        <f ca="1">IF($Y101&gt;0,CHOOSE(MATCH(RegimeExecucao,{"Unitário","Global"},0),IF($A101="S",$Y101/$X101,""),($Y101/$X101)*100),0)</f>
        <v>0</v>
      </c>
      <c r="X101" s="351" t="str">
        <f ca="1">IF($Y101&gt;0,CHOOSE(MATCH(RegimeExecucao,{"Unitário","Global"},0),IF($A101="S",ROUND($H101,ORÇAMENTO!$AF$10),""),ROUND($I101,ORÇAMENTO!$AF$11)),"")</f>
        <v/>
      </c>
      <c r="Y101" s="351">
        <f t="shared" ca="1" si="74"/>
        <v>0</v>
      </c>
      <c r="Z101" s="507"/>
      <c r="AB101" s="349"/>
      <c r="AC101" s="469"/>
      <c r="AD101" s="469"/>
      <c r="AE101" s="469"/>
      <c r="AF101" s="469"/>
      <c r="AG101" s="469"/>
      <c r="AH101" s="469"/>
      <c r="AI101" s="469"/>
      <c r="AJ101" s="469"/>
      <c r="AK101" s="469"/>
      <c r="AL101" s="469"/>
      <c r="AM101" s="350"/>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6" t="str">
        <f t="shared" ca="1" si="69"/>
        <v>F</v>
      </c>
      <c r="D102" s="119" t="str">
        <f ca="1">ORÇAMENTO!O102</f>
        <v>1.12.0.0.16.</v>
      </c>
      <c r="E102" s="170" t="str">
        <f t="shared" ca="1" si="76"/>
        <v>DISPOSITIVO DR, 2 POLOS, SENSIBILIDADE DE 30 MA, CORRENTE DE 25 A, TIPO AC</v>
      </c>
      <c r="F102" s="171" t="str">
        <f ca="1">IF(RegimeExecucao="Global","",ORÇAMENTO.Unidade)</f>
        <v>UN</v>
      </c>
      <c r="G102" s="124">
        <f ca="1">IF(RegimeExecucao="Global","",ORÇAMENTO!T102)</f>
        <v>4</v>
      </c>
      <c r="H102" s="124">
        <f ca="1">IF(RegimeExecucao="Global","",ORÇAMENTO!W102)</f>
        <v>162.13</v>
      </c>
      <c r="I102" s="127">
        <f ca="1">ORÇAMENTO!X102</f>
        <v>648.52</v>
      </c>
      <c r="J102" s="345">
        <f ca="1">IF($A102="S",IF(CAIXA.Modo,BM.AFAnterior,BM.MEDAnterior),IF(AND(RegimeExecucao="Global",$I102&gt;0,COUNTIF($AB$13:$AM$13,BM.medicao-1)&gt;0),M102/$I102*100,0))</f>
        <v>0</v>
      </c>
      <c r="K102" s="124">
        <f t="shared" ca="1" si="70"/>
        <v>0</v>
      </c>
      <c r="L102" s="346">
        <f ca="1">IF($A102="S",IF(CAIXA.Modo,BM.AFAcumulado,BM.MEDAcumulado),IF(AND(RegimeExecucao="Global",$I102&gt;0,COUNTIF($AB$13:$AM$13,BM.medicao)&gt;0),O102/$I102*100,0))</f>
        <v>0</v>
      </c>
      <c r="M102" s="347">
        <f ca="1">IF($A102="S",VTOTALBM,IF($A102=0,0,ROUND(SomaAgrupBM,15-13*ORÇAMENTO!$AF$11)))</f>
        <v>0</v>
      </c>
      <c r="N102" s="348">
        <f t="shared" ca="1" si="71"/>
        <v>0</v>
      </c>
      <c r="O102" s="127">
        <f ca="1">IF($A102="S",VTOTALBM,IF($A102=0,0,ROUND(SomaAgrupBM,15-13*ORÇAMENTO!$AF$11)))</f>
        <v>0</v>
      </c>
      <c r="Q102" s="349"/>
      <c r="R102" s="350"/>
      <c r="T102" s="119" t="str">
        <f t="shared" ca="1" si="72"/>
        <v/>
      </c>
      <c r="U102" s="170" t="str">
        <f t="shared" ca="1" si="73"/>
        <v/>
      </c>
      <c r="V102" s="171" t="str">
        <f ca="1">IF(AND($W102&gt;0,RegimeExecucao="Unitário"),$F102,"")</f>
        <v/>
      </c>
      <c r="W102" s="486">
        <f ca="1">IF($Y102&gt;0,CHOOSE(MATCH(RegimeExecucao,{"Unitário","Global"},0),IF($A102="S",$Y102/$X102,""),($Y102/$X102)*100),0)</f>
        <v>0</v>
      </c>
      <c r="X102" s="351" t="str">
        <f ca="1">IF($Y102&gt;0,CHOOSE(MATCH(RegimeExecucao,{"Unitário","Global"},0),IF($A102="S",ROUND($H102,ORÇAMENTO!$AF$10),""),ROUND($I102,ORÇAMENTO!$AF$11)),"")</f>
        <v/>
      </c>
      <c r="Y102" s="351">
        <f t="shared" ca="1" si="74"/>
        <v>0</v>
      </c>
      <c r="Z102" s="507"/>
      <c r="AB102" s="349"/>
      <c r="AC102" s="469"/>
      <c r="AD102" s="469"/>
      <c r="AE102" s="469"/>
      <c r="AF102" s="469"/>
      <c r="AG102" s="469"/>
      <c r="AH102" s="469"/>
      <c r="AI102" s="469"/>
      <c r="AJ102" s="469"/>
      <c r="AK102" s="469"/>
      <c r="AL102" s="469"/>
      <c r="AM102" s="350"/>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6" t="str">
        <f t="shared" ca="1" si="69"/>
        <v>F</v>
      </c>
      <c r="D103" s="119" t="str">
        <f ca="1">ORÇAMENTO!O103</f>
        <v>1.12.0.0.17.</v>
      </c>
      <c r="E103" s="170" t="str">
        <f t="shared" ca="1" si="76"/>
        <v>DISPOSITIVO DPS 20KA-175V OU 275V - FORNECIMENTO E INSTALAÇÃO. AF_07/2025</v>
      </c>
      <c r="F103" s="171" t="str">
        <f ca="1">IF(RegimeExecucao="Global","",ORÇAMENTO.Unidade)</f>
        <v>UN</v>
      </c>
      <c r="G103" s="124">
        <f ca="1">IF(RegimeExecucao="Global","",ORÇAMENTO!T103)</f>
        <v>1</v>
      </c>
      <c r="H103" s="124">
        <f ca="1">IF(RegimeExecucao="Global","",ORÇAMENTO!W103)</f>
        <v>92.27</v>
      </c>
      <c r="I103" s="127">
        <f ca="1">ORÇAMENTO!X103</f>
        <v>92.27</v>
      </c>
      <c r="J103" s="345">
        <f ca="1">IF($A103="S",IF(CAIXA.Modo,BM.AFAnterior,BM.MEDAnterior),IF(AND(RegimeExecucao="Global",$I103&gt;0,COUNTIF($AB$13:$AM$13,BM.medicao-1)&gt;0),M103/$I103*100,0))</f>
        <v>0</v>
      </c>
      <c r="K103" s="124">
        <f t="shared" ca="1" si="70"/>
        <v>0</v>
      </c>
      <c r="L103" s="346">
        <f ca="1">IF($A103="S",IF(CAIXA.Modo,BM.AFAcumulado,BM.MEDAcumulado),IF(AND(RegimeExecucao="Global",$I103&gt;0,COUNTIF($AB$13:$AM$13,BM.medicao)&gt;0),O103/$I103*100,0))</f>
        <v>0</v>
      </c>
      <c r="M103" s="347">
        <f ca="1">IF($A103="S",VTOTALBM,IF($A103=0,0,ROUND(SomaAgrupBM,15-13*ORÇAMENTO!$AF$11)))</f>
        <v>0</v>
      </c>
      <c r="N103" s="348">
        <f t="shared" ca="1" si="71"/>
        <v>0</v>
      </c>
      <c r="O103" s="127">
        <f ca="1">IF($A103="S",VTOTALBM,IF($A103=0,0,ROUND(SomaAgrupBM,15-13*ORÇAMENTO!$AF$11)))</f>
        <v>0</v>
      </c>
      <c r="Q103" s="349"/>
      <c r="R103" s="350"/>
      <c r="T103" s="119" t="str">
        <f t="shared" ca="1" si="72"/>
        <v/>
      </c>
      <c r="U103" s="170" t="str">
        <f t="shared" ca="1" si="73"/>
        <v/>
      </c>
      <c r="V103" s="171" t="str">
        <f ca="1">IF(AND($W103&gt;0,RegimeExecucao="Unitário"),$F103,"")</f>
        <v/>
      </c>
      <c r="W103" s="486">
        <f ca="1">IF($Y103&gt;0,CHOOSE(MATCH(RegimeExecucao,{"Unitário","Global"},0),IF($A103="S",$Y103/$X103,""),($Y103/$X103)*100),0)</f>
        <v>0</v>
      </c>
      <c r="X103" s="351" t="str">
        <f ca="1">IF($Y103&gt;0,CHOOSE(MATCH(RegimeExecucao,{"Unitário","Global"},0),IF($A103="S",ROUND($H103,ORÇAMENTO!$AF$10),""),ROUND($I103,ORÇAMENTO!$AF$11)),"")</f>
        <v/>
      </c>
      <c r="Y103" s="351">
        <f t="shared" ca="1" si="74"/>
        <v>0</v>
      </c>
      <c r="Z103" s="507"/>
      <c r="AB103" s="349"/>
      <c r="AC103" s="469"/>
      <c r="AD103" s="469"/>
      <c r="AE103" s="469"/>
      <c r="AF103" s="469"/>
      <c r="AG103" s="469"/>
      <c r="AH103" s="469"/>
      <c r="AI103" s="469"/>
      <c r="AJ103" s="469"/>
      <c r="AK103" s="469"/>
      <c r="AL103" s="469"/>
      <c r="AM103" s="350"/>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38.25" x14ac:dyDescent="0.2">
      <c r="A104" t="str">
        <f ca="1">ORÇAMENTO!C104</f>
        <v>S</v>
      </c>
      <c r="B104">
        <f ca="1">ORÇAMENTO!D104</f>
        <v>0</v>
      </c>
      <c r="C104" s="116" t="str">
        <f t="shared" ca="1" si="69"/>
        <v>F</v>
      </c>
      <c r="D104" s="119" t="str">
        <f ca="1">ORÇAMENTO!O104</f>
        <v>1.12.0.0.18.</v>
      </c>
      <c r="E104" s="170" t="str">
        <f t="shared" ca="1" si="76"/>
        <v>ELETRODUTO FLEXÍVEL CORRUGADO REFORÇADO, PVC, DN 32 MM (1"), PARA CIRCUITOS TERMINAIS, INSTALADO EM LAJE - FORNECIMENTO E INSTALAÇÃO. AF_03/2023</v>
      </c>
      <c r="F104" s="171" t="str">
        <f ca="1">IF(RegimeExecucao="Global","",ORÇAMENTO.Unidade)</f>
        <v>M</v>
      </c>
      <c r="G104" s="124">
        <f ca="1">IF(RegimeExecucao="Global","",ORÇAMENTO!T104)</f>
        <v>8.3000000000000007</v>
      </c>
      <c r="H104" s="124">
        <f ca="1">IF(RegimeExecucao="Global","",ORÇAMENTO!W104)</f>
        <v>17.670000000000002</v>
      </c>
      <c r="I104" s="127">
        <f ca="1">ORÇAMENTO!X104</f>
        <v>146.66</v>
      </c>
      <c r="J104" s="345">
        <f ca="1">IF($A104="S",IF(CAIXA.Modo,BM.AFAnterior,BM.MEDAnterior),IF(AND(RegimeExecucao="Global",$I104&gt;0,COUNTIF($AB$13:$AM$13,BM.medicao-1)&gt;0),M104/$I104*100,0))</f>
        <v>0</v>
      </c>
      <c r="K104" s="124">
        <f t="shared" ca="1" si="70"/>
        <v>0</v>
      </c>
      <c r="L104" s="346">
        <f ca="1">IF($A104="S",IF(CAIXA.Modo,BM.AFAcumulado,BM.MEDAcumulado),IF(AND(RegimeExecucao="Global",$I104&gt;0,COUNTIF($AB$13:$AM$13,BM.medicao)&gt;0),O104/$I104*100,0))</f>
        <v>0</v>
      </c>
      <c r="M104" s="347">
        <f ca="1">IF($A104="S",VTOTALBM,IF($A104=0,0,ROUND(SomaAgrupBM,15-13*ORÇAMENTO!$AF$11)))</f>
        <v>0</v>
      </c>
      <c r="N104" s="348">
        <f t="shared" ca="1" si="71"/>
        <v>0</v>
      </c>
      <c r="O104" s="127">
        <f ca="1">IF($A104="S",VTOTALBM,IF($A104=0,0,ROUND(SomaAgrupBM,15-13*ORÇAMENTO!$AF$11)))</f>
        <v>0</v>
      </c>
      <c r="Q104" s="349"/>
      <c r="R104" s="350"/>
      <c r="T104" s="119" t="str">
        <f t="shared" ca="1" si="72"/>
        <v/>
      </c>
      <c r="U104" s="170" t="str">
        <f t="shared" ca="1" si="73"/>
        <v/>
      </c>
      <c r="V104" s="171" t="str">
        <f ca="1">IF(AND($W104&gt;0,RegimeExecucao="Unitário"),$F104,"")</f>
        <v/>
      </c>
      <c r="W104" s="486">
        <f ca="1">IF($Y104&gt;0,CHOOSE(MATCH(RegimeExecucao,{"Unitário","Global"},0),IF($A104="S",$Y104/$X104,""),($Y104/$X104)*100),0)</f>
        <v>0</v>
      </c>
      <c r="X104" s="351" t="str">
        <f ca="1">IF($Y104&gt;0,CHOOSE(MATCH(RegimeExecucao,{"Unitário","Global"},0),IF($A104="S",ROUND($H104,ORÇAMENTO!$AF$10),""),ROUND($I104,ORÇAMENTO!$AF$11)),"")</f>
        <v/>
      </c>
      <c r="Y104" s="351">
        <f t="shared" ca="1" si="74"/>
        <v>0</v>
      </c>
      <c r="Z104" s="507"/>
      <c r="AB104" s="349"/>
      <c r="AC104" s="469"/>
      <c r="AD104" s="469"/>
      <c r="AE104" s="469"/>
      <c r="AF104" s="469"/>
      <c r="AG104" s="469"/>
      <c r="AH104" s="469"/>
      <c r="AI104" s="469"/>
      <c r="AJ104" s="469"/>
      <c r="AK104" s="469"/>
      <c r="AL104" s="469"/>
      <c r="AM104" s="350"/>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38.25" x14ac:dyDescent="0.2">
      <c r="A105" t="str">
        <f ca="1">ORÇAMENTO!C105</f>
        <v>S</v>
      </c>
      <c r="B105">
        <f ca="1">ORÇAMENTO!D105</f>
        <v>0</v>
      </c>
      <c r="C105" s="116" t="str">
        <f t="shared" ca="1" si="69"/>
        <v>F</v>
      </c>
      <c r="D105" s="119" t="str">
        <f ca="1">ORÇAMENTO!O105</f>
        <v>1.12.0.0.19.</v>
      </c>
      <c r="E105" s="170" t="str">
        <f t="shared" ca="1" si="76"/>
        <v>ELETRODUTO RÍGIDO ROSCÁVEL, PVC, DN 25 MM (3/4"), PARA CIRCUITOS TERMINAIS, INSTALADO EM PAREDE - FORNECIMENTO E INSTALAÇÃO. AF_03/2023</v>
      </c>
      <c r="F105" s="171" t="str">
        <f ca="1">IF(RegimeExecucao="Global","",ORÇAMENTO.Unidade)</f>
        <v>M</v>
      </c>
      <c r="G105" s="124">
        <f ca="1">IF(RegimeExecucao="Global","",ORÇAMENTO!T105)</f>
        <v>58.84</v>
      </c>
      <c r="H105" s="124">
        <f ca="1">IF(RegimeExecucao="Global","",ORÇAMENTO!W105)</f>
        <v>21.62</v>
      </c>
      <c r="I105" s="127">
        <f ca="1">ORÇAMENTO!X105</f>
        <v>1272.1199999999999</v>
      </c>
      <c r="J105" s="345">
        <f ca="1">IF($A105="S",IF(CAIXA.Modo,BM.AFAnterior,BM.MEDAnterior),IF(AND(RegimeExecucao="Global",$I105&gt;0,COUNTIF($AB$13:$AM$13,BM.medicao-1)&gt;0),M105/$I105*100,0))</f>
        <v>0</v>
      </c>
      <c r="K105" s="124">
        <f t="shared" ca="1" si="70"/>
        <v>0</v>
      </c>
      <c r="L105" s="346">
        <f ca="1">IF($A105="S",IF(CAIXA.Modo,BM.AFAcumulado,BM.MEDAcumulado),IF(AND(RegimeExecucao="Global",$I105&gt;0,COUNTIF($AB$13:$AM$13,BM.medicao)&gt;0),O105/$I105*100,0))</f>
        <v>0</v>
      </c>
      <c r="M105" s="347">
        <f ca="1">IF($A105="S",VTOTALBM,IF($A105=0,0,ROUND(SomaAgrupBM,15-13*ORÇAMENTO!$AF$11)))</f>
        <v>0</v>
      </c>
      <c r="N105" s="348">
        <f t="shared" ca="1" si="71"/>
        <v>0</v>
      </c>
      <c r="O105" s="127">
        <f ca="1">IF($A105="S",VTOTALBM,IF($A105=0,0,ROUND(SomaAgrupBM,15-13*ORÇAMENTO!$AF$11)))</f>
        <v>0</v>
      </c>
      <c r="Q105" s="349"/>
      <c r="R105" s="350"/>
      <c r="T105" s="119" t="str">
        <f t="shared" ca="1" si="72"/>
        <v/>
      </c>
      <c r="U105" s="170" t="str">
        <f t="shared" ca="1" si="73"/>
        <v/>
      </c>
      <c r="V105" s="171" t="str">
        <f ca="1">IF(AND($W105&gt;0,RegimeExecucao="Unitário"),$F105,"")</f>
        <v/>
      </c>
      <c r="W105" s="486">
        <f ca="1">IF($Y105&gt;0,CHOOSE(MATCH(RegimeExecucao,{"Unitário","Global"},0),IF($A105="S",$Y105/$X105,""),($Y105/$X105)*100),0)</f>
        <v>0</v>
      </c>
      <c r="X105" s="351" t="str">
        <f ca="1">IF($Y105&gt;0,CHOOSE(MATCH(RegimeExecucao,{"Unitário","Global"},0),IF($A105="S",ROUND($H105,ORÇAMENTO!$AF$10),""),ROUND($I105,ORÇAMENTO!$AF$11)),"")</f>
        <v/>
      </c>
      <c r="Y105" s="351">
        <f t="shared" ca="1" si="74"/>
        <v>0</v>
      </c>
      <c r="Z105" s="507"/>
      <c r="AB105" s="349"/>
      <c r="AC105" s="469"/>
      <c r="AD105" s="469"/>
      <c r="AE105" s="469"/>
      <c r="AF105" s="469"/>
      <c r="AG105" s="469"/>
      <c r="AH105" s="469"/>
      <c r="AI105" s="469"/>
      <c r="AJ105" s="469"/>
      <c r="AK105" s="469"/>
      <c r="AL105" s="469"/>
      <c r="AM105" s="350"/>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38.25" x14ac:dyDescent="0.2">
      <c r="A106" t="str">
        <f ca="1">ORÇAMENTO!C106</f>
        <v>S</v>
      </c>
      <c r="B106">
        <f ca="1">ORÇAMENTO!D106</f>
        <v>0</v>
      </c>
      <c r="C106" s="116" t="str">
        <f t="shared" ca="1" si="69"/>
        <v>F</v>
      </c>
      <c r="D106" s="119" t="str">
        <f ca="1">ORÇAMENTO!O106</f>
        <v>1.12.0.0.20.</v>
      </c>
      <c r="E106" s="170" t="str">
        <f t="shared" ca="1" si="76"/>
        <v>ELETRODUTO RÍGIDO ROSCÁVEL, PVC, DN 40 MM (1 1/4"), PARA CIRCUITOS TERMINAIS, INSTALADO EM PAREDE - FORNECIMENTO E INSTALAÇÃO. AF_03/2023</v>
      </c>
      <c r="F106" s="171" t="str">
        <f ca="1">IF(RegimeExecucao="Global","",ORÇAMENTO.Unidade)</f>
        <v>M</v>
      </c>
      <c r="G106" s="124">
        <f ca="1">IF(RegimeExecucao="Global","",ORÇAMENTO!T106)</f>
        <v>7</v>
      </c>
      <c r="H106" s="124">
        <f ca="1">IF(RegimeExecucao="Global","",ORÇAMENTO!W106)</f>
        <v>31.83</v>
      </c>
      <c r="I106" s="127">
        <f ca="1">ORÇAMENTO!X106</f>
        <v>222.81</v>
      </c>
      <c r="J106" s="345">
        <f ca="1">IF($A106="S",IF(CAIXA.Modo,BM.AFAnterior,BM.MEDAnterior),IF(AND(RegimeExecucao="Global",$I106&gt;0,COUNTIF($AB$13:$AM$13,BM.medicao-1)&gt;0),M106/$I106*100,0))</f>
        <v>0</v>
      </c>
      <c r="K106" s="124">
        <f t="shared" ca="1" si="70"/>
        <v>0</v>
      </c>
      <c r="L106" s="346">
        <f ca="1">IF($A106="S",IF(CAIXA.Modo,BM.AFAcumulado,BM.MEDAcumulado),IF(AND(RegimeExecucao="Global",$I106&gt;0,COUNTIF($AB$13:$AM$13,BM.medicao)&gt;0),O106/$I106*100,0))</f>
        <v>0</v>
      </c>
      <c r="M106" s="347">
        <f ca="1">IF($A106="S",VTOTALBM,IF($A106=0,0,ROUND(SomaAgrupBM,15-13*ORÇAMENTO!$AF$11)))</f>
        <v>0</v>
      </c>
      <c r="N106" s="348">
        <f t="shared" ca="1" si="71"/>
        <v>0</v>
      </c>
      <c r="O106" s="127">
        <f ca="1">IF($A106="S",VTOTALBM,IF($A106=0,0,ROUND(SomaAgrupBM,15-13*ORÇAMENTO!$AF$11)))</f>
        <v>0</v>
      </c>
      <c r="Q106" s="349"/>
      <c r="R106" s="350"/>
      <c r="T106" s="119" t="str">
        <f t="shared" ca="1" si="72"/>
        <v/>
      </c>
      <c r="U106" s="170" t="str">
        <f t="shared" ca="1" si="73"/>
        <v/>
      </c>
      <c r="V106" s="171" t="str">
        <f ca="1">IF(AND($W106&gt;0,RegimeExecucao="Unitário"),$F106,"")</f>
        <v/>
      </c>
      <c r="W106" s="486">
        <f ca="1">IF($Y106&gt;0,CHOOSE(MATCH(RegimeExecucao,{"Unitário","Global"},0),IF($A106="S",$Y106/$X106,""),($Y106/$X106)*100),0)</f>
        <v>0</v>
      </c>
      <c r="X106" s="351" t="str">
        <f ca="1">IF($Y106&gt;0,CHOOSE(MATCH(RegimeExecucao,{"Unitário","Global"},0),IF($A106="S",ROUND($H106,ORÇAMENTO!$AF$10),""),ROUND($I106,ORÇAMENTO!$AF$11)),"")</f>
        <v/>
      </c>
      <c r="Y106" s="351">
        <f t="shared" ca="1" si="74"/>
        <v>0</v>
      </c>
      <c r="Z106" s="507"/>
      <c r="AB106" s="349"/>
      <c r="AC106" s="469"/>
      <c r="AD106" s="469"/>
      <c r="AE106" s="469"/>
      <c r="AF106" s="469"/>
      <c r="AG106" s="469"/>
      <c r="AH106" s="469"/>
      <c r="AI106" s="469"/>
      <c r="AJ106" s="469"/>
      <c r="AK106" s="469"/>
      <c r="AL106" s="469"/>
      <c r="AM106" s="350"/>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38.25" x14ac:dyDescent="0.2">
      <c r="A107" t="str">
        <f ca="1">ORÇAMENTO!C107</f>
        <v>S</v>
      </c>
      <c r="B107">
        <f ca="1">ORÇAMENTO!D107</f>
        <v>0</v>
      </c>
      <c r="C107" s="116" t="str">
        <f ca="1">IF(OR($I107&gt;0,$A107=1,$A107=2,$A107=3,$A107=4),"F","")</f>
        <v>F</v>
      </c>
      <c r="D107" s="119" t="str">
        <f ca="1">ORÇAMENTO!O107</f>
        <v>1.12.0.0.21.</v>
      </c>
      <c r="E107" s="170" t="str">
        <f ca="1">ORÇAMENTO.Descricao</f>
        <v>CABO DE COBRE FLEXÍVEL ISOLADO, 10 MM², ANTI-CHAMA 0,6/1,0 KV, PARA CIRCUITOS TERMINAIS - FORNECIMENTO E INSTALAÇÃO. AF_03/2023</v>
      </c>
      <c r="F107" s="171" t="str">
        <f ca="1">IF(RegimeExecucao="Global","",ORÇAMENTO.Unidade)</f>
        <v>M</v>
      </c>
      <c r="G107" s="124">
        <f ca="1">IF(RegimeExecucao="Global","",ORÇAMENTO!T107)</f>
        <v>8</v>
      </c>
      <c r="H107" s="124">
        <f ca="1">IF(RegimeExecucao="Global","",ORÇAMENTO!W107)</f>
        <v>24.86</v>
      </c>
      <c r="I107" s="127">
        <f ca="1">ORÇAMENTO!X107</f>
        <v>198.88</v>
      </c>
      <c r="J107" s="345">
        <f ca="1">IF($A107="S",IF(CAIXA.Modo,BM.AFAnterior,BM.MEDAnterior),IF(AND(RegimeExecucao="Global",$I107&gt;0,COUNTIF($AB$13:$AM$13,BM.medicao-1)&gt;0),M107/$I107*100,0))</f>
        <v>0</v>
      </c>
      <c r="K107" s="124">
        <f ca="1">L107-J107</f>
        <v>0</v>
      </c>
      <c r="L107" s="346">
        <f ca="1">IF($A107="S",IF(CAIXA.Modo,BM.AFAcumulado,BM.MEDAcumulado),IF(AND(RegimeExecucao="Global",$I107&gt;0,COUNTIF($AB$13:$AM$13,BM.medicao)&gt;0),O107/$I107*100,0))</f>
        <v>0</v>
      </c>
      <c r="M107" s="347">
        <f ca="1">IF($A107="S",VTOTALBM,IF($A107=0,0,ROUND(SomaAgrupBM,15-13*ORÇAMENTO!$AF$11)))</f>
        <v>0</v>
      </c>
      <c r="N107" s="348">
        <f ca="1">O107-M107</f>
        <v>0</v>
      </c>
      <c r="O107" s="127">
        <f ca="1">IF($A107="S",VTOTALBM,IF($A107=0,0,ROUND(SomaAgrupBM,15-13*ORÇAMENTO!$AF$11)))</f>
        <v>0</v>
      </c>
      <c r="Q107" s="349"/>
      <c r="R107" s="350"/>
      <c r="T107" s="119" t="str">
        <f ca="1">IF($W107&gt;0,$D107,"")</f>
        <v/>
      </c>
      <c r="U107" s="170" t="str">
        <f ca="1">IF($W107&gt;0,$E107,"")</f>
        <v/>
      </c>
      <c r="V107" s="171" t="str">
        <f ca="1">IF(AND($W107&gt;0,RegimeExecucao="Unitário"),$F107,"")</f>
        <v/>
      </c>
      <c r="W107" s="486">
        <f ca="1">IF($Y107&gt;0,CHOOSE(MATCH(RegimeExecucao,{"Unitário","Global"},0),IF($A107="S",$Y107/$X107,""),($Y107/$X107)*100),0)</f>
        <v>0</v>
      </c>
      <c r="X107" s="351" t="str">
        <f ca="1">IF($Y107&gt;0,CHOOSE(MATCH(RegimeExecucao,{"Unitário","Global"},0),IF($A107="S",ROUND($H107,ORÇAMENTO!$AF$10),""),ROUND($I107,ORÇAMENTO!$AF$11)),"")</f>
        <v/>
      </c>
      <c r="Y107" s="351">
        <f ca="1">AO107-O107</f>
        <v>0</v>
      </c>
      <c r="Z107" s="507"/>
      <c r="AB107" s="349"/>
      <c r="AC107" s="469"/>
      <c r="AD107" s="469"/>
      <c r="AE107" s="469"/>
      <c r="AF107" s="469"/>
      <c r="AG107" s="469"/>
      <c r="AH107" s="469"/>
      <c r="AI107" s="469"/>
      <c r="AJ107" s="469"/>
      <c r="AK107" s="469"/>
      <c r="AL107" s="469"/>
      <c r="AM107" s="350"/>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38.25" x14ac:dyDescent="0.2">
      <c r="A108" t="str">
        <f ca="1">ORÇAMENTO!C108</f>
        <v>S</v>
      </c>
      <c r="B108">
        <f ca="1">ORÇAMENTO!D108</f>
        <v>0</v>
      </c>
      <c r="C108" s="116" t="str">
        <f t="shared" ca="1" si="69"/>
        <v>F</v>
      </c>
      <c r="D108" s="119" t="str">
        <f ca="1">ORÇAMENTO!O108</f>
        <v>1.12.0.0.22.</v>
      </c>
      <c r="E108" s="170" t="str">
        <f t="shared" ca="1" si="76"/>
        <v>CABO DE COBRE FLEXÍVEL ISOLADO, 4 MM², ANTI-CHAMA 450/750 V, PARA CIRCUITOS TERMINAIS - FORNECIMENTO E INSTALAÇÃO. AF_03/2023</v>
      </c>
      <c r="F108" s="171" t="str">
        <f ca="1">IF(RegimeExecucao="Global","",ORÇAMENTO.Unidade)</f>
        <v>M</v>
      </c>
      <c r="G108" s="124">
        <f ca="1">IF(RegimeExecucao="Global","",ORÇAMENTO!T108)</f>
        <v>64.63</v>
      </c>
      <c r="H108" s="124">
        <f ca="1">IF(RegimeExecucao="Global","",ORÇAMENTO!W108)</f>
        <v>10.41</v>
      </c>
      <c r="I108" s="127">
        <f ca="1">ORÇAMENTO!X108</f>
        <v>672.8</v>
      </c>
      <c r="J108" s="345">
        <f ca="1">IF($A108="S",IF(CAIXA.Modo,BM.AFAnterior,BM.MEDAnterior),IF(AND(RegimeExecucao="Global",$I108&gt;0,COUNTIF($AB$13:$AM$13,BM.medicao-1)&gt;0),M108/$I108*100,0))</f>
        <v>0</v>
      </c>
      <c r="K108" s="124">
        <f t="shared" ca="1" si="70"/>
        <v>0</v>
      </c>
      <c r="L108" s="346">
        <f ca="1">IF($A108="S",IF(CAIXA.Modo,BM.AFAcumulado,BM.MEDAcumulado),IF(AND(RegimeExecucao="Global",$I108&gt;0,COUNTIF($AB$13:$AM$13,BM.medicao)&gt;0),O108/$I108*100,0))</f>
        <v>0</v>
      </c>
      <c r="M108" s="347">
        <f ca="1">IF($A108="S",VTOTALBM,IF($A108=0,0,ROUND(SomaAgrupBM,15-13*ORÇAMENTO!$AF$11)))</f>
        <v>0</v>
      </c>
      <c r="N108" s="348">
        <f t="shared" ca="1" si="71"/>
        <v>0</v>
      </c>
      <c r="O108" s="127">
        <f ca="1">IF($A108="S",VTOTALBM,IF($A108=0,0,ROUND(SomaAgrupBM,15-13*ORÇAMENTO!$AF$11)))</f>
        <v>0</v>
      </c>
      <c r="Q108" s="349"/>
      <c r="R108" s="350"/>
      <c r="T108" s="119" t="str">
        <f t="shared" ca="1" si="72"/>
        <v/>
      </c>
      <c r="U108" s="170" t="str">
        <f t="shared" ca="1" si="73"/>
        <v/>
      </c>
      <c r="V108" s="171" t="str">
        <f ca="1">IF(AND($W108&gt;0,RegimeExecucao="Unitário"),$F108,"")</f>
        <v/>
      </c>
      <c r="W108" s="486">
        <f ca="1">IF($Y108&gt;0,CHOOSE(MATCH(RegimeExecucao,{"Unitário","Global"},0),IF($A108="S",$Y108/$X108,""),($Y108/$X108)*100),0)</f>
        <v>0</v>
      </c>
      <c r="X108" s="351" t="str">
        <f ca="1">IF($Y108&gt;0,CHOOSE(MATCH(RegimeExecucao,{"Unitário","Global"},0),IF($A108="S",ROUND($H108,ORÇAMENTO!$AF$10),""),ROUND($I108,ORÇAMENTO!$AF$11)),"")</f>
        <v/>
      </c>
      <c r="Y108" s="351">
        <f t="shared" ca="1" si="74"/>
        <v>0</v>
      </c>
      <c r="Z108" s="507"/>
      <c r="AB108" s="349"/>
      <c r="AC108" s="469"/>
      <c r="AD108" s="469"/>
      <c r="AE108" s="469"/>
      <c r="AF108" s="469"/>
      <c r="AG108" s="469"/>
      <c r="AH108" s="469"/>
      <c r="AI108" s="469"/>
      <c r="AJ108" s="469"/>
      <c r="AK108" s="469"/>
      <c r="AL108" s="469"/>
      <c r="AM108" s="350"/>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38.25" x14ac:dyDescent="0.2">
      <c r="A109" t="str">
        <f ca="1">ORÇAMENTO!C109</f>
        <v>S</v>
      </c>
      <c r="B109">
        <f ca="1">ORÇAMENTO!D109</f>
        <v>0</v>
      </c>
      <c r="C109" s="116" t="str">
        <f t="shared" ca="1" si="69"/>
        <v>F</v>
      </c>
      <c r="D109" s="119" t="str">
        <f ca="1">ORÇAMENTO!O109</f>
        <v>1.12.0.0.23.</v>
      </c>
      <c r="E109" s="170" t="str">
        <f t="shared" ca="1" si="76"/>
        <v>CABO DE COBRE FLEXÍVEL ISOLADO, 2,5 MM², ANTI-CHAMA 450/750 V, PARA CIRCUITOS TERMINAIS - FORNECIMENTO E INSTALAÇÃO. AF_03/2023</v>
      </c>
      <c r="F109" s="171" t="str">
        <f ca="1">IF(RegimeExecucao="Global","",ORÇAMENTO.Unidade)</f>
        <v>M</v>
      </c>
      <c r="G109" s="124">
        <f ca="1">IF(RegimeExecucao="Global","",ORÇAMENTO!T109)</f>
        <v>1248.3</v>
      </c>
      <c r="H109" s="124">
        <f ca="1">IF(RegimeExecucao="Global","",ORÇAMENTO!W109)</f>
        <v>6.77</v>
      </c>
      <c r="I109" s="127">
        <f ca="1">ORÇAMENTO!X109</f>
        <v>8450.99</v>
      </c>
      <c r="J109" s="345">
        <f ca="1">IF($A109="S",IF(CAIXA.Modo,BM.AFAnterior,BM.MEDAnterior),IF(AND(RegimeExecucao="Global",$I109&gt;0,COUNTIF($AB$13:$AM$13,BM.medicao-1)&gt;0),M109/$I109*100,0))</f>
        <v>0</v>
      </c>
      <c r="K109" s="124">
        <f t="shared" ca="1" si="70"/>
        <v>0</v>
      </c>
      <c r="L109" s="346">
        <f ca="1">IF($A109="S",IF(CAIXA.Modo,BM.AFAcumulado,BM.MEDAcumulado),IF(AND(RegimeExecucao="Global",$I109&gt;0,COUNTIF($AB$13:$AM$13,BM.medicao)&gt;0),O109/$I109*100,0))</f>
        <v>0</v>
      </c>
      <c r="M109" s="347">
        <f ca="1">IF($A109="S",VTOTALBM,IF($A109=0,0,ROUND(SomaAgrupBM,15-13*ORÇAMENTO!$AF$11)))</f>
        <v>0</v>
      </c>
      <c r="N109" s="348">
        <f t="shared" ca="1" si="71"/>
        <v>0</v>
      </c>
      <c r="O109" s="127">
        <f ca="1">IF($A109="S",VTOTALBM,IF($A109=0,0,ROUND(SomaAgrupBM,15-13*ORÇAMENTO!$AF$11)))</f>
        <v>0</v>
      </c>
      <c r="Q109" s="349"/>
      <c r="R109" s="350"/>
      <c r="T109" s="119" t="str">
        <f t="shared" ca="1" si="72"/>
        <v/>
      </c>
      <c r="U109" s="170" t="str">
        <f t="shared" ca="1" si="73"/>
        <v/>
      </c>
      <c r="V109" s="171" t="str">
        <f ca="1">IF(AND($W109&gt;0,RegimeExecucao="Unitário"),$F109,"")</f>
        <v/>
      </c>
      <c r="W109" s="486">
        <f ca="1">IF($Y109&gt;0,CHOOSE(MATCH(RegimeExecucao,{"Unitário","Global"},0),IF($A109="S",$Y109/$X109,""),($Y109/$X109)*100),0)</f>
        <v>0</v>
      </c>
      <c r="X109" s="351" t="str">
        <f ca="1">IF($Y109&gt;0,CHOOSE(MATCH(RegimeExecucao,{"Unitário","Global"},0),IF($A109="S",ROUND($H109,ORÇAMENTO!$AF$10),""),ROUND($I109,ORÇAMENTO!$AF$11)),"")</f>
        <v/>
      </c>
      <c r="Y109" s="351">
        <f t="shared" ca="1" si="74"/>
        <v>0</v>
      </c>
      <c r="Z109" s="507"/>
      <c r="AB109" s="349"/>
      <c r="AC109" s="469"/>
      <c r="AD109" s="469"/>
      <c r="AE109" s="469"/>
      <c r="AF109" s="469"/>
      <c r="AG109" s="469"/>
      <c r="AH109" s="469"/>
      <c r="AI109" s="469"/>
      <c r="AJ109" s="469"/>
      <c r="AK109" s="469"/>
      <c r="AL109" s="469"/>
      <c r="AM109" s="350"/>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38.25" x14ac:dyDescent="0.2">
      <c r="A110" t="str">
        <f ca="1">ORÇAMENTO!C110</f>
        <v>S</v>
      </c>
      <c r="B110">
        <f ca="1">ORÇAMENTO!D110</f>
        <v>0</v>
      </c>
      <c r="C110" s="116" t="str">
        <f t="shared" ca="1" si="69"/>
        <v>F</v>
      </c>
      <c r="D110" s="119" t="str">
        <f ca="1">ORÇAMENTO!O110</f>
        <v>1.12.0.0.24.</v>
      </c>
      <c r="E110" s="170" t="str">
        <f t="shared" ca="1" si="76"/>
        <v>ELETRODUTO RÍGIDO ROSCÁVEL, PVC, DN 25 MM (3/4"), PARA CIRCUITOS TERMINAIS, INSTALADO EM FORRO - FORNECIMENTO E INSTALAÇÃO. AF_03/2023</v>
      </c>
      <c r="F110" s="171" t="str">
        <f ca="1">IF(RegimeExecucao="Global","",ORÇAMENTO.Unidade)</f>
        <v>M</v>
      </c>
      <c r="G110" s="124">
        <f ca="1">IF(RegimeExecucao="Global","",ORÇAMENTO!T110)</f>
        <v>141.13999999999999</v>
      </c>
      <c r="H110" s="124">
        <f ca="1">IF(RegimeExecucao="Global","",ORÇAMENTO!W110)</f>
        <v>16.52</v>
      </c>
      <c r="I110" s="127">
        <f ca="1">ORÇAMENTO!X110</f>
        <v>2331.63</v>
      </c>
      <c r="J110" s="345">
        <f ca="1">IF($A110="S",IF(CAIXA.Modo,BM.AFAnterior,BM.MEDAnterior),IF(AND(RegimeExecucao="Global",$I110&gt;0,COUNTIF($AB$13:$AM$13,BM.medicao-1)&gt;0),M110/$I110*100,0))</f>
        <v>0</v>
      </c>
      <c r="K110" s="124">
        <f t="shared" ca="1" si="70"/>
        <v>0</v>
      </c>
      <c r="L110" s="346">
        <f ca="1">IF($A110="S",IF(CAIXA.Modo,BM.AFAcumulado,BM.MEDAcumulado),IF(AND(RegimeExecucao="Global",$I110&gt;0,COUNTIF($AB$13:$AM$13,BM.medicao)&gt;0),O110/$I110*100,0))</f>
        <v>0</v>
      </c>
      <c r="M110" s="347">
        <f ca="1">IF($A110="S",VTOTALBM,IF($A110=0,0,ROUND(SomaAgrupBM,15-13*ORÇAMENTO!$AF$11)))</f>
        <v>0</v>
      </c>
      <c r="N110" s="348">
        <f t="shared" ca="1" si="71"/>
        <v>0</v>
      </c>
      <c r="O110" s="127">
        <f ca="1">IF($A110="S",VTOTALBM,IF($A110=0,0,ROUND(SomaAgrupBM,15-13*ORÇAMENTO!$AF$11)))</f>
        <v>0</v>
      </c>
      <c r="Q110" s="349"/>
      <c r="R110" s="350"/>
      <c r="T110" s="119" t="str">
        <f t="shared" ca="1" si="72"/>
        <v/>
      </c>
      <c r="U110" s="170" t="str">
        <f t="shared" ca="1" si="73"/>
        <v/>
      </c>
      <c r="V110" s="171" t="str">
        <f ca="1">IF(AND($W110&gt;0,RegimeExecucao="Unitário"),$F110,"")</f>
        <v/>
      </c>
      <c r="W110" s="486">
        <f ca="1">IF($Y110&gt;0,CHOOSE(MATCH(RegimeExecucao,{"Unitário","Global"},0),IF($A110="S",$Y110/$X110,""),($Y110/$X110)*100),0)</f>
        <v>0</v>
      </c>
      <c r="X110" s="351" t="str">
        <f ca="1">IF($Y110&gt;0,CHOOSE(MATCH(RegimeExecucao,{"Unitário","Global"},0),IF($A110="S",ROUND($H110,ORÇAMENTO!$AF$10),""),ROUND($I110,ORÇAMENTO!$AF$11)),"")</f>
        <v/>
      </c>
      <c r="Y110" s="351">
        <f t="shared" ca="1" si="74"/>
        <v>0</v>
      </c>
      <c r="Z110" s="507"/>
      <c r="AB110" s="349"/>
      <c r="AC110" s="469"/>
      <c r="AD110" s="469"/>
      <c r="AE110" s="469"/>
      <c r="AF110" s="469"/>
      <c r="AG110" s="469"/>
      <c r="AH110" s="469"/>
      <c r="AI110" s="469"/>
      <c r="AJ110" s="469"/>
      <c r="AK110" s="469"/>
      <c r="AL110" s="469"/>
      <c r="AM110" s="350"/>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38.25" x14ac:dyDescent="0.2">
      <c r="A111" t="str">
        <f ca="1">ORÇAMENTO!C111</f>
        <v>S</v>
      </c>
      <c r="B111">
        <f ca="1">ORÇAMENTO!D111</f>
        <v>0</v>
      </c>
      <c r="C111" s="116" t="str">
        <f t="shared" ca="1" si="69"/>
        <v>F</v>
      </c>
      <c r="D111" s="119" t="str">
        <f ca="1">ORÇAMENTO!O111</f>
        <v>1.12.0.0.25.</v>
      </c>
      <c r="E111" s="170" t="str">
        <f t="shared" ca="1" si="76"/>
        <v>LUVA PARA ELETRODUTO, PVC, ROSCÁVEL, DN 25 MM (3/4"), PARA CIRCUITOS TERMINAIS, INSTALADA EM FORRO - FORNECIMENTO E INSTALAÇÃO. AF_03/2023</v>
      </c>
      <c r="F111" s="171" t="str">
        <f ca="1">IF(RegimeExecucao="Global","",ORÇAMENTO.Unidade)</f>
        <v>UN</v>
      </c>
      <c r="G111" s="124">
        <f ca="1">IF(RegimeExecucao="Global","",ORÇAMENTO!T111)</f>
        <v>88</v>
      </c>
      <c r="H111" s="124">
        <f ca="1">IF(RegimeExecucao="Global","",ORÇAMENTO!W111)</f>
        <v>13.26</v>
      </c>
      <c r="I111" s="127">
        <f ca="1">ORÇAMENTO!X111</f>
        <v>1166.8800000000001</v>
      </c>
      <c r="J111" s="345">
        <f ca="1">IF($A111="S",IF(CAIXA.Modo,BM.AFAnterior,BM.MEDAnterior),IF(AND(RegimeExecucao="Global",$I111&gt;0,COUNTIF($AB$13:$AM$13,BM.medicao-1)&gt;0),M111/$I111*100,0))</f>
        <v>0</v>
      </c>
      <c r="K111" s="124">
        <f t="shared" ca="1" si="70"/>
        <v>0</v>
      </c>
      <c r="L111" s="346">
        <f ca="1">IF($A111="S",IF(CAIXA.Modo,BM.AFAcumulado,BM.MEDAcumulado),IF(AND(RegimeExecucao="Global",$I111&gt;0,COUNTIF($AB$13:$AM$13,BM.medicao)&gt;0),O111/$I111*100,0))</f>
        <v>0</v>
      </c>
      <c r="M111" s="347">
        <f ca="1">IF($A111="S",VTOTALBM,IF($A111=0,0,ROUND(SomaAgrupBM,15-13*ORÇAMENTO!$AF$11)))</f>
        <v>0</v>
      </c>
      <c r="N111" s="348">
        <f t="shared" ca="1" si="71"/>
        <v>0</v>
      </c>
      <c r="O111" s="127">
        <f ca="1">IF($A111="S",VTOTALBM,IF($A111=0,0,ROUND(SomaAgrupBM,15-13*ORÇAMENTO!$AF$11)))</f>
        <v>0</v>
      </c>
      <c r="Q111" s="349"/>
      <c r="R111" s="350"/>
      <c r="T111" s="119" t="str">
        <f t="shared" ca="1" si="72"/>
        <v/>
      </c>
      <c r="U111" s="170" t="str">
        <f t="shared" ca="1" si="73"/>
        <v/>
      </c>
      <c r="V111" s="171" t="str">
        <f ca="1">IF(AND($W111&gt;0,RegimeExecucao="Unitário"),$F111,"")</f>
        <v/>
      </c>
      <c r="W111" s="486">
        <f ca="1">IF($Y111&gt;0,CHOOSE(MATCH(RegimeExecucao,{"Unitário","Global"},0),IF($A111="S",$Y111/$X111,""),($Y111/$X111)*100),0)</f>
        <v>0</v>
      </c>
      <c r="X111" s="351" t="str">
        <f ca="1">IF($Y111&gt;0,CHOOSE(MATCH(RegimeExecucao,{"Unitário","Global"},0),IF($A111="S",ROUND($H111,ORÇAMENTO!$AF$10),""),ROUND($I111,ORÇAMENTO!$AF$11)),"")</f>
        <v/>
      </c>
      <c r="Y111" s="351">
        <f t="shared" ca="1" si="74"/>
        <v>0</v>
      </c>
      <c r="Z111" s="507"/>
      <c r="AB111" s="349"/>
      <c r="AC111" s="469"/>
      <c r="AD111" s="469"/>
      <c r="AE111" s="469"/>
      <c r="AF111" s="469"/>
      <c r="AG111" s="469"/>
      <c r="AH111" s="469"/>
      <c r="AI111" s="469"/>
      <c r="AJ111" s="469"/>
      <c r="AK111" s="469"/>
      <c r="AL111" s="469"/>
      <c r="AM111" s="350"/>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38.25" x14ac:dyDescent="0.2">
      <c r="A112" t="str">
        <f ca="1">ORÇAMENTO!C112</f>
        <v>S</v>
      </c>
      <c r="B112">
        <f ca="1">ORÇAMENTO!D112</f>
        <v>0</v>
      </c>
      <c r="C112" s="116" t="str">
        <f t="shared" ca="1" si="69"/>
        <v>F</v>
      </c>
      <c r="D112" s="119" t="str">
        <f ca="1">ORÇAMENTO!O112</f>
        <v>1.12.0.0.26.</v>
      </c>
      <c r="E112" s="170" t="str">
        <f t="shared" ca="1" si="76"/>
        <v>LUVA PARA ELETRODUTO, PVC, ROSCÁVEL, DN 40 MM (1 1/4"), PARA CIRCUITOS TERMINAIS, INSTALADA EM FORRO - FORNECIMENTO E INSTALAÇÃO. AF_03/2023</v>
      </c>
      <c r="F112" s="171" t="str">
        <f ca="1">IF(RegimeExecucao="Global","",ORÇAMENTO.Unidade)</f>
        <v>UN</v>
      </c>
      <c r="G112" s="124">
        <f ca="1">IF(RegimeExecucao="Global","",ORÇAMENTO!T112)</f>
        <v>6</v>
      </c>
      <c r="H112" s="124">
        <f ca="1">IF(RegimeExecucao="Global","",ORÇAMENTO!W112)</f>
        <v>18.989999999999998</v>
      </c>
      <c r="I112" s="127">
        <f ca="1">ORÇAMENTO!X112</f>
        <v>113.94</v>
      </c>
      <c r="J112" s="345">
        <f ca="1">IF($A112="S",IF(CAIXA.Modo,BM.AFAnterior,BM.MEDAnterior),IF(AND(RegimeExecucao="Global",$I112&gt;0,COUNTIF($AB$13:$AM$13,BM.medicao-1)&gt;0),M112/$I112*100,0))</f>
        <v>0</v>
      </c>
      <c r="K112" s="124">
        <f t="shared" ca="1" si="70"/>
        <v>0</v>
      </c>
      <c r="L112" s="346">
        <f ca="1">IF($A112="S",IF(CAIXA.Modo,BM.AFAcumulado,BM.MEDAcumulado),IF(AND(RegimeExecucao="Global",$I112&gt;0,COUNTIF($AB$13:$AM$13,BM.medicao)&gt;0),O112/$I112*100,0))</f>
        <v>0</v>
      </c>
      <c r="M112" s="347">
        <f ca="1">IF($A112="S",VTOTALBM,IF($A112=0,0,ROUND(SomaAgrupBM,15-13*ORÇAMENTO!$AF$11)))</f>
        <v>0</v>
      </c>
      <c r="N112" s="348">
        <f t="shared" ca="1" si="71"/>
        <v>0</v>
      </c>
      <c r="O112" s="127">
        <f ca="1">IF($A112="S",VTOTALBM,IF($A112=0,0,ROUND(SomaAgrupBM,15-13*ORÇAMENTO!$AF$11)))</f>
        <v>0</v>
      </c>
      <c r="Q112" s="349"/>
      <c r="R112" s="350"/>
      <c r="T112" s="119" t="str">
        <f t="shared" ca="1" si="72"/>
        <v/>
      </c>
      <c r="U112" s="170" t="str">
        <f t="shared" ca="1" si="73"/>
        <v/>
      </c>
      <c r="V112" s="171" t="str">
        <f ca="1">IF(AND($W112&gt;0,RegimeExecucao="Unitário"),$F112,"")</f>
        <v/>
      </c>
      <c r="W112" s="486">
        <f ca="1">IF($Y112&gt;0,CHOOSE(MATCH(RegimeExecucao,{"Unitário","Global"},0),IF($A112="S",$Y112/$X112,""),($Y112/$X112)*100),0)</f>
        <v>0</v>
      </c>
      <c r="X112" s="351" t="str">
        <f ca="1">IF($Y112&gt;0,CHOOSE(MATCH(RegimeExecucao,{"Unitário","Global"},0),IF($A112="S",ROUND($H112,ORÇAMENTO!$AF$10),""),ROUND($I112,ORÇAMENTO!$AF$11)),"")</f>
        <v/>
      </c>
      <c r="Y112" s="351">
        <f t="shared" ca="1" si="74"/>
        <v>0</v>
      </c>
      <c r="Z112" s="507"/>
      <c r="AB112" s="349"/>
      <c r="AC112" s="469"/>
      <c r="AD112" s="469"/>
      <c r="AE112" s="469"/>
      <c r="AF112" s="469"/>
      <c r="AG112" s="469"/>
      <c r="AH112" s="469"/>
      <c r="AI112" s="469"/>
      <c r="AJ112" s="469"/>
      <c r="AK112" s="469"/>
      <c r="AL112" s="469"/>
      <c r="AM112" s="350"/>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38.25" x14ac:dyDescent="0.2">
      <c r="A113" t="str">
        <f ca="1">ORÇAMENTO!C113</f>
        <v>S</v>
      </c>
      <c r="B113">
        <f ca="1">ORÇAMENTO!D113</f>
        <v>0</v>
      </c>
      <c r="C113" s="116" t="str">
        <f t="shared" ca="1" si="69"/>
        <v>F</v>
      </c>
      <c r="D113" s="119" t="str">
        <f ca="1">ORÇAMENTO!O113</f>
        <v>1.12.0.0.27.</v>
      </c>
      <c r="E113" s="170" t="str">
        <f t="shared" ca="1" si="76"/>
        <v>ELETRODUTO FLEXÍVEL CORRUGADO, PEAD, DN 63 (2"), PARA REDE ENTERRADA DE DISTRIBUIÇÃO DE ENERGIA ELÉTRICA - FORNECIMENTO E INSTALAÇÃO. AF_12/2021</v>
      </c>
      <c r="F113" s="171" t="str">
        <f ca="1">IF(RegimeExecucao="Global","",ORÇAMENTO.Unidade)</f>
        <v>M</v>
      </c>
      <c r="G113" s="124">
        <f ca="1">IF(RegimeExecucao="Global","",ORÇAMENTO!T113)</f>
        <v>10.5</v>
      </c>
      <c r="H113" s="124">
        <f ca="1">IF(RegimeExecucao="Global","",ORÇAMENTO!W113)</f>
        <v>15.02</v>
      </c>
      <c r="I113" s="127">
        <f ca="1">ORÇAMENTO!X113</f>
        <v>157.71</v>
      </c>
      <c r="J113" s="345">
        <f ca="1">IF($A113="S",IF(CAIXA.Modo,BM.AFAnterior,BM.MEDAnterior),IF(AND(RegimeExecucao="Global",$I113&gt;0,COUNTIF($AB$13:$AM$13,BM.medicao-1)&gt;0),M113/$I113*100,0))</f>
        <v>0</v>
      </c>
      <c r="K113" s="124">
        <f t="shared" ca="1" si="70"/>
        <v>0</v>
      </c>
      <c r="L113" s="346">
        <f ca="1">IF($A113="S",IF(CAIXA.Modo,BM.AFAcumulado,BM.MEDAcumulado),IF(AND(RegimeExecucao="Global",$I113&gt;0,COUNTIF($AB$13:$AM$13,BM.medicao)&gt;0),O113/$I113*100,0))</f>
        <v>0</v>
      </c>
      <c r="M113" s="347">
        <f ca="1">IF($A113="S",VTOTALBM,IF($A113=0,0,ROUND(SomaAgrupBM,15-13*ORÇAMENTO!$AF$11)))</f>
        <v>0</v>
      </c>
      <c r="N113" s="348">
        <f t="shared" ca="1" si="71"/>
        <v>0</v>
      </c>
      <c r="O113" s="127">
        <f ca="1">IF($A113="S",VTOTALBM,IF($A113=0,0,ROUND(SomaAgrupBM,15-13*ORÇAMENTO!$AF$11)))</f>
        <v>0</v>
      </c>
      <c r="Q113" s="349"/>
      <c r="R113" s="350"/>
      <c r="T113" s="119" t="str">
        <f t="shared" ca="1" si="72"/>
        <v/>
      </c>
      <c r="U113" s="170" t="str">
        <f t="shared" ca="1" si="73"/>
        <v/>
      </c>
      <c r="V113" s="171" t="str">
        <f ca="1">IF(AND($W113&gt;0,RegimeExecucao="Unitário"),$F113,"")</f>
        <v/>
      </c>
      <c r="W113" s="486">
        <f ca="1">IF($Y113&gt;0,CHOOSE(MATCH(RegimeExecucao,{"Unitário","Global"},0),IF($A113="S",$Y113/$X113,""),($Y113/$X113)*100),0)</f>
        <v>0</v>
      </c>
      <c r="X113" s="351" t="str">
        <f ca="1">IF($Y113&gt;0,CHOOSE(MATCH(RegimeExecucao,{"Unitário","Global"},0),IF($A113="S",ROUND($H113,ORÇAMENTO!$AF$10),""),ROUND($I113,ORÇAMENTO!$AF$11)),"")</f>
        <v/>
      </c>
      <c r="Y113" s="351">
        <f t="shared" ca="1" si="74"/>
        <v>0</v>
      </c>
      <c r="Z113" s="507"/>
      <c r="AB113" s="349"/>
      <c r="AC113" s="469"/>
      <c r="AD113" s="469"/>
      <c r="AE113" s="469"/>
      <c r="AF113" s="469"/>
      <c r="AG113" s="469"/>
      <c r="AH113" s="469"/>
      <c r="AI113" s="469"/>
      <c r="AJ113" s="469"/>
      <c r="AK113" s="469"/>
      <c r="AL113" s="469"/>
      <c r="AM113" s="350"/>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25.5" x14ac:dyDescent="0.2">
      <c r="A114" t="str">
        <f ca="1">ORÇAMENTO!C114</f>
        <v>S</v>
      </c>
      <c r="B114">
        <f ca="1">ORÇAMENTO!D114</f>
        <v>0</v>
      </c>
      <c r="C114" s="116" t="str">
        <f t="shared" ca="1" si="69"/>
        <v>F</v>
      </c>
      <c r="D114" s="119" t="str">
        <f ca="1">ORÇAMENTO!O114</f>
        <v>1.12.0.0.28.</v>
      </c>
      <c r="E114" s="170" t="str">
        <f t="shared" ca="1" si="76"/>
        <v>SENSOR DE PRESENÇA COM FOTOCÉLULA, FIXAÇÃO EM PAREDE - FORNECIMENTO E INSTALAÇÃO. AF_09/2024</v>
      </c>
      <c r="F114" s="171" t="str">
        <f ca="1">IF(RegimeExecucao="Global","",ORÇAMENTO.Unidade)</f>
        <v>UN</v>
      </c>
      <c r="G114" s="124">
        <f ca="1">IF(RegimeExecucao="Global","",ORÇAMENTO!T114)</f>
        <v>5</v>
      </c>
      <c r="H114" s="124">
        <f ca="1">IF(RegimeExecucao="Global","",ORÇAMENTO!W114)</f>
        <v>115.36</v>
      </c>
      <c r="I114" s="127">
        <f ca="1">ORÇAMENTO!X114</f>
        <v>576.79999999999995</v>
      </c>
      <c r="J114" s="345">
        <f ca="1">IF($A114="S",IF(CAIXA.Modo,BM.AFAnterior,BM.MEDAnterior),IF(AND(RegimeExecucao="Global",$I114&gt;0,COUNTIF($AB$13:$AM$13,BM.medicao-1)&gt;0),M114/$I114*100,0))</f>
        <v>0</v>
      </c>
      <c r="K114" s="124">
        <f t="shared" ca="1" si="70"/>
        <v>0</v>
      </c>
      <c r="L114" s="346">
        <f ca="1">IF($A114="S",IF(CAIXA.Modo,BM.AFAcumulado,BM.MEDAcumulado),IF(AND(RegimeExecucao="Global",$I114&gt;0,COUNTIF($AB$13:$AM$13,BM.medicao)&gt;0),O114/$I114*100,0))</f>
        <v>0</v>
      </c>
      <c r="M114" s="347">
        <f ca="1">IF($A114="S",VTOTALBM,IF($A114=0,0,ROUND(SomaAgrupBM,15-13*ORÇAMENTO!$AF$11)))</f>
        <v>0</v>
      </c>
      <c r="N114" s="348">
        <f t="shared" ca="1" si="71"/>
        <v>0</v>
      </c>
      <c r="O114" s="127">
        <f ca="1">IF($A114="S",VTOTALBM,IF($A114=0,0,ROUND(SomaAgrupBM,15-13*ORÇAMENTO!$AF$11)))</f>
        <v>0</v>
      </c>
      <c r="Q114" s="349"/>
      <c r="R114" s="350"/>
      <c r="T114" s="119" t="str">
        <f t="shared" ca="1" si="72"/>
        <v/>
      </c>
      <c r="U114" s="170" t="str">
        <f t="shared" ca="1" si="73"/>
        <v/>
      </c>
      <c r="V114" s="171" t="str">
        <f ca="1">IF(AND($W114&gt;0,RegimeExecucao="Unitário"),$F114,"")</f>
        <v/>
      </c>
      <c r="W114" s="486">
        <f ca="1">IF($Y114&gt;0,CHOOSE(MATCH(RegimeExecucao,{"Unitário","Global"},0),IF($A114="S",$Y114/$X114,""),($Y114/$X114)*100),0)</f>
        <v>0</v>
      </c>
      <c r="X114" s="351" t="str">
        <f ca="1">IF($Y114&gt;0,CHOOSE(MATCH(RegimeExecucao,{"Unitário","Global"},0),IF($A114="S",ROUND($H114,ORÇAMENTO!$AF$10),""),ROUND($I114,ORÇAMENTO!$AF$11)),"")</f>
        <v/>
      </c>
      <c r="Y114" s="351">
        <f t="shared" ca="1" si="74"/>
        <v>0</v>
      </c>
      <c r="Z114" s="507"/>
      <c r="AB114" s="349"/>
      <c r="AC114" s="469"/>
      <c r="AD114" s="469"/>
      <c r="AE114" s="469"/>
      <c r="AF114" s="469"/>
      <c r="AG114" s="469"/>
      <c r="AH114" s="469"/>
      <c r="AI114" s="469"/>
      <c r="AJ114" s="469"/>
      <c r="AK114" s="469"/>
      <c r="AL114" s="469"/>
      <c r="AM114" s="350"/>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25.5" x14ac:dyDescent="0.2">
      <c r="A115" t="str">
        <f ca="1">ORÇAMENTO!C115</f>
        <v>S</v>
      </c>
      <c r="B115">
        <f ca="1">ORÇAMENTO!D115</f>
        <v>0</v>
      </c>
      <c r="C115" s="116" t="str">
        <f t="shared" ca="1" si="69"/>
        <v>F</v>
      </c>
      <c r="D115" s="119" t="str">
        <f ca="1">ORÇAMENTO!O115</f>
        <v>1.12.0.0.29.</v>
      </c>
      <c r="E115" s="170" t="str">
        <f t="shared" ca="1" si="76"/>
        <v>11405/ORSE 	Junção interna tipo "I" para perfilado, ( ref.: Mopa ou similar)</v>
      </c>
      <c r="F115" s="171" t="str">
        <f ca="1">IF(RegimeExecucao="Global","",ORÇAMENTO.Unidade)</f>
        <v>UN</v>
      </c>
      <c r="G115" s="124">
        <f ca="1">IF(RegimeExecucao="Global","",ORÇAMENTO!T115)</f>
        <v>26</v>
      </c>
      <c r="H115" s="124">
        <f ca="1">IF(RegimeExecucao="Global","",ORÇAMENTO!W115)</f>
        <v>14.97</v>
      </c>
      <c r="I115" s="127">
        <f ca="1">ORÇAMENTO!X115</f>
        <v>389.22</v>
      </c>
      <c r="J115" s="345">
        <f ca="1">IF($A115="S",IF(CAIXA.Modo,BM.AFAnterior,BM.MEDAnterior),IF(AND(RegimeExecucao="Global",$I115&gt;0,COUNTIF($AB$13:$AM$13,BM.medicao-1)&gt;0),M115/$I115*100,0))</f>
        <v>0</v>
      </c>
      <c r="K115" s="124">
        <f t="shared" ca="1" si="70"/>
        <v>0</v>
      </c>
      <c r="L115" s="346">
        <f ca="1">IF($A115="S",IF(CAIXA.Modo,BM.AFAcumulado,BM.MEDAcumulado),IF(AND(RegimeExecucao="Global",$I115&gt;0,COUNTIF($AB$13:$AM$13,BM.medicao)&gt;0),O115/$I115*100,0))</f>
        <v>0</v>
      </c>
      <c r="M115" s="347">
        <f ca="1">IF($A115="S",VTOTALBM,IF($A115=0,0,ROUND(SomaAgrupBM,15-13*ORÇAMENTO!$AF$11)))</f>
        <v>0</v>
      </c>
      <c r="N115" s="348">
        <f t="shared" ca="1" si="71"/>
        <v>0</v>
      </c>
      <c r="O115" s="127">
        <f ca="1">IF($A115="S",VTOTALBM,IF($A115=0,0,ROUND(SomaAgrupBM,15-13*ORÇAMENTO!$AF$11)))</f>
        <v>0</v>
      </c>
      <c r="Q115" s="349"/>
      <c r="R115" s="350"/>
      <c r="T115" s="119" t="str">
        <f t="shared" ca="1" si="72"/>
        <v/>
      </c>
      <c r="U115" s="170" t="str">
        <f t="shared" ca="1" si="73"/>
        <v/>
      </c>
      <c r="V115" s="171" t="str">
        <f ca="1">IF(AND($W115&gt;0,RegimeExecucao="Unitário"),$F115,"")</f>
        <v/>
      </c>
      <c r="W115" s="486">
        <f ca="1">IF($Y115&gt;0,CHOOSE(MATCH(RegimeExecucao,{"Unitário","Global"},0),IF($A115="S",$Y115/$X115,""),($Y115/$X115)*100),0)</f>
        <v>0</v>
      </c>
      <c r="X115" s="351" t="str">
        <f ca="1">IF($Y115&gt;0,CHOOSE(MATCH(RegimeExecucao,{"Unitário","Global"},0),IF($A115="S",ROUND($H115,ORÇAMENTO!$AF$10),""),ROUND($I115,ORÇAMENTO!$AF$11)),"")</f>
        <v/>
      </c>
      <c r="Y115" s="351">
        <f t="shared" ca="1" si="74"/>
        <v>0</v>
      </c>
      <c r="Z115" s="507"/>
      <c r="AB115" s="349"/>
      <c r="AC115" s="469"/>
      <c r="AD115" s="469"/>
      <c r="AE115" s="469"/>
      <c r="AF115" s="469"/>
      <c r="AG115" s="469"/>
      <c r="AH115" s="469"/>
      <c r="AI115" s="469"/>
      <c r="AJ115" s="469"/>
      <c r="AK115" s="469"/>
      <c r="AL115" s="469"/>
      <c r="AM115" s="350"/>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25.5" x14ac:dyDescent="0.2">
      <c r="A116" t="str">
        <f ca="1">ORÇAMENTO!C116</f>
        <v>S</v>
      </c>
      <c r="B116">
        <f ca="1">ORÇAMENTO!D116</f>
        <v>0</v>
      </c>
      <c r="C116" s="116" t="str">
        <f t="shared" ca="1" si="69"/>
        <v>F</v>
      </c>
      <c r="D116" s="119" t="str">
        <f ca="1">ORÇAMENTO!O116</f>
        <v>1.12.0.0.30.</v>
      </c>
      <c r="E116" s="170" t="str">
        <f t="shared" ca="1" si="76"/>
        <v>12578/ORSE 	Saída para perfilado 38x38mm (mopa ou similar)</v>
      </c>
      <c r="F116" s="171" t="str">
        <f ca="1">IF(RegimeExecucao="Global","",ORÇAMENTO.Unidade)</f>
        <v>UN</v>
      </c>
      <c r="G116" s="124">
        <f ca="1">IF(RegimeExecucao="Global","",ORÇAMENTO!T116)</f>
        <v>1</v>
      </c>
      <c r="H116" s="124">
        <f ca="1">IF(RegimeExecucao="Global","",ORÇAMENTO!W116)</f>
        <v>19.690000000000001</v>
      </c>
      <c r="I116" s="127">
        <f ca="1">ORÇAMENTO!X116</f>
        <v>19.690000000000001</v>
      </c>
      <c r="J116" s="345">
        <f ca="1">IF($A116="S",IF(CAIXA.Modo,BM.AFAnterior,BM.MEDAnterior),IF(AND(RegimeExecucao="Global",$I116&gt;0,COUNTIF($AB$13:$AM$13,BM.medicao-1)&gt;0),M116/$I116*100,0))</f>
        <v>0</v>
      </c>
      <c r="K116" s="124">
        <f t="shared" ca="1" si="70"/>
        <v>0</v>
      </c>
      <c r="L116" s="346">
        <f ca="1">IF($A116="S",IF(CAIXA.Modo,BM.AFAcumulado,BM.MEDAcumulado),IF(AND(RegimeExecucao="Global",$I116&gt;0,COUNTIF($AB$13:$AM$13,BM.medicao)&gt;0),O116/$I116*100,0))</f>
        <v>0</v>
      </c>
      <c r="M116" s="347">
        <f ca="1">IF($A116="S",VTOTALBM,IF($A116=0,0,ROUND(SomaAgrupBM,15-13*ORÇAMENTO!$AF$11)))</f>
        <v>0</v>
      </c>
      <c r="N116" s="348">
        <f t="shared" ca="1" si="71"/>
        <v>0</v>
      </c>
      <c r="O116" s="127">
        <f ca="1">IF($A116="S",VTOTALBM,IF($A116=0,0,ROUND(SomaAgrupBM,15-13*ORÇAMENTO!$AF$11)))</f>
        <v>0</v>
      </c>
      <c r="Q116" s="349"/>
      <c r="R116" s="350"/>
      <c r="T116" s="119" t="str">
        <f t="shared" ca="1" si="72"/>
        <v/>
      </c>
      <c r="U116" s="170" t="str">
        <f t="shared" ca="1" si="73"/>
        <v/>
      </c>
      <c r="V116" s="171" t="str">
        <f ca="1">IF(AND($W116&gt;0,RegimeExecucao="Unitário"),$F116,"")</f>
        <v/>
      </c>
      <c r="W116" s="486">
        <f ca="1">IF($Y116&gt;0,CHOOSE(MATCH(RegimeExecucao,{"Unitário","Global"},0),IF($A116="S",$Y116/$X116,""),($Y116/$X116)*100),0)</f>
        <v>0</v>
      </c>
      <c r="X116" s="351" t="str">
        <f ca="1">IF($Y116&gt;0,CHOOSE(MATCH(RegimeExecucao,{"Unitário","Global"},0),IF($A116="S",ROUND($H116,ORÇAMENTO!$AF$10),""),ROUND($I116,ORÇAMENTO!$AF$11)),"")</f>
        <v/>
      </c>
      <c r="Y116" s="351">
        <f t="shared" ca="1" si="74"/>
        <v>0</v>
      </c>
      <c r="Z116" s="507"/>
      <c r="AB116" s="349"/>
      <c r="AC116" s="469"/>
      <c r="AD116" s="469"/>
      <c r="AE116" s="469"/>
      <c r="AF116" s="469"/>
      <c r="AG116" s="469"/>
      <c r="AH116" s="469"/>
      <c r="AI116" s="469"/>
      <c r="AJ116" s="469"/>
      <c r="AK116" s="469"/>
      <c r="AL116" s="469"/>
      <c r="AM116" s="350"/>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25.5" x14ac:dyDescent="0.2">
      <c r="A117" t="str">
        <f ca="1">ORÇAMENTO!C117</f>
        <v>S</v>
      </c>
      <c r="B117">
        <f ca="1">ORÇAMENTO!D117</f>
        <v>0</v>
      </c>
      <c r="C117" s="116" t="str">
        <f t="shared" ca="1" si="69"/>
        <v>F</v>
      </c>
      <c r="D117" s="119" t="str">
        <f ca="1">ORÇAMENTO!O117</f>
        <v>1.12.0.0.31.</v>
      </c>
      <c r="E117" s="170" t="str">
        <f t="shared" ca="1" si="76"/>
        <v>13606/ORSE 	Perfilado, pré-zincado a fogo, perfurado 38 x 38mm</v>
      </c>
      <c r="F117" s="171" t="str">
        <f ca="1">IF(RegimeExecucao="Global","",ORÇAMENTO.Unidade)</f>
        <v>M</v>
      </c>
      <c r="G117" s="124">
        <f ca="1">IF(RegimeExecucao="Global","",ORÇAMENTO!T117)</f>
        <v>79.23</v>
      </c>
      <c r="H117" s="124">
        <f ca="1">IF(RegimeExecucao="Global","",ORÇAMENTO!W117)</f>
        <v>39.119999999999997</v>
      </c>
      <c r="I117" s="127">
        <f ca="1">ORÇAMENTO!X117</f>
        <v>3099.48</v>
      </c>
      <c r="J117" s="345">
        <f ca="1">IF($A117="S",IF(CAIXA.Modo,BM.AFAnterior,BM.MEDAnterior),IF(AND(RegimeExecucao="Global",$I117&gt;0,COUNTIF($AB$13:$AM$13,BM.medicao-1)&gt;0),M117/$I117*100,0))</f>
        <v>0</v>
      </c>
      <c r="K117" s="124">
        <f t="shared" ca="1" si="70"/>
        <v>0</v>
      </c>
      <c r="L117" s="346">
        <f ca="1">IF($A117="S",IF(CAIXA.Modo,BM.AFAcumulado,BM.MEDAcumulado),IF(AND(RegimeExecucao="Global",$I117&gt;0,COUNTIF($AB$13:$AM$13,BM.medicao)&gt;0),O117/$I117*100,0))</f>
        <v>0</v>
      </c>
      <c r="M117" s="347">
        <f ca="1">IF($A117="S",VTOTALBM,IF($A117=0,0,ROUND(SomaAgrupBM,15-13*ORÇAMENTO!$AF$11)))</f>
        <v>0</v>
      </c>
      <c r="N117" s="348">
        <f t="shared" ca="1" si="71"/>
        <v>0</v>
      </c>
      <c r="O117" s="127">
        <f ca="1">IF($A117="S",VTOTALBM,IF($A117=0,0,ROUND(SomaAgrupBM,15-13*ORÇAMENTO!$AF$11)))</f>
        <v>0</v>
      </c>
      <c r="Q117" s="349"/>
      <c r="R117" s="350"/>
      <c r="T117" s="119" t="str">
        <f t="shared" ca="1" si="72"/>
        <v/>
      </c>
      <c r="U117" s="170" t="str">
        <f t="shared" ca="1" si="73"/>
        <v/>
      </c>
      <c r="V117" s="171" t="str">
        <f ca="1">IF(AND($W117&gt;0,RegimeExecucao="Unitário"),$F117,"")</f>
        <v/>
      </c>
      <c r="W117" s="486">
        <f ca="1">IF($Y117&gt;0,CHOOSE(MATCH(RegimeExecucao,{"Unitário","Global"},0),IF($A117="S",$Y117/$X117,""),($Y117/$X117)*100),0)</f>
        <v>0</v>
      </c>
      <c r="X117" s="351" t="str">
        <f ca="1">IF($Y117&gt;0,CHOOSE(MATCH(RegimeExecucao,{"Unitário","Global"},0),IF($A117="S",ROUND($H117,ORÇAMENTO!$AF$10),""),ROUND($I117,ORÇAMENTO!$AF$11)),"")</f>
        <v/>
      </c>
      <c r="Y117" s="351">
        <f t="shared" ca="1" si="74"/>
        <v>0</v>
      </c>
      <c r="Z117" s="507"/>
      <c r="AB117" s="349"/>
      <c r="AC117" s="469"/>
      <c r="AD117" s="469"/>
      <c r="AE117" s="469"/>
      <c r="AF117" s="469"/>
      <c r="AG117" s="469"/>
      <c r="AH117" s="469"/>
      <c r="AI117" s="469"/>
      <c r="AJ117" s="469"/>
      <c r="AK117" s="469"/>
      <c r="AL117" s="469"/>
      <c r="AM117" s="350"/>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6" t="str">
        <f t="shared" ca="1" si="69"/>
        <v>F</v>
      </c>
      <c r="D118" s="119" t="str">
        <f ca="1">ORÇAMENTO!O118</f>
        <v>1.12.0.0.32.</v>
      </c>
      <c r="E118" s="170" t="str">
        <f t="shared" ca="1" si="76"/>
        <v>09673/ORSE 	Gancho longo para perfilado, ( ref.: Mopa ou similar)</v>
      </c>
      <c r="F118" s="171" t="str">
        <f ca="1">IF(RegimeExecucao="Global","",ORÇAMENTO.Unidade)</f>
        <v>UN</v>
      </c>
      <c r="G118" s="124">
        <f ca="1">IF(RegimeExecucao="Global","",ORÇAMENTO!T118)</f>
        <v>99</v>
      </c>
      <c r="H118" s="124">
        <f ca="1">IF(RegimeExecucao="Global","",ORÇAMENTO!W118)</f>
        <v>15.77</v>
      </c>
      <c r="I118" s="127">
        <f ca="1">ORÇAMENTO!X118</f>
        <v>1561.23</v>
      </c>
      <c r="J118" s="345">
        <f ca="1">IF($A118="S",IF(CAIXA.Modo,BM.AFAnterior,BM.MEDAnterior),IF(AND(RegimeExecucao="Global",$I118&gt;0,COUNTIF($AB$13:$AM$13,BM.medicao-1)&gt;0),M118/$I118*100,0))</f>
        <v>0</v>
      </c>
      <c r="K118" s="124">
        <f t="shared" ca="1" si="70"/>
        <v>0</v>
      </c>
      <c r="L118" s="346">
        <f ca="1">IF($A118="S",IF(CAIXA.Modo,BM.AFAcumulado,BM.MEDAcumulado),IF(AND(RegimeExecucao="Global",$I118&gt;0,COUNTIF($AB$13:$AM$13,BM.medicao)&gt;0),O118/$I118*100,0))</f>
        <v>0</v>
      </c>
      <c r="M118" s="347">
        <f ca="1">IF($A118="S",VTOTALBM,IF($A118=0,0,ROUND(SomaAgrupBM,15-13*ORÇAMENTO!$AF$11)))</f>
        <v>0</v>
      </c>
      <c r="N118" s="348">
        <f t="shared" ca="1" si="71"/>
        <v>0</v>
      </c>
      <c r="O118" s="127">
        <f ca="1">IF($A118="S",VTOTALBM,IF($A118=0,0,ROUND(SomaAgrupBM,15-13*ORÇAMENTO!$AF$11)))</f>
        <v>0</v>
      </c>
      <c r="Q118" s="349"/>
      <c r="R118" s="350"/>
      <c r="T118" s="119" t="str">
        <f t="shared" ca="1" si="72"/>
        <v/>
      </c>
      <c r="U118" s="170" t="str">
        <f t="shared" ca="1" si="73"/>
        <v/>
      </c>
      <c r="V118" s="171" t="str">
        <f ca="1">IF(AND($W118&gt;0,RegimeExecucao="Unitário"),$F118,"")</f>
        <v/>
      </c>
      <c r="W118" s="486">
        <f ca="1">IF($Y118&gt;0,CHOOSE(MATCH(RegimeExecucao,{"Unitário","Global"},0),IF($A118="S",$Y118/$X118,""),($Y118/$X118)*100),0)</f>
        <v>0</v>
      </c>
      <c r="X118" s="351" t="str">
        <f ca="1">IF($Y118&gt;0,CHOOSE(MATCH(RegimeExecucao,{"Unitário","Global"},0),IF($A118="S",ROUND($H118,ORÇAMENTO!$AF$10),""),ROUND($I118,ORÇAMENTO!$AF$11)),"")</f>
        <v/>
      </c>
      <c r="Y118" s="351">
        <f t="shared" ca="1" si="74"/>
        <v>0</v>
      </c>
      <c r="Z118" s="507"/>
      <c r="AB118" s="349"/>
      <c r="AC118" s="469"/>
      <c r="AD118" s="469"/>
      <c r="AE118" s="469"/>
      <c r="AF118" s="469"/>
      <c r="AG118" s="469"/>
      <c r="AH118" s="469"/>
      <c r="AI118" s="469"/>
      <c r="AJ118" s="469"/>
      <c r="AK118" s="469"/>
      <c r="AL118" s="469"/>
      <c r="AM118" s="350"/>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6" t="str">
        <f t="shared" ca="1" si="69"/>
        <v>F</v>
      </c>
      <c r="D119" s="119" t="str">
        <f ca="1">ORÇAMENTO!O119</f>
        <v>1.12.0.0.33.</v>
      </c>
      <c r="E119" s="170" t="str">
        <f t="shared" ca="1" si="76"/>
        <v>09987/ORSE 	Curva horizontal 38 x 38 mm para eletrocalha metálica, com ângulo 90° (ref.: mopa ou similar)</v>
      </c>
      <c r="F119" s="171" t="str">
        <f ca="1">IF(RegimeExecucao="Global","",ORÇAMENTO.Unidade)</f>
        <v>UN</v>
      </c>
      <c r="G119" s="124">
        <f ca="1">IF(RegimeExecucao="Global","",ORÇAMENTO!T119)</f>
        <v>1</v>
      </c>
      <c r="H119" s="124">
        <f ca="1">IF(RegimeExecucao="Global","",ORÇAMENTO!W119)</f>
        <v>28.78</v>
      </c>
      <c r="I119" s="127">
        <f ca="1">ORÇAMENTO!X119</f>
        <v>28.78</v>
      </c>
      <c r="J119" s="345">
        <f ca="1">IF($A119="S",IF(CAIXA.Modo,BM.AFAnterior,BM.MEDAnterior),IF(AND(RegimeExecucao="Global",$I119&gt;0,COUNTIF($AB$13:$AM$13,BM.medicao-1)&gt;0),M119/$I119*100,0))</f>
        <v>0</v>
      </c>
      <c r="K119" s="124">
        <f t="shared" ca="1" si="70"/>
        <v>0</v>
      </c>
      <c r="L119" s="346">
        <f ca="1">IF($A119="S",IF(CAIXA.Modo,BM.AFAcumulado,BM.MEDAcumulado),IF(AND(RegimeExecucao="Global",$I119&gt;0,COUNTIF($AB$13:$AM$13,BM.medicao)&gt;0),O119/$I119*100,0))</f>
        <v>0</v>
      </c>
      <c r="M119" s="347">
        <f ca="1">IF($A119="S",VTOTALBM,IF($A119=0,0,ROUND(SomaAgrupBM,15-13*ORÇAMENTO!$AF$11)))</f>
        <v>0</v>
      </c>
      <c r="N119" s="348">
        <f t="shared" ca="1" si="71"/>
        <v>0</v>
      </c>
      <c r="O119" s="127">
        <f ca="1">IF($A119="S",VTOTALBM,IF($A119=0,0,ROUND(SomaAgrupBM,15-13*ORÇAMENTO!$AF$11)))</f>
        <v>0</v>
      </c>
      <c r="Q119" s="349"/>
      <c r="R119" s="350"/>
      <c r="T119" s="119" t="str">
        <f t="shared" ca="1" si="72"/>
        <v/>
      </c>
      <c r="U119" s="170" t="str">
        <f t="shared" ca="1" si="73"/>
        <v/>
      </c>
      <c r="V119" s="171" t="str">
        <f ca="1">IF(AND($W119&gt;0,RegimeExecucao="Unitário"),$F119,"")</f>
        <v/>
      </c>
      <c r="W119" s="486">
        <f ca="1">IF($Y119&gt;0,CHOOSE(MATCH(RegimeExecucao,{"Unitário","Global"},0),IF($A119="S",$Y119/$X119,""),($Y119/$X119)*100),0)</f>
        <v>0</v>
      </c>
      <c r="X119" s="351" t="str">
        <f ca="1">IF($Y119&gt;0,CHOOSE(MATCH(RegimeExecucao,{"Unitário","Global"},0),IF($A119="S",ROUND($H119,ORÇAMENTO!$AF$10),""),ROUND($I119,ORÇAMENTO!$AF$11)),"")</f>
        <v/>
      </c>
      <c r="Y119" s="351">
        <f t="shared" ca="1" si="74"/>
        <v>0</v>
      </c>
      <c r="Z119" s="507"/>
      <c r="AB119" s="349"/>
      <c r="AC119" s="469"/>
      <c r="AD119" s="469"/>
      <c r="AE119" s="469"/>
      <c r="AF119" s="469"/>
      <c r="AG119" s="469"/>
      <c r="AH119" s="469"/>
      <c r="AI119" s="469"/>
      <c r="AJ119" s="469"/>
      <c r="AK119" s="469"/>
      <c r="AL119" s="469"/>
      <c r="AM119" s="350"/>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38.25" x14ac:dyDescent="0.2">
      <c r="A120" t="str">
        <f ca="1">ORÇAMENTO!C120</f>
        <v>S</v>
      </c>
      <c r="B120">
        <f ca="1">ORÇAMENTO!D120</f>
        <v>0</v>
      </c>
      <c r="C120" s="116" t="str">
        <f t="shared" ca="1" si="69"/>
        <v>F</v>
      </c>
      <c r="D120" s="119" t="str">
        <f ca="1">ORÇAMENTO!O120</f>
        <v>1.12.0.0.34.</v>
      </c>
      <c r="E120" s="170" t="str">
        <f t="shared" ca="1" si="76"/>
        <v>12223/ORSE 	Quadro de distribuição de embutir, em chapa de aço, para até 12 disjuntores, com barramento, padrão DIN, exclusive disjuntores</v>
      </c>
      <c r="F120" s="171" t="str">
        <f ca="1">IF(RegimeExecucao="Global","",ORÇAMENTO.Unidade)</f>
        <v>UN</v>
      </c>
      <c r="G120" s="124">
        <f ca="1">IF(RegimeExecucao="Global","",ORÇAMENTO!T120)</f>
        <v>1</v>
      </c>
      <c r="H120" s="124">
        <f ca="1">IF(RegimeExecucao="Global","",ORÇAMENTO!W120)</f>
        <v>465.61</v>
      </c>
      <c r="I120" s="127">
        <f ca="1">ORÇAMENTO!X120</f>
        <v>465.61</v>
      </c>
      <c r="J120" s="345">
        <f ca="1">IF($A120="S",IF(CAIXA.Modo,BM.AFAnterior,BM.MEDAnterior),IF(AND(RegimeExecucao="Global",$I120&gt;0,COUNTIF($AB$13:$AM$13,BM.medicao-1)&gt;0),M120/$I120*100,0))</f>
        <v>0</v>
      </c>
      <c r="K120" s="124">
        <f t="shared" ca="1" si="70"/>
        <v>0</v>
      </c>
      <c r="L120" s="346">
        <f ca="1">IF($A120="S",IF(CAIXA.Modo,BM.AFAcumulado,BM.MEDAcumulado),IF(AND(RegimeExecucao="Global",$I120&gt;0,COUNTIF($AB$13:$AM$13,BM.medicao)&gt;0),O120/$I120*100,0))</f>
        <v>0</v>
      </c>
      <c r="M120" s="347">
        <f ca="1">IF($A120="S",VTOTALBM,IF($A120=0,0,ROUND(SomaAgrupBM,15-13*ORÇAMENTO!$AF$11)))</f>
        <v>0</v>
      </c>
      <c r="N120" s="348">
        <f t="shared" ca="1" si="71"/>
        <v>0</v>
      </c>
      <c r="O120" s="127">
        <f ca="1">IF($A120="S",VTOTALBM,IF($A120=0,0,ROUND(SomaAgrupBM,15-13*ORÇAMENTO!$AF$11)))</f>
        <v>0</v>
      </c>
      <c r="Q120" s="349"/>
      <c r="R120" s="350"/>
      <c r="T120" s="119" t="str">
        <f t="shared" ca="1" si="72"/>
        <v/>
      </c>
      <c r="U120" s="170" t="str">
        <f t="shared" ca="1" si="73"/>
        <v/>
      </c>
      <c r="V120" s="171" t="str">
        <f ca="1">IF(AND($W120&gt;0,RegimeExecucao="Unitário"),$F120,"")</f>
        <v/>
      </c>
      <c r="W120" s="486">
        <f ca="1">IF($Y120&gt;0,CHOOSE(MATCH(RegimeExecucao,{"Unitário","Global"},0),IF($A120="S",$Y120/$X120,""),($Y120/$X120)*100),0)</f>
        <v>0</v>
      </c>
      <c r="X120" s="351" t="str">
        <f ca="1">IF($Y120&gt;0,CHOOSE(MATCH(RegimeExecucao,{"Unitário","Global"},0),IF($A120="S",ROUND($H120,ORÇAMENTO!$AF$10),""),ROUND($I120,ORÇAMENTO!$AF$11)),"")</f>
        <v/>
      </c>
      <c r="Y120" s="351">
        <f t="shared" ca="1" si="74"/>
        <v>0</v>
      </c>
      <c r="Z120" s="507"/>
      <c r="AB120" s="349"/>
      <c r="AC120" s="469"/>
      <c r="AD120" s="469"/>
      <c r="AE120" s="469"/>
      <c r="AF120" s="469"/>
      <c r="AG120" s="469"/>
      <c r="AH120" s="469"/>
      <c r="AI120" s="469"/>
      <c r="AJ120" s="469"/>
      <c r="AK120" s="469"/>
      <c r="AL120" s="469"/>
      <c r="AM120" s="350"/>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116" t="str">
        <f t="shared" ca="1" si="69"/>
        <v>F</v>
      </c>
      <c r="D121" s="119" t="str">
        <f ca="1">ORÇAMENTO!O121</f>
        <v>1.12.0.0.35.</v>
      </c>
      <c r="E121" s="170" t="str">
        <f t="shared" ca="1" si="76"/>
        <v>11124/ORSE 	Entrada de energia elétrica monofásica demanda entre 6,3 e 8,8 kw - Rev 01</v>
      </c>
      <c r="F121" s="171" t="str">
        <f ca="1">IF(RegimeExecucao="Global","",ORÇAMENTO.Unidade)</f>
        <v>UN</v>
      </c>
      <c r="G121" s="124">
        <f ca="1">IF(RegimeExecucao="Global","",ORÇAMENTO!T121)</f>
        <v>1</v>
      </c>
      <c r="H121" s="124">
        <f ca="1">IF(RegimeExecucao="Global","",ORÇAMENTO!W121)</f>
        <v>2346.77</v>
      </c>
      <c r="I121" s="127">
        <f ca="1">ORÇAMENTO!X121</f>
        <v>2346.77</v>
      </c>
      <c r="J121" s="345">
        <f ca="1">IF($A121="S",IF(CAIXA.Modo,BM.AFAnterior,BM.MEDAnterior),IF(AND(RegimeExecucao="Global",$I121&gt;0,COUNTIF($AB$13:$AM$13,BM.medicao-1)&gt;0),M121/$I121*100,0))</f>
        <v>0</v>
      </c>
      <c r="K121" s="124">
        <f t="shared" ca="1" si="70"/>
        <v>0</v>
      </c>
      <c r="L121" s="346">
        <f ca="1">IF($A121="S",IF(CAIXA.Modo,BM.AFAcumulado,BM.MEDAcumulado),IF(AND(RegimeExecucao="Global",$I121&gt;0,COUNTIF($AB$13:$AM$13,BM.medicao)&gt;0),O121/$I121*100,0))</f>
        <v>0</v>
      </c>
      <c r="M121" s="347">
        <f ca="1">IF($A121="S",VTOTALBM,IF($A121=0,0,ROUND(SomaAgrupBM,15-13*ORÇAMENTO!$AF$11)))</f>
        <v>0</v>
      </c>
      <c r="N121" s="348">
        <f t="shared" ca="1" si="71"/>
        <v>0</v>
      </c>
      <c r="O121" s="127">
        <f ca="1">IF($A121="S",VTOTALBM,IF($A121=0,0,ROUND(SomaAgrupBM,15-13*ORÇAMENTO!$AF$11)))</f>
        <v>0</v>
      </c>
      <c r="Q121" s="349"/>
      <c r="R121" s="350"/>
      <c r="T121" s="119" t="str">
        <f t="shared" ca="1" si="72"/>
        <v/>
      </c>
      <c r="U121" s="170" t="str">
        <f t="shared" ca="1" si="73"/>
        <v/>
      </c>
      <c r="V121" s="171" t="str">
        <f ca="1">IF(AND($W121&gt;0,RegimeExecucao="Unitário"),$F121,"")</f>
        <v/>
      </c>
      <c r="W121" s="486">
        <f ca="1">IF($Y121&gt;0,CHOOSE(MATCH(RegimeExecucao,{"Unitário","Global"},0),IF($A121="S",$Y121/$X121,""),($Y121/$X121)*100),0)</f>
        <v>0</v>
      </c>
      <c r="X121" s="351" t="str">
        <f ca="1">IF($Y121&gt;0,CHOOSE(MATCH(RegimeExecucao,{"Unitário","Global"},0),IF($A121="S",ROUND($H121,ORÇAMENTO!$AF$10),""),ROUND($I121,ORÇAMENTO!$AF$11)),"")</f>
        <v/>
      </c>
      <c r="Y121" s="351">
        <f t="shared" ca="1" si="74"/>
        <v>0</v>
      </c>
      <c r="Z121" s="507"/>
      <c r="AB121" s="349"/>
      <c r="AC121" s="469"/>
      <c r="AD121" s="469"/>
      <c r="AE121" s="469"/>
      <c r="AF121" s="469"/>
      <c r="AG121" s="469"/>
      <c r="AH121" s="469"/>
      <c r="AI121" s="469"/>
      <c r="AJ121" s="469"/>
      <c r="AK121" s="469"/>
      <c r="AL121" s="469"/>
      <c r="AM121" s="350"/>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38.25" x14ac:dyDescent="0.2">
      <c r="A122" t="str">
        <f ca="1">ORÇAMENTO!C122</f>
        <v>S</v>
      </c>
      <c r="B122">
        <f ca="1">ORÇAMENTO!D122</f>
        <v>0</v>
      </c>
      <c r="C122" s="116" t="str">
        <f t="shared" ca="1" si="69"/>
        <v>F</v>
      </c>
      <c r="D122" s="119" t="str">
        <f ca="1">ORÇAMENTO!O122</f>
        <v>1.12.0.0.36.</v>
      </c>
      <c r="E122" s="170" t="str">
        <f t="shared" ca="1" si="76"/>
        <v>CAIXA ENTERRADA ELÉTRICA RETANGULAR, EM ALVENARIA COM TIJOLOS CERÂMICOS MACIÇOS, FUNDO COM BRITA, DIMENSÕES INTERNAS: 0,6X0,6X0,6 M. AF_12/2020</v>
      </c>
      <c r="F122" s="171" t="str">
        <f ca="1">IF(RegimeExecucao="Global","",ORÇAMENTO.Unidade)</f>
        <v>UN</v>
      </c>
      <c r="G122" s="124">
        <f ca="1">IF(RegimeExecucao="Global","",ORÇAMENTO!T122)</f>
        <v>1</v>
      </c>
      <c r="H122" s="124">
        <f ca="1">IF(RegimeExecucao="Global","",ORÇAMENTO!W122)</f>
        <v>735.71</v>
      </c>
      <c r="I122" s="127">
        <f ca="1">ORÇAMENTO!X122</f>
        <v>735.71</v>
      </c>
      <c r="J122" s="345">
        <f ca="1">IF($A122="S",IF(CAIXA.Modo,BM.AFAnterior,BM.MEDAnterior),IF(AND(RegimeExecucao="Global",$I122&gt;0,COUNTIF($AB$13:$AM$13,BM.medicao-1)&gt;0),M122/$I122*100,0))</f>
        <v>0</v>
      </c>
      <c r="K122" s="124">
        <f t="shared" ca="1" si="70"/>
        <v>0</v>
      </c>
      <c r="L122" s="346">
        <f ca="1">IF($A122="S",IF(CAIXA.Modo,BM.AFAcumulado,BM.MEDAcumulado),IF(AND(RegimeExecucao="Global",$I122&gt;0,COUNTIF($AB$13:$AM$13,BM.medicao)&gt;0),O122/$I122*100,0))</f>
        <v>0</v>
      </c>
      <c r="M122" s="347">
        <f ca="1">IF($A122="S",VTOTALBM,IF($A122=0,0,ROUND(SomaAgrupBM,15-13*ORÇAMENTO!$AF$11)))</f>
        <v>0</v>
      </c>
      <c r="N122" s="348">
        <f t="shared" ca="1" si="71"/>
        <v>0</v>
      </c>
      <c r="O122" s="127">
        <f ca="1">IF($A122="S",VTOTALBM,IF($A122=0,0,ROUND(SomaAgrupBM,15-13*ORÇAMENTO!$AF$11)))</f>
        <v>0</v>
      </c>
      <c r="Q122" s="349"/>
      <c r="R122" s="350"/>
      <c r="T122" s="119" t="str">
        <f t="shared" ca="1" si="72"/>
        <v/>
      </c>
      <c r="U122" s="170" t="str">
        <f t="shared" ca="1" si="73"/>
        <v/>
      </c>
      <c r="V122" s="171" t="str">
        <f ca="1">IF(AND($W122&gt;0,RegimeExecucao="Unitário"),$F122,"")</f>
        <v/>
      </c>
      <c r="W122" s="486">
        <f ca="1">IF($Y122&gt;0,CHOOSE(MATCH(RegimeExecucao,{"Unitário","Global"},0),IF($A122="S",$Y122/$X122,""),($Y122/$X122)*100),0)</f>
        <v>0</v>
      </c>
      <c r="X122" s="351" t="str">
        <f ca="1">IF($Y122&gt;0,CHOOSE(MATCH(RegimeExecucao,{"Unitário","Global"},0),IF($A122="S",ROUND($H122,ORÇAMENTO!$AF$10),""),ROUND($I122,ORÇAMENTO!$AF$11)),"")</f>
        <v/>
      </c>
      <c r="Y122" s="351">
        <f t="shared" ca="1" si="74"/>
        <v>0</v>
      </c>
      <c r="Z122" s="507"/>
      <c r="AB122" s="349"/>
      <c r="AC122" s="469"/>
      <c r="AD122" s="469"/>
      <c r="AE122" s="469"/>
      <c r="AF122" s="469"/>
      <c r="AG122" s="469"/>
      <c r="AH122" s="469"/>
      <c r="AI122" s="469"/>
      <c r="AJ122" s="469"/>
      <c r="AK122" s="469"/>
      <c r="AL122" s="469"/>
      <c r="AM122" s="350"/>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25.5" x14ac:dyDescent="0.2">
      <c r="A123" t="str">
        <f ca="1">ORÇAMENTO!C123</f>
        <v>S</v>
      </c>
      <c r="B123">
        <f ca="1">ORÇAMENTO!D123</f>
        <v>0</v>
      </c>
      <c r="C123" s="116" t="str">
        <f t="shared" ca="1" si="69"/>
        <v>F</v>
      </c>
      <c r="D123" s="119" t="str">
        <f ca="1">ORÇAMENTO!O123</f>
        <v>1.12.0.0.37.</v>
      </c>
      <c r="E123" s="170" t="str">
        <f t="shared" ca="1" si="76"/>
        <v>10332/ORSE 	Tampa de ferro fundido 60X40cm</v>
      </c>
      <c r="F123" s="171" t="str">
        <f ca="1">IF(RegimeExecucao="Global","",ORÇAMENTO.Unidade)</f>
        <v>UN</v>
      </c>
      <c r="G123" s="124">
        <f ca="1">IF(RegimeExecucao="Global","",ORÇAMENTO!T123)</f>
        <v>1</v>
      </c>
      <c r="H123" s="124">
        <f ca="1">IF(RegimeExecucao="Global","",ORÇAMENTO!W123)</f>
        <v>652.88</v>
      </c>
      <c r="I123" s="127">
        <f ca="1">ORÇAMENTO!X123</f>
        <v>652.88</v>
      </c>
      <c r="J123" s="345">
        <f ca="1">IF($A123="S",IF(CAIXA.Modo,BM.AFAnterior,BM.MEDAnterior),IF(AND(RegimeExecucao="Global",$I123&gt;0,COUNTIF($AB$13:$AM$13,BM.medicao-1)&gt;0),M123/$I123*100,0))</f>
        <v>0</v>
      </c>
      <c r="K123" s="124">
        <f t="shared" ca="1" si="70"/>
        <v>0</v>
      </c>
      <c r="L123" s="346">
        <f ca="1">IF($A123="S",IF(CAIXA.Modo,BM.AFAcumulado,BM.MEDAcumulado),IF(AND(RegimeExecucao="Global",$I123&gt;0,COUNTIF($AB$13:$AM$13,BM.medicao)&gt;0),O123/$I123*100,0))</f>
        <v>0</v>
      </c>
      <c r="M123" s="347">
        <f ca="1">IF($A123="S",VTOTALBM,IF($A123=0,0,ROUND(SomaAgrupBM,15-13*ORÇAMENTO!$AF$11)))</f>
        <v>0</v>
      </c>
      <c r="N123" s="348">
        <f t="shared" ca="1" si="71"/>
        <v>0</v>
      </c>
      <c r="O123" s="127">
        <f ca="1">IF($A123="S",VTOTALBM,IF($A123=0,0,ROUND(SomaAgrupBM,15-13*ORÇAMENTO!$AF$11)))</f>
        <v>0</v>
      </c>
      <c r="Q123" s="349"/>
      <c r="R123" s="350"/>
      <c r="T123" s="119" t="str">
        <f t="shared" ca="1" si="72"/>
        <v/>
      </c>
      <c r="U123" s="170" t="str">
        <f t="shared" ca="1" si="73"/>
        <v/>
      </c>
      <c r="V123" s="171" t="str">
        <f ca="1">IF(AND($W123&gt;0,RegimeExecucao="Unitário"),$F123,"")</f>
        <v/>
      </c>
      <c r="W123" s="486">
        <f ca="1">IF($Y123&gt;0,CHOOSE(MATCH(RegimeExecucao,{"Unitário","Global"},0),IF($A123="S",$Y123/$X123,""),($Y123/$X123)*100),0)</f>
        <v>0</v>
      </c>
      <c r="X123" s="351" t="str">
        <f ca="1">IF($Y123&gt;0,CHOOSE(MATCH(RegimeExecucao,{"Unitário","Global"},0),IF($A123="S",ROUND($H123,ORÇAMENTO!$AF$10),""),ROUND($I123,ORÇAMENTO!$AF$11)),"")</f>
        <v/>
      </c>
      <c r="Y123" s="351">
        <f t="shared" ca="1" si="74"/>
        <v>0</v>
      </c>
      <c r="Z123" s="507"/>
      <c r="AB123" s="349"/>
      <c r="AC123" s="469"/>
      <c r="AD123" s="469"/>
      <c r="AE123" s="469"/>
      <c r="AF123" s="469"/>
      <c r="AG123" s="469"/>
      <c r="AH123" s="469"/>
      <c r="AI123" s="469"/>
      <c r="AJ123" s="469"/>
      <c r="AK123" s="469"/>
      <c r="AL123" s="469"/>
      <c r="AM123" s="350"/>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ht="25.5" x14ac:dyDescent="0.2">
      <c r="A124" t="str">
        <f ca="1">ORÇAMENTO!C124</f>
        <v>S</v>
      </c>
      <c r="B124">
        <f ca="1">ORÇAMENTO!D124</f>
        <v>0</v>
      </c>
      <c r="C124" s="116" t="str">
        <f t="shared" ca="1" si="69"/>
        <v>F</v>
      </c>
      <c r="D124" s="119" t="str">
        <f ca="1">ORÇAMENTO!O124</f>
        <v>1.12.0.0.38.</v>
      </c>
      <c r="E124" s="170" t="str">
        <f t="shared" ca="1" si="76"/>
        <v>LASTRO DE CONCRETO MAGRO, APLICADO EM PISOS, LAJES SOBRE SOLO OU RADIERS. AF_01/2024</v>
      </c>
      <c r="F124" s="171" t="str">
        <f ca="1">IF(RegimeExecucao="Global","",ORÇAMENTO.Unidade)</f>
        <v>M3</v>
      </c>
      <c r="G124" s="124">
        <f ca="1">IF(RegimeExecucao="Global","",ORÇAMENTO!T124)</f>
        <v>0.57999999999999996</v>
      </c>
      <c r="H124" s="124">
        <f ca="1">IF(RegimeExecucao="Global","",ORÇAMENTO!W124)</f>
        <v>1107.44</v>
      </c>
      <c r="I124" s="127">
        <f ca="1">ORÇAMENTO!X124</f>
        <v>642.32000000000005</v>
      </c>
      <c r="J124" s="345">
        <f ca="1">IF($A124="S",IF(CAIXA.Modo,BM.AFAnterior,BM.MEDAnterior),IF(AND(RegimeExecucao="Global",$I124&gt;0,COUNTIF($AB$13:$AM$13,BM.medicao-1)&gt;0),M124/$I124*100,0))</f>
        <v>0</v>
      </c>
      <c r="K124" s="124">
        <f t="shared" ca="1" si="70"/>
        <v>0</v>
      </c>
      <c r="L124" s="346">
        <f ca="1">IF($A124="S",IF(CAIXA.Modo,BM.AFAcumulado,BM.MEDAcumulado),IF(AND(RegimeExecucao="Global",$I124&gt;0,COUNTIF($AB$13:$AM$13,BM.medicao)&gt;0),O124/$I124*100,0))</f>
        <v>0</v>
      </c>
      <c r="M124" s="347">
        <f ca="1">IF($A124="S",VTOTALBM,IF($A124=0,0,ROUND(SomaAgrupBM,15-13*ORÇAMENTO!$AF$11)))</f>
        <v>0</v>
      </c>
      <c r="N124" s="348">
        <f t="shared" ca="1" si="71"/>
        <v>0</v>
      </c>
      <c r="O124" s="127">
        <f ca="1">IF($A124="S",VTOTALBM,IF($A124=0,0,ROUND(SomaAgrupBM,15-13*ORÇAMENTO!$AF$11)))</f>
        <v>0</v>
      </c>
      <c r="Q124" s="349"/>
      <c r="R124" s="350"/>
      <c r="T124" s="119" t="str">
        <f t="shared" ca="1" si="72"/>
        <v/>
      </c>
      <c r="U124" s="170" t="str">
        <f t="shared" ca="1" si="73"/>
        <v/>
      </c>
      <c r="V124" s="171" t="str">
        <f ca="1">IF(AND($W124&gt;0,RegimeExecucao="Unitário"),$F124,"")</f>
        <v/>
      </c>
      <c r="W124" s="486">
        <f ca="1">IF($Y124&gt;0,CHOOSE(MATCH(RegimeExecucao,{"Unitário","Global"},0),IF($A124="S",$Y124/$X124,""),($Y124/$X124)*100),0)</f>
        <v>0</v>
      </c>
      <c r="X124" s="351" t="str">
        <f ca="1">IF($Y124&gt;0,CHOOSE(MATCH(RegimeExecucao,{"Unitário","Global"},0),IF($A124="S",ROUND($H124,ORÇAMENTO!$AF$10),""),ROUND($I124,ORÇAMENTO!$AF$11)),"")</f>
        <v/>
      </c>
      <c r="Y124" s="351">
        <f t="shared" ca="1" si="74"/>
        <v>0</v>
      </c>
      <c r="Z124" s="507"/>
      <c r="AB124" s="349"/>
      <c r="AC124" s="469"/>
      <c r="AD124" s="469"/>
      <c r="AE124" s="469"/>
      <c r="AF124" s="469"/>
      <c r="AG124" s="469"/>
      <c r="AH124" s="469"/>
      <c r="AI124" s="469"/>
      <c r="AJ124" s="469"/>
      <c r="AK124" s="469"/>
      <c r="AL124" s="469"/>
      <c r="AM124" s="350"/>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25.5" x14ac:dyDescent="0.2">
      <c r="A125" t="str">
        <f ca="1">ORÇAMENTO!C125</f>
        <v>S</v>
      </c>
      <c r="B125">
        <f ca="1">ORÇAMENTO!D125</f>
        <v>0</v>
      </c>
      <c r="C125" s="116" t="str">
        <f t="shared" ca="1" si="69"/>
        <v>F</v>
      </c>
      <c r="D125" s="119" t="str">
        <f ca="1">ORÇAMENTO!O125</f>
        <v>1.12.0.0.39.</v>
      </c>
      <c r="E125" s="170" t="str">
        <f t="shared" ca="1" si="76"/>
        <v>FORNECIMENTO E INSTALAÇÃO DE LUMINÁRIA TL SLIM CONFORME DETALHES E ESPECIFICAÇÕES LISTADAS EM PROJETO ELÉTRICO</v>
      </c>
      <c r="F125" s="171" t="str">
        <f ca="1">IF(RegimeExecucao="Global","",ORÇAMENTO.Unidade)</f>
        <v>UN</v>
      </c>
      <c r="G125" s="124">
        <f ca="1">IF(RegimeExecucao="Global","",ORÇAMENTO!T125)</f>
        <v>28</v>
      </c>
      <c r="H125" s="124">
        <f ca="1">IF(RegimeExecucao="Global","",ORÇAMENTO!W125)</f>
        <v>296.97000000000003</v>
      </c>
      <c r="I125" s="127">
        <f ca="1">ORÇAMENTO!X125</f>
        <v>8315.16</v>
      </c>
      <c r="J125" s="345">
        <f ca="1">IF($A125="S",IF(CAIXA.Modo,BM.AFAnterior,BM.MEDAnterior),IF(AND(RegimeExecucao="Global",$I125&gt;0,COUNTIF($AB$13:$AM$13,BM.medicao-1)&gt;0),M125/$I125*100,0))</f>
        <v>0</v>
      </c>
      <c r="K125" s="124">
        <f t="shared" ca="1" si="70"/>
        <v>0</v>
      </c>
      <c r="L125" s="346">
        <f ca="1">IF($A125="S",IF(CAIXA.Modo,BM.AFAcumulado,BM.MEDAcumulado),IF(AND(RegimeExecucao="Global",$I125&gt;0,COUNTIF($AB$13:$AM$13,BM.medicao)&gt;0),O125/$I125*100,0))</f>
        <v>0</v>
      </c>
      <c r="M125" s="347">
        <f ca="1">IF($A125="S",VTOTALBM,IF($A125=0,0,ROUND(SomaAgrupBM,15-13*ORÇAMENTO!$AF$11)))</f>
        <v>0</v>
      </c>
      <c r="N125" s="348">
        <f t="shared" ca="1" si="71"/>
        <v>0</v>
      </c>
      <c r="O125" s="127">
        <f ca="1">IF($A125="S",VTOTALBM,IF($A125=0,0,ROUND(SomaAgrupBM,15-13*ORÇAMENTO!$AF$11)))</f>
        <v>0</v>
      </c>
      <c r="Q125" s="349"/>
      <c r="R125" s="350"/>
      <c r="T125" s="119" t="str">
        <f t="shared" ca="1" si="72"/>
        <v/>
      </c>
      <c r="U125" s="170" t="str">
        <f t="shared" ca="1" si="73"/>
        <v/>
      </c>
      <c r="V125" s="171" t="str">
        <f ca="1">IF(AND($W125&gt;0,RegimeExecucao="Unitário"),$F125,"")</f>
        <v/>
      </c>
      <c r="W125" s="486">
        <f ca="1">IF($Y125&gt;0,CHOOSE(MATCH(RegimeExecucao,{"Unitário","Global"},0),IF($A125="S",$Y125/$X125,""),($Y125/$X125)*100),0)</f>
        <v>0</v>
      </c>
      <c r="X125" s="351" t="str">
        <f ca="1">IF($Y125&gt;0,CHOOSE(MATCH(RegimeExecucao,{"Unitário","Global"},0),IF($A125="S",ROUND($H125,ORÇAMENTO!$AF$10),""),ROUND($I125,ORÇAMENTO!$AF$11)),"")</f>
        <v/>
      </c>
      <c r="Y125" s="351">
        <f t="shared" ca="1" si="74"/>
        <v>0</v>
      </c>
      <c r="Z125" s="507"/>
      <c r="AB125" s="349"/>
      <c r="AC125" s="469"/>
      <c r="AD125" s="469"/>
      <c r="AE125" s="469"/>
      <c r="AF125" s="469"/>
      <c r="AG125" s="469"/>
      <c r="AH125" s="469"/>
      <c r="AI125" s="469"/>
      <c r="AJ125" s="469"/>
      <c r="AK125" s="469"/>
      <c r="AL125" s="469"/>
      <c r="AM125" s="350"/>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116" t="str">
        <f ca="1">IF(OR($I126&gt;0,$A126=1,$A126=2,$A126=3,$A126=4),"F","")</f>
        <v>F</v>
      </c>
      <c r="D126" s="119" t="str">
        <f ca="1">ORÇAMENTO!O126</f>
        <v>1.12.0.0.40.</v>
      </c>
      <c r="E126" s="170" t="str">
        <f ca="1">ORÇAMENTO.Descricao</f>
        <v>FORNECIMENTO E INSTALAÇÃO DE LUMINÁRIA LINEAR DE ALTA EFICIÊNCIA CONFORME DETALHES E ESPECIFICAÇÕES LISTADAS EM PROJETO ELÉTRICO</v>
      </c>
      <c r="F126" s="171" t="str">
        <f ca="1">IF(RegimeExecucao="Global","",ORÇAMENTO.Unidade)</f>
        <v>UN</v>
      </c>
      <c r="G126" s="124">
        <f ca="1">IF(RegimeExecucao="Global","",ORÇAMENTO!T126)</f>
        <v>14</v>
      </c>
      <c r="H126" s="124">
        <f ca="1">IF(RegimeExecucao="Global","",ORÇAMENTO!W126)</f>
        <v>895.15</v>
      </c>
      <c r="I126" s="127">
        <f ca="1">ORÇAMENTO!X126</f>
        <v>12532.1</v>
      </c>
      <c r="J126" s="345">
        <f ca="1">IF($A126="S",IF(CAIXA.Modo,BM.AFAnterior,BM.MEDAnterior),IF(AND(RegimeExecucao="Global",$I126&gt;0,COUNTIF($AB$13:$AM$13,BM.medicao-1)&gt;0),M126/$I126*100,0))</f>
        <v>0</v>
      </c>
      <c r="K126" s="124">
        <f ca="1">L126-J126</f>
        <v>0</v>
      </c>
      <c r="L126" s="346">
        <f ca="1">IF($A126="S",IF(CAIXA.Modo,BM.AFAcumulado,BM.MEDAcumulado),IF(AND(RegimeExecucao="Global",$I126&gt;0,COUNTIF($AB$13:$AM$13,BM.medicao)&gt;0),O126/$I126*100,0))</f>
        <v>0</v>
      </c>
      <c r="M126" s="347">
        <f ca="1">IF($A126="S",VTOTALBM,IF($A126=0,0,ROUND(SomaAgrupBM,15-13*ORÇAMENTO!$AF$11)))</f>
        <v>0</v>
      </c>
      <c r="N126" s="348">
        <f ca="1">O126-M126</f>
        <v>0</v>
      </c>
      <c r="O126" s="127">
        <f ca="1">IF($A126="S",VTOTALBM,IF($A126=0,0,ROUND(SomaAgrupBM,15-13*ORÇAMENTO!$AF$11)))</f>
        <v>0</v>
      </c>
      <c r="Q126" s="349"/>
      <c r="R126" s="350"/>
      <c r="T126" s="119" t="str">
        <f ca="1">IF($W126&gt;0,$D126,"")</f>
        <v/>
      </c>
      <c r="U126" s="170" t="str">
        <f ca="1">IF($W126&gt;0,$E126,"")</f>
        <v/>
      </c>
      <c r="V126" s="171" t="str">
        <f ca="1">IF(AND($W126&gt;0,RegimeExecucao="Unitário"),$F126,"")</f>
        <v/>
      </c>
      <c r="W126" s="486">
        <f ca="1">IF($Y126&gt;0,CHOOSE(MATCH(RegimeExecucao,{"Unitário","Global"},0),IF($A126="S",$Y126/$X126,""),($Y126/$X126)*100),0)</f>
        <v>0</v>
      </c>
      <c r="X126" s="351" t="str">
        <f ca="1">IF($Y126&gt;0,CHOOSE(MATCH(RegimeExecucao,{"Unitário","Global"},0),IF($A126="S",ROUND($H126,ORÇAMENTO!$AF$10),""),ROUND($I126,ORÇAMENTO!$AF$11)),"")</f>
        <v/>
      </c>
      <c r="Y126" s="351">
        <f ca="1">AO126-O126</f>
        <v>0</v>
      </c>
      <c r="Z126" s="507"/>
      <c r="AB126" s="349"/>
      <c r="AC126" s="469"/>
      <c r="AD126" s="469"/>
      <c r="AE126" s="469"/>
      <c r="AF126" s="469"/>
      <c r="AG126" s="469"/>
      <c r="AH126" s="469"/>
      <c r="AI126" s="469"/>
      <c r="AJ126" s="469"/>
      <c r="AK126" s="469"/>
      <c r="AL126" s="469"/>
      <c r="AM126" s="350"/>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38.25" x14ac:dyDescent="0.2">
      <c r="A127" t="str">
        <f ca="1">ORÇAMENTO!C127</f>
        <v>S</v>
      </c>
      <c r="B127">
        <f ca="1">ORÇAMENTO!D127</f>
        <v>0</v>
      </c>
      <c r="C127" s="116" t="str">
        <f t="shared" ca="1" si="69"/>
        <v>F</v>
      </c>
      <c r="D127" s="119" t="str">
        <f ca="1">ORÇAMENTO!O127</f>
        <v>1.12.0.0.41.</v>
      </c>
      <c r="E127" s="170" t="str">
        <f t="shared" ca="1" si="76"/>
        <v>FORNECIMENTO E INSTALAÇÃO DE LUMINÁRIA REFLETOR LED CONFORME DETALHES E ESPECIFICAÇÕES LISTADAS EM PROJETO ELÉTRICO</v>
      </c>
      <c r="F127" s="171" t="str">
        <f ca="1">IF(RegimeExecucao="Global","",ORÇAMENTO.Unidade)</f>
        <v>UN</v>
      </c>
      <c r="G127" s="124">
        <f ca="1">IF(RegimeExecucao="Global","",ORÇAMENTO!T127)</f>
        <v>4</v>
      </c>
      <c r="H127" s="124">
        <f ca="1">IF(RegimeExecucao="Global","",ORÇAMENTO!W127)</f>
        <v>96.32</v>
      </c>
      <c r="I127" s="127">
        <f ca="1">ORÇAMENTO!X127</f>
        <v>385.28</v>
      </c>
      <c r="J127" s="345">
        <f ca="1">IF($A127="S",IF(CAIXA.Modo,BM.AFAnterior,BM.MEDAnterior),IF(AND(RegimeExecucao="Global",$I127&gt;0,COUNTIF($AB$13:$AM$13,BM.medicao-1)&gt;0),M127/$I127*100,0))</f>
        <v>0</v>
      </c>
      <c r="K127" s="124">
        <f t="shared" ca="1" si="70"/>
        <v>0</v>
      </c>
      <c r="L127" s="346">
        <f ca="1">IF($A127="S",IF(CAIXA.Modo,BM.AFAcumulado,BM.MEDAcumulado),IF(AND(RegimeExecucao="Global",$I127&gt;0,COUNTIF($AB$13:$AM$13,BM.medicao)&gt;0),O127/$I127*100,0))</f>
        <v>0</v>
      </c>
      <c r="M127" s="347">
        <f ca="1">IF($A127="S",VTOTALBM,IF($A127=0,0,ROUND(SomaAgrupBM,15-13*ORÇAMENTO!$AF$11)))</f>
        <v>0</v>
      </c>
      <c r="N127" s="348">
        <f t="shared" ca="1" si="71"/>
        <v>0</v>
      </c>
      <c r="O127" s="127">
        <f ca="1">IF($A127="S",VTOTALBM,IF($A127=0,0,ROUND(SomaAgrupBM,15-13*ORÇAMENTO!$AF$11)))</f>
        <v>0</v>
      </c>
      <c r="Q127" s="349"/>
      <c r="R127" s="350"/>
      <c r="T127" s="119" t="str">
        <f t="shared" ca="1" si="72"/>
        <v/>
      </c>
      <c r="U127" s="170" t="str">
        <f t="shared" ca="1" si="73"/>
        <v/>
      </c>
      <c r="V127" s="171" t="str">
        <f ca="1">IF(AND($W127&gt;0,RegimeExecucao="Unitário"),$F127,"")</f>
        <v/>
      </c>
      <c r="W127" s="486">
        <f ca="1">IF($Y127&gt;0,CHOOSE(MATCH(RegimeExecucao,{"Unitário","Global"},0),IF($A127="S",$Y127/$X127,""),($Y127/$X127)*100),0)</f>
        <v>0</v>
      </c>
      <c r="X127" s="351" t="str">
        <f ca="1">IF($Y127&gt;0,CHOOSE(MATCH(RegimeExecucao,{"Unitário","Global"},0),IF($A127="S",ROUND($H127,ORÇAMENTO!$AF$10),""),ROUND($I127,ORÇAMENTO!$AF$11)),"")</f>
        <v/>
      </c>
      <c r="Y127" s="351">
        <f t="shared" ca="1" si="74"/>
        <v>0</v>
      </c>
      <c r="Z127" s="507"/>
      <c r="AB127" s="349"/>
      <c r="AC127" s="469"/>
      <c r="AD127" s="469"/>
      <c r="AE127" s="469"/>
      <c r="AF127" s="469"/>
      <c r="AG127" s="469"/>
      <c r="AH127" s="469"/>
      <c r="AI127" s="469"/>
      <c r="AJ127" s="469"/>
      <c r="AK127" s="469"/>
      <c r="AL127" s="469"/>
      <c r="AM127" s="350"/>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f ca="1">ORÇAMENTO!C128</f>
        <v>2</v>
      </c>
      <c r="B128">
        <f ca="1">ORÇAMENTO!D128</f>
        <v>3</v>
      </c>
      <c r="C128" s="116" t="str">
        <f t="shared" ca="1" si="56"/>
        <v>F</v>
      </c>
      <c r="D128" s="119" t="str">
        <f ca="1">ORÇAMENTO!O128</f>
        <v>1.13.</v>
      </c>
      <c r="E128" s="170" t="str">
        <f t="shared" si="57"/>
        <v>SERVIÇOS FINAIS</v>
      </c>
      <c r="F128" s="171" t="str">
        <f ca="1">IF(RegimeExecucao="Global","",ORÇAMENTO.Unidade)</f>
        <v>-</v>
      </c>
      <c r="G128" s="124">
        <f ca="1">IF(RegimeExecucao="Global","",ORÇAMENTO!T128)</f>
        <v>0</v>
      </c>
      <c r="H128" s="124">
        <f ca="1">IF(RegimeExecucao="Global","",ORÇAMENTO!W128)</f>
        <v>0</v>
      </c>
      <c r="I128" s="127">
        <f ca="1">ORÇAMENTO!X128</f>
        <v>1244.8900000000001</v>
      </c>
      <c r="J128" s="345">
        <f ca="1">IF($A128="S",IF(CAIXA.Modo,BM.AFAnterior,BM.MEDAnterior),IF(AND(RegimeExecucao="Global",$I128&gt;0,COUNTIF($AB$13:$AM$13,BM.medicao-1)&gt;0),M128/$I128*100,0))</f>
        <v>0</v>
      </c>
      <c r="K128" s="124">
        <f t="shared" ca="1" si="58"/>
        <v>0</v>
      </c>
      <c r="L128" s="346">
        <f ca="1">IF($A128="S",IF(CAIXA.Modo,BM.AFAcumulado,BM.MEDAcumulado),IF(AND(RegimeExecucao="Global",$I128&gt;0,COUNTIF($AB$13:$AM$13,BM.medicao)&gt;0),O128/$I128*100,0))</f>
        <v>0</v>
      </c>
      <c r="M128" s="347">
        <f ca="1">IF($A128="S",VTOTALBM,IF($A128=0,0,ROUND(SomaAgrupBM,15-13*ORÇAMENTO!$AF$11)))</f>
        <v>0</v>
      </c>
      <c r="N128" s="348">
        <f t="shared" ca="1" si="59"/>
        <v>0</v>
      </c>
      <c r="O128" s="127">
        <f ca="1">IF($A128="S",VTOTALBM,IF($A128=0,0,ROUND(SomaAgrupBM,15-13*ORÇAMENTO!$AF$11)))</f>
        <v>0</v>
      </c>
      <c r="Q128" s="349"/>
      <c r="R128" s="350"/>
      <c r="T128" s="119" t="str">
        <f t="shared" ca="1" si="60"/>
        <v/>
      </c>
      <c r="U128" s="170" t="str">
        <f t="shared" ca="1" si="61"/>
        <v/>
      </c>
      <c r="V128" s="171" t="str">
        <f ca="1">IF(AND($W128&gt;0,RegimeExecucao="Unitário"),$F128,"")</f>
        <v/>
      </c>
      <c r="W128" s="486">
        <f ca="1">IF($Y128&gt;0,CHOOSE(MATCH(RegimeExecucao,{"Unitário","Global"},0),IF($A128="S",$Y128/$X128,""),($Y128/$X128)*100),0)</f>
        <v>0</v>
      </c>
      <c r="X128" s="351" t="str">
        <f ca="1">IF($Y128&gt;0,CHOOSE(MATCH(RegimeExecucao,{"Unitário","Global"},0),IF($A128="S",ROUND($H128,ORÇAMENTO!$AF$10),""),ROUND($I128,ORÇAMENTO!$AF$11)),"")</f>
        <v/>
      </c>
      <c r="Y128" s="351">
        <f t="shared" ca="1" si="62"/>
        <v>0</v>
      </c>
      <c r="Z128" s="507"/>
      <c r="AB128" s="349"/>
      <c r="AC128" s="469"/>
      <c r="AD128" s="469"/>
      <c r="AE128" s="469"/>
      <c r="AF128" s="469"/>
      <c r="AG128" s="469"/>
      <c r="AH128" s="469"/>
      <c r="AI128" s="469"/>
      <c r="AJ128" s="469"/>
      <c r="AK128" s="469"/>
      <c r="AL128" s="469"/>
      <c r="AM128" s="350"/>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25.5" x14ac:dyDescent="0.2">
      <c r="A129" t="str">
        <f ca="1">ORÇAMENTO!C129</f>
        <v>S</v>
      </c>
      <c r="B129">
        <f ca="1">ORÇAMENTO!D129</f>
        <v>0</v>
      </c>
      <c r="C129" s="116" t="str">
        <f t="shared" ca="1" si="56"/>
        <v>F</v>
      </c>
      <c r="D129" s="119" t="str">
        <f ca="1">ORÇAMENTO!O129</f>
        <v>1.13.0.0.1.</v>
      </c>
      <c r="E129" s="170" t="str">
        <f t="shared" ca="1" si="57"/>
        <v>LIMPEZA DE JANELA DE VIDRO COM CAIXILHO EM AÇO/ALUMÍNIO/PVC. AF_10/2025_PS</v>
      </c>
      <c r="F129" s="171" t="str">
        <f ca="1">IF(RegimeExecucao="Global","",ORÇAMENTO.Unidade)</f>
        <v>M2</v>
      </c>
      <c r="G129" s="124">
        <f ca="1">IF(RegimeExecucao="Global","",ORÇAMENTO!T129)</f>
        <v>34.56</v>
      </c>
      <c r="H129" s="124">
        <f ca="1">IF(RegimeExecucao="Global","",ORÇAMENTO!W129)</f>
        <v>6.51</v>
      </c>
      <c r="I129" s="127">
        <f ca="1">ORÇAMENTO!X129</f>
        <v>224.99</v>
      </c>
      <c r="J129" s="345">
        <f ca="1">IF($A129="S",IF(CAIXA.Modo,BM.AFAnterior,BM.MEDAnterior),IF(AND(RegimeExecucao="Global",$I129&gt;0,COUNTIF($AB$13:$AM$13,BM.medicao-1)&gt;0),M129/$I129*100,0))</f>
        <v>0</v>
      </c>
      <c r="K129" s="124">
        <f t="shared" ca="1" si="58"/>
        <v>0</v>
      </c>
      <c r="L129" s="346">
        <f ca="1">IF($A129="S",IF(CAIXA.Modo,BM.AFAcumulado,BM.MEDAcumulado),IF(AND(RegimeExecucao="Global",$I129&gt;0,COUNTIF($AB$13:$AM$13,BM.medicao)&gt;0),O129/$I129*100,0))</f>
        <v>0</v>
      </c>
      <c r="M129" s="347">
        <f ca="1">IF($A129="S",VTOTALBM,IF($A129=0,0,ROUND(SomaAgrupBM,15-13*ORÇAMENTO!$AF$11)))</f>
        <v>0</v>
      </c>
      <c r="N129" s="348">
        <f t="shared" ca="1" si="59"/>
        <v>0</v>
      </c>
      <c r="O129" s="127">
        <f ca="1">IF($A129="S",VTOTALBM,IF($A129=0,0,ROUND(SomaAgrupBM,15-13*ORÇAMENTO!$AF$11)))</f>
        <v>0</v>
      </c>
      <c r="Q129" s="349"/>
      <c r="R129" s="350"/>
      <c r="T129" s="119" t="str">
        <f t="shared" ca="1" si="60"/>
        <v/>
      </c>
      <c r="U129" s="170" t="str">
        <f t="shared" ca="1" si="61"/>
        <v/>
      </c>
      <c r="V129" s="171" t="str">
        <f ca="1">IF(AND($W129&gt;0,RegimeExecucao="Unitário"),$F129,"")</f>
        <v/>
      </c>
      <c r="W129" s="486">
        <f ca="1">IF($Y129&gt;0,CHOOSE(MATCH(RegimeExecucao,{"Unitário","Global"},0),IF($A129="S",$Y129/$X129,""),($Y129/$X129)*100),0)</f>
        <v>0</v>
      </c>
      <c r="X129" s="351" t="str">
        <f ca="1">IF($Y129&gt;0,CHOOSE(MATCH(RegimeExecucao,{"Unitário","Global"},0),IF($A129="S",ROUND($H129,ORÇAMENTO!$AF$10),""),ROUND($I129,ORÇAMENTO!$AF$11)),"")</f>
        <v/>
      </c>
      <c r="Y129" s="351">
        <f t="shared" ca="1" si="62"/>
        <v>0</v>
      </c>
      <c r="Z129" s="507"/>
      <c r="AB129" s="349"/>
      <c r="AC129" s="469"/>
      <c r="AD129" s="469"/>
      <c r="AE129" s="469"/>
      <c r="AF129" s="469"/>
      <c r="AG129" s="469"/>
      <c r="AH129" s="469"/>
      <c r="AI129" s="469"/>
      <c r="AJ129" s="469"/>
      <c r="AK129" s="469"/>
      <c r="AL129" s="469"/>
      <c r="AM129" s="350"/>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25.5" x14ac:dyDescent="0.2">
      <c r="A130" t="str">
        <f ca="1">ORÇAMENTO!C130</f>
        <v>S</v>
      </c>
      <c r="B130">
        <f ca="1">ORÇAMENTO!D130</f>
        <v>0</v>
      </c>
      <c r="C130" s="116" t="str">
        <f t="shared" ca="1" si="56"/>
        <v>F</v>
      </c>
      <c r="D130" s="119" t="str">
        <f ca="1">ORÇAMENTO!O130</f>
        <v>1.13.0.0.2.</v>
      </c>
      <c r="E130" s="170" t="str">
        <f t="shared" ca="1" si="57"/>
        <v>LIMPEZA DE SUPERFÍCIE PISO OU PAREDE COM JATO DE ALTA PRESSÃO. AF_10/2025</v>
      </c>
      <c r="F130" s="171" t="str">
        <f ca="1">IF(RegimeExecucao="Global","",ORÇAMENTO.Unidade)</f>
        <v>M2</v>
      </c>
      <c r="G130" s="124">
        <f ca="1">IF(RegimeExecucao="Global","",ORÇAMENTO!T130)</f>
        <v>470</v>
      </c>
      <c r="H130" s="124">
        <f ca="1">IF(RegimeExecucao="Global","",ORÇAMENTO!W130)</f>
        <v>2.17</v>
      </c>
      <c r="I130" s="127">
        <f ca="1">ORÇAMENTO!X130</f>
        <v>1019.9</v>
      </c>
      <c r="J130" s="345">
        <f ca="1">IF($A130="S",IF(CAIXA.Modo,BM.AFAnterior,BM.MEDAnterior),IF(AND(RegimeExecucao="Global",$I130&gt;0,COUNTIF($AB$13:$AM$13,BM.medicao-1)&gt;0),M130/$I130*100,0))</f>
        <v>0</v>
      </c>
      <c r="K130" s="124">
        <f t="shared" ca="1" si="58"/>
        <v>0</v>
      </c>
      <c r="L130" s="346">
        <f ca="1">IF($A130="S",IF(CAIXA.Modo,BM.AFAcumulado,BM.MEDAcumulado),IF(AND(RegimeExecucao="Global",$I130&gt;0,COUNTIF($AB$13:$AM$13,BM.medicao)&gt;0),O130/$I130*100,0))</f>
        <v>0</v>
      </c>
      <c r="M130" s="347">
        <f ca="1">IF($A130="S",VTOTALBM,IF($A130=0,0,ROUND(SomaAgrupBM,15-13*ORÇAMENTO!$AF$11)))</f>
        <v>0</v>
      </c>
      <c r="N130" s="348">
        <f t="shared" ca="1" si="59"/>
        <v>0</v>
      </c>
      <c r="O130" s="127">
        <f ca="1">IF($A130="S",VTOTALBM,IF($A130=0,0,ROUND(SomaAgrupBM,15-13*ORÇAMENTO!$AF$11)))</f>
        <v>0</v>
      </c>
      <c r="Q130" s="349"/>
      <c r="R130" s="350"/>
      <c r="T130" s="119" t="str">
        <f t="shared" ca="1" si="60"/>
        <v/>
      </c>
      <c r="U130" s="170" t="str">
        <f t="shared" ca="1" si="61"/>
        <v/>
      </c>
      <c r="V130" s="171" t="str">
        <f ca="1">IF(AND($W130&gt;0,RegimeExecucao="Unitário"),$F130,"")</f>
        <v/>
      </c>
      <c r="W130" s="486">
        <f ca="1">IF($Y130&gt;0,CHOOSE(MATCH(RegimeExecucao,{"Unitário","Global"},0),IF($A130="S",$Y130/$X130,""),($Y130/$X130)*100),0)</f>
        <v>0</v>
      </c>
      <c r="X130" s="351" t="str">
        <f ca="1">IF($Y130&gt;0,CHOOSE(MATCH(RegimeExecucao,{"Unitário","Global"},0),IF($A130="S",ROUND($H130,ORÇAMENTO!$AF$10),""),ROUND($I130,ORÇAMENTO!$AF$11)),"")</f>
        <v/>
      </c>
      <c r="Y130" s="351">
        <f t="shared" ca="1" si="62"/>
        <v>0</v>
      </c>
      <c r="Z130" s="507"/>
      <c r="AB130" s="349"/>
      <c r="AC130" s="469"/>
      <c r="AD130" s="469"/>
      <c r="AE130" s="469"/>
      <c r="AF130" s="469"/>
      <c r="AG130" s="469"/>
      <c r="AH130" s="469"/>
      <c r="AI130" s="469"/>
      <c r="AJ130" s="469"/>
      <c r="AK130" s="469"/>
      <c r="AL130" s="469"/>
      <c r="AM130" s="350"/>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5.45" customHeight="1" x14ac:dyDescent="0.2">
      <c r="C131" s="116" t="s">
        <v>244</v>
      </c>
      <c r="D131" s="440"/>
      <c r="E131" s="441"/>
      <c r="F131" s="441"/>
      <c r="G131" s="441"/>
      <c r="H131" s="441"/>
      <c r="I131" s="442"/>
      <c r="J131" s="440"/>
      <c r="K131" s="441"/>
      <c r="L131" s="442"/>
      <c r="M131" s="466"/>
      <c r="N131" s="467"/>
      <c r="O131" s="468"/>
      <c r="Q131" s="440"/>
      <c r="R131" s="442"/>
      <c r="T131" s="440"/>
      <c r="U131" s="441"/>
      <c r="V131" s="441"/>
      <c r="W131" s="441"/>
      <c r="X131" s="441"/>
      <c r="Y131" s="441"/>
      <c r="Z131" s="442"/>
      <c r="AB131" s="440"/>
      <c r="AC131" s="441"/>
      <c r="AD131" s="441"/>
      <c r="AE131" s="441"/>
      <c r="AF131" s="441"/>
      <c r="AG131" s="441"/>
      <c r="AH131" s="441"/>
      <c r="AI131" s="441"/>
      <c r="AJ131" s="441"/>
      <c r="AK131" s="441"/>
      <c r="AL131" s="441"/>
      <c r="AM131" s="442"/>
    </row>
    <row r="133" spans="1:41" ht="14.25" x14ac:dyDescent="0.2">
      <c r="D133" s="799" t="s">
        <v>185</v>
      </c>
      <c r="E133" s="799"/>
      <c r="F133" s="799"/>
      <c r="G133" s="799"/>
      <c r="H133" s="799"/>
      <c r="I133" s="799"/>
      <c r="J133" s="799"/>
      <c r="K133" s="799"/>
      <c r="L133" s="799"/>
      <c r="M133" s="799"/>
      <c r="N133" s="799"/>
      <c r="O133" s="799"/>
      <c r="T133" s="800" t="s">
        <v>347</v>
      </c>
      <c r="U133" s="800"/>
      <c r="V133" s="800"/>
      <c r="W133" s="800"/>
      <c r="X133" s="800"/>
      <c r="Y133" s="800"/>
      <c r="Z133" s="800"/>
    </row>
    <row r="134" spans="1:41" ht="12.75" customHeight="1" x14ac:dyDescent="0.2">
      <c r="D134" s="727"/>
      <c r="E134" s="727"/>
      <c r="F134" s="727"/>
      <c r="G134" s="727"/>
      <c r="H134" s="727"/>
      <c r="I134" s="727"/>
      <c r="J134" s="727"/>
      <c r="K134" s="727"/>
      <c r="L134" s="727"/>
      <c r="M134" s="727"/>
      <c r="N134" s="727"/>
      <c r="O134" s="727"/>
      <c r="T134" s="801"/>
      <c r="U134" s="801"/>
      <c r="V134" s="801"/>
      <c r="W134" s="801"/>
      <c r="X134" s="801"/>
      <c r="Y134" s="801"/>
      <c r="Z134" s="801"/>
    </row>
    <row r="135" spans="1:41" ht="12.75" customHeight="1" x14ac:dyDescent="0.2">
      <c r="D135" s="727"/>
      <c r="E135" s="727"/>
      <c r="F135" s="727"/>
      <c r="G135" s="727"/>
      <c r="H135" s="727"/>
      <c r="I135" s="727"/>
      <c r="J135" s="727"/>
      <c r="K135" s="727"/>
      <c r="L135" s="727"/>
      <c r="M135" s="727"/>
      <c r="N135" s="727"/>
      <c r="O135" s="727"/>
      <c r="T135" s="801"/>
      <c r="U135" s="801"/>
      <c r="V135" s="801"/>
      <c r="W135" s="801"/>
      <c r="X135" s="801"/>
      <c r="Y135" s="801"/>
      <c r="Z135" s="801"/>
    </row>
    <row r="136" spans="1:41" ht="12.75" customHeight="1" x14ac:dyDescent="0.2">
      <c r="D136" s="727"/>
      <c r="E136" s="727"/>
      <c r="F136" s="727"/>
      <c r="G136" s="727"/>
      <c r="H136" s="727"/>
      <c r="I136" s="727"/>
      <c r="J136" s="727"/>
      <c r="K136" s="727"/>
      <c r="L136" s="727"/>
      <c r="M136" s="727"/>
      <c r="N136" s="727"/>
      <c r="O136" s="727"/>
      <c r="T136" s="801"/>
      <c r="U136" s="801"/>
      <c r="V136" s="801"/>
      <c r="W136" s="801"/>
      <c r="X136" s="801"/>
      <c r="Y136" s="801"/>
      <c r="Z136" s="801"/>
    </row>
    <row r="137" spans="1:41" ht="14.25" x14ac:dyDescent="0.2">
      <c r="D137" s="475"/>
      <c r="E137" s="475"/>
      <c r="F137" s="475"/>
      <c r="G137" s="475"/>
      <c r="H137" s="475"/>
      <c r="I137" s="475"/>
      <c r="J137" s="475"/>
      <c r="K137" s="475"/>
      <c r="L137" s="475"/>
      <c r="M137" s="475"/>
      <c r="N137" s="475"/>
      <c r="O137" s="475"/>
    </row>
    <row r="138" spans="1:41" ht="15" customHeight="1" x14ac:dyDescent="0.25">
      <c r="D138" s="728"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38" s="728"/>
      <c r="F138" s="728"/>
      <c r="G138" s="728"/>
      <c r="H138" s="728"/>
      <c r="I138" s="728"/>
      <c r="J138" s="728"/>
      <c r="K138" s="728"/>
      <c r="L138" s="728"/>
    </row>
    <row r="139" spans="1:41" x14ac:dyDescent="0.2">
      <c r="D139" s="797"/>
      <c r="E139" s="797"/>
      <c r="F139" s="797"/>
      <c r="G139" s="797"/>
      <c r="H139" s="797"/>
      <c r="I139" s="797"/>
    </row>
    <row r="140" spans="1:41" x14ac:dyDescent="0.2">
      <c r="D140" s="79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40" s="795"/>
      <c r="F140" s="795"/>
      <c r="G140" s="795"/>
      <c r="H140" s="795"/>
      <c r="I140" s="795"/>
      <c r="J140" s="795"/>
      <c r="K140" s="795"/>
      <c r="L140" s="795"/>
      <c r="M140" s="795"/>
      <c r="N140" s="795"/>
      <c r="O140" s="795"/>
    </row>
    <row r="141" spans="1:41" ht="39.950000000000003" customHeight="1" x14ac:dyDescent="0.25">
      <c r="E141" s="144" t="str">
        <f>Import.Município</f>
        <v>LINDÓIA DO SUL - SC</v>
      </c>
      <c r="J141" s="643" t="str">
        <f ca="1">IF(DADOS!$D$50&lt;&gt;"","Preencher os Dados do Responsável pela Fiscalização, na aba DADOS.","")</f>
        <v/>
      </c>
      <c r="K141" s="643"/>
      <c r="L141" s="643"/>
      <c r="M141" s="643"/>
      <c r="W141" s="796"/>
      <c r="X141" s="796"/>
      <c r="Y141" s="796"/>
      <c r="Z141" s="796"/>
    </row>
    <row r="142" spans="1:41" x14ac:dyDescent="0.2">
      <c r="E142" s="10" t="s">
        <v>186</v>
      </c>
      <c r="J142" s="190" t="s">
        <v>296</v>
      </c>
      <c r="W142" s="190" t="s">
        <v>348</v>
      </c>
    </row>
    <row r="143" spans="1:41" x14ac:dyDescent="0.2">
      <c r="J143" s="78" t="s">
        <v>108</v>
      </c>
      <c r="K143" s="281">
        <f t="array" ref="K143:K146">Import.RespFiscalização</f>
        <v>0</v>
      </c>
      <c r="L143" s="79"/>
      <c r="W143" s="78" t="s">
        <v>108</v>
      </c>
      <c r="X143" s="794"/>
      <c r="Y143" s="794"/>
      <c r="Z143" s="794"/>
    </row>
    <row r="144" spans="1:41" x14ac:dyDescent="0.2">
      <c r="E144" s="491">
        <f>DADOS!$C$48</f>
        <v>0</v>
      </c>
      <c r="J144" s="78" t="s">
        <v>127</v>
      </c>
      <c r="K144" s="281">
        <v>0</v>
      </c>
      <c r="L144" s="79"/>
      <c r="W144" s="78" t="s">
        <v>349</v>
      </c>
      <c r="X144" s="794"/>
      <c r="Y144" s="794"/>
      <c r="Z144" s="794"/>
    </row>
    <row r="145" spans="5:26" x14ac:dyDescent="0.2">
      <c r="E145" s="146" t="s">
        <v>187</v>
      </c>
      <c r="J145" s="78" t="s">
        <v>109</v>
      </c>
      <c r="K145" s="281">
        <v>0</v>
      </c>
      <c r="L145" s="79"/>
      <c r="W145" s="78" t="s">
        <v>109</v>
      </c>
      <c r="X145" s="794"/>
      <c r="Y145" s="794"/>
      <c r="Z145" s="794"/>
    </row>
    <row r="146" spans="5:26" x14ac:dyDescent="0.2">
      <c r="J146" s="78" t="s">
        <v>110</v>
      </c>
      <c r="K146" s="13">
        <v>0</v>
      </c>
      <c r="W146" s="78"/>
      <c r="X146" s="13"/>
    </row>
  </sheetData>
  <sheetProtection algorithmName="SHA-512" hashValue="XVpHiGgxfq7DY/l7eqFtSl/L96uDrCLj9Hw1N/zpdqmtVlqwviHWobcpVz6r4ojVOZU56uPAuu7FkS5mO5Fwsw==" saltValue="Dp7u0IEqV4K0Cb1beyMhzg==" spinCount="100000" sheet="1" objects="1" scenarios="1" autoFilter="0"/>
  <autoFilter ref="C15:C13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38:L138"/>
    <mergeCell ref="D139:I139"/>
    <mergeCell ref="AB15:AM15"/>
    <mergeCell ref="D133:O133"/>
    <mergeCell ref="T133:Z133"/>
    <mergeCell ref="D134:O136"/>
    <mergeCell ref="T134:Z136"/>
    <mergeCell ref="D15:E15"/>
    <mergeCell ref="X145:Z145"/>
    <mergeCell ref="D140:O140"/>
    <mergeCell ref="W141:Z141"/>
    <mergeCell ref="X143:Z143"/>
    <mergeCell ref="X144:Z144"/>
  </mergeCells>
  <phoneticPr fontId="38" type="noConversion"/>
  <conditionalFormatting sqref="D14:O14 T14:Z14 D21:O130 T21:Z130">
    <cfRule type="expression" dxfId="67" priority="11249" stopIfTrue="1">
      <formula>OR(ACOMPANHAMENTO="PLE",TIPOORCAMENTO="Proposto",$L14&lt;0,AND($L14&gt;100,RegimeExecucao="Global"),$O14&gt;$I14,$O14&lt;0)</formula>
    </cfRule>
    <cfRule type="expression" dxfId="66" priority="11250" stopIfTrue="1">
      <formula>$A14=1</formula>
    </cfRule>
    <cfRule type="expression" dxfId="65" priority="11251" stopIfTrue="1">
      <formula>$A14&lt;&gt;"S"</formula>
    </cfRule>
  </conditionalFormatting>
  <conditionalFormatting sqref="Q14:R14 AB14:AM14 Q21:R130 AB21:AM130">
    <cfRule type="expression" dxfId="64" priority="11252" stopIfTrue="1">
      <formula>$A14=1</formula>
    </cfRule>
    <cfRule type="expression" dxfId="63" priority="11253" stopIfTrue="1">
      <formula>$A14&lt;&gt;"S"</formula>
    </cfRule>
  </conditionalFormatting>
  <conditionalFormatting sqref="E2">
    <cfRule type="expression" dxfId="62" priority="11254" stopIfTrue="1">
      <formula>Import.RegimeExecução="(SELECIONAR)"</formula>
    </cfRule>
  </conditionalFormatting>
  <conditionalFormatting sqref="F13:H13">
    <cfRule type="expression" dxfId="61" priority="11255" stopIfTrue="1">
      <formula>RegimeExecucao="Global"</formula>
    </cfRule>
  </conditionalFormatting>
  <conditionalFormatting sqref="D15:O15">
    <cfRule type="expression" dxfId="60" priority="11256" stopIfTrue="1">
      <formula>OR(ACOMPANHAMENTO="PLE",TIPOORCAMENTO="Proposto")</formula>
    </cfRule>
  </conditionalFormatting>
  <conditionalFormatting sqref="AB13">
    <cfRule type="cellIs" dxfId="59" priority="11257" stopIfTrue="1" operator="notEqual">
      <formula>1</formula>
    </cfRule>
  </conditionalFormatting>
  <conditionalFormatting sqref="O11">
    <cfRule type="expression" dxfId="58" priority="6116">
      <formula>ROUND($P$11,4)&gt;ROUND($P$10,4)</formula>
    </cfRule>
  </conditionalFormatting>
  <conditionalFormatting sqref="D16:O18 T16:Z18">
    <cfRule type="expression" dxfId="57" priority="886" stopIfTrue="1">
      <formula>OR(ACOMPANHAMENTO="PLE",TIPOORCAMENTO="Proposto",$L16&lt;0,AND($L16&gt;100,RegimeExecucao="Global"),$O16&gt;$I16,$O16&lt;0)</formula>
    </cfRule>
    <cfRule type="expression" dxfId="56" priority="887" stopIfTrue="1">
      <formula>$A16=1</formula>
    </cfRule>
    <cfRule type="expression" dxfId="55" priority="888" stopIfTrue="1">
      <formula>$A16&lt;&gt;"S"</formula>
    </cfRule>
  </conditionalFormatting>
  <conditionalFormatting sqref="Q16:R18 AB16:AM18">
    <cfRule type="expression" dxfId="54" priority="889" stopIfTrue="1">
      <formula>$A16=1</formula>
    </cfRule>
    <cfRule type="expression" dxfId="53" priority="890" stopIfTrue="1">
      <formula>$A16&lt;&gt;"S"</formula>
    </cfRule>
  </conditionalFormatting>
  <conditionalFormatting sqref="D19:O20 T19:Z20">
    <cfRule type="expression" dxfId="52" priority="1" stopIfTrue="1">
      <formula>OR(ACOMPANHAMENTO="PLE",TIPOORCAMENTO="Proposto",$L19&lt;0,AND($L19&gt;100,RegimeExecucao="Global"),$O19&gt;$I19,$O19&lt;0)</formula>
    </cfRule>
    <cfRule type="expression" dxfId="51" priority="2" stopIfTrue="1">
      <formula>$A19=1</formula>
    </cfRule>
    <cfRule type="expression" dxfId="50" priority="3" stopIfTrue="1">
      <formula>$A19&lt;&gt;"S"</formula>
    </cfRule>
  </conditionalFormatting>
  <conditionalFormatting sqref="Q19:R20 AB19:AM20">
    <cfRule type="expression" dxfId="49" priority="4" stopIfTrue="1">
      <formula>$A19=1</formula>
    </cfRule>
    <cfRule type="expression" dxfId="48" priority="5" stopIfTrue="1">
      <formula>$A19&lt;&gt;"S"</formula>
    </cfRule>
  </conditionalFormatting>
  <dataValidations count="4">
    <dataValidation type="list" allowBlank="1" showErrorMessage="1" sqref="Z14 Z16:Z13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3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3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&amp;LPMv3.09&amp;R&amp;P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58" t="str">
        <f>CONCATENATE("RRE - RELATÓRIO RESUMO DO EMPREENDIMENTO - ",IF(CAIXA.Modo,"CAIXA","TOMADOR"))</f>
        <v>RRE - RELATÓRIO RESUMO DO EMPREENDIMENTO - TOMADOR</v>
      </c>
      <c r="H1" s="8"/>
      <c r="I1" s="8"/>
      <c r="P1" s="527" t="s">
        <v>445</v>
      </c>
      <c r="AD1" s="359" t="s">
        <v>350</v>
      </c>
      <c r="AE1" s="360" t="s">
        <v>351</v>
      </c>
    </row>
    <row r="2" spans="1:41" x14ac:dyDescent="0.2">
      <c r="AC2" s="361" t="str">
        <f>J25</f>
        <v>Repasse</v>
      </c>
      <c r="AD2" s="362">
        <f ca="1">AD6-AD4-AD3</f>
        <v>0</v>
      </c>
      <c r="AE2" s="362">
        <f ca="1">AE6-AE4-AE3</f>
        <v>0</v>
      </c>
    </row>
    <row r="3" spans="1:41" x14ac:dyDescent="0.2">
      <c r="E3" s="717" t="s">
        <v>146</v>
      </c>
      <c r="F3" s="717"/>
      <c r="G3" s="717"/>
      <c r="H3" s="717"/>
      <c r="I3" s="707" t="s">
        <v>145</v>
      </c>
      <c r="J3" s="707"/>
      <c r="K3" s="707"/>
      <c r="L3" s="89" t="s">
        <v>422</v>
      </c>
      <c r="M3" s="152"/>
      <c r="O3" s="363"/>
      <c r="P3" s="284" t="s">
        <v>208</v>
      </c>
      <c r="R3" s="152"/>
      <c r="S3" s="152"/>
      <c r="T3" s="152"/>
      <c r="U3" s="152"/>
      <c r="AC3" s="361" t="s">
        <v>168</v>
      </c>
      <c r="AD3" s="362">
        <f ca="1">SUM(T13:OFFSET(T24,-1,0))</f>
        <v>0</v>
      </c>
      <c r="AE3" s="362">
        <f ca="1">IF(OR($O$28&lt;$M$28,$M$26&gt;$AD$3),MIN($M$26,$L$26),MIN($AD$3,$N$28-$N$27+$M$26))</f>
        <v>0</v>
      </c>
    </row>
    <row r="4" spans="1:41" ht="12.75" customHeight="1" x14ac:dyDescent="0.2">
      <c r="E4" s="722" t="str">
        <f>Import.Proponente</f>
        <v>0</v>
      </c>
      <c r="F4" s="722"/>
      <c r="G4" s="722"/>
      <c r="H4" s="722"/>
      <c r="I4" s="711" t="str">
        <f>Import.CR</f>
        <v>0</v>
      </c>
      <c r="J4" s="711"/>
      <c r="K4" s="711"/>
      <c r="L4" s="57" t="str">
        <f>Import.TransfereGOV</f>
        <v>0</v>
      </c>
      <c r="M4" s="806" t="s">
        <v>301</v>
      </c>
      <c r="N4" s="807"/>
      <c r="O4" s="808"/>
      <c r="P4" s="364" t="str">
        <f>import.recurso</f>
        <v>OGU</v>
      </c>
      <c r="R4" s="152"/>
      <c r="S4" s="152"/>
      <c r="T4" s="363"/>
      <c r="U4" s="363"/>
      <c r="AC4" s="361" t="s">
        <v>352</v>
      </c>
      <c r="AD4" s="362">
        <f ca="1">SUM(U13:OFFSET(U24,-1,0))</f>
        <v>0</v>
      </c>
      <c r="AE4" s="362">
        <f ca="1">IF(OR($O$28&lt;$M$28,$M$27&gt;$AD$4),MIN($M$27,$L$27),MIN($AD$4,$N$28+$M$27))</f>
        <v>0</v>
      </c>
    </row>
    <row r="5" spans="1:41" ht="5.45" customHeight="1" x14ac:dyDescent="0.2">
      <c r="H5" s="287"/>
      <c r="I5" s="287"/>
      <c r="J5" s="287"/>
      <c r="K5" s="287"/>
      <c r="L5" s="287"/>
      <c r="M5" s="365"/>
      <c r="N5" s="275"/>
      <c r="O5" s="4"/>
      <c r="R5" s="152"/>
      <c r="S5" s="152"/>
      <c r="T5" s="152"/>
      <c r="U5" s="152"/>
    </row>
    <row r="6" spans="1:41" ht="12.75" customHeight="1" x14ac:dyDescent="0.2">
      <c r="E6" s="707" t="s">
        <v>200</v>
      </c>
      <c r="F6" s="707"/>
      <c r="G6" s="707"/>
      <c r="H6" s="707"/>
      <c r="I6" s="833" t="s">
        <v>300</v>
      </c>
      <c r="J6" s="833"/>
      <c r="K6" s="833"/>
      <c r="L6" s="833"/>
      <c r="M6" s="56" t="str">
        <f>IF(import.recurso="FGTS","FINANCIAMENTO","REPASSE")</f>
        <v>REPASSE</v>
      </c>
      <c r="N6" s="98" t="s">
        <v>302</v>
      </c>
      <c r="O6" s="56" t="s">
        <v>303</v>
      </c>
      <c r="P6" s="153" t="s">
        <v>353</v>
      </c>
      <c r="R6" s="152"/>
      <c r="S6" s="152"/>
      <c r="T6" s="152"/>
      <c r="U6" s="152"/>
      <c r="AC6" s="361" t="s">
        <v>354</v>
      </c>
      <c r="AD6" s="362">
        <f ca="1">$O$28</f>
        <v>0</v>
      </c>
      <c r="AE6" s="362">
        <f ca="1">AD6</f>
        <v>0</v>
      </c>
    </row>
    <row r="7" spans="1:41" ht="12.75" customHeight="1" x14ac:dyDescent="0.2">
      <c r="D7" s="680" t="s">
        <v>207</v>
      </c>
      <c r="E7" s="711" t="str">
        <f>Import.Apelido</f>
        <v>RUA COBERTA MUNICIPAL</v>
      </c>
      <c r="F7" s="711"/>
      <c r="G7" s="711"/>
      <c r="H7" s="711"/>
      <c r="I7" s="830" t="str">
        <f>Import.Município</f>
        <v>LINDÓIA DO SUL - SC</v>
      </c>
      <c r="J7" s="830"/>
      <c r="K7" s="830"/>
      <c r="L7" s="830"/>
      <c r="M7" s="366">
        <f>Import.Repasse</f>
        <v>0</v>
      </c>
      <c r="N7" s="367">
        <f>Import.Contrapartida</f>
        <v>0</v>
      </c>
      <c r="O7" s="366">
        <f>M7+N7</f>
        <v>0</v>
      </c>
      <c r="P7" s="446">
        <f>IF(ACOMPANHAMENTO="PLE",PLE.Medicao,BM.medicao)</f>
        <v>1</v>
      </c>
      <c r="R7" s="152"/>
      <c r="S7" s="152"/>
      <c r="T7" s="152"/>
      <c r="U7" s="152"/>
    </row>
    <row r="8" spans="1:41" x14ac:dyDescent="0.2">
      <c r="D8" s="680"/>
      <c r="E8" s="94"/>
      <c r="F8" s="94"/>
      <c r="G8" s="94"/>
      <c r="H8" s="94"/>
      <c r="I8" s="94"/>
      <c r="J8" s="94"/>
      <c r="K8" s="94"/>
      <c r="L8" s="94"/>
      <c r="M8" s="94"/>
      <c r="N8" s="94"/>
      <c r="O8" s="94"/>
      <c r="P8" s="94"/>
      <c r="R8" s="152"/>
      <c r="S8" s="152"/>
      <c r="T8" s="152"/>
      <c r="U8" s="152"/>
    </row>
    <row r="9" spans="1:41" ht="12.75" customHeight="1" x14ac:dyDescent="0.2">
      <c r="D9" s="680"/>
      <c r="G9" s="831" t="s">
        <v>355</v>
      </c>
      <c r="H9" s="831"/>
      <c r="I9" s="831" t="s">
        <v>356</v>
      </c>
      <c r="J9" s="831"/>
      <c r="K9" s="368"/>
      <c r="L9" s="832" t="s">
        <v>307</v>
      </c>
      <c r="M9" s="369" t="s">
        <v>310</v>
      </c>
      <c r="N9" s="288" t="s">
        <v>236</v>
      </c>
      <c r="P9" s="370"/>
      <c r="R9" s="152"/>
      <c r="S9" s="152"/>
      <c r="T9" s="152"/>
      <c r="U9" s="152"/>
      <c r="V9" s="7" t="s">
        <v>357</v>
      </c>
    </row>
    <row r="10" spans="1:41" ht="12.75" customHeight="1" x14ac:dyDescent="0.2">
      <c r="D10" s="680"/>
      <c r="G10" s="664" t="str">
        <f ca="1">IF(J10="-","-",IF($P$24&lt;J10,"Atrasada",IF($P$24&gt;J10,"Adiantada","Normal")))</f>
        <v>Normal</v>
      </c>
      <c r="H10" s="664"/>
      <c r="I10" s="371">
        <f>DATE(YEAR($L$35),MONTH($L$35),1)</f>
        <v>1</v>
      </c>
      <c r="J10" s="372">
        <f ca="1">IF($I$10&lt;DATE(YEAR(CRONO!$U$13),MONTH(CRONO!$U$13),1),0,IF($I$10&gt;OFFSET(CRONO!$AS$13,0,-1),1,INDEX(CRONO!$T$113:$AT$113,MATCH(RRE!$I$10,CRONO!$T$13:$AS$13,0))))</f>
        <v>0</v>
      </c>
      <c r="K10" s="368"/>
      <c r="L10" s="832"/>
      <c r="M10" s="373">
        <f ca="1">QCI!L10</f>
        <v>0</v>
      </c>
      <c r="N10" s="290">
        <f ca="1">QCI!M10</f>
        <v>-1343349.71</v>
      </c>
      <c r="P10" s="370"/>
      <c r="R10" s="152"/>
      <c r="S10" s="152"/>
      <c r="T10" s="152"/>
      <c r="U10" s="152"/>
      <c r="AC10" s="827" t="s">
        <v>358</v>
      </c>
      <c r="AD10" s="827"/>
      <c r="AE10" s="827"/>
      <c r="AF10" s="827"/>
      <c r="AG10" s="827"/>
      <c r="AH10" s="827"/>
      <c r="AJ10" s="827" t="s">
        <v>4</v>
      </c>
      <c r="AK10" s="827"/>
      <c r="AL10" s="827"/>
      <c r="AM10" s="827"/>
      <c r="AN10" s="827"/>
      <c r="AO10" s="827"/>
    </row>
    <row r="11" spans="1:41" ht="20.100000000000001" customHeight="1" x14ac:dyDescent="0.2">
      <c r="D11" s="680"/>
      <c r="M11" s="483" t="str">
        <f>IF(CAIXA.Modo,"Valores Aferidos (R$)","Valores Medidos (R$)")</f>
        <v>Valores Medidos (R$)</v>
      </c>
      <c r="N11" s="483"/>
      <c r="O11" s="483"/>
      <c r="R11" s="374"/>
      <c r="S11" s="374"/>
      <c r="T11" s="483"/>
      <c r="U11" s="483"/>
      <c r="V11" s="480" t="s">
        <v>398</v>
      </c>
      <c r="Y11" s="828" t="str">
        <f>IF(CAIXA.Modo,"Valores Aferidos (R$)","Valores Medidos (R$)")</f>
        <v>Valores Medidos (R$)</v>
      </c>
      <c r="Z11" s="828"/>
      <c r="AC11" s="829" t="s">
        <v>359</v>
      </c>
      <c r="AD11" s="829"/>
      <c r="AE11" s="829"/>
      <c r="AF11" s="829" t="s">
        <v>360</v>
      </c>
      <c r="AG11" s="829"/>
      <c r="AH11" s="829"/>
      <c r="AJ11" s="829" t="s">
        <v>359</v>
      </c>
      <c r="AK11" s="829"/>
      <c r="AL11" s="829"/>
      <c r="AM11" s="829" t="s">
        <v>360</v>
      </c>
      <c r="AN11" s="829"/>
      <c r="AO11" s="829"/>
    </row>
    <row r="12" spans="1:41" hidden="1" x14ac:dyDescent="0.2">
      <c r="A12" t="e">
        <f ca="1">MATCH(E12,ORÇAMENTO!$E$15:$E$131,0)-1</f>
        <v>#N/A</v>
      </c>
      <c r="B12" t="e">
        <f ca="1">IF(ISERROR($A12),NA(),OFFSET(ORÇAMENTO!$D$15,$A12,0))</f>
        <v>#N/A</v>
      </c>
      <c r="C12" t="str">
        <f ca="1">QCI!B12</f>
        <v>Branco</v>
      </c>
      <c r="D12" t="str">
        <f ca="1">IF(L12&gt;0,"F","")</f>
        <v/>
      </c>
      <c r="E12" s="291">
        <f>QCI!D12</f>
        <v>-1</v>
      </c>
      <c r="F12" s="375" t="str">
        <f ca="1">QCI!G12</f>
        <v/>
      </c>
      <c r="G12" s="376">
        <f>QCI!H12</f>
        <v>0</v>
      </c>
      <c r="H12" s="292">
        <f>QCI!I12</f>
        <v>0</v>
      </c>
      <c r="I12" s="292" t="str">
        <f ca="1">QCI!J12</f>
        <v/>
      </c>
      <c r="J12" s="377" t="str">
        <f ca="1">QCI!K12</f>
        <v/>
      </c>
      <c r="K12" s="378" t="str">
        <f ca="1">IF($C12="Automático",IF(ACOMPANHAMENTO="BM",BM.medicao,PLE.Medicao),IF(ISBLANK($X12),"",$X12))</f>
        <v/>
      </c>
      <c r="L12" s="296">
        <f ca="1">QCI!$O12</f>
        <v>0</v>
      </c>
      <c r="M12" s="293">
        <f ca="1">ROUND(IF(C12="Automático",AE12+AL12,Y12),2)</f>
        <v>0</v>
      </c>
      <c r="N12" s="294">
        <f ca="1">O12-M12</f>
        <v>0</v>
      </c>
      <c r="O12" s="295">
        <f ca="1">ROUND(IF(C12="Automático",AH12+AO12,Z12),2)</f>
        <v>0</v>
      </c>
      <c r="P12" s="380">
        <f ca="1">O12/(L12+10^-12)</f>
        <v>0</v>
      </c>
      <c r="R12" s="379">
        <f ca="1">ROUND(IF($C12="Automático",AC12+AJ12,$Y12*IF(ISERROR(QCI!$AA12/QCI!$O12),0,QCI!$AA12/QCI!$O12)),2)</f>
        <v>0</v>
      </c>
      <c r="S12" s="379">
        <f ca="1">ROUND(IF($C12="Automático",AD12+AK12,$Y12*IF(ISERROR(QCI!$AB12/QCI!$O12),0,QCI!$AB12/QCI!$O12)),2)</f>
        <v>0</v>
      </c>
      <c r="T12" s="379">
        <f ca="1">ROUND(IF($C12="Automático",AF12+AM12,$Z12*IF(ISERROR(QCI!$AA12/QCI!$O12),0,QCI!$AA12/QCI!$O12)),2)</f>
        <v>0</v>
      </c>
      <c r="U12" s="379">
        <f ca="1">ROUND(IF($C12="Automático",AG12+AN12,$Z12*IF(ISERROR(QCI!$AB12/QCI!$O12),0,QCI!$AB12/QCI!$O12)),2)</f>
        <v>0</v>
      </c>
      <c r="V12" s="481" t="str">
        <f ca="1">IF(AND($L12&gt;0,$J12&lt;&gt;0,$J12&lt;&gt;"",COUNTIF($J12:$J$13,$J12)=1),OFFSET(V12,-1,0)+1,OFFSET(V12,-1,0))</f>
        <v>Lista CTEFs</v>
      </c>
      <c r="X12" s="553"/>
      <c r="Y12" s="297"/>
      <c r="Z12" s="298"/>
      <c r="AC12" s="192" t="e">
        <f ca="1">IF(ACOMPANHAMENTO&lt;&gt;"PLE",0,SUMPRODUCT((OFFSET(CÁLCULO!$BV$15:$CN$15,$A12,0,$B12)&lt;=(PLE.Medicao-1))*OFFSET(CÁLCULO!$AJ$15:$BB$15,$A12,0,$B12)*OFFSET(ORÇAMENTO!$AA$15,$A12,0,$B12)/(OFFSET(ORÇAMENTO!$X$15,$A12,0,$B12)+10^-12))+IF(AUTOEVENTO="Manual",SUMPRODUCT((OFFSET(CÁLCULO!$M$15,$A12,0,$B12)=1)*OFFSET(ORÇAMENTO!$AA$15,$A12,0,$B12)*(PLE!$AE$9-PLE!$Y$9)),0))</f>
        <v>#N/A</v>
      </c>
      <c r="AD12" s="192" t="e">
        <f ca="1">IF(ACOMPANHAMENTO&lt;&gt;"PLE",0,SUMPRODUCT((OFFSET(CÁLCULO!$BV$15:$CN$15,$A12,0,$B12)&lt;=(PLE.Medicao-1))*OFFSET(CÁLCULO!$AJ$15:$BB$15,$A12,0,$B12)*OFFSET(ORÇAMENTO!$AB$15,$A12,0,$B12)/(OFFSET(ORÇAMENTO!$X$15,$A12,0,$B12)+10^-12))+IF(AUTOEVENTO="Manual",SUMPRODUCT((OFFSET(CÁLCULO!$M$15,$A12,0,$B12)=1)*OFFSET(ORÇAMENTO!$AB$15,$A12,0,$B12)*(PLE!$AE$9-PLE!$Y$9)),0))</f>
        <v>#N/A</v>
      </c>
      <c r="AE12" s="192" t="e">
        <f ca="1">ROUND(IF(ACOMPANHAMENTO&lt;&gt;"PLE",0,SUMIF(OFFSET(CÁLCULO!$BV$15:$CN$15,$A12,0,$B12),"&lt;="&amp;(PLE.Medicao-1),OFFSET(CÁLCULO!$AJ$15:$BB$15,$A12,0,$B12))+IF(AUTOEVENTO="Manual",SUMIF(OFFSET(CÁLCULO!$M$15,$A12,0,$B12),1,OFFSET(ORÇAMENTO!$X$15,$A12,0,$B12))*(PLE!$AE$9-PLE!$Y$9),0)),2)</f>
        <v>#N/A</v>
      </c>
      <c r="AF12" s="192" t="e">
        <f ca="1">IF(ACOMPANHAMENTO&lt;&gt;"PLE",0,SUMPRODUCT((OFFSET(CÁLCULO!$BV$15:$CN$15,$A12,0,$B12)&lt;=PLE.Medicao)*OFFSET(CÁLCULO!$AJ$15:$BB$15,$A12,0,$B12)*OFFSET(ORÇAMENTO!$AA$15,$A12,0,$B12)/(OFFSET(ORÇAMENTO!$X$15,$A12,0,$B12)+10^-12))+IF(AUTOEVENTO="Manual",SUMPRODUCT((OFFSET(CÁLCULO!$M$15,$A12,0,$B12)=1)*OFFSET(ORÇAMENTO!$AA$15,$A12,0,$B12)*PLE!$AE$9),0))</f>
        <v>#N/A</v>
      </c>
      <c r="AG12" s="192" t="e">
        <f ca="1">IF(ACOMPANHAMENTO&lt;&gt;"PLE",0,SUMPRODUCT((OFFSET(CÁLCULO!$BV$15:$CN$15,$A12,0,$B12)&lt;=PLE.Medicao)*OFFSET(CÁLCULO!$AJ$15:$BB$15,$A12,0,$B12)*OFFSET(ORÇAMENTO!$AB$15,$A12,0,$B12)/(OFFSET(ORÇAMENTO!$X$15,$A12,0,$B12)+10^-12))+IF(AUTOEVENTO="Manual",SUMPRODUCT((OFFSET(CÁLCULO!$M$15,$A12,0,$B12)=1)*OFFSET(ORÇAMENTO!$AB$15,$A12,0,$B12)*PLE!$AE$9),0))</f>
        <v>#N/A</v>
      </c>
      <c r="AH12" s="192" t="e">
        <f ca="1">ROUND(IF(ACOMPANHAMENTO&lt;&gt;"PLE",0,SUMIF(OFFSET(CÁLCULO!$BV$15:$CN$15,$A12,0,$B12),"&lt;="&amp;PLE.Medicao,OFFSET(CÁLCULO!$AJ$15:$BB$15,$A12,0,$B12))+IF(AUTOEVENTO="Manual",SUMIF(OFFSET(CÁLCULO!$M$15,$A12,0,$B12),1,OFFSET(ORÇAMENTO!$X$15,$A12,0,$B12))*PLE!$AE$9,0)),2)</f>
        <v>#N/A</v>
      </c>
      <c r="AJ12" s="192">
        <f ca="1">IF(ACOMPANHAMENTO&lt;&gt;"BM",0,SUMPRODUCT(OFFSET(BM!$M$15,$A12,0,$B12)*(OFFSET(BM!$A$15,$A12,0,$B12)="S")*OFFSET(ORÇAMENTO!AA$15,$A12,0,$B12)/(OFFSET(ORÇAMENTO!$X$15,$A12,0,$B12)+10^-12)))</f>
        <v>0</v>
      </c>
      <c r="AK12" s="192">
        <f ca="1">IF(ACOMPANHAMENTO&lt;&gt;"BM",0,SUMPRODUCT(OFFSET(BM!$M$15,$A12,0,$B12)*(OFFSET(BM!$A$15,$A12,0,$B12)="S")*OFFSET(ORÇAMENTO!AB$15,$A12,0,$B12)/(OFFSET(ORÇAMENTO!$X$15,$A12,0,$B12)+10^-12)))</f>
        <v>0</v>
      </c>
      <c r="AL12" s="192">
        <f ca="1">IF(ACOMPANHAMENTO&lt;&gt;"BM",0,OFFSET(BM!$M$15,$A12,0))</f>
        <v>0</v>
      </c>
      <c r="AM12" s="192">
        <f ca="1">IF(ACOMPANHAMENTO&lt;&gt;"BM",0,SUMPRODUCT(OFFSET(BM!$O$15,$A12,0,$B12)*(OFFSET(BM!$A$15,$A12,0,$B12)="S")*OFFSET(ORÇAMENTO!AA$15,$A12,0,$B12)/(OFFSET(ORÇAMENTO!$X$15,$A12,0,$B12)+10^-12)))</f>
        <v>0</v>
      </c>
      <c r="AN12" s="192">
        <f ca="1">IF(ACOMPANHAMENTO&lt;&gt;"BM",0,SUMPRODUCT(OFFSET(BM!$O$15,$A12,0,$B12)*(OFFSET(BM!$A$15,$A12,0,$B12)="S")*OFFSET(ORÇAMENTO!AB$15,$A12,0,$B12)/(OFFSET(ORÇAMENTO!$X$15,$A12,0,$B12)+10^-12)))</f>
        <v>0</v>
      </c>
      <c r="AO12" s="192">
        <f ca="1">IF(ACOMPANHAMENTO&lt;&gt;"BM",0,OFFSET(BM!$O$15,$A12,0))</f>
        <v>0</v>
      </c>
    </row>
    <row r="13" spans="1:41" ht="39.950000000000003" customHeight="1" x14ac:dyDescent="0.2">
      <c r="A13" s="300" t="s">
        <v>361</v>
      </c>
      <c r="B13" s="10" t="s">
        <v>219</v>
      </c>
      <c r="C13" s="300" t="s">
        <v>312</v>
      </c>
      <c r="D13" s="108" t="s">
        <v>215</v>
      </c>
      <c r="E13" s="109" t="s">
        <v>193</v>
      </c>
      <c r="F13" s="109" t="s">
        <v>315</v>
      </c>
      <c r="G13" s="109" t="s">
        <v>160</v>
      </c>
      <c r="H13" s="109" t="s">
        <v>201</v>
      </c>
      <c r="I13" s="109" t="s">
        <v>316</v>
      </c>
      <c r="J13" s="109" t="s">
        <v>317</v>
      </c>
      <c r="K13" s="301" t="s">
        <v>362</v>
      </c>
      <c r="L13" s="109" t="s">
        <v>363</v>
      </c>
      <c r="M13" s="301" t="s">
        <v>359</v>
      </c>
      <c r="N13" s="302" t="s">
        <v>366</v>
      </c>
      <c r="O13" s="303" t="s">
        <v>360</v>
      </c>
      <c r="P13" s="109" t="s">
        <v>369</v>
      </c>
      <c r="R13" s="381" t="s">
        <v>364</v>
      </c>
      <c r="S13" s="381" t="s">
        <v>365</v>
      </c>
      <c r="T13" s="381" t="s">
        <v>367</v>
      </c>
      <c r="U13" s="381" t="s">
        <v>368</v>
      </c>
      <c r="V13" s="482"/>
      <c r="X13" s="301" t="s">
        <v>362</v>
      </c>
      <c r="Y13" s="166" t="s">
        <v>359</v>
      </c>
      <c r="Z13" s="167" t="s">
        <v>360</v>
      </c>
      <c r="AC13" s="111" t="s">
        <v>168</v>
      </c>
      <c r="AD13" s="111" t="s">
        <v>352</v>
      </c>
      <c r="AE13" s="111" t="s">
        <v>354</v>
      </c>
      <c r="AF13" s="111" t="s">
        <v>168</v>
      </c>
      <c r="AG13" s="111" t="s">
        <v>352</v>
      </c>
      <c r="AH13" s="111" t="s">
        <v>354</v>
      </c>
      <c r="AJ13" s="111" t="s">
        <v>168</v>
      </c>
      <c r="AK13" s="111" t="s">
        <v>352</v>
      </c>
      <c r="AL13" s="111" t="s">
        <v>354</v>
      </c>
      <c r="AM13" s="111" t="s">
        <v>168</v>
      </c>
      <c r="AN13" s="111" t="s">
        <v>352</v>
      </c>
      <c r="AO13" s="111" t="s">
        <v>354</v>
      </c>
    </row>
    <row r="14" spans="1:41" x14ac:dyDescent="0.2">
      <c r="A14">
        <f ca="1">MATCH(E14,ORÇAMENTO!$E$15:$E$131,0)-1</f>
        <v>1</v>
      </c>
      <c r="B14">
        <f ca="1">IF(ISERROR($A14),NA(),OFFSET(ORÇAMENTO!$D$15,$A14,0))</f>
        <v>115</v>
      </c>
      <c r="C14" t="str">
        <f ca="1">QCI!B14</f>
        <v>Automático</v>
      </c>
      <c r="D14" t="str">
        <f t="shared" ref="D14:D22" ca="1" si="0">IF(L14&gt;0,"F","")</f>
        <v>F</v>
      </c>
      <c r="E14" s="291">
        <f>QCI!D14</f>
        <v>1</v>
      </c>
      <c r="F14" s="375" t="str">
        <f ca="1">QCI!G14</f>
        <v xml:space="preserve">CONSTRUÇÃO DA RUA COBERTA MUNICIPAL </v>
      </c>
      <c r="G14" s="376">
        <f>QCI!H14</f>
        <v>0</v>
      </c>
      <c r="H14" s="292">
        <f>QCI!I14</f>
        <v>0</v>
      </c>
      <c r="I14" s="292" t="str">
        <f ca="1">QCI!J14</f>
        <v/>
      </c>
      <c r="J14" s="377" t="str">
        <f ca="1">QCI!K14</f>
        <v>LOTE 1</v>
      </c>
      <c r="K14" s="378">
        <f ca="1">IF($C14="Automático",IF(ACOMPANHAMENTO="BM",BM.medicao,PLE.Medicao),IF(ISBLANK($X14),"",$X14))</f>
        <v>1</v>
      </c>
      <c r="L14" s="296">
        <f ca="1">QCI!$O14</f>
        <v>1343349.71</v>
      </c>
      <c r="M14" s="293">
        <f t="shared" ref="M14:M22" ca="1" si="1">ROUND(IF(C14="Automático",AE14+AL14,Y14),2)</f>
        <v>0</v>
      </c>
      <c r="N14" s="294">
        <f t="shared" ref="N14:N22" ca="1" si="2">O14-M14</f>
        <v>0</v>
      </c>
      <c r="O14" s="295">
        <f t="shared" ref="O14:O22" ca="1" si="3">ROUND(IF(C14="Automático",AH14+AO14,Z14),2)</f>
        <v>0</v>
      </c>
      <c r="P14" s="380">
        <f t="shared" ref="P14:P22" ca="1" si="4">O14/(L14+10^-12)</f>
        <v>0</v>
      </c>
      <c r="R14" s="379">
        <f ca="1">ROUND(IF($C14="Automático",AC14+AJ14,$Y14*IF(ISERROR(QCI!$AA14/QCI!$O14),0,QCI!$AA14/QCI!$O14)),2)</f>
        <v>0</v>
      </c>
      <c r="S14" s="379">
        <f ca="1">ROUND(IF($C14="Automático",AD14+AK14,$Y14*IF(ISERROR(QCI!$AB14/QCI!$O14),0,QCI!$AB14/QCI!$O14)),2)</f>
        <v>0</v>
      </c>
      <c r="T14" s="379">
        <f ca="1">ROUND(IF($C14="Automático",AF14+AM14,$Z14*IF(ISERROR(QCI!$AA14/QCI!$O14),0,QCI!$AA14/QCI!$O14)),2)</f>
        <v>0</v>
      </c>
      <c r="U14" s="379">
        <f ca="1">ROUND(IF($C14="Automático",AG14+AN14,$Z14*IF(ISERROR(QCI!$AB14/QCI!$O14),0,QCI!$AB14/QCI!$O14)),2)</f>
        <v>0</v>
      </c>
      <c r="V14" s="481">
        <f ca="1">IF(AND($L14&gt;0,$J14&lt;&gt;0,$J14&lt;&gt;"",COUNTIF($J$13:$J14,$J14)=1),OFFSET(V14,-1,0)+1,OFFSET(V14,-1,0))</f>
        <v>1</v>
      </c>
      <c r="X14" s="553"/>
      <c r="Y14" s="297"/>
      <c r="Z14" s="298"/>
      <c r="AC14" s="192">
        <f ca="1">IF(ACOMPANHAMENTO&lt;&gt;"PLE",0,SUMPRODUCT((OFFSET(CÁLCULO!$BV$15:$CN$15,$A14,0,$B14)&lt;=(PLE.Medicao-1))*OFFSET(CÁLCULO!$AJ$15:$BB$15,$A14,0,$B14)*OFFSET(ORÇAMENTO!$AA$15,$A14,0,$B14)/(OFFSET(ORÇAMENTO!$X$15,$A14,0,$B14)+10^-12))+IF(AUTOEVENTO="Manual",SUMPRODUCT((OFFSET(CÁLCULO!$M$15,$A14,0,$B14)=1)*OFFSET(ORÇAMENTO!$AA$15,$A14,0,$B14)*(PLE!$AE$9-PLE!$Y$9)),0))</f>
        <v>0</v>
      </c>
      <c r="AD14" s="192">
        <f ca="1">IF(ACOMPANHAMENTO&lt;&gt;"PLE",0,SUMPRODUCT((OFFSET(CÁLCULO!$BV$15:$CN$15,$A14,0,$B14)&lt;=(PLE.Medicao-1))*OFFSET(CÁLCULO!$AJ$15:$BB$15,$A14,0,$B14)*OFFSET(ORÇAMENTO!$AB$15,$A14,0,$B14)/(OFFSET(ORÇAMENTO!$X$15,$A14,0,$B14)+10^-12))+IF(AUTOEVENTO="Manual",SUMPRODUCT((OFFSET(CÁLCULO!$M$15,$A14,0,$B14)=1)*OFFSET(ORÇAMENTO!$AB$15,$A14,0,$B14)*(PLE!$AE$9-PLE!$Y$9)),0))</f>
        <v>0</v>
      </c>
      <c r="AE14" s="192">
        <f ca="1">ROUND(IF(ACOMPANHAMENTO&lt;&gt;"PLE",0,SUMIF(OFFSET(CÁLCULO!$BV$15:$CN$15,$A14,0,$B14),"&lt;="&amp;(PLE.Medicao-1),OFFSET(CÁLCULO!$AJ$15:$BB$15,$A14,0,$B14))+IF(AUTOEVENTO="Manual",SUMIF(OFFSET(CÁLCULO!$M$15,$A14,0,$B14),1,OFFSET(ORÇAMENTO!$X$15,$A14,0,$B14))*(PLE!$AE$9-PLE!$Y$9),0)),2)</f>
        <v>0</v>
      </c>
      <c r="AF14" s="192">
        <f ca="1">IF(ACOMPANHAMENTO&lt;&gt;"PLE",0,SUMPRODUCT((OFFSET(CÁLCULO!$BV$15:$CN$15,$A14,0,$B14)&lt;=PLE.Medicao)*OFFSET(CÁLCULO!$AJ$15:$BB$15,$A14,0,$B14)*OFFSET(ORÇAMENTO!$AA$15,$A14,0,$B14)/(OFFSET(ORÇAMENTO!$X$15,$A14,0,$B14)+10^-12))+IF(AUTOEVENTO="Manual",SUMPRODUCT((OFFSET(CÁLCULO!$M$15,$A14,0,$B14)=1)*OFFSET(ORÇAMENTO!$AA$15,$A14,0,$B14)*PLE!$AE$9),0))</f>
        <v>0</v>
      </c>
      <c r="AG14" s="192">
        <f ca="1">IF(ACOMPANHAMENTO&lt;&gt;"PLE",0,SUMPRODUCT((OFFSET(CÁLCULO!$BV$15:$CN$15,$A14,0,$B14)&lt;=PLE.Medicao)*OFFSET(CÁLCULO!$AJ$15:$BB$15,$A14,0,$B14)*OFFSET(ORÇAMENTO!$AB$15,$A14,0,$B14)/(OFFSET(ORÇAMENTO!$X$15,$A14,0,$B14)+10^-12))+IF(AUTOEVENTO="Manual",SUMPRODUCT((OFFSET(CÁLCULO!$M$15,$A14,0,$B14)=1)*OFFSET(ORÇAMENTO!$AB$15,$A14,0,$B14)*PLE!$AE$9),0))</f>
        <v>0</v>
      </c>
      <c r="AH14" s="192">
        <f ca="1">ROUND(IF(ACOMPANHAMENTO&lt;&gt;"PLE",0,SUMIF(OFFSET(CÁLCULO!$BV$15:$CN$15,$A14,0,$B14),"&lt;="&amp;PLE.Medicao,OFFSET(CÁLCULO!$AJ$15:$BB$15,$A14,0,$B14))+IF(AUTOEVENTO="Manual",SUMIF(OFFSET(CÁLCULO!$M$15,$A14,0,$B14),1,OFFSET(ORÇAMENTO!$X$15,$A14,0,$B14))*PLE!$AE$9,0)),2)</f>
        <v>0</v>
      </c>
      <c r="AJ14" s="192">
        <f ca="1">IF(ACOMPANHAMENTO&lt;&gt;"BM",0,SUMPRODUCT(OFFSET(BM!$M$15,$A14,0,$B14)*(OFFSET(BM!$A$15,$A14,0,$B14)="S")*OFFSET(ORÇAMENTO!AA$15,$A14,0,$B14)/(OFFSET(ORÇAMENTO!$X$15,$A14,0,$B14)+10^-12)))</f>
        <v>0</v>
      </c>
      <c r="AK14" s="192">
        <f ca="1">IF(ACOMPANHAMENTO&lt;&gt;"BM",0,SUMPRODUCT(OFFSET(BM!$M$15,$A14,0,$B14)*(OFFSET(BM!$A$15,$A14,0,$B14)="S")*OFFSET(ORÇAMENTO!AB$15,$A14,0,$B14)/(OFFSET(ORÇAMENTO!$X$15,$A14,0,$B14)+10^-12)))</f>
        <v>0</v>
      </c>
      <c r="AL14" s="192">
        <f ca="1">IF(ACOMPANHAMENTO&lt;&gt;"BM",0,OFFSET(BM!$M$15,$A14,0))</f>
        <v>0</v>
      </c>
      <c r="AM14" s="192">
        <f ca="1">IF(ACOMPANHAMENTO&lt;&gt;"BM",0,SUMPRODUCT(OFFSET(BM!$O$15,$A14,0,$B14)*(OFFSET(BM!$A$15,$A14,0,$B14)="S")*OFFSET(ORÇAMENTO!AA$15,$A14,0,$B14)/(OFFSET(ORÇAMENTO!$X$15,$A14,0,$B14)+10^-12)))</f>
        <v>0</v>
      </c>
      <c r="AN14" s="192">
        <f ca="1">IF(ACOMPANHAMENTO&lt;&gt;"BM",0,SUMPRODUCT(OFFSET(BM!$O$15,$A14,0,$B14)*(OFFSET(BM!$A$15,$A14,0,$B14)="S")*OFFSET(ORÇAMENTO!AB$15,$A14,0,$B14)/(OFFSET(ORÇAMENTO!$X$15,$A14,0,$B14)+10^-12)))</f>
        <v>0</v>
      </c>
      <c r="AO14" s="192">
        <f ca="1">IF(ACOMPANHAMENTO&lt;&gt;"BM",0,OFFSET(BM!$O$15,$A14,0))</f>
        <v>0</v>
      </c>
    </row>
    <row r="15" spans="1:41" x14ac:dyDescent="0.2">
      <c r="A15" t="e">
        <f ca="1">MATCH(E15,ORÇAMENTO!$E$15:$E$131,0)-1</f>
        <v>#N/A</v>
      </c>
      <c r="B15" t="e">
        <f ca="1">IF(ISERROR($A15),NA(),OFFSET(ORÇAMENTO!$D$15,$A15,0))</f>
        <v>#N/A</v>
      </c>
      <c r="C15" t="str">
        <f ca="1">QCI!B15</f>
        <v>Branco</v>
      </c>
      <c r="D15" t="str">
        <f t="shared" ca="1" si="0"/>
        <v/>
      </c>
      <c r="E15" s="291">
        <f>QCI!D15</f>
        <v>2</v>
      </c>
      <c r="F15" s="375" t="str">
        <f ca="1">QCI!G15</f>
        <v/>
      </c>
      <c r="G15" s="376">
        <f>QCI!H15</f>
        <v>0</v>
      </c>
      <c r="H15" s="292">
        <f>QCI!I15</f>
        <v>0</v>
      </c>
      <c r="I15" s="292" t="str">
        <f ca="1">QCI!J15</f>
        <v/>
      </c>
      <c r="J15" s="377" t="str">
        <f ca="1">QCI!K15</f>
        <v/>
      </c>
      <c r="K15" s="378" t="str">
        <f ca="1">IF($C15="Automático",IF(ACOMPANHAMENTO="BM",BM.medicao,PLE.Medicao),IF(ISBLANK($X15),"",$X15))</f>
        <v/>
      </c>
      <c r="L15" s="296">
        <f ca="1">QCI!$O15</f>
        <v>0</v>
      </c>
      <c r="M15" s="293">
        <f t="shared" ca="1" si="1"/>
        <v>0</v>
      </c>
      <c r="N15" s="294">
        <f t="shared" ca="1" si="2"/>
        <v>0</v>
      </c>
      <c r="O15" s="295">
        <f t="shared" ca="1" si="3"/>
        <v>0</v>
      </c>
      <c r="P15" s="380">
        <f t="shared" ca="1" si="4"/>
        <v>0</v>
      </c>
      <c r="R15" s="379">
        <f ca="1">ROUND(IF($C15="Automático",AC15+AJ15,$Y15*IF(ISERROR(QCI!$AA15/QCI!$O15),0,QCI!$AA15/QCI!$O15)),2)</f>
        <v>0</v>
      </c>
      <c r="S15" s="379">
        <f ca="1">ROUND(IF($C15="Automático",AD15+AK15,$Y15*IF(ISERROR(QCI!$AB15/QCI!$O15),0,QCI!$AB15/QCI!$O15)),2)</f>
        <v>0</v>
      </c>
      <c r="T15" s="379">
        <f ca="1">ROUND(IF($C15="Automático",AF15+AM15,$Z15*IF(ISERROR(QCI!$AA15/QCI!$O15),0,QCI!$AA15/QCI!$O15)),2)</f>
        <v>0</v>
      </c>
      <c r="U15" s="379">
        <f ca="1">ROUND(IF($C15="Automático",AG15+AN15,$Z15*IF(ISERROR(QCI!$AB15/QCI!$O15),0,QCI!$AB15/QCI!$O15)),2)</f>
        <v>0</v>
      </c>
      <c r="V15" s="481">
        <f ca="1">IF(AND($L15&gt;0,$J15&lt;&gt;0,$J15&lt;&gt;"",COUNTIF($J$13:$J15,$J15)=1),OFFSET(V15,-1,0)+1,OFFSET(V15,-1,0))</f>
        <v>1</v>
      </c>
      <c r="X15" s="553"/>
      <c r="Y15" s="297"/>
      <c r="Z15" s="298"/>
      <c r="AC15" s="192" t="e">
        <f ca="1">IF(ACOMPANHAMENTO&lt;&gt;"PLE",0,SUMPRODUCT((OFFSET(CÁLCULO!$BV$15:$CN$15,$A15,0,$B15)&lt;=(PLE.Medicao-1))*OFFSET(CÁLCULO!$AJ$15:$BB$15,$A15,0,$B15)*OFFSET(ORÇAMENTO!$AA$15,$A15,0,$B15)/(OFFSET(ORÇAMENTO!$X$15,$A15,0,$B15)+10^-12))+IF(AUTOEVENTO="Manual",SUMPRODUCT((OFFSET(CÁLCULO!$M$15,$A15,0,$B15)=1)*OFFSET(ORÇAMENTO!$AA$15,$A15,0,$B15)*(PLE!$AE$9-PLE!$Y$9)),0))</f>
        <v>#N/A</v>
      </c>
      <c r="AD15" s="192" t="e">
        <f ca="1">IF(ACOMPANHAMENTO&lt;&gt;"PLE",0,SUMPRODUCT((OFFSET(CÁLCULO!$BV$15:$CN$15,$A15,0,$B15)&lt;=(PLE.Medicao-1))*OFFSET(CÁLCULO!$AJ$15:$BB$15,$A15,0,$B15)*OFFSET(ORÇAMENTO!$AB$15,$A15,0,$B15)/(OFFSET(ORÇAMENTO!$X$15,$A15,0,$B15)+10^-12))+IF(AUTOEVENTO="Manual",SUMPRODUCT((OFFSET(CÁLCULO!$M$15,$A15,0,$B15)=1)*OFFSET(ORÇAMENTO!$AB$15,$A15,0,$B15)*(PLE!$AE$9-PLE!$Y$9)),0))</f>
        <v>#N/A</v>
      </c>
      <c r="AE15" s="192" t="e">
        <f ca="1">ROUND(IF(ACOMPANHAMENTO&lt;&gt;"PLE",0,SUMIF(OFFSET(CÁLCULO!$BV$15:$CN$15,$A15,0,$B15),"&lt;="&amp;(PLE.Medicao-1),OFFSET(CÁLCULO!$AJ$15:$BB$15,$A15,0,$B15))+IF(AUTOEVENTO="Manual",SUMIF(OFFSET(CÁLCULO!$M$15,$A15,0,$B15),1,OFFSET(ORÇAMENTO!$X$15,$A15,0,$B15))*(PLE!$AE$9-PLE!$Y$9),0)),2)</f>
        <v>#N/A</v>
      </c>
      <c r="AF15" s="192" t="e">
        <f ca="1">IF(ACOMPANHAMENTO&lt;&gt;"PLE",0,SUMPRODUCT((OFFSET(CÁLCULO!$BV$15:$CN$15,$A15,0,$B15)&lt;=PLE.Medicao)*OFFSET(CÁLCULO!$AJ$15:$BB$15,$A15,0,$B15)*OFFSET(ORÇAMENTO!$AA$15,$A15,0,$B15)/(OFFSET(ORÇAMENTO!$X$15,$A15,0,$B15)+10^-12))+IF(AUTOEVENTO="Manual",SUMPRODUCT((OFFSET(CÁLCULO!$M$15,$A15,0,$B15)=1)*OFFSET(ORÇAMENTO!$AA$15,$A15,0,$B15)*PLE!$AE$9),0))</f>
        <v>#N/A</v>
      </c>
      <c r="AG15" s="192" t="e">
        <f ca="1">IF(ACOMPANHAMENTO&lt;&gt;"PLE",0,SUMPRODUCT((OFFSET(CÁLCULO!$BV$15:$CN$15,$A15,0,$B15)&lt;=PLE.Medicao)*OFFSET(CÁLCULO!$AJ$15:$BB$15,$A15,0,$B15)*OFFSET(ORÇAMENTO!$AB$15,$A15,0,$B15)/(OFFSET(ORÇAMENTO!$X$15,$A15,0,$B15)+10^-12))+IF(AUTOEVENTO="Manual",SUMPRODUCT((OFFSET(CÁLCULO!$M$15,$A15,0,$B15)=1)*OFFSET(ORÇAMENTO!$AB$15,$A15,0,$B15)*PLE!$AE$9),0))</f>
        <v>#N/A</v>
      </c>
      <c r="AH15" s="192" t="e">
        <f ca="1">ROUND(IF(ACOMPANHAMENTO&lt;&gt;"PLE",0,SUMIF(OFFSET(CÁLCULO!$BV$15:$CN$15,$A15,0,$B15),"&lt;="&amp;PLE.Medicao,OFFSET(CÁLCULO!$AJ$15:$BB$15,$A15,0,$B15))+IF(AUTOEVENTO="Manual",SUMIF(OFFSET(CÁLCULO!$M$15,$A15,0,$B15),1,OFFSET(ORÇAMENTO!$X$15,$A15,0,$B15))*PLE!$AE$9,0)),2)</f>
        <v>#N/A</v>
      </c>
      <c r="AJ15" s="192">
        <f ca="1">IF(ACOMPANHAMENTO&lt;&gt;"BM",0,SUMPRODUCT(OFFSET(BM!$M$15,$A15,0,$B15)*(OFFSET(BM!$A$15,$A15,0,$B15)="S")*OFFSET(ORÇAMENTO!AA$15,$A15,0,$B15)/(OFFSET(ORÇAMENTO!$X$15,$A15,0,$B15)+10^-12)))</f>
        <v>0</v>
      </c>
      <c r="AK15" s="192">
        <f ca="1">IF(ACOMPANHAMENTO&lt;&gt;"BM",0,SUMPRODUCT(OFFSET(BM!$M$15,$A15,0,$B15)*(OFFSET(BM!$A$15,$A15,0,$B15)="S")*OFFSET(ORÇAMENTO!AB$15,$A15,0,$B15)/(OFFSET(ORÇAMENTO!$X$15,$A15,0,$B15)+10^-12)))</f>
        <v>0</v>
      </c>
      <c r="AL15" s="192">
        <f ca="1">IF(ACOMPANHAMENTO&lt;&gt;"BM",0,OFFSET(BM!$M$15,$A15,0))</f>
        <v>0</v>
      </c>
      <c r="AM15" s="192">
        <f ca="1">IF(ACOMPANHAMENTO&lt;&gt;"BM",0,SUMPRODUCT(OFFSET(BM!$O$15,$A15,0,$B15)*(OFFSET(BM!$A$15,$A15,0,$B15)="S")*OFFSET(ORÇAMENTO!AA$15,$A15,0,$B15)/(OFFSET(ORÇAMENTO!$X$15,$A15,0,$B15)+10^-12)))</f>
        <v>0</v>
      </c>
      <c r="AN15" s="192">
        <f ca="1">IF(ACOMPANHAMENTO&lt;&gt;"BM",0,SUMPRODUCT(OFFSET(BM!$O$15,$A15,0,$B15)*(OFFSET(BM!$A$15,$A15,0,$B15)="S")*OFFSET(ORÇAMENTO!AB$15,$A15,0,$B15)/(OFFSET(ORÇAMENTO!$X$15,$A15,0,$B15)+10^-12)))</f>
        <v>0</v>
      </c>
      <c r="AO15" s="192">
        <f ca="1">IF(ACOMPANHAMENTO&lt;&gt;"BM",0,OFFSET(BM!$O$15,$A15,0))</f>
        <v>0</v>
      </c>
    </row>
    <row r="16" spans="1:41" x14ac:dyDescent="0.2">
      <c r="A16" t="e">
        <f ca="1">MATCH(E16,ORÇAMENTO!$E$15:$E$131,0)-1</f>
        <v>#N/A</v>
      </c>
      <c r="B16" t="e">
        <f ca="1">IF(ISERROR($A16),NA(),OFFSET(ORÇAMENTO!$D$15,$A16,0))</f>
        <v>#N/A</v>
      </c>
      <c r="C16" t="str">
        <f ca="1">QCI!B16</f>
        <v>Branco</v>
      </c>
      <c r="D16" t="str">
        <f t="shared" ca="1" si="0"/>
        <v/>
      </c>
      <c r="E16" s="291">
        <f>QCI!D16</f>
        <v>3</v>
      </c>
      <c r="F16" s="375" t="str">
        <f ca="1">QCI!G16</f>
        <v/>
      </c>
      <c r="G16" s="376">
        <f>QCI!H16</f>
        <v>0</v>
      </c>
      <c r="H16" s="292">
        <f>QCI!I16</f>
        <v>0</v>
      </c>
      <c r="I16" s="292" t="str">
        <f ca="1">QCI!J16</f>
        <v/>
      </c>
      <c r="J16" s="377" t="str">
        <f ca="1">QCI!K16</f>
        <v/>
      </c>
      <c r="K16" s="378" t="str">
        <f ca="1">IF($C16="Automático",IF(ACOMPANHAMENTO="BM",BM.medicao,PLE.Medicao),IF(ISBLANK($X16),"",$X16))</f>
        <v/>
      </c>
      <c r="L16" s="296">
        <f ca="1">QCI!$O16</f>
        <v>0</v>
      </c>
      <c r="M16" s="293">
        <f t="shared" ca="1" si="1"/>
        <v>0</v>
      </c>
      <c r="N16" s="294">
        <f t="shared" ca="1" si="2"/>
        <v>0</v>
      </c>
      <c r="O16" s="295">
        <f t="shared" ca="1" si="3"/>
        <v>0</v>
      </c>
      <c r="P16" s="380">
        <f t="shared" ca="1" si="4"/>
        <v>0</v>
      </c>
      <c r="R16" s="379">
        <f ca="1">ROUND(IF($C16="Automático",AC16+AJ16,$Y16*IF(ISERROR(QCI!$AA16/QCI!$O16),0,QCI!$AA16/QCI!$O16)),2)</f>
        <v>0</v>
      </c>
      <c r="S16" s="379">
        <f ca="1">ROUND(IF($C16="Automático",AD16+AK16,$Y16*IF(ISERROR(QCI!$AB16/QCI!$O16),0,QCI!$AB16/QCI!$O16)),2)</f>
        <v>0</v>
      </c>
      <c r="T16" s="379">
        <f ca="1">ROUND(IF($C16="Automático",AF16+AM16,$Z16*IF(ISERROR(QCI!$AA16/QCI!$O16),0,QCI!$AA16/QCI!$O16)),2)</f>
        <v>0</v>
      </c>
      <c r="U16" s="379">
        <f ca="1">ROUND(IF($C16="Automático",AG16+AN16,$Z16*IF(ISERROR(QCI!$AB16/QCI!$O16),0,QCI!$AB16/QCI!$O16)),2)</f>
        <v>0</v>
      </c>
      <c r="V16" s="481">
        <f ca="1">IF(AND($L16&gt;0,$J16&lt;&gt;0,$J16&lt;&gt;"",COUNTIF($J$13:$J16,$J16)=1),OFFSET(V16,-1,0)+1,OFFSET(V16,-1,0))</f>
        <v>1</v>
      </c>
      <c r="X16" s="553"/>
      <c r="Y16" s="297"/>
      <c r="Z16" s="298"/>
      <c r="AC16" s="192" t="e">
        <f ca="1">IF(ACOMPANHAMENTO&lt;&gt;"PLE",0,SUMPRODUCT((OFFSET(CÁLCULO!$BV$15:$CN$15,$A16,0,$B16)&lt;=(PLE.Medicao-1))*OFFSET(CÁLCULO!$AJ$15:$BB$15,$A16,0,$B16)*OFFSET(ORÇAMENTO!$AA$15,$A16,0,$B16)/(OFFSET(ORÇAMENTO!$X$15,$A16,0,$B16)+10^-12))+IF(AUTOEVENTO="Manual",SUMPRODUCT((OFFSET(CÁLCULO!$M$15,$A16,0,$B16)=1)*OFFSET(ORÇAMENTO!$AA$15,$A16,0,$B16)*(PLE!$AE$9-PLE!$Y$9)),0))</f>
        <v>#N/A</v>
      </c>
      <c r="AD16" s="192" t="e">
        <f ca="1">IF(ACOMPANHAMENTO&lt;&gt;"PLE",0,SUMPRODUCT((OFFSET(CÁLCULO!$BV$15:$CN$15,$A16,0,$B16)&lt;=(PLE.Medicao-1))*OFFSET(CÁLCULO!$AJ$15:$BB$15,$A16,0,$B16)*OFFSET(ORÇAMENTO!$AB$15,$A16,0,$B16)/(OFFSET(ORÇAMENTO!$X$15,$A16,0,$B16)+10^-12))+IF(AUTOEVENTO="Manual",SUMPRODUCT((OFFSET(CÁLCULO!$M$15,$A16,0,$B16)=1)*OFFSET(ORÇAMENTO!$AB$15,$A16,0,$B16)*(PLE!$AE$9-PLE!$Y$9)),0))</f>
        <v>#N/A</v>
      </c>
      <c r="AE16" s="192" t="e">
        <f ca="1">ROUND(IF(ACOMPANHAMENTO&lt;&gt;"PLE",0,SUMIF(OFFSET(CÁLCULO!$BV$15:$CN$15,$A16,0,$B16),"&lt;="&amp;(PLE.Medicao-1),OFFSET(CÁLCULO!$AJ$15:$BB$15,$A16,0,$B16))+IF(AUTOEVENTO="Manual",SUMIF(OFFSET(CÁLCULO!$M$15,$A16,0,$B16),1,OFFSET(ORÇAMENTO!$X$15,$A16,0,$B16))*(PLE!$AE$9-PLE!$Y$9),0)),2)</f>
        <v>#N/A</v>
      </c>
      <c r="AF16" s="192" t="e">
        <f ca="1">IF(ACOMPANHAMENTO&lt;&gt;"PLE",0,SUMPRODUCT((OFFSET(CÁLCULO!$BV$15:$CN$15,$A16,0,$B16)&lt;=PLE.Medicao)*OFFSET(CÁLCULO!$AJ$15:$BB$15,$A16,0,$B16)*OFFSET(ORÇAMENTO!$AA$15,$A16,0,$B16)/(OFFSET(ORÇAMENTO!$X$15,$A16,0,$B16)+10^-12))+IF(AUTOEVENTO="Manual",SUMPRODUCT((OFFSET(CÁLCULO!$M$15,$A16,0,$B16)=1)*OFFSET(ORÇAMENTO!$AA$15,$A16,0,$B16)*PLE!$AE$9),0))</f>
        <v>#N/A</v>
      </c>
      <c r="AG16" s="192" t="e">
        <f ca="1">IF(ACOMPANHAMENTO&lt;&gt;"PLE",0,SUMPRODUCT((OFFSET(CÁLCULO!$BV$15:$CN$15,$A16,0,$B16)&lt;=PLE.Medicao)*OFFSET(CÁLCULO!$AJ$15:$BB$15,$A16,0,$B16)*OFFSET(ORÇAMENTO!$AB$15,$A16,0,$B16)/(OFFSET(ORÇAMENTO!$X$15,$A16,0,$B16)+10^-12))+IF(AUTOEVENTO="Manual",SUMPRODUCT((OFFSET(CÁLCULO!$M$15,$A16,0,$B16)=1)*OFFSET(ORÇAMENTO!$AB$15,$A16,0,$B16)*PLE!$AE$9),0))</f>
        <v>#N/A</v>
      </c>
      <c r="AH16" s="192" t="e">
        <f ca="1">ROUND(IF(ACOMPANHAMENTO&lt;&gt;"PLE",0,SUMIF(OFFSET(CÁLCULO!$BV$15:$CN$15,$A16,0,$B16),"&lt;="&amp;PLE.Medicao,OFFSET(CÁLCULO!$AJ$15:$BB$15,$A16,0,$B16))+IF(AUTOEVENTO="Manual",SUMIF(OFFSET(CÁLCULO!$M$15,$A16,0,$B16),1,OFFSET(ORÇAMENTO!$X$15,$A16,0,$B16))*PLE!$AE$9,0)),2)</f>
        <v>#N/A</v>
      </c>
      <c r="AJ16" s="192">
        <f ca="1">IF(ACOMPANHAMENTO&lt;&gt;"BM",0,SUMPRODUCT(OFFSET(BM!$M$15,$A16,0,$B16)*(OFFSET(BM!$A$15,$A16,0,$B16)="S")*OFFSET(ORÇAMENTO!AA$15,$A16,0,$B16)/(OFFSET(ORÇAMENTO!$X$15,$A16,0,$B16)+10^-12)))</f>
        <v>0</v>
      </c>
      <c r="AK16" s="192">
        <f ca="1">IF(ACOMPANHAMENTO&lt;&gt;"BM",0,SUMPRODUCT(OFFSET(BM!$M$15,$A16,0,$B16)*(OFFSET(BM!$A$15,$A16,0,$B16)="S")*OFFSET(ORÇAMENTO!AB$15,$A16,0,$B16)/(OFFSET(ORÇAMENTO!$X$15,$A16,0,$B16)+10^-12)))</f>
        <v>0</v>
      </c>
      <c r="AL16" s="192">
        <f ca="1">IF(ACOMPANHAMENTO&lt;&gt;"BM",0,OFFSET(BM!$M$15,$A16,0))</f>
        <v>0</v>
      </c>
      <c r="AM16" s="192">
        <f ca="1">IF(ACOMPANHAMENTO&lt;&gt;"BM",0,SUMPRODUCT(OFFSET(BM!$O$15,$A16,0,$B16)*(OFFSET(BM!$A$15,$A16,0,$B16)="S")*OFFSET(ORÇAMENTO!AA$15,$A16,0,$B16)/(OFFSET(ORÇAMENTO!$X$15,$A16,0,$B16)+10^-12)))</f>
        <v>0</v>
      </c>
      <c r="AN16" s="192">
        <f ca="1">IF(ACOMPANHAMENTO&lt;&gt;"BM",0,SUMPRODUCT(OFFSET(BM!$O$15,$A16,0,$B16)*(OFFSET(BM!$A$15,$A16,0,$B16)="S")*OFFSET(ORÇAMENTO!AB$15,$A16,0,$B16)/(OFFSET(ORÇAMENTO!$X$15,$A16,0,$B16)+10^-12)))</f>
        <v>0</v>
      </c>
      <c r="AO16" s="192">
        <f ca="1">IF(ACOMPANHAMENTO&lt;&gt;"BM",0,OFFSET(BM!$O$15,$A16,0))</f>
        <v>0</v>
      </c>
    </row>
    <row r="17" spans="1:41" x14ac:dyDescent="0.2">
      <c r="A17" t="e">
        <f ca="1">MATCH(E17,ORÇAMENTO!$E$15:$E$131,0)-1</f>
        <v>#N/A</v>
      </c>
      <c r="B17" t="e">
        <f ca="1">IF(ISERROR($A17),NA(),OFFSET(ORÇAMENTO!$D$15,$A17,0))</f>
        <v>#N/A</v>
      </c>
      <c r="C17" t="str">
        <f ca="1">QCI!B17</f>
        <v>Branco</v>
      </c>
      <c r="D17" t="str">
        <f t="shared" ca="1" si="0"/>
        <v/>
      </c>
      <c r="E17" s="291">
        <f>QCI!D17</f>
        <v>4</v>
      </c>
      <c r="F17" s="375" t="str">
        <f ca="1">QCI!G17</f>
        <v/>
      </c>
      <c r="G17" s="376">
        <f>QCI!H17</f>
        <v>0</v>
      </c>
      <c r="H17" s="292">
        <f>QCI!I17</f>
        <v>0</v>
      </c>
      <c r="I17" s="292" t="str">
        <f ca="1">QCI!J17</f>
        <v/>
      </c>
      <c r="J17" s="377" t="str">
        <f ca="1">QCI!K17</f>
        <v/>
      </c>
      <c r="K17" s="378" t="str">
        <f ca="1">IF($C17="Automático",IF(ACOMPANHAMENTO="BM",BM.medicao,PLE.Medicao),IF(ISBLANK($X17),"",$X17))</f>
        <v/>
      </c>
      <c r="L17" s="296">
        <f ca="1">QCI!$O17</f>
        <v>0</v>
      </c>
      <c r="M17" s="293">
        <f t="shared" ca="1" si="1"/>
        <v>0</v>
      </c>
      <c r="N17" s="294">
        <f t="shared" ca="1" si="2"/>
        <v>0</v>
      </c>
      <c r="O17" s="295">
        <f t="shared" ca="1" si="3"/>
        <v>0</v>
      </c>
      <c r="P17" s="380">
        <f t="shared" ca="1" si="4"/>
        <v>0</v>
      </c>
      <c r="R17" s="379">
        <f ca="1">ROUND(IF($C17="Automático",AC17+AJ17,$Y17*IF(ISERROR(QCI!$AA17/QCI!$O17),0,QCI!$AA17/QCI!$O17)),2)</f>
        <v>0</v>
      </c>
      <c r="S17" s="379">
        <f ca="1">ROUND(IF($C17="Automático",AD17+AK17,$Y17*IF(ISERROR(QCI!$AB17/QCI!$O17),0,QCI!$AB17/QCI!$O17)),2)</f>
        <v>0</v>
      </c>
      <c r="T17" s="379">
        <f ca="1">ROUND(IF($C17="Automático",AF17+AM17,$Z17*IF(ISERROR(QCI!$AA17/QCI!$O17),0,QCI!$AA17/QCI!$O17)),2)</f>
        <v>0</v>
      </c>
      <c r="U17" s="379">
        <f ca="1">ROUND(IF($C17="Automático",AG17+AN17,$Z17*IF(ISERROR(QCI!$AB17/QCI!$O17),0,QCI!$AB17/QCI!$O17)),2)</f>
        <v>0</v>
      </c>
      <c r="V17" s="481">
        <f ca="1">IF(AND($L17&gt;0,$J17&lt;&gt;0,$J17&lt;&gt;"",COUNTIF($J$13:$J17,$J17)=1),OFFSET(V17,-1,0)+1,OFFSET(V17,-1,0))</f>
        <v>1</v>
      </c>
      <c r="X17" s="553"/>
      <c r="Y17" s="297"/>
      <c r="Z17" s="298"/>
      <c r="AC17" s="192" t="e">
        <f ca="1">IF(ACOMPANHAMENTO&lt;&gt;"PLE",0,SUMPRODUCT((OFFSET(CÁLCULO!$BV$15:$CN$15,$A17,0,$B17)&lt;=(PLE.Medicao-1))*OFFSET(CÁLCULO!$AJ$15:$BB$15,$A17,0,$B17)*OFFSET(ORÇAMENTO!$AA$15,$A17,0,$B17)/(OFFSET(ORÇAMENTO!$X$15,$A17,0,$B17)+10^-12))+IF(AUTOEVENTO="Manual",SUMPRODUCT((OFFSET(CÁLCULO!$M$15,$A17,0,$B17)=1)*OFFSET(ORÇAMENTO!$AA$15,$A17,0,$B17)*(PLE!$AE$9-PLE!$Y$9)),0))</f>
        <v>#N/A</v>
      </c>
      <c r="AD17" s="192" t="e">
        <f ca="1">IF(ACOMPANHAMENTO&lt;&gt;"PLE",0,SUMPRODUCT((OFFSET(CÁLCULO!$BV$15:$CN$15,$A17,0,$B17)&lt;=(PLE.Medicao-1))*OFFSET(CÁLCULO!$AJ$15:$BB$15,$A17,0,$B17)*OFFSET(ORÇAMENTO!$AB$15,$A17,0,$B17)/(OFFSET(ORÇAMENTO!$X$15,$A17,0,$B17)+10^-12))+IF(AUTOEVENTO="Manual",SUMPRODUCT((OFFSET(CÁLCULO!$M$15,$A17,0,$B17)=1)*OFFSET(ORÇAMENTO!$AB$15,$A17,0,$B17)*(PLE!$AE$9-PLE!$Y$9)),0))</f>
        <v>#N/A</v>
      </c>
      <c r="AE17" s="192" t="e">
        <f ca="1">ROUND(IF(ACOMPANHAMENTO&lt;&gt;"PLE",0,SUMIF(OFFSET(CÁLCULO!$BV$15:$CN$15,$A17,0,$B17),"&lt;="&amp;(PLE.Medicao-1),OFFSET(CÁLCULO!$AJ$15:$BB$15,$A17,0,$B17))+IF(AUTOEVENTO="Manual",SUMIF(OFFSET(CÁLCULO!$M$15,$A17,0,$B17),1,OFFSET(ORÇAMENTO!$X$15,$A17,0,$B17))*(PLE!$AE$9-PLE!$Y$9),0)),2)</f>
        <v>#N/A</v>
      </c>
      <c r="AF17" s="192" t="e">
        <f ca="1">IF(ACOMPANHAMENTO&lt;&gt;"PLE",0,SUMPRODUCT((OFFSET(CÁLCULO!$BV$15:$CN$15,$A17,0,$B17)&lt;=PLE.Medicao)*OFFSET(CÁLCULO!$AJ$15:$BB$15,$A17,0,$B17)*OFFSET(ORÇAMENTO!$AA$15,$A17,0,$B17)/(OFFSET(ORÇAMENTO!$X$15,$A17,0,$B17)+10^-12))+IF(AUTOEVENTO="Manual",SUMPRODUCT((OFFSET(CÁLCULO!$M$15,$A17,0,$B17)=1)*OFFSET(ORÇAMENTO!$AA$15,$A17,0,$B17)*PLE!$AE$9),0))</f>
        <v>#N/A</v>
      </c>
      <c r="AG17" s="192" t="e">
        <f ca="1">IF(ACOMPANHAMENTO&lt;&gt;"PLE",0,SUMPRODUCT((OFFSET(CÁLCULO!$BV$15:$CN$15,$A17,0,$B17)&lt;=PLE.Medicao)*OFFSET(CÁLCULO!$AJ$15:$BB$15,$A17,0,$B17)*OFFSET(ORÇAMENTO!$AB$15,$A17,0,$B17)/(OFFSET(ORÇAMENTO!$X$15,$A17,0,$B17)+10^-12))+IF(AUTOEVENTO="Manual",SUMPRODUCT((OFFSET(CÁLCULO!$M$15,$A17,0,$B17)=1)*OFFSET(ORÇAMENTO!$AB$15,$A17,0,$B17)*PLE!$AE$9),0))</f>
        <v>#N/A</v>
      </c>
      <c r="AH17" s="192" t="e">
        <f ca="1">ROUND(IF(ACOMPANHAMENTO&lt;&gt;"PLE",0,SUMIF(OFFSET(CÁLCULO!$BV$15:$CN$15,$A17,0,$B17),"&lt;="&amp;PLE.Medicao,OFFSET(CÁLCULO!$AJ$15:$BB$15,$A17,0,$B17))+IF(AUTOEVENTO="Manual",SUMIF(OFFSET(CÁLCULO!$M$15,$A17,0,$B17),1,OFFSET(ORÇAMENTO!$X$15,$A17,0,$B17))*PLE!$AE$9,0)),2)</f>
        <v>#N/A</v>
      </c>
      <c r="AJ17" s="192">
        <f ca="1">IF(ACOMPANHAMENTO&lt;&gt;"BM",0,SUMPRODUCT(OFFSET(BM!$M$15,$A17,0,$B17)*(OFFSET(BM!$A$15,$A17,0,$B17)="S")*OFFSET(ORÇAMENTO!AA$15,$A17,0,$B17)/(OFFSET(ORÇAMENTO!$X$15,$A17,0,$B17)+10^-12)))</f>
        <v>0</v>
      </c>
      <c r="AK17" s="192">
        <f ca="1">IF(ACOMPANHAMENTO&lt;&gt;"BM",0,SUMPRODUCT(OFFSET(BM!$M$15,$A17,0,$B17)*(OFFSET(BM!$A$15,$A17,0,$B17)="S")*OFFSET(ORÇAMENTO!AB$15,$A17,0,$B17)/(OFFSET(ORÇAMENTO!$X$15,$A17,0,$B17)+10^-12)))</f>
        <v>0</v>
      </c>
      <c r="AL17" s="192">
        <f ca="1">IF(ACOMPANHAMENTO&lt;&gt;"BM",0,OFFSET(BM!$M$15,$A17,0))</f>
        <v>0</v>
      </c>
      <c r="AM17" s="192">
        <f ca="1">IF(ACOMPANHAMENTO&lt;&gt;"BM",0,SUMPRODUCT(OFFSET(BM!$O$15,$A17,0,$B17)*(OFFSET(BM!$A$15,$A17,0,$B17)="S")*OFFSET(ORÇAMENTO!AA$15,$A17,0,$B17)/(OFFSET(ORÇAMENTO!$X$15,$A17,0,$B17)+10^-12)))</f>
        <v>0</v>
      </c>
      <c r="AN17" s="192">
        <f ca="1">IF(ACOMPANHAMENTO&lt;&gt;"BM",0,SUMPRODUCT(OFFSET(BM!$O$15,$A17,0,$B17)*(OFFSET(BM!$A$15,$A17,0,$B17)="S")*OFFSET(ORÇAMENTO!AB$15,$A17,0,$B17)/(OFFSET(ORÇAMENTO!$X$15,$A17,0,$B17)+10^-12)))</f>
        <v>0</v>
      </c>
      <c r="AO17" s="192">
        <f ca="1">IF(ACOMPANHAMENTO&lt;&gt;"BM",0,OFFSET(BM!$O$15,$A17,0))</f>
        <v>0</v>
      </c>
    </row>
    <row r="18" spans="1:41" x14ac:dyDescent="0.2">
      <c r="A18" t="e">
        <f ca="1">MATCH(E18,ORÇAMENTO!$E$15:$E$131,0)-1</f>
        <v>#N/A</v>
      </c>
      <c r="B18" t="e">
        <f ca="1">IF(ISERROR($A18),NA(),OFFSET(ORÇAMENTO!$D$15,$A18,0))</f>
        <v>#N/A</v>
      </c>
      <c r="C18" t="str">
        <f ca="1">QCI!B18</f>
        <v>Branco</v>
      </c>
      <c r="D18" t="str">
        <f t="shared" ca="1" si="0"/>
        <v/>
      </c>
      <c r="E18" s="291">
        <f>QCI!D18</f>
        <v>5</v>
      </c>
      <c r="F18" s="375" t="str">
        <f ca="1">QCI!G18</f>
        <v/>
      </c>
      <c r="G18" s="376">
        <f>QCI!H18</f>
        <v>0</v>
      </c>
      <c r="H18" s="292">
        <f>QCI!I18</f>
        <v>0</v>
      </c>
      <c r="I18" s="292" t="str">
        <f ca="1">QCI!J18</f>
        <v/>
      </c>
      <c r="J18" s="377" t="str">
        <f ca="1">QCI!K18</f>
        <v/>
      </c>
      <c r="K18" s="378" t="str">
        <f ca="1">IF($C18="Automático",IF(ACOMPANHAMENTO="BM",BM.medicao,PLE.Medicao),IF(ISBLANK($X18),"",$X18))</f>
        <v/>
      </c>
      <c r="L18" s="296">
        <f ca="1">QCI!$O18</f>
        <v>0</v>
      </c>
      <c r="M18" s="293">
        <f t="shared" ca="1" si="1"/>
        <v>0</v>
      </c>
      <c r="N18" s="294">
        <f t="shared" ca="1" si="2"/>
        <v>0</v>
      </c>
      <c r="O18" s="295">
        <f t="shared" ca="1" si="3"/>
        <v>0</v>
      </c>
      <c r="P18" s="380">
        <f t="shared" ca="1" si="4"/>
        <v>0</v>
      </c>
      <c r="R18" s="379">
        <f ca="1">ROUND(IF($C18="Automático",AC18+AJ18,$Y18*IF(ISERROR(QCI!$AA18/QCI!$O18),0,QCI!$AA18/QCI!$O18)),2)</f>
        <v>0</v>
      </c>
      <c r="S18" s="379">
        <f ca="1">ROUND(IF($C18="Automático",AD18+AK18,$Y18*IF(ISERROR(QCI!$AB18/QCI!$O18),0,QCI!$AB18/QCI!$O18)),2)</f>
        <v>0</v>
      </c>
      <c r="T18" s="379">
        <f ca="1">ROUND(IF($C18="Automático",AF18+AM18,$Z18*IF(ISERROR(QCI!$AA18/QCI!$O18),0,QCI!$AA18/QCI!$O18)),2)</f>
        <v>0</v>
      </c>
      <c r="U18" s="379">
        <f ca="1">ROUND(IF($C18="Automático",AG18+AN18,$Z18*IF(ISERROR(QCI!$AB18/QCI!$O18),0,QCI!$AB18/QCI!$O18)),2)</f>
        <v>0</v>
      </c>
      <c r="V18" s="481">
        <f ca="1">IF(AND($L18&gt;0,$J18&lt;&gt;0,$J18&lt;&gt;"",COUNTIF($J$13:$J18,$J18)=1),OFFSET(V18,-1,0)+1,OFFSET(V18,-1,0))</f>
        <v>1</v>
      </c>
      <c r="X18" s="553"/>
      <c r="Y18" s="297"/>
      <c r="Z18" s="298"/>
      <c r="AC18" s="192" t="e">
        <f ca="1">IF(ACOMPANHAMENTO&lt;&gt;"PLE",0,SUMPRODUCT((OFFSET(CÁLCULO!$BV$15:$CN$15,$A18,0,$B18)&lt;=(PLE.Medicao-1))*OFFSET(CÁLCULO!$AJ$15:$BB$15,$A18,0,$B18)*OFFSET(ORÇAMENTO!$AA$15,$A18,0,$B18)/(OFFSET(ORÇAMENTO!$X$15,$A18,0,$B18)+10^-12))+IF(AUTOEVENTO="Manual",SUMPRODUCT((OFFSET(CÁLCULO!$M$15,$A18,0,$B18)=1)*OFFSET(ORÇAMENTO!$AA$15,$A18,0,$B18)*(PLE!$AE$9-PLE!$Y$9)),0))</f>
        <v>#N/A</v>
      </c>
      <c r="AD18" s="192" t="e">
        <f ca="1">IF(ACOMPANHAMENTO&lt;&gt;"PLE",0,SUMPRODUCT((OFFSET(CÁLCULO!$BV$15:$CN$15,$A18,0,$B18)&lt;=(PLE.Medicao-1))*OFFSET(CÁLCULO!$AJ$15:$BB$15,$A18,0,$B18)*OFFSET(ORÇAMENTO!$AB$15,$A18,0,$B18)/(OFFSET(ORÇAMENTO!$X$15,$A18,0,$B18)+10^-12))+IF(AUTOEVENTO="Manual",SUMPRODUCT((OFFSET(CÁLCULO!$M$15,$A18,0,$B18)=1)*OFFSET(ORÇAMENTO!$AB$15,$A18,0,$B18)*(PLE!$AE$9-PLE!$Y$9)),0))</f>
        <v>#N/A</v>
      </c>
      <c r="AE18" s="192" t="e">
        <f ca="1">ROUND(IF(ACOMPANHAMENTO&lt;&gt;"PLE",0,SUMIF(OFFSET(CÁLCULO!$BV$15:$CN$15,$A18,0,$B18),"&lt;="&amp;(PLE.Medicao-1),OFFSET(CÁLCULO!$AJ$15:$BB$15,$A18,0,$B18))+IF(AUTOEVENTO="Manual",SUMIF(OFFSET(CÁLCULO!$M$15,$A18,0,$B18),1,OFFSET(ORÇAMENTO!$X$15,$A18,0,$B18))*(PLE!$AE$9-PLE!$Y$9),0)),2)</f>
        <v>#N/A</v>
      </c>
      <c r="AF18" s="192" t="e">
        <f ca="1">IF(ACOMPANHAMENTO&lt;&gt;"PLE",0,SUMPRODUCT((OFFSET(CÁLCULO!$BV$15:$CN$15,$A18,0,$B18)&lt;=PLE.Medicao)*OFFSET(CÁLCULO!$AJ$15:$BB$15,$A18,0,$B18)*OFFSET(ORÇAMENTO!$AA$15,$A18,0,$B18)/(OFFSET(ORÇAMENTO!$X$15,$A18,0,$B18)+10^-12))+IF(AUTOEVENTO="Manual",SUMPRODUCT((OFFSET(CÁLCULO!$M$15,$A18,0,$B18)=1)*OFFSET(ORÇAMENTO!$AA$15,$A18,0,$B18)*PLE!$AE$9),0))</f>
        <v>#N/A</v>
      </c>
      <c r="AG18" s="192" t="e">
        <f ca="1">IF(ACOMPANHAMENTO&lt;&gt;"PLE",0,SUMPRODUCT((OFFSET(CÁLCULO!$BV$15:$CN$15,$A18,0,$B18)&lt;=PLE.Medicao)*OFFSET(CÁLCULO!$AJ$15:$BB$15,$A18,0,$B18)*OFFSET(ORÇAMENTO!$AB$15,$A18,0,$B18)/(OFFSET(ORÇAMENTO!$X$15,$A18,0,$B18)+10^-12))+IF(AUTOEVENTO="Manual",SUMPRODUCT((OFFSET(CÁLCULO!$M$15,$A18,0,$B18)=1)*OFFSET(ORÇAMENTO!$AB$15,$A18,0,$B18)*PLE!$AE$9),0))</f>
        <v>#N/A</v>
      </c>
      <c r="AH18" s="192" t="e">
        <f ca="1">ROUND(IF(ACOMPANHAMENTO&lt;&gt;"PLE",0,SUMIF(OFFSET(CÁLCULO!$BV$15:$CN$15,$A18,0,$B18),"&lt;="&amp;PLE.Medicao,OFFSET(CÁLCULO!$AJ$15:$BB$15,$A18,0,$B18))+IF(AUTOEVENTO="Manual",SUMIF(OFFSET(CÁLCULO!$M$15,$A18,0,$B18),1,OFFSET(ORÇAMENTO!$X$15,$A18,0,$B18))*PLE!$AE$9,0)),2)</f>
        <v>#N/A</v>
      </c>
      <c r="AJ18" s="192">
        <f ca="1">IF(ACOMPANHAMENTO&lt;&gt;"BM",0,SUMPRODUCT(OFFSET(BM!$M$15,$A18,0,$B18)*(OFFSET(BM!$A$15,$A18,0,$B18)="S")*OFFSET(ORÇAMENTO!AA$15,$A18,0,$B18)/(OFFSET(ORÇAMENTO!$X$15,$A18,0,$B18)+10^-12)))</f>
        <v>0</v>
      </c>
      <c r="AK18" s="192">
        <f ca="1">IF(ACOMPANHAMENTO&lt;&gt;"BM",0,SUMPRODUCT(OFFSET(BM!$M$15,$A18,0,$B18)*(OFFSET(BM!$A$15,$A18,0,$B18)="S")*OFFSET(ORÇAMENTO!AB$15,$A18,0,$B18)/(OFFSET(ORÇAMENTO!$X$15,$A18,0,$B18)+10^-12)))</f>
        <v>0</v>
      </c>
      <c r="AL18" s="192">
        <f ca="1">IF(ACOMPANHAMENTO&lt;&gt;"BM",0,OFFSET(BM!$M$15,$A18,0))</f>
        <v>0</v>
      </c>
      <c r="AM18" s="192">
        <f ca="1">IF(ACOMPANHAMENTO&lt;&gt;"BM",0,SUMPRODUCT(OFFSET(BM!$O$15,$A18,0,$B18)*(OFFSET(BM!$A$15,$A18,0,$B18)="S")*OFFSET(ORÇAMENTO!AA$15,$A18,0,$B18)/(OFFSET(ORÇAMENTO!$X$15,$A18,0,$B18)+10^-12)))</f>
        <v>0</v>
      </c>
      <c r="AN18" s="192">
        <f ca="1">IF(ACOMPANHAMENTO&lt;&gt;"BM",0,SUMPRODUCT(OFFSET(BM!$O$15,$A18,0,$B18)*(OFFSET(BM!$A$15,$A18,0,$B18)="S")*OFFSET(ORÇAMENTO!AB$15,$A18,0,$B18)/(OFFSET(ORÇAMENTO!$X$15,$A18,0,$B18)+10^-12)))</f>
        <v>0</v>
      </c>
      <c r="AO18" s="192">
        <f ca="1">IF(ACOMPANHAMENTO&lt;&gt;"BM",0,OFFSET(BM!$O$15,$A18,0))</f>
        <v>0</v>
      </c>
    </row>
    <row r="19" spans="1:41" x14ac:dyDescent="0.2">
      <c r="A19" t="e">
        <f ca="1">MATCH(E19,ORÇAMENTO!$E$15:$E$131,0)-1</f>
        <v>#N/A</v>
      </c>
      <c r="B19" t="e">
        <f ca="1">IF(ISERROR($A19),NA(),OFFSET(ORÇAMENTO!$D$15,$A19,0))</f>
        <v>#N/A</v>
      </c>
      <c r="C19" t="str">
        <f ca="1">QCI!B19</f>
        <v>Branco</v>
      </c>
      <c r="D19" t="str">
        <f t="shared" ca="1" si="0"/>
        <v/>
      </c>
      <c r="E19" s="291">
        <f>QCI!D19</f>
        <v>6</v>
      </c>
      <c r="F19" s="375" t="str">
        <f ca="1">QCI!G19</f>
        <v/>
      </c>
      <c r="G19" s="376">
        <f>QCI!H19</f>
        <v>0</v>
      </c>
      <c r="H19" s="292">
        <f>QCI!I19</f>
        <v>0</v>
      </c>
      <c r="I19" s="292" t="str">
        <f ca="1">QCI!J19</f>
        <v/>
      </c>
      <c r="J19" s="377" t="str">
        <f ca="1">QCI!K19</f>
        <v/>
      </c>
      <c r="K19" s="378" t="str">
        <f ca="1">IF($C19="Automático",IF(ACOMPANHAMENTO="BM",BM.medicao,PLE.Medicao),IF(ISBLANK($X19),"",$X19))</f>
        <v/>
      </c>
      <c r="L19" s="296">
        <f ca="1">QCI!$O19</f>
        <v>0</v>
      </c>
      <c r="M19" s="293">
        <f t="shared" ca="1" si="1"/>
        <v>0</v>
      </c>
      <c r="N19" s="294">
        <f t="shared" ca="1" si="2"/>
        <v>0</v>
      </c>
      <c r="O19" s="295">
        <f t="shared" ca="1" si="3"/>
        <v>0</v>
      </c>
      <c r="P19" s="380">
        <f t="shared" ca="1" si="4"/>
        <v>0</v>
      </c>
      <c r="R19" s="379">
        <f ca="1">ROUND(IF($C19="Automático",AC19+AJ19,$Y19*IF(ISERROR(QCI!$AA19/QCI!$O19),0,QCI!$AA19/QCI!$O19)),2)</f>
        <v>0</v>
      </c>
      <c r="S19" s="379">
        <f ca="1">ROUND(IF($C19="Automático",AD19+AK19,$Y19*IF(ISERROR(QCI!$AB19/QCI!$O19),0,QCI!$AB19/QCI!$O19)),2)</f>
        <v>0</v>
      </c>
      <c r="T19" s="379">
        <f ca="1">ROUND(IF($C19="Automático",AF19+AM19,$Z19*IF(ISERROR(QCI!$AA19/QCI!$O19),0,QCI!$AA19/QCI!$O19)),2)</f>
        <v>0</v>
      </c>
      <c r="U19" s="379">
        <f ca="1">ROUND(IF($C19="Automático",AG19+AN19,$Z19*IF(ISERROR(QCI!$AB19/QCI!$O19),0,QCI!$AB19/QCI!$O19)),2)</f>
        <v>0</v>
      </c>
      <c r="V19" s="481">
        <f ca="1">IF(AND($L19&gt;0,$J19&lt;&gt;0,$J19&lt;&gt;"",COUNTIF($J$13:$J19,$J19)=1),OFFSET(V19,-1,0)+1,OFFSET(V19,-1,0))</f>
        <v>1</v>
      </c>
      <c r="X19" s="553"/>
      <c r="Y19" s="297"/>
      <c r="Z19" s="298"/>
      <c r="AC19" s="192" t="e">
        <f ca="1">IF(ACOMPANHAMENTO&lt;&gt;"PLE",0,SUMPRODUCT((OFFSET(CÁLCULO!$BV$15:$CN$15,$A19,0,$B19)&lt;=(PLE.Medicao-1))*OFFSET(CÁLCULO!$AJ$15:$BB$15,$A19,0,$B19)*OFFSET(ORÇAMENTO!$AA$15,$A19,0,$B19)/(OFFSET(ORÇAMENTO!$X$15,$A19,0,$B19)+10^-12))+IF(AUTOEVENTO="Manual",SUMPRODUCT((OFFSET(CÁLCULO!$M$15,$A19,0,$B19)=1)*OFFSET(ORÇAMENTO!$AA$15,$A19,0,$B19)*(PLE!$AE$9-PLE!$Y$9)),0))</f>
        <v>#N/A</v>
      </c>
      <c r="AD19" s="192" t="e">
        <f ca="1">IF(ACOMPANHAMENTO&lt;&gt;"PLE",0,SUMPRODUCT((OFFSET(CÁLCULO!$BV$15:$CN$15,$A19,0,$B19)&lt;=(PLE.Medicao-1))*OFFSET(CÁLCULO!$AJ$15:$BB$15,$A19,0,$B19)*OFFSET(ORÇAMENTO!$AB$15,$A19,0,$B19)/(OFFSET(ORÇAMENTO!$X$15,$A19,0,$B19)+10^-12))+IF(AUTOEVENTO="Manual",SUMPRODUCT((OFFSET(CÁLCULO!$M$15,$A19,0,$B19)=1)*OFFSET(ORÇAMENTO!$AB$15,$A19,0,$B19)*(PLE!$AE$9-PLE!$Y$9)),0))</f>
        <v>#N/A</v>
      </c>
      <c r="AE19" s="192" t="e">
        <f ca="1">ROUND(IF(ACOMPANHAMENTO&lt;&gt;"PLE",0,SUMIF(OFFSET(CÁLCULO!$BV$15:$CN$15,$A19,0,$B19),"&lt;="&amp;(PLE.Medicao-1),OFFSET(CÁLCULO!$AJ$15:$BB$15,$A19,0,$B19))+IF(AUTOEVENTO="Manual",SUMIF(OFFSET(CÁLCULO!$M$15,$A19,0,$B19),1,OFFSET(ORÇAMENTO!$X$15,$A19,0,$B19))*(PLE!$AE$9-PLE!$Y$9),0)),2)</f>
        <v>#N/A</v>
      </c>
      <c r="AF19" s="192" t="e">
        <f ca="1">IF(ACOMPANHAMENTO&lt;&gt;"PLE",0,SUMPRODUCT((OFFSET(CÁLCULO!$BV$15:$CN$15,$A19,0,$B19)&lt;=PLE.Medicao)*OFFSET(CÁLCULO!$AJ$15:$BB$15,$A19,0,$B19)*OFFSET(ORÇAMENTO!$AA$15,$A19,0,$B19)/(OFFSET(ORÇAMENTO!$X$15,$A19,0,$B19)+10^-12))+IF(AUTOEVENTO="Manual",SUMPRODUCT((OFFSET(CÁLCULO!$M$15,$A19,0,$B19)=1)*OFFSET(ORÇAMENTO!$AA$15,$A19,0,$B19)*PLE!$AE$9),0))</f>
        <v>#N/A</v>
      </c>
      <c r="AG19" s="192" t="e">
        <f ca="1">IF(ACOMPANHAMENTO&lt;&gt;"PLE",0,SUMPRODUCT((OFFSET(CÁLCULO!$BV$15:$CN$15,$A19,0,$B19)&lt;=PLE.Medicao)*OFFSET(CÁLCULO!$AJ$15:$BB$15,$A19,0,$B19)*OFFSET(ORÇAMENTO!$AB$15,$A19,0,$B19)/(OFFSET(ORÇAMENTO!$X$15,$A19,0,$B19)+10^-12))+IF(AUTOEVENTO="Manual",SUMPRODUCT((OFFSET(CÁLCULO!$M$15,$A19,0,$B19)=1)*OFFSET(ORÇAMENTO!$AB$15,$A19,0,$B19)*PLE!$AE$9),0))</f>
        <v>#N/A</v>
      </c>
      <c r="AH19" s="192" t="e">
        <f ca="1">ROUND(IF(ACOMPANHAMENTO&lt;&gt;"PLE",0,SUMIF(OFFSET(CÁLCULO!$BV$15:$CN$15,$A19,0,$B19),"&lt;="&amp;PLE.Medicao,OFFSET(CÁLCULO!$AJ$15:$BB$15,$A19,0,$B19))+IF(AUTOEVENTO="Manual",SUMIF(OFFSET(CÁLCULO!$M$15,$A19,0,$B19),1,OFFSET(ORÇAMENTO!$X$15,$A19,0,$B19))*PLE!$AE$9,0)),2)</f>
        <v>#N/A</v>
      </c>
      <c r="AJ19" s="192">
        <f ca="1">IF(ACOMPANHAMENTO&lt;&gt;"BM",0,SUMPRODUCT(OFFSET(BM!$M$15,$A19,0,$B19)*(OFFSET(BM!$A$15,$A19,0,$B19)="S")*OFFSET(ORÇAMENTO!AA$15,$A19,0,$B19)/(OFFSET(ORÇAMENTO!$X$15,$A19,0,$B19)+10^-12)))</f>
        <v>0</v>
      </c>
      <c r="AK19" s="192">
        <f ca="1">IF(ACOMPANHAMENTO&lt;&gt;"BM",0,SUMPRODUCT(OFFSET(BM!$M$15,$A19,0,$B19)*(OFFSET(BM!$A$15,$A19,0,$B19)="S")*OFFSET(ORÇAMENTO!AB$15,$A19,0,$B19)/(OFFSET(ORÇAMENTO!$X$15,$A19,0,$B19)+10^-12)))</f>
        <v>0</v>
      </c>
      <c r="AL19" s="192">
        <f ca="1">IF(ACOMPANHAMENTO&lt;&gt;"BM",0,OFFSET(BM!$M$15,$A19,0))</f>
        <v>0</v>
      </c>
      <c r="AM19" s="192">
        <f ca="1">IF(ACOMPANHAMENTO&lt;&gt;"BM",0,SUMPRODUCT(OFFSET(BM!$O$15,$A19,0,$B19)*(OFFSET(BM!$A$15,$A19,0,$B19)="S")*OFFSET(ORÇAMENTO!AA$15,$A19,0,$B19)/(OFFSET(ORÇAMENTO!$X$15,$A19,0,$B19)+10^-12)))</f>
        <v>0</v>
      </c>
      <c r="AN19" s="192">
        <f ca="1">IF(ACOMPANHAMENTO&lt;&gt;"BM",0,SUMPRODUCT(OFFSET(BM!$O$15,$A19,0,$B19)*(OFFSET(BM!$A$15,$A19,0,$B19)="S")*OFFSET(ORÇAMENTO!AB$15,$A19,0,$B19)/(OFFSET(ORÇAMENTO!$X$15,$A19,0,$B19)+10^-12)))</f>
        <v>0</v>
      </c>
      <c r="AO19" s="192">
        <f ca="1">IF(ACOMPANHAMENTO&lt;&gt;"BM",0,OFFSET(BM!$O$15,$A19,0))</f>
        <v>0</v>
      </c>
    </row>
    <row r="20" spans="1:41" x14ac:dyDescent="0.2">
      <c r="A20" t="e">
        <f ca="1">MATCH(E20,ORÇAMENTO!$E$15:$E$131,0)-1</f>
        <v>#N/A</v>
      </c>
      <c r="B20" t="e">
        <f ca="1">IF(ISERROR($A20),NA(),OFFSET(ORÇAMENTO!$D$15,$A20,0))</f>
        <v>#N/A</v>
      </c>
      <c r="C20" t="str">
        <f ca="1">QCI!B20</f>
        <v>Branco</v>
      </c>
      <c r="D20" t="str">
        <f t="shared" ca="1" si="0"/>
        <v/>
      </c>
      <c r="E20" s="291">
        <f>QCI!D20</f>
        <v>7</v>
      </c>
      <c r="F20" s="375" t="str">
        <f ca="1">QCI!G20</f>
        <v/>
      </c>
      <c r="G20" s="376">
        <f>QCI!H20</f>
        <v>0</v>
      </c>
      <c r="H20" s="292">
        <f>QCI!I20</f>
        <v>0</v>
      </c>
      <c r="I20" s="292" t="str">
        <f ca="1">QCI!J20</f>
        <v/>
      </c>
      <c r="J20" s="377" t="str">
        <f ca="1">QCI!K20</f>
        <v/>
      </c>
      <c r="K20" s="378" t="str">
        <f ca="1">IF($C20="Automático",IF(ACOMPANHAMENTO="BM",BM.medicao,PLE.Medicao),IF(ISBLANK($X20),"",$X20))</f>
        <v/>
      </c>
      <c r="L20" s="296">
        <f ca="1">QCI!$O20</f>
        <v>0</v>
      </c>
      <c r="M20" s="293">
        <f t="shared" ca="1" si="1"/>
        <v>0</v>
      </c>
      <c r="N20" s="294">
        <f t="shared" ca="1" si="2"/>
        <v>0</v>
      </c>
      <c r="O20" s="295">
        <f t="shared" ca="1" si="3"/>
        <v>0</v>
      </c>
      <c r="P20" s="380">
        <f t="shared" ca="1" si="4"/>
        <v>0</v>
      </c>
      <c r="R20" s="379">
        <f ca="1">ROUND(IF($C20="Automático",AC20+AJ20,$Y20*IF(ISERROR(QCI!$AA20/QCI!$O20),0,QCI!$AA20/QCI!$O20)),2)</f>
        <v>0</v>
      </c>
      <c r="S20" s="379">
        <f ca="1">ROUND(IF($C20="Automático",AD20+AK20,$Y20*IF(ISERROR(QCI!$AB20/QCI!$O20),0,QCI!$AB20/QCI!$O20)),2)</f>
        <v>0</v>
      </c>
      <c r="T20" s="379">
        <f ca="1">ROUND(IF($C20="Automático",AF20+AM20,$Z20*IF(ISERROR(QCI!$AA20/QCI!$O20),0,QCI!$AA20/QCI!$O20)),2)</f>
        <v>0</v>
      </c>
      <c r="U20" s="379">
        <f ca="1">ROUND(IF($C20="Automático",AG20+AN20,$Z20*IF(ISERROR(QCI!$AB20/QCI!$O20),0,QCI!$AB20/QCI!$O20)),2)</f>
        <v>0</v>
      </c>
      <c r="V20" s="481">
        <f ca="1">IF(AND($L20&gt;0,$J20&lt;&gt;0,$J20&lt;&gt;"",COUNTIF($J$13:$J20,$J20)=1),OFFSET(V20,-1,0)+1,OFFSET(V20,-1,0))</f>
        <v>1</v>
      </c>
      <c r="X20" s="553"/>
      <c r="Y20" s="297"/>
      <c r="Z20" s="298"/>
      <c r="AC20" s="192" t="e">
        <f ca="1">IF(ACOMPANHAMENTO&lt;&gt;"PLE",0,SUMPRODUCT((OFFSET(CÁLCULO!$BV$15:$CN$15,$A20,0,$B20)&lt;=(PLE.Medicao-1))*OFFSET(CÁLCULO!$AJ$15:$BB$15,$A20,0,$B20)*OFFSET(ORÇAMENTO!$AA$15,$A20,0,$B20)/(OFFSET(ORÇAMENTO!$X$15,$A20,0,$B20)+10^-12))+IF(AUTOEVENTO="Manual",SUMPRODUCT((OFFSET(CÁLCULO!$M$15,$A20,0,$B20)=1)*OFFSET(ORÇAMENTO!$AA$15,$A20,0,$B20)*(PLE!$AE$9-PLE!$Y$9)),0))</f>
        <v>#N/A</v>
      </c>
      <c r="AD20" s="192" t="e">
        <f ca="1">IF(ACOMPANHAMENTO&lt;&gt;"PLE",0,SUMPRODUCT((OFFSET(CÁLCULO!$BV$15:$CN$15,$A20,0,$B20)&lt;=(PLE.Medicao-1))*OFFSET(CÁLCULO!$AJ$15:$BB$15,$A20,0,$B20)*OFFSET(ORÇAMENTO!$AB$15,$A20,0,$B20)/(OFFSET(ORÇAMENTO!$X$15,$A20,0,$B20)+10^-12))+IF(AUTOEVENTO="Manual",SUMPRODUCT((OFFSET(CÁLCULO!$M$15,$A20,0,$B20)=1)*OFFSET(ORÇAMENTO!$AB$15,$A20,0,$B20)*(PLE!$AE$9-PLE!$Y$9)),0))</f>
        <v>#N/A</v>
      </c>
      <c r="AE20" s="192" t="e">
        <f ca="1">ROUND(IF(ACOMPANHAMENTO&lt;&gt;"PLE",0,SUMIF(OFFSET(CÁLCULO!$BV$15:$CN$15,$A20,0,$B20),"&lt;="&amp;(PLE.Medicao-1),OFFSET(CÁLCULO!$AJ$15:$BB$15,$A20,0,$B20))+IF(AUTOEVENTO="Manual",SUMIF(OFFSET(CÁLCULO!$M$15,$A20,0,$B20),1,OFFSET(ORÇAMENTO!$X$15,$A20,0,$B20))*(PLE!$AE$9-PLE!$Y$9),0)),2)</f>
        <v>#N/A</v>
      </c>
      <c r="AF20" s="192" t="e">
        <f ca="1">IF(ACOMPANHAMENTO&lt;&gt;"PLE",0,SUMPRODUCT((OFFSET(CÁLCULO!$BV$15:$CN$15,$A20,0,$B20)&lt;=PLE.Medicao)*OFFSET(CÁLCULO!$AJ$15:$BB$15,$A20,0,$B20)*OFFSET(ORÇAMENTO!$AA$15,$A20,0,$B20)/(OFFSET(ORÇAMENTO!$X$15,$A20,0,$B20)+10^-12))+IF(AUTOEVENTO="Manual",SUMPRODUCT((OFFSET(CÁLCULO!$M$15,$A20,0,$B20)=1)*OFFSET(ORÇAMENTO!$AA$15,$A20,0,$B20)*PLE!$AE$9),0))</f>
        <v>#N/A</v>
      </c>
      <c r="AG20" s="192" t="e">
        <f ca="1">IF(ACOMPANHAMENTO&lt;&gt;"PLE",0,SUMPRODUCT((OFFSET(CÁLCULO!$BV$15:$CN$15,$A20,0,$B20)&lt;=PLE.Medicao)*OFFSET(CÁLCULO!$AJ$15:$BB$15,$A20,0,$B20)*OFFSET(ORÇAMENTO!$AB$15,$A20,0,$B20)/(OFFSET(ORÇAMENTO!$X$15,$A20,0,$B20)+10^-12))+IF(AUTOEVENTO="Manual",SUMPRODUCT((OFFSET(CÁLCULO!$M$15,$A20,0,$B20)=1)*OFFSET(ORÇAMENTO!$AB$15,$A20,0,$B20)*PLE!$AE$9),0))</f>
        <v>#N/A</v>
      </c>
      <c r="AH20" s="192" t="e">
        <f ca="1">ROUND(IF(ACOMPANHAMENTO&lt;&gt;"PLE",0,SUMIF(OFFSET(CÁLCULO!$BV$15:$CN$15,$A20,0,$B20),"&lt;="&amp;PLE.Medicao,OFFSET(CÁLCULO!$AJ$15:$BB$15,$A20,0,$B20))+IF(AUTOEVENTO="Manual",SUMIF(OFFSET(CÁLCULO!$M$15,$A20,0,$B20),1,OFFSET(ORÇAMENTO!$X$15,$A20,0,$B20))*PLE!$AE$9,0)),2)</f>
        <v>#N/A</v>
      </c>
      <c r="AJ20" s="192">
        <f ca="1">IF(ACOMPANHAMENTO&lt;&gt;"BM",0,SUMPRODUCT(OFFSET(BM!$M$15,$A20,0,$B20)*(OFFSET(BM!$A$15,$A20,0,$B20)="S")*OFFSET(ORÇAMENTO!AA$15,$A20,0,$B20)/(OFFSET(ORÇAMENTO!$X$15,$A20,0,$B20)+10^-12)))</f>
        <v>0</v>
      </c>
      <c r="AK20" s="192">
        <f ca="1">IF(ACOMPANHAMENTO&lt;&gt;"BM",0,SUMPRODUCT(OFFSET(BM!$M$15,$A20,0,$B20)*(OFFSET(BM!$A$15,$A20,0,$B20)="S")*OFFSET(ORÇAMENTO!AB$15,$A20,0,$B20)/(OFFSET(ORÇAMENTO!$X$15,$A20,0,$B20)+10^-12)))</f>
        <v>0</v>
      </c>
      <c r="AL20" s="192">
        <f ca="1">IF(ACOMPANHAMENTO&lt;&gt;"BM",0,OFFSET(BM!$M$15,$A20,0))</f>
        <v>0</v>
      </c>
      <c r="AM20" s="192">
        <f ca="1">IF(ACOMPANHAMENTO&lt;&gt;"BM",0,SUMPRODUCT(OFFSET(BM!$O$15,$A20,0,$B20)*(OFFSET(BM!$A$15,$A20,0,$B20)="S")*OFFSET(ORÇAMENTO!AA$15,$A20,0,$B20)/(OFFSET(ORÇAMENTO!$X$15,$A20,0,$B20)+10^-12)))</f>
        <v>0</v>
      </c>
      <c r="AN20" s="192">
        <f ca="1">IF(ACOMPANHAMENTO&lt;&gt;"BM",0,SUMPRODUCT(OFFSET(BM!$O$15,$A20,0,$B20)*(OFFSET(BM!$A$15,$A20,0,$B20)="S")*OFFSET(ORÇAMENTO!AB$15,$A20,0,$B20)/(OFFSET(ORÇAMENTO!$X$15,$A20,0,$B20)+10^-12)))</f>
        <v>0</v>
      </c>
      <c r="AO20" s="192">
        <f ca="1">IF(ACOMPANHAMENTO&lt;&gt;"BM",0,OFFSET(BM!$O$15,$A20,0))</f>
        <v>0</v>
      </c>
    </row>
    <row r="21" spans="1:41" x14ac:dyDescent="0.2">
      <c r="A21" t="e">
        <f ca="1">MATCH(E21,ORÇAMENTO!$E$15:$E$131,0)-1</f>
        <v>#N/A</v>
      </c>
      <c r="B21" t="e">
        <f ca="1">IF(ISERROR($A21),NA(),OFFSET(ORÇAMENTO!$D$15,$A21,0))</f>
        <v>#N/A</v>
      </c>
      <c r="C21" t="str">
        <f ca="1">QCI!B21</f>
        <v>Branco</v>
      </c>
      <c r="D21" t="str">
        <f t="shared" ca="1" si="0"/>
        <v/>
      </c>
      <c r="E21" s="291">
        <f>QCI!D21</f>
        <v>8</v>
      </c>
      <c r="F21" s="375" t="str">
        <f ca="1">QCI!G21</f>
        <v/>
      </c>
      <c r="G21" s="376">
        <f>QCI!H21</f>
        <v>0</v>
      </c>
      <c r="H21" s="292">
        <f>QCI!I21</f>
        <v>0</v>
      </c>
      <c r="I21" s="292" t="str">
        <f ca="1">QCI!J21</f>
        <v/>
      </c>
      <c r="J21" s="377" t="str">
        <f ca="1">QCI!K21</f>
        <v/>
      </c>
      <c r="K21" s="378" t="str">
        <f ca="1">IF($C21="Automático",IF(ACOMPANHAMENTO="BM",BM.medicao,PLE.Medicao),IF(ISBLANK($X21),"",$X21))</f>
        <v/>
      </c>
      <c r="L21" s="296">
        <f ca="1">QCI!$O21</f>
        <v>0</v>
      </c>
      <c r="M21" s="293">
        <f t="shared" ca="1" si="1"/>
        <v>0</v>
      </c>
      <c r="N21" s="294">
        <f t="shared" ca="1" si="2"/>
        <v>0</v>
      </c>
      <c r="O21" s="295">
        <f t="shared" ca="1" si="3"/>
        <v>0</v>
      </c>
      <c r="P21" s="380">
        <f t="shared" ca="1" si="4"/>
        <v>0</v>
      </c>
      <c r="R21" s="379">
        <f ca="1">ROUND(IF($C21="Automático",AC21+AJ21,$Y21*IF(ISERROR(QCI!$AA21/QCI!$O21),0,QCI!$AA21/QCI!$O21)),2)</f>
        <v>0</v>
      </c>
      <c r="S21" s="379">
        <f ca="1">ROUND(IF($C21="Automático",AD21+AK21,$Y21*IF(ISERROR(QCI!$AB21/QCI!$O21),0,QCI!$AB21/QCI!$O21)),2)</f>
        <v>0</v>
      </c>
      <c r="T21" s="379">
        <f ca="1">ROUND(IF($C21="Automático",AF21+AM21,$Z21*IF(ISERROR(QCI!$AA21/QCI!$O21),0,QCI!$AA21/QCI!$O21)),2)</f>
        <v>0</v>
      </c>
      <c r="U21" s="379">
        <f ca="1">ROUND(IF($C21="Automático",AG21+AN21,$Z21*IF(ISERROR(QCI!$AB21/QCI!$O21),0,QCI!$AB21/QCI!$O21)),2)</f>
        <v>0</v>
      </c>
      <c r="V21" s="481">
        <f ca="1">IF(AND($L21&gt;0,$J21&lt;&gt;0,$J21&lt;&gt;"",COUNTIF($J$13:$J21,$J21)=1),OFFSET(V21,-1,0)+1,OFFSET(V21,-1,0))</f>
        <v>1</v>
      </c>
      <c r="X21" s="553"/>
      <c r="Y21" s="297"/>
      <c r="Z21" s="298"/>
      <c r="AC21" s="192" t="e">
        <f ca="1">IF(ACOMPANHAMENTO&lt;&gt;"PLE",0,SUMPRODUCT((OFFSET(CÁLCULO!$BV$15:$CN$15,$A21,0,$B21)&lt;=(PLE.Medicao-1))*OFFSET(CÁLCULO!$AJ$15:$BB$15,$A21,0,$B21)*OFFSET(ORÇAMENTO!$AA$15,$A21,0,$B21)/(OFFSET(ORÇAMENTO!$X$15,$A21,0,$B21)+10^-12))+IF(AUTOEVENTO="Manual",SUMPRODUCT((OFFSET(CÁLCULO!$M$15,$A21,0,$B21)=1)*OFFSET(ORÇAMENTO!$AA$15,$A21,0,$B21)*(PLE!$AE$9-PLE!$Y$9)),0))</f>
        <v>#N/A</v>
      </c>
      <c r="AD21" s="192" t="e">
        <f ca="1">IF(ACOMPANHAMENTO&lt;&gt;"PLE",0,SUMPRODUCT((OFFSET(CÁLCULO!$BV$15:$CN$15,$A21,0,$B21)&lt;=(PLE.Medicao-1))*OFFSET(CÁLCULO!$AJ$15:$BB$15,$A21,0,$B21)*OFFSET(ORÇAMENTO!$AB$15,$A21,0,$B21)/(OFFSET(ORÇAMENTO!$X$15,$A21,0,$B21)+10^-12))+IF(AUTOEVENTO="Manual",SUMPRODUCT((OFFSET(CÁLCULO!$M$15,$A21,0,$B21)=1)*OFFSET(ORÇAMENTO!$AB$15,$A21,0,$B21)*(PLE!$AE$9-PLE!$Y$9)),0))</f>
        <v>#N/A</v>
      </c>
      <c r="AE21" s="192" t="e">
        <f ca="1">ROUND(IF(ACOMPANHAMENTO&lt;&gt;"PLE",0,SUMIF(OFFSET(CÁLCULO!$BV$15:$CN$15,$A21,0,$B21),"&lt;="&amp;(PLE.Medicao-1),OFFSET(CÁLCULO!$AJ$15:$BB$15,$A21,0,$B21))+IF(AUTOEVENTO="Manual",SUMIF(OFFSET(CÁLCULO!$M$15,$A21,0,$B21),1,OFFSET(ORÇAMENTO!$X$15,$A21,0,$B21))*(PLE!$AE$9-PLE!$Y$9),0)),2)</f>
        <v>#N/A</v>
      </c>
      <c r="AF21" s="192" t="e">
        <f ca="1">IF(ACOMPANHAMENTO&lt;&gt;"PLE",0,SUMPRODUCT((OFFSET(CÁLCULO!$BV$15:$CN$15,$A21,0,$B21)&lt;=PLE.Medicao)*OFFSET(CÁLCULO!$AJ$15:$BB$15,$A21,0,$B21)*OFFSET(ORÇAMENTO!$AA$15,$A21,0,$B21)/(OFFSET(ORÇAMENTO!$X$15,$A21,0,$B21)+10^-12))+IF(AUTOEVENTO="Manual",SUMPRODUCT((OFFSET(CÁLCULO!$M$15,$A21,0,$B21)=1)*OFFSET(ORÇAMENTO!$AA$15,$A21,0,$B21)*PLE!$AE$9),0))</f>
        <v>#N/A</v>
      </c>
      <c r="AG21" s="192" t="e">
        <f ca="1">IF(ACOMPANHAMENTO&lt;&gt;"PLE",0,SUMPRODUCT((OFFSET(CÁLCULO!$BV$15:$CN$15,$A21,0,$B21)&lt;=PLE.Medicao)*OFFSET(CÁLCULO!$AJ$15:$BB$15,$A21,0,$B21)*OFFSET(ORÇAMENTO!$AB$15,$A21,0,$B21)/(OFFSET(ORÇAMENTO!$X$15,$A21,0,$B21)+10^-12))+IF(AUTOEVENTO="Manual",SUMPRODUCT((OFFSET(CÁLCULO!$M$15,$A21,0,$B21)=1)*OFFSET(ORÇAMENTO!$AB$15,$A21,0,$B21)*PLE!$AE$9),0))</f>
        <v>#N/A</v>
      </c>
      <c r="AH21" s="192" t="e">
        <f ca="1">ROUND(IF(ACOMPANHAMENTO&lt;&gt;"PLE",0,SUMIF(OFFSET(CÁLCULO!$BV$15:$CN$15,$A21,0,$B21),"&lt;="&amp;PLE.Medicao,OFFSET(CÁLCULO!$AJ$15:$BB$15,$A21,0,$B21))+IF(AUTOEVENTO="Manual",SUMIF(OFFSET(CÁLCULO!$M$15,$A21,0,$B21),1,OFFSET(ORÇAMENTO!$X$15,$A21,0,$B21))*PLE!$AE$9,0)),2)</f>
        <v>#N/A</v>
      </c>
      <c r="AJ21" s="192">
        <f ca="1">IF(ACOMPANHAMENTO&lt;&gt;"BM",0,SUMPRODUCT(OFFSET(BM!$M$15,$A21,0,$B21)*(OFFSET(BM!$A$15,$A21,0,$B21)="S")*OFFSET(ORÇAMENTO!AA$15,$A21,0,$B21)/(OFFSET(ORÇAMENTO!$X$15,$A21,0,$B21)+10^-12)))</f>
        <v>0</v>
      </c>
      <c r="AK21" s="192">
        <f ca="1">IF(ACOMPANHAMENTO&lt;&gt;"BM",0,SUMPRODUCT(OFFSET(BM!$M$15,$A21,0,$B21)*(OFFSET(BM!$A$15,$A21,0,$B21)="S")*OFFSET(ORÇAMENTO!AB$15,$A21,0,$B21)/(OFFSET(ORÇAMENTO!$X$15,$A21,0,$B21)+10^-12)))</f>
        <v>0</v>
      </c>
      <c r="AL21" s="192">
        <f ca="1">IF(ACOMPANHAMENTO&lt;&gt;"BM",0,OFFSET(BM!$M$15,$A21,0))</f>
        <v>0</v>
      </c>
      <c r="AM21" s="192">
        <f ca="1">IF(ACOMPANHAMENTO&lt;&gt;"BM",0,SUMPRODUCT(OFFSET(BM!$O$15,$A21,0,$B21)*(OFFSET(BM!$A$15,$A21,0,$B21)="S")*OFFSET(ORÇAMENTO!AA$15,$A21,0,$B21)/(OFFSET(ORÇAMENTO!$X$15,$A21,0,$B21)+10^-12)))</f>
        <v>0</v>
      </c>
      <c r="AN21" s="192">
        <f ca="1">IF(ACOMPANHAMENTO&lt;&gt;"BM",0,SUMPRODUCT(OFFSET(BM!$O$15,$A21,0,$B21)*(OFFSET(BM!$A$15,$A21,0,$B21)="S")*OFFSET(ORÇAMENTO!AB$15,$A21,0,$B21)/(OFFSET(ORÇAMENTO!$X$15,$A21,0,$B21)+10^-12)))</f>
        <v>0</v>
      </c>
      <c r="AO21" s="192">
        <f ca="1">IF(ACOMPANHAMENTO&lt;&gt;"BM",0,OFFSET(BM!$O$15,$A21,0))</f>
        <v>0</v>
      </c>
    </row>
    <row r="22" spans="1:41" x14ac:dyDescent="0.2">
      <c r="A22" t="e">
        <f ca="1">MATCH(E22,ORÇAMENTO!$E$15:$E$131,0)-1</f>
        <v>#N/A</v>
      </c>
      <c r="B22" t="e">
        <f ca="1">IF(ISERROR($A22),NA(),OFFSET(ORÇAMENTO!$D$15,$A22,0))</f>
        <v>#N/A</v>
      </c>
      <c r="C22" t="str">
        <f ca="1">QCI!B22</f>
        <v>Branco</v>
      </c>
      <c r="D22" t="str">
        <f t="shared" ca="1" si="0"/>
        <v/>
      </c>
      <c r="E22" s="291">
        <f>QCI!D22</f>
        <v>9</v>
      </c>
      <c r="F22" s="375" t="str">
        <f ca="1">QCI!G22</f>
        <v/>
      </c>
      <c r="G22" s="376">
        <f>QCI!H22</f>
        <v>0</v>
      </c>
      <c r="H22" s="292">
        <f>QCI!I22</f>
        <v>0</v>
      </c>
      <c r="I22" s="292" t="str">
        <f ca="1">QCI!J22</f>
        <v/>
      </c>
      <c r="J22" s="377" t="str">
        <f ca="1">QCI!K22</f>
        <v/>
      </c>
      <c r="K22" s="378" t="str">
        <f ca="1">IF($C22="Automático",IF(ACOMPANHAMENTO="BM",BM.medicao,PLE.Medicao),IF(ISBLANK($X22),"",$X22))</f>
        <v/>
      </c>
      <c r="L22" s="296">
        <f ca="1">QCI!$O22</f>
        <v>0</v>
      </c>
      <c r="M22" s="293">
        <f t="shared" ca="1" si="1"/>
        <v>0</v>
      </c>
      <c r="N22" s="294">
        <f t="shared" ca="1" si="2"/>
        <v>0</v>
      </c>
      <c r="O22" s="295">
        <f t="shared" ca="1" si="3"/>
        <v>0</v>
      </c>
      <c r="P22" s="380">
        <f t="shared" ca="1" si="4"/>
        <v>0</v>
      </c>
      <c r="R22" s="379">
        <f ca="1">ROUND(IF($C22="Automático",AC22+AJ22,$Y22*IF(ISERROR(QCI!$AA22/QCI!$O22),0,QCI!$AA22/QCI!$O22)),2)</f>
        <v>0</v>
      </c>
      <c r="S22" s="379">
        <f ca="1">ROUND(IF($C22="Automático",AD22+AK22,$Y22*IF(ISERROR(QCI!$AB22/QCI!$O22),0,QCI!$AB22/QCI!$O22)),2)</f>
        <v>0</v>
      </c>
      <c r="T22" s="379">
        <f ca="1">ROUND(IF($C22="Automático",AF22+AM22,$Z22*IF(ISERROR(QCI!$AA22/QCI!$O22),0,QCI!$AA22/QCI!$O22)),2)</f>
        <v>0</v>
      </c>
      <c r="U22" s="379">
        <f ca="1">ROUND(IF($C22="Automático",AG22+AN22,$Z22*IF(ISERROR(QCI!$AB22/QCI!$O22),0,QCI!$AB22/QCI!$O22)),2)</f>
        <v>0</v>
      </c>
      <c r="V22" s="481">
        <f ca="1">IF(AND($L22&gt;0,$J22&lt;&gt;0,$J22&lt;&gt;"",COUNTIF($J$13:$J22,$J22)=1),OFFSET(V22,-1,0)+1,OFFSET(V22,-1,0))</f>
        <v>1</v>
      </c>
      <c r="X22" s="553"/>
      <c r="Y22" s="297"/>
      <c r="Z22" s="298"/>
      <c r="AC22" s="192" t="e">
        <f ca="1">IF(ACOMPANHAMENTO&lt;&gt;"PLE",0,SUMPRODUCT((OFFSET(CÁLCULO!$BV$15:$CN$15,$A22,0,$B22)&lt;=(PLE.Medicao-1))*OFFSET(CÁLCULO!$AJ$15:$BB$15,$A22,0,$B22)*OFFSET(ORÇAMENTO!$AA$15,$A22,0,$B22)/(OFFSET(ORÇAMENTO!$X$15,$A22,0,$B22)+10^-12))+IF(AUTOEVENTO="Manual",SUMPRODUCT((OFFSET(CÁLCULO!$M$15,$A22,0,$B22)=1)*OFFSET(ORÇAMENTO!$AA$15,$A22,0,$B22)*(PLE!$AE$9-PLE!$Y$9)),0))</f>
        <v>#N/A</v>
      </c>
      <c r="AD22" s="192" t="e">
        <f ca="1">IF(ACOMPANHAMENTO&lt;&gt;"PLE",0,SUMPRODUCT((OFFSET(CÁLCULO!$BV$15:$CN$15,$A22,0,$B22)&lt;=(PLE.Medicao-1))*OFFSET(CÁLCULO!$AJ$15:$BB$15,$A22,0,$B22)*OFFSET(ORÇAMENTO!$AB$15,$A22,0,$B22)/(OFFSET(ORÇAMENTO!$X$15,$A22,0,$B22)+10^-12))+IF(AUTOEVENTO="Manual",SUMPRODUCT((OFFSET(CÁLCULO!$M$15,$A22,0,$B22)=1)*OFFSET(ORÇAMENTO!$AB$15,$A22,0,$B22)*(PLE!$AE$9-PLE!$Y$9)),0))</f>
        <v>#N/A</v>
      </c>
      <c r="AE22" s="192" t="e">
        <f ca="1">ROUND(IF(ACOMPANHAMENTO&lt;&gt;"PLE",0,SUMIF(OFFSET(CÁLCULO!$BV$15:$CN$15,$A22,0,$B22),"&lt;="&amp;(PLE.Medicao-1),OFFSET(CÁLCULO!$AJ$15:$BB$15,$A22,0,$B22))+IF(AUTOEVENTO="Manual",SUMIF(OFFSET(CÁLCULO!$M$15,$A22,0,$B22),1,OFFSET(ORÇAMENTO!$X$15,$A22,0,$B22))*(PLE!$AE$9-PLE!$Y$9),0)),2)</f>
        <v>#N/A</v>
      </c>
      <c r="AF22" s="192" t="e">
        <f ca="1">IF(ACOMPANHAMENTO&lt;&gt;"PLE",0,SUMPRODUCT((OFFSET(CÁLCULO!$BV$15:$CN$15,$A22,0,$B22)&lt;=PLE.Medicao)*OFFSET(CÁLCULO!$AJ$15:$BB$15,$A22,0,$B22)*OFFSET(ORÇAMENTO!$AA$15,$A22,0,$B22)/(OFFSET(ORÇAMENTO!$X$15,$A22,0,$B22)+10^-12))+IF(AUTOEVENTO="Manual",SUMPRODUCT((OFFSET(CÁLCULO!$M$15,$A22,0,$B22)=1)*OFFSET(ORÇAMENTO!$AA$15,$A22,0,$B22)*PLE!$AE$9),0))</f>
        <v>#N/A</v>
      </c>
      <c r="AG22" s="192" t="e">
        <f ca="1">IF(ACOMPANHAMENTO&lt;&gt;"PLE",0,SUMPRODUCT((OFFSET(CÁLCULO!$BV$15:$CN$15,$A22,0,$B22)&lt;=PLE.Medicao)*OFFSET(CÁLCULO!$AJ$15:$BB$15,$A22,0,$B22)*OFFSET(ORÇAMENTO!$AB$15,$A22,0,$B22)/(OFFSET(ORÇAMENTO!$X$15,$A22,0,$B22)+10^-12))+IF(AUTOEVENTO="Manual",SUMPRODUCT((OFFSET(CÁLCULO!$M$15,$A22,0,$B22)=1)*OFFSET(ORÇAMENTO!$AB$15,$A22,0,$B22)*PLE!$AE$9),0))</f>
        <v>#N/A</v>
      </c>
      <c r="AH22" s="192" t="e">
        <f ca="1">ROUND(IF(ACOMPANHAMENTO&lt;&gt;"PLE",0,SUMIF(OFFSET(CÁLCULO!$BV$15:$CN$15,$A22,0,$B22),"&lt;="&amp;PLE.Medicao,OFFSET(CÁLCULO!$AJ$15:$BB$15,$A22,0,$B22))+IF(AUTOEVENTO="Manual",SUMIF(OFFSET(CÁLCULO!$M$15,$A22,0,$B22),1,OFFSET(ORÇAMENTO!$X$15,$A22,0,$B22))*PLE!$AE$9,0)),2)</f>
        <v>#N/A</v>
      </c>
      <c r="AJ22" s="192">
        <f ca="1">IF(ACOMPANHAMENTO&lt;&gt;"BM",0,SUMPRODUCT(OFFSET(BM!$M$15,$A22,0,$B22)*(OFFSET(BM!$A$15,$A22,0,$B22)="S")*OFFSET(ORÇAMENTO!AA$15,$A22,0,$B22)/(OFFSET(ORÇAMENTO!$X$15,$A22,0,$B22)+10^-12)))</f>
        <v>0</v>
      </c>
      <c r="AK22" s="192">
        <f ca="1">IF(ACOMPANHAMENTO&lt;&gt;"BM",0,SUMPRODUCT(OFFSET(BM!$M$15,$A22,0,$B22)*(OFFSET(BM!$A$15,$A22,0,$B22)="S")*OFFSET(ORÇAMENTO!AB$15,$A22,0,$B22)/(OFFSET(ORÇAMENTO!$X$15,$A22,0,$B22)+10^-12)))</f>
        <v>0</v>
      </c>
      <c r="AL22" s="192">
        <f ca="1">IF(ACOMPANHAMENTO&lt;&gt;"BM",0,OFFSET(BM!$M$15,$A22,0))</f>
        <v>0</v>
      </c>
      <c r="AM22" s="192">
        <f ca="1">IF(ACOMPANHAMENTO&lt;&gt;"BM",0,SUMPRODUCT(OFFSET(BM!$O$15,$A22,0,$B22)*(OFFSET(BM!$A$15,$A22,0,$B22)="S")*OFFSET(ORÇAMENTO!AA$15,$A22,0,$B22)/(OFFSET(ORÇAMENTO!$X$15,$A22,0,$B22)+10^-12)))</f>
        <v>0</v>
      </c>
      <c r="AN22" s="192">
        <f ca="1">IF(ACOMPANHAMENTO&lt;&gt;"BM",0,SUMPRODUCT(OFFSET(BM!$O$15,$A22,0,$B22)*(OFFSET(BM!$A$15,$A22,0,$B22)="S")*OFFSET(ORÇAMENTO!AB$15,$A22,0,$B22)/(OFFSET(ORÇAMENTO!$X$15,$A22,0,$B22)+10^-12)))</f>
        <v>0</v>
      </c>
      <c r="AO22" s="192">
        <f ca="1">IF(ACOMPANHAMENTO&lt;&gt;"BM",0,OFFSET(BM!$O$15,$A22,0))</f>
        <v>0</v>
      </c>
    </row>
    <row r="23" spans="1:41" x14ac:dyDescent="0.2">
      <c r="A23" t="e">
        <f ca="1">MATCH(E23,ORÇAMENTO!$E$15:$E$131,0)-1</f>
        <v>#N/A</v>
      </c>
      <c r="B23" t="e">
        <f ca="1">IF(ISERROR($A23),NA(),OFFSET(ORÇAMENTO!$D$15,$A23,0))</f>
        <v>#N/A</v>
      </c>
      <c r="C23" t="str">
        <f ca="1">QCI!B23</f>
        <v>Branco</v>
      </c>
      <c r="D23" t="str">
        <f ca="1">IF(L23&gt;0,"F","")</f>
        <v/>
      </c>
      <c r="E23" s="291">
        <f>QCI!D23</f>
        <v>10</v>
      </c>
      <c r="F23" s="375" t="str">
        <f ca="1">QCI!G23</f>
        <v/>
      </c>
      <c r="G23" s="376">
        <f>QCI!H23</f>
        <v>0</v>
      </c>
      <c r="H23" s="292">
        <f>QCI!I23</f>
        <v>0</v>
      </c>
      <c r="I23" s="292" t="str">
        <f ca="1">QCI!J23</f>
        <v/>
      </c>
      <c r="J23" s="377" t="str">
        <f ca="1">QCI!K23</f>
        <v/>
      </c>
      <c r="K23" s="378" t="str">
        <f ca="1">IF($C23="Automático",IF(ACOMPANHAMENTO="BM",BM.medicao,PLE.Medicao),IF(ISBLANK($X23),"",$X23))</f>
        <v/>
      </c>
      <c r="L23" s="296">
        <f ca="1">QCI!$O23</f>
        <v>0</v>
      </c>
      <c r="M23" s="293">
        <f ca="1">ROUND(IF(C23="Automático",AE23+AL23,Y23),2)</f>
        <v>0</v>
      </c>
      <c r="N23" s="294">
        <f ca="1">O23-M23</f>
        <v>0</v>
      </c>
      <c r="O23" s="295">
        <f ca="1">ROUND(IF(C23="Automático",AH23+AO23,Z23),2)</f>
        <v>0</v>
      </c>
      <c r="P23" s="380">
        <f ca="1">O23/(L23+10^-12)</f>
        <v>0</v>
      </c>
      <c r="R23" s="379">
        <f ca="1">ROUND(IF($C23="Automático",AC23+AJ23,$Y23*IF(ISERROR(QCI!$AA23/QCI!$O23),0,QCI!$AA23/QCI!$O23)),2)</f>
        <v>0</v>
      </c>
      <c r="S23" s="379">
        <f ca="1">ROUND(IF($C23="Automático",AD23+AK23,$Y23*IF(ISERROR(QCI!$AB23/QCI!$O23),0,QCI!$AB23/QCI!$O23)),2)</f>
        <v>0</v>
      </c>
      <c r="T23" s="379">
        <f ca="1">ROUND(IF($C23="Automático",AF23+AM23,$Z23*IF(ISERROR(QCI!$AA23/QCI!$O23),0,QCI!$AA23/QCI!$O23)),2)</f>
        <v>0</v>
      </c>
      <c r="U23" s="379">
        <f ca="1">ROUND(IF($C23="Automático",AG23+AN23,$Z23*IF(ISERROR(QCI!$AB23/QCI!$O23),0,QCI!$AB23/QCI!$O23)),2)</f>
        <v>0</v>
      </c>
      <c r="V23" s="481">
        <f ca="1">IF(AND($L23&gt;0,$J23&lt;&gt;0,$J23&lt;&gt;"",COUNTIF($J$13:$J23,$J23)=1),OFFSET(V23,-1,0)+1,OFFSET(V23,-1,0))</f>
        <v>1</v>
      </c>
      <c r="X23" s="553"/>
      <c r="Y23" s="297"/>
      <c r="Z23" s="298"/>
      <c r="AC23" s="192" t="e">
        <f ca="1">IF(ACOMPANHAMENTO&lt;&gt;"PLE",0,SUMPRODUCT((OFFSET(CÁLCULO!$BV$15:$CN$15,$A23,0,$B23)&lt;=(PLE.Medicao-1))*OFFSET(CÁLCULO!$AJ$15:$BB$15,$A23,0,$B23)*OFFSET(ORÇAMENTO!$AA$15,$A23,0,$B23)/(OFFSET(ORÇAMENTO!$X$15,$A23,0,$B23)+10^-12))+IF(AUTOEVENTO="Manual",SUMPRODUCT((OFFSET(CÁLCULO!$M$15,$A23,0,$B23)=1)*OFFSET(ORÇAMENTO!$AA$15,$A23,0,$B23)*(PLE!$AE$9-PLE!$Y$9)),0))</f>
        <v>#N/A</v>
      </c>
      <c r="AD23" s="192" t="e">
        <f ca="1">IF(ACOMPANHAMENTO&lt;&gt;"PLE",0,SUMPRODUCT((OFFSET(CÁLCULO!$BV$15:$CN$15,$A23,0,$B23)&lt;=(PLE.Medicao-1))*OFFSET(CÁLCULO!$AJ$15:$BB$15,$A23,0,$B23)*OFFSET(ORÇAMENTO!$AB$15,$A23,0,$B23)/(OFFSET(ORÇAMENTO!$X$15,$A23,0,$B23)+10^-12))+IF(AUTOEVENTO="Manual",SUMPRODUCT((OFFSET(CÁLCULO!$M$15,$A23,0,$B23)=1)*OFFSET(ORÇAMENTO!$AB$15,$A23,0,$B23)*(PLE!$AE$9-PLE!$Y$9)),0))</f>
        <v>#N/A</v>
      </c>
      <c r="AE23" s="192" t="e">
        <f ca="1">ROUND(IF(ACOMPANHAMENTO&lt;&gt;"PLE",0,SUMIF(OFFSET(CÁLCULO!$BV$15:$CN$15,$A23,0,$B23),"&lt;="&amp;(PLE.Medicao-1),OFFSET(CÁLCULO!$AJ$15:$BB$15,$A23,0,$B23))+IF(AUTOEVENTO="Manual",SUMIF(OFFSET(CÁLCULO!$M$15,$A23,0,$B23),1,OFFSET(ORÇAMENTO!$X$15,$A23,0,$B23))*(PLE!$AE$9-PLE!$Y$9),0)),2)</f>
        <v>#N/A</v>
      </c>
      <c r="AF23" s="192" t="e">
        <f ca="1">IF(ACOMPANHAMENTO&lt;&gt;"PLE",0,SUMPRODUCT((OFFSET(CÁLCULO!$BV$15:$CN$15,$A23,0,$B23)&lt;=PLE.Medicao)*OFFSET(CÁLCULO!$AJ$15:$BB$15,$A23,0,$B23)*OFFSET(ORÇAMENTO!$AA$15,$A23,0,$B23)/(OFFSET(ORÇAMENTO!$X$15,$A23,0,$B23)+10^-12))+IF(AUTOEVENTO="Manual",SUMPRODUCT((OFFSET(CÁLCULO!$M$15,$A23,0,$B23)=1)*OFFSET(ORÇAMENTO!$AA$15,$A23,0,$B23)*PLE!$AE$9),0))</f>
        <v>#N/A</v>
      </c>
      <c r="AG23" s="192" t="e">
        <f ca="1">IF(ACOMPANHAMENTO&lt;&gt;"PLE",0,SUMPRODUCT((OFFSET(CÁLCULO!$BV$15:$CN$15,$A23,0,$B23)&lt;=PLE.Medicao)*OFFSET(CÁLCULO!$AJ$15:$BB$15,$A23,0,$B23)*OFFSET(ORÇAMENTO!$AB$15,$A23,0,$B23)/(OFFSET(ORÇAMENTO!$X$15,$A23,0,$B23)+10^-12))+IF(AUTOEVENTO="Manual",SUMPRODUCT((OFFSET(CÁLCULO!$M$15,$A23,0,$B23)=1)*OFFSET(ORÇAMENTO!$AB$15,$A23,0,$B23)*PLE!$AE$9),0))</f>
        <v>#N/A</v>
      </c>
      <c r="AH23" s="192" t="e">
        <f ca="1">ROUND(IF(ACOMPANHAMENTO&lt;&gt;"PLE",0,SUMIF(OFFSET(CÁLCULO!$BV$15:$CN$15,$A23,0,$B23),"&lt;="&amp;PLE.Medicao,OFFSET(CÁLCULO!$AJ$15:$BB$15,$A23,0,$B23))+IF(AUTOEVENTO="Manual",SUMIF(OFFSET(CÁLCULO!$M$15,$A23,0,$B23),1,OFFSET(ORÇAMENTO!$X$15,$A23,0,$B23))*PLE!$AE$9,0)),2)</f>
        <v>#N/A</v>
      </c>
      <c r="AJ23" s="192">
        <f ca="1">IF(ACOMPANHAMENTO&lt;&gt;"BM",0,SUMPRODUCT(OFFSET(BM!$M$15,$A23,0,$B23)*(OFFSET(BM!$A$15,$A23,0,$B23)="S")*OFFSET(ORÇAMENTO!AA$15,$A23,0,$B23)/(OFFSET(ORÇAMENTO!$X$15,$A23,0,$B23)+10^-12)))</f>
        <v>0</v>
      </c>
      <c r="AK23" s="192">
        <f ca="1">IF(ACOMPANHAMENTO&lt;&gt;"BM",0,SUMPRODUCT(OFFSET(BM!$M$15,$A23,0,$B23)*(OFFSET(BM!$A$15,$A23,0,$B23)="S")*OFFSET(ORÇAMENTO!AB$15,$A23,0,$B23)/(OFFSET(ORÇAMENTO!$X$15,$A23,0,$B23)+10^-12)))</f>
        <v>0</v>
      </c>
      <c r="AL23" s="192">
        <f ca="1">IF(ACOMPANHAMENTO&lt;&gt;"BM",0,OFFSET(BM!$M$15,$A23,0))</f>
        <v>0</v>
      </c>
      <c r="AM23" s="192">
        <f ca="1">IF(ACOMPANHAMENTO&lt;&gt;"BM",0,SUMPRODUCT(OFFSET(BM!$O$15,$A23,0,$B23)*(OFFSET(BM!$A$15,$A23,0,$B23)="S")*OFFSET(ORÇAMENTO!AA$15,$A23,0,$B23)/(OFFSET(ORÇAMENTO!$X$15,$A23,0,$B23)+10^-12)))</f>
        <v>0</v>
      </c>
      <c r="AN23" s="192">
        <f ca="1">IF(ACOMPANHAMENTO&lt;&gt;"BM",0,SUMPRODUCT(OFFSET(BM!$O$15,$A23,0,$B23)*(OFFSET(BM!$A$15,$A23,0,$B23)="S")*OFFSET(ORÇAMENTO!AB$15,$A23,0,$B23)/(OFFSET(ORÇAMENTO!$X$15,$A23,0,$B23)+10^-12)))</f>
        <v>0</v>
      </c>
      <c r="AO23" s="192">
        <f ca="1">IF(ACOMPANHAMENTO&lt;&gt;"BM",0,OFFSET(BM!$O$15,$A23,0))</f>
        <v>0</v>
      </c>
    </row>
    <row r="24" spans="1:41" ht="12.95" customHeight="1" x14ac:dyDescent="0.2">
      <c r="D24" t="s">
        <v>244</v>
      </c>
      <c r="E24" s="1"/>
      <c r="F24" s="1"/>
      <c r="G24" s="1"/>
      <c r="H24" s="1"/>
      <c r="I24" s="2"/>
      <c r="J24" s="815" t="s">
        <v>370</v>
      </c>
      <c r="K24" s="816"/>
      <c r="L24" s="382">
        <f ca="1">IF(ISERROR(L28/$L28),0,ROUND(L28/$L28,4))</f>
        <v>1</v>
      </c>
      <c r="M24" s="384">
        <f ca="1">IF(ISERROR(M28/$L28),0,ROUND(M28/$L28,4))</f>
        <v>0</v>
      </c>
      <c r="N24" s="383">
        <f ca="1">IF(ISERROR(N28/$L28),0,ROUND(N28/$L28,4))</f>
        <v>0</v>
      </c>
      <c r="O24" s="385">
        <f ca="1">IF(ISERROR(O28/$L28),0,ROUND(O28/$L28,4))</f>
        <v>0</v>
      </c>
      <c r="P24" s="817">
        <f ca="1">O28/(L28+10^-12)</f>
        <v>0</v>
      </c>
      <c r="X24" s="314"/>
      <c r="Y24" s="316"/>
      <c r="Z24" s="317"/>
    </row>
    <row r="25" spans="1:41" ht="12.95" customHeight="1" x14ac:dyDescent="0.2">
      <c r="D25" t="s">
        <v>244</v>
      </c>
      <c r="I25" s="4"/>
      <c r="J25" s="818" t="str">
        <f>IF(import.recurso="FGTS","Financiamento","Repasse")</f>
        <v>Repasse</v>
      </c>
      <c r="K25" s="819"/>
      <c r="L25" s="296">
        <f ca="1">QCI!L24</f>
        <v>0</v>
      </c>
      <c r="M25" s="293">
        <f ca="1">M28-M27-M26</f>
        <v>0</v>
      </c>
      <c r="N25" s="294">
        <f ca="1">O25-M25</f>
        <v>0</v>
      </c>
      <c r="O25" s="295">
        <f ca="1">O28-O27-O26</f>
        <v>0</v>
      </c>
      <c r="P25" s="817"/>
      <c r="X25" s="386"/>
      <c r="Y25" s="387" t="s">
        <v>371</v>
      </c>
      <c r="Z25" s="388" t="s">
        <v>372</v>
      </c>
      <c r="AC25" s="389" t="s">
        <v>373</v>
      </c>
      <c r="AD25" s="389" t="s">
        <v>374</v>
      </c>
    </row>
    <row r="26" spans="1:41" ht="12.95" customHeight="1" x14ac:dyDescent="0.2">
      <c r="D26" t="s">
        <v>244</v>
      </c>
      <c r="I26" s="4"/>
      <c r="J26" s="820" t="s">
        <v>375</v>
      </c>
      <c r="K26" s="821"/>
      <c r="L26" s="390">
        <f ca="1">QCI!M24</f>
        <v>1343349.71</v>
      </c>
      <c r="M26" s="391">
        <f ca="1">ROUND(IF(OFFSET($X$26,0,1)&lt;&gt;"",OFFSET($X$26,0,1),SUM(R13:OFFSET(R24,-1,0))),2)</f>
        <v>0</v>
      </c>
      <c r="N26" s="392">
        <f ca="1">O26-M26</f>
        <v>0</v>
      </c>
      <c r="O26" s="393">
        <f ca="1">IF(OFFSET($X$26,0,2)&lt;&gt;"",OFFSET($X$26,0,2),$AE$3)</f>
        <v>0</v>
      </c>
      <c r="P26" s="817"/>
      <c r="X26" s="394" t="s">
        <v>168</v>
      </c>
      <c r="Y26" s="476"/>
      <c r="Z26" s="477"/>
      <c r="AC26" s="395">
        <f ca="1">MIN($L26,$O$28-OFFSET($X$27,0,1))</f>
        <v>0</v>
      </c>
      <c r="AD26" s="395">
        <f ca="1">MIN($L26,$O$28-OFFSET($X$27,0,2))</f>
        <v>0</v>
      </c>
    </row>
    <row r="27" spans="1:41" ht="12.95" customHeight="1" x14ac:dyDescent="0.2">
      <c r="D27" t="s">
        <v>244</v>
      </c>
      <c r="I27" s="4"/>
      <c r="J27" s="822" t="s">
        <v>352</v>
      </c>
      <c r="K27" s="823"/>
      <c r="L27" s="396">
        <f ca="1">QCI!N24</f>
        <v>0</v>
      </c>
      <c r="M27" s="397">
        <f ca="1">ROUND(IF(OFFSET($X$27,0,1)&lt;&gt;"",OFFSET($X$27,0,1),SUM(S13:OFFSET(S24,-1,0))),2)</f>
        <v>0</v>
      </c>
      <c r="N27" s="398">
        <f ca="1">O27-M27</f>
        <v>0</v>
      </c>
      <c r="O27" s="399">
        <f ca="1">IF(OFFSET($X$27,0,2)&lt;&gt;"",OFFSET($X$27,0,2),$AE$4)</f>
        <v>0</v>
      </c>
      <c r="P27" s="817"/>
      <c r="X27" s="400" t="s">
        <v>274</v>
      </c>
      <c r="Y27" s="478"/>
      <c r="Z27" s="479"/>
      <c r="AC27" s="395">
        <f ca="1">MIN($L27,$O$28-OFFSET($X$26,0,1))</f>
        <v>0</v>
      </c>
      <c r="AD27" s="395">
        <f ca="1">MIN($L27,$O$28-OFFSET($X$26,0,2))</f>
        <v>0</v>
      </c>
    </row>
    <row r="28" spans="1:41" ht="15" x14ac:dyDescent="0.2">
      <c r="D28" t="s">
        <v>244</v>
      </c>
      <c r="I28" s="4"/>
      <c r="J28" s="824" t="s">
        <v>354</v>
      </c>
      <c r="K28" s="825"/>
      <c r="L28" s="401">
        <f ca="1">SUM(L13:OFFSET(L24,-1,0))</f>
        <v>1343349.71</v>
      </c>
      <c r="M28" s="402">
        <f ca="1">ROUND(SUM(M13:OFFSET(M24,-1,0)),2)</f>
        <v>0</v>
      </c>
      <c r="N28" s="403">
        <f ca="1">O28-M28</f>
        <v>0</v>
      </c>
      <c r="O28" s="404">
        <f ca="1">SUM(O13:OFFSET(O24,-1,0))</f>
        <v>0</v>
      </c>
      <c r="P28" s="817"/>
      <c r="X28" s="326"/>
      <c r="Y28" s="328"/>
      <c r="Z28" s="329"/>
    </row>
    <row r="29" spans="1:41" x14ac:dyDescent="0.2">
      <c r="O29" s="826" t="str">
        <f ca="1">"Acumulado Anterior:  "&amp;TEXT($M$28/($L$28+10^-12),"0,00%")</f>
        <v>Acumulado Anterior:  0,00%</v>
      </c>
      <c r="P29" s="826"/>
    </row>
    <row r="30" spans="1:41" ht="14.25" x14ac:dyDescent="0.2">
      <c r="E30" s="141" t="s">
        <v>185</v>
      </c>
      <c r="P30" s="432"/>
    </row>
    <row r="31" spans="1:41" ht="12.75" customHeight="1" x14ac:dyDescent="0.2">
      <c r="E31" s="809"/>
      <c r="F31" s="810"/>
      <c r="G31" s="810"/>
      <c r="H31" s="810"/>
      <c r="I31" s="810"/>
      <c r="J31" s="810"/>
      <c r="K31" s="810"/>
      <c r="L31" s="810"/>
      <c r="M31" s="810"/>
      <c r="N31" s="810"/>
      <c r="O31" s="810"/>
      <c r="P31" s="811"/>
    </row>
    <row r="32" spans="1:41" ht="12.75" customHeight="1" x14ac:dyDescent="0.2">
      <c r="E32" s="809"/>
      <c r="F32" s="810"/>
      <c r="G32" s="810"/>
      <c r="H32" s="810"/>
      <c r="I32" s="810"/>
      <c r="J32" s="810"/>
      <c r="K32" s="810"/>
      <c r="L32" s="810"/>
      <c r="M32" s="810"/>
      <c r="N32" s="810"/>
      <c r="O32" s="810"/>
      <c r="P32" s="811"/>
      <c r="Y32" s="405"/>
      <c r="Z32" s="405"/>
    </row>
    <row r="33" spans="5:16" ht="12.75" customHeight="1" x14ac:dyDescent="0.2">
      <c r="E33" s="812"/>
      <c r="F33" s="813"/>
      <c r="G33" s="813"/>
      <c r="H33" s="813"/>
      <c r="I33" s="813"/>
      <c r="J33" s="813"/>
      <c r="K33" s="813"/>
      <c r="L33" s="813"/>
      <c r="M33" s="813"/>
      <c r="N33" s="813"/>
      <c r="O33" s="813"/>
      <c r="P33" s="814"/>
    </row>
    <row r="34" spans="5:16" x14ac:dyDescent="0.2">
      <c r="L34" s="628" t="str">
        <f>IF(L35=0,"Preencher a data de fechamento do RRE na aba DADOS (célula "&amp;ADDRESS(ROW(Import.DataFechaRRE),COLUMN(Import.DataFechaRRE),4)&amp;")","")</f>
        <v>Preencher a data de fechamento do RRE na aba DADOS (célula C48)</v>
      </c>
    </row>
    <row r="35" spans="5:16" ht="15" x14ac:dyDescent="0.2">
      <c r="E35" s="675" t="str">
        <f>Import.Município</f>
        <v>LINDÓIA DO SUL - SC</v>
      </c>
      <c r="F35" s="675"/>
      <c r="G35" s="675"/>
      <c r="I35" s="406"/>
      <c r="K35" s="642"/>
      <c r="L35" s="674">
        <f>DADOS!$C$48</f>
        <v>0</v>
      </c>
      <c r="M35" s="674"/>
      <c r="N35" s="674"/>
      <c r="O35" s="674"/>
    </row>
    <row r="36" spans="5:16" x14ac:dyDescent="0.2">
      <c r="E36" s="10" t="s">
        <v>186</v>
      </c>
      <c r="L36" s="10" t="s">
        <v>187</v>
      </c>
    </row>
    <row r="38" spans="5:16" x14ac:dyDescent="0.2">
      <c r="E38" s="189"/>
      <c r="F38" s="189"/>
      <c r="G38" s="189"/>
      <c r="L38" s="189"/>
      <c r="M38" s="189"/>
      <c r="N38" s="189"/>
      <c r="O38" s="189"/>
    </row>
    <row r="39" spans="5:16" x14ac:dyDescent="0.2">
      <c r="E39" s="407" t="str">
        <f>IF(CAIXA.Modo,"Responsável Gerencial CAIXA","Representante Tomador")</f>
        <v>Representante Tomador</v>
      </c>
      <c r="F39" s="7"/>
      <c r="L39" s="407" t="str">
        <f>IF(CAIXA.Modo,"Responsável Técnico CAIXA","Responsável Técnico pela Fiscalização")</f>
        <v>Responsável Técnico pela Fiscalização</v>
      </c>
    </row>
    <row r="40" spans="5:16" x14ac:dyDescent="0.2">
      <c r="E40" s="78" t="s">
        <v>108</v>
      </c>
      <c r="F40" s="281" t="str">
        <f>IF(CAIXA.Modo,DADOS!C60,DADOS!C28)</f>
        <v>FLAVIO BENINI</v>
      </c>
      <c r="L40" s="78" t="s">
        <v>108</v>
      </c>
      <c r="M40" s="795">
        <f>IF(CAIXA.Modo,BM!X143,DADOS!C51)</f>
        <v>0</v>
      </c>
      <c r="N40" s="795"/>
      <c r="O40" s="795"/>
    </row>
    <row r="41" spans="5:16" x14ac:dyDescent="0.2">
      <c r="E41" s="78" t="str">
        <f>IF(CAIXA.Modo,"Função:","Cargo:")</f>
        <v>Cargo:</v>
      </c>
      <c r="F41" s="281" t="str">
        <f>IF(CAIXA.Modo,DADOS!C61,DADOS!C29)</f>
        <v>PREFEITO MUNICIPAL</v>
      </c>
      <c r="L41" s="78" t="str">
        <f>IF(CAIXA.Modo,"Matrícula:","Profissão:")</f>
        <v>Profissão:</v>
      </c>
      <c r="M41" s="795">
        <f>IF(CAIXA.Modo,BM!X144,DADOS!C52)</f>
        <v>0</v>
      </c>
      <c r="N41" s="795"/>
      <c r="O41" s="795"/>
    </row>
    <row r="42" spans="5:16" x14ac:dyDescent="0.2">
      <c r="L42" s="78" t="s">
        <v>109</v>
      </c>
      <c r="M42" s="795">
        <f>IF(CAIXA.Modo,BM!X145,DADOS!C53)</f>
        <v>0</v>
      </c>
      <c r="N42" s="795"/>
      <c r="O42" s="795"/>
    </row>
    <row r="43" spans="5:16" x14ac:dyDescent="0.2">
      <c r="L43" s="78" t="str">
        <f>IF(CAIXA.Modo,"","ART/RRT:")</f>
        <v>ART/RRT:</v>
      </c>
      <c r="M43" s="13">
        <f>IF(CAIXA.Modo,"",DADOS!C54)</f>
        <v>0</v>
      </c>
    </row>
    <row r="45" spans="5:16" x14ac:dyDescent="0.2">
      <c r="E45" s="189"/>
      <c r="F45" s="189"/>
      <c r="G45" s="189"/>
      <c r="L45" s="189"/>
      <c r="M45" s="189"/>
      <c r="N45" s="189"/>
      <c r="O45" s="18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94"/>
      <c r="G47" s="794"/>
      <c r="L47" s="78" t="s">
        <v>108</v>
      </c>
      <c r="M47" s="794"/>
      <c r="N47" s="794"/>
      <c r="O47" s="794"/>
    </row>
    <row r="48" spans="5:16" x14ac:dyDescent="0.2">
      <c r="E48" s="78" t="str">
        <f>IF(CAIXA.Modo,"Função:","Cargo:")</f>
        <v>Cargo:</v>
      </c>
      <c r="F48" s="794"/>
      <c r="G48" s="794"/>
      <c r="L48" s="78" t="str">
        <f>IF(CAIXA.Modo,"Função:","Cargo:")</f>
        <v>Cargo:</v>
      </c>
      <c r="M48" s="794"/>
      <c r="N48" s="794"/>
      <c r="O48" s="794"/>
    </row>
    <row r="49" spans="5:15" x14ac:dyDescent="0.2">
      <c r="E49" s="78" t="str">
        <f>IF(CAIXA.Modo,"Matr:","")</f>
        <v/>
      </c>
      <c r="F49" s="794"/>
      <c r="G49" s="794"/>
      <c r="L49" s="78" t="str">
        <f>IF(CAIXA.Modo,"Matrícula:","")</f>
        <v/>
      </c>
      <c r="M49" s="794"/>
      <c r="N49" s="794"/>
      <c r="O49" s="794"/>
    </row>
  </sheetData>
  <sheetProtection algorithmName="SHA-512" hashValue="1YtpdyznxL3wFn5j7TFuDXZtaAfoNpW6Eh/P0w++9Q9vBmf4NstKau7LUScEQYuDqPPCNRdJ9DbOonDLg2l2pA==" saltValue="KuVaM6HbtinYvMQ4K6Ow0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316" stopIfTrue="1">
      <formula>OR($C12="Automático",$C12="Branco")</formula>
    </cfRule>
  </conditionalFormatting>
  <conditionalFormatting sqref="F49:G49 M49:O49">
    <cfRule type="expression" dxfId="46" priority="317" stopIfTrue="1">
      <formula>CAIXA.Modo=FALSE</formula>
    </cfRule>
  </conditionalFormatting>
  <conditionalFormatting sqref="M12 M25:M28 O12 O25:O28">
    <cfRule type="cellIs" dxfId="45" priority="318" stopIfTrue="1" operator="notBetween">
      <formula>0</formula>
      <formula>$L12</formula>
    </cfRule>
  </conditionalFormatting>
  <conditionalFormatting sqref="M10:N10">
    <cfRule type="cellIs" dxfId="44" priority="319"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0" firstPageNumber="0" fitToHeight="0" orientation="landscape" horizontalDpi="300" verticalDpi="300" r:id="rId1"/>
  <headerFooter alignWithMargins="0">
    <oddHeader>&amp;L_&amp;C&amp;14I</oddHeader>
    <oddFooter>&amp;LPMv3.09&amp;R&amp;P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851"/>
      <c r="C1" s="851"/>
      <c r="D1" s="50"/>
      <c r="E1" s="50"/>
      <c r="F1" s="50"/>
      <c r="G1" s="53" t="s">
        <v>139</v>
      </c>
    </row>
    <row r="2" spans="2:13" x14ac:dyDescent="0.2">
      <c r="B2" s="851"/>
      <c r="C2" s="851"/>
      <c r="D2" s="50"/>
      <c r="E2" s="50"/>
      <c r="F2" s="50"/>
      <c r="G2" s="12" t="s">
        <v>376</v>
      </c>
    </row>
    <row r="3" spans="2:13" ht="26.25" customHeight="1" x14ac:dyDescent="0.2">
      <c r="B3" s="851"/>
      <c r="C3" s="851"/>
      <c r="D3" s="50"/>
      <c r="E3" s="50"/>
      <c r="F3" s="50"/>
      <c r="G3" s="408"/>
    </row>
    <row r="4" spans="2:13" ht="12.75" customHeight="1" x14ac:dyDescent="0.2">
      <c r="B4" s="851"/>
      <c r="C4" s="851"/>
      <c r="D4" s="50"/>
      <c r="E4" s="50"/>
      <c r="F4" s="50"/>
      <c r="G4" s="50"/>
    </row>
    <row r="5" spans="2:13" x14ac:dyDescent="0.2">
      <c r="C5" s="628" t="str">
        <f>IF(Import.Ofício.Num=0,"Preencher o número do Ofício","")</f>
        <v>Preencher o número do Ofício</v>
      </c>
    </row>
    <row r="6" spans="2:13" x14ac:dyDescent="0.2">
      <c r="B6" s="409" t="s">
        <v>377</v>
      </c>
      <c r="C6" s="849"/>
      <c r="D6" s="849"/>
      <c r="E6" s="409"/>
      <c r="F6" s="409"/>
      <c r="G6" s="50"/>
      <c r="J6" s="10"/>
    </row>
    <row r="7" spans="2:13" x14ac:dyDescent="0.2">
      <c r="B7" s="50"/>
      <c r="C7" s="50"/>
      <c r="D7" s="50"/>
      <c r="E7" s="50"/>
      <c r="F7" s="50"/>
      <c r="G7" s="50"/>
    </row>
    <row r="8" spans="2:13" x14ac:dyDescent="0.2">
      <c r="B8" s="850" t="str">
        <f>CONCATENATE(RRE!$E$35,", ",TEXT(RRE!$L$35,"dd"" de ""mmmm"" de ""aaaa"))</f>
        <v>LINDÓIA DO SUL - SC, 00 de janeiro de 1900</v>
      </c>
      <c r="C8" s="850"/>
      <c r="D8" s="850"/>
      <c r="E8" s="850"/>
      <c r="F8" s="850"/>
      <c r="G8" s="850"/>
      <c r="H8" s="410"/>
      <c r="J8" s="410"/>
      <c r="K8" s="410"/>
      <c r="L8" s="410"/>
      <c r="M8" s="410"/>
    </row>
    <row r="9" spans="2:13" x14ac:dyDescent="0.2">
      <c r="B9" s="411" t="s">
        <v>378</v>
      </c>
      <c r="C9" s="50"/>
      <c r="D9" s="50"/>
      <c r="G9" s="50"/>
      <c r="H9" s="410"/>
      <c r="J9" s="410"/>
      <c r="K9" s="410"/>
      <c r="L9" s="410"/>
      <c r="M9" s="410"/>
    </row>
    <row r="10" spans="2:13" x14ac:dyDescent="0.2">
      <c r="B10" s="844" t="s">
        <v>379</v>
      </c>
      <c r="C10" s="844"/>
      <c r="D10" s="844"/>
      <c r="G10" s="50"/>
      <c r="H10" s="410"/>
      <c r="J10" s="410"/>
      <c r="K10" s="410"/>
      <c r="L10" s="410"/>
      <c r="M10" s="410"/>
    </row>
    <row r="11" spans="2:13" x14ac:dyDescent="0.2">
      <c r="B11" s="412" t="s">
        <v>397</v>
      </c>
      <c r="C11" s="794"/>
      <c r="D11" s="794"/>
      <c r="G11" s="50"/>
      <c r="H11" s="410"/>
      <c r="J11" s="410"/>
      <c r="K11" s="410"/>
      <c r="L11" s="410"/>
      <c r="M11" s="410"/>
    </row>
    <row r="12" spans="2:13" x14ac:dyDescent="0.2">
      <c r="B12" s="413"/>
      <c r="C12" s="413"/>
      <c r="D12" s="413"/>
      <c r="E12" s="413"/>
      <c r="F12" s="413"/>
      <c r="G12" s="50"/>
      <c r="H12" s="410"/>
      <c r="J12" s="410"/>
      <c r="K12" s="410"/>
      <c r="L12" s="410"/>
      <c r="M12" s="410"/>
    </row>
    <row r="13" spans="2:13" x14ac:dyDescent="0.2">
      <c r="B13" s="50"/>
      <c r="C13" s="50"/>
      <c r="D13" s="50"/>
      <c r="E13" s="50"/>
      <c r="F13" s="50"/>
      <c r="G13" s="50"/>
    </row>
    <row r="14" spans="2:13" x14ac:dyDescent="0.2">
      <c r="B14" s="411" t="s">
        <v>380</v>
      </c>
      <c r="C14" s="844" t="str">
        <f ca="1">CONCATENATE(RRE.Numero,"ª"," Solicitação de ",IF(import.recurso="OGU","Desbloqueio","Desembolso")," de Recursos.")</f>
        <v>1ª Solicitação de Desbloqueio de Recursos.</v>
      </c>
      <c r="D14" s="844"/>
      <c r="E14" s="844"/>
      <c r="F14" s="844"/>
      <c r="G14" s="844"/>
    </row>
    <row r="15" spans="2:13" ht="12.75" customHeight="1" x14ac:dyDescent="0.2">
      <c r="B15" s="411" t="s">
        <v>381</v>
      </c>
      <c r="C15" s="845" t="str">
        <f>CONCATENATE("Contrato de ",IF(import.recurso="OGU","Repasse","Financiamento")," - Operação nº ",Import.CR,IF(Import.TransfereGOV="","",CONCATENATE(" - TransfereGOV nº ",Import.TransfereGOV)))</f>
        <v>Contrato de Repasse - Operação nº 0 - TransfereGOV nº 0</v>
      </c>
      <c r="D15" s="845"/>
      <c r="E15" s="845"/>
      <c r="F15" s="845"/>
      <c r="G15" s="845"/>
    </row>
    <row r="16" spans="2:13" x14ac:dyDescent="0.2">
      <c r="B16" s="411"/>
      <c r="C16" s="845"/>
      <c r="D16" s="845"/>
      <c r="E16" s="845"/>
      <c r="F16" s="845"/>
      <c r="G16" s="845"/>
    </row>
    <row r="17" spans="2:7" x14ac:dyDescent="0.2">
      <c r="B17" s="50"/>
      <c r="C17" s="50"/>
      <c r="D17" s="50"/>
      <c r="E17" s="50"/>
      <c r="F17" s="50"/>
      <c r="G17" s="50"/>
    </row>
    <row r="18" spans="2:7" ht="12.75" customHeight="1" x14ac:dyDescent="0.2">
      <c r="B18" s="281" t="s">
        <v>382</v>
      </c>
      <c r="C18" s="846" t="str">
        <f>Import.DescLote</f>
        <v>RUA COBERTA MUNICIPAL</v>
      </c>
      <c r="D18" s="846"/>
      <c r="E18" s="846"/>
      <c r="F18" s="846"/>
      <c r="G18" s="846"/>
    </row>
    <row r="19" spans="2:7" ht="12.75" customHeight="1" x14ac:dyDescent="0.2">
      <c r="B19" s="842" t="s">
        <v>383</v>
      </c>
      <c r="C19" s="843" t="str">
        <f>Import.Proponente</f>
        <v>0</v>
      </c>
      <c r="D19" s="843"/>
      <c r="E19" s="843"/>
      <c r="F19" s="843"/>
      <c r="G19" s="843"/>
    </row>
    <row r="20" spans="2:7" x14ac:dyDescent="0.2">
      <c r="B20" s="842"/>
      <c r="C20" s="843"/>
      <c r="D20" s="843"/>
      <c r="E20" s="843"/>
      <c r="F20" s="843"/>
      <c r="G20" s="843"/>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846"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6"/>
      <c r="D24" s="846"/>
      <c r="E24" s="846"/>
      <c r="F24" s="846"/>
      <c r="G24" s="846"/>
    </row>
    <row r="25" spans="2:7" x14ac:dyDescent="0.2">
      <c r="B25" s="846"/>
      <c r="C25" s="846"/>
      <c r="D25" s="846"/>
      <c r="E25" s="846"/>
      <c r="F25" s="846"/>
      <c r="G25" s="846"/>
    </row>
    <row r="26" spans="2:7" x14ac:dyDescent="0.2">
      <c r="B26" s="846"/>
      <c r="C26" s="846"/>
      <c r="D26" s="846"/>
      <c r="E26" s="846"/>
      <c r="F26" s="846"/>
      <c r="G26" s="846"/>
    </row>
    <row r="27" spans="2:7" x14ac:dyDescent="0.2">
      <c r="B27" s="50"/>
      <c r="C27" s="50"/>
      <c r="D27" s="50"/>
      <c r="E27" s="50"/>
      <c r="F27" s="50"/>
      <c r="G27" s="50"/>
    </row>
    <row r="28" spans="2:7" ht="12.75" customHeight="1" x14ac:dyDescent="0.2">
      <c r="B28" s="841"/>
      <c r="C28" s="841"/>
      <c r="D28" s="847" t="s">
        <v>384</v>
      </c>
      <c r="E28" s="847" t="str">
        <f ca="1">"Evolução da "&amp;RRE.Numero&amp;"ª Medição"</f>
        <v>Evolução da 1ª Medição</v>
      </c>
      <c r="F28" s="848" t="s">
        <v>385</v>
      </c>
      <c r="G28" s="848"/>
    </row>
    <row r="29" spans="2:7" x14ac:dyDescent="0.2">
      <c r="B29" s="841"/>
      <c r="C29" s="841"/>
      <c r="D29" s="847"/>
      <c r="E29" s="847"/>
      <c r="F29" s="848"/>
      <c r="G29" s="848"/>
    </row>
    <row r="30" spans="2:7" x14ac:dyDescent="0.2">
      <c r="B30" s="836" t="str">
        <f>IF(import.recurso="FGTS","Financiamento:","Repasse:")</f>
        <v>Repasse:</v>
      </c>
      <c r="C30" s="836"/>
      <c r="D30" s="414">
        <f ca="1">RRE!L25</f>
        <v>0</v>
      </c>
      <c r="E30" s="414">
        <f ca="1">RRE!N25</f>
        <v>0</v>
      </c>
      <c r="F30" s="837">
        <f ca="1">RRE!O25</f>
        <v>0</v>
      </c>
      <c r="G30" s="837"/>
    </row>
    <row r="31" spans="2:7" x14ac:dyDescent="0.2">
      <c r="B31" s="836" t="s">
        <v>386</v>
      </c>
      <c r="C31" s="836"/>
      <c r="D31" s="414">
        <f ca="1">RRE!L26</f>
        <v>1343349.71</v>
      </c>
      <c r="E31" s="414">
        <f ca="1">RRE!N26</f>
        <v>0</v>
      </c>
      <c r="F31" s="837">
        <f ca="1">RRE!O26</f>
        <v>0</v>
      </c>
      <c r="G31" s="837"/>
    </row>
    <row r="32" spans="2:7" x14ac:dyDescent="0.2">
      <c r="B32" s="836" t="s">
        <v>281</v>
      </c>
      <c r="C32" s="836"/>
      <c r="D32" s="414">
        <f ca="1">RRE!L27</f>
        <v>0</v>
      </c>
      <c r="E32" s="414">
        <f ca="1">RRE!N27</f>
        <v>0</v>
      </c>
      <c r="F32" s="837">
        <f ca="1">RRE!O27</f>
        <v>0</v>
      </c>
      <c r="G32" s="837"/>
    </row>
    <row r="33" spans="2:7" x14ac:dyDescent="0.2">
      <c r="B33" s="836" t="s">
        <v>282</v>
      </c>
      <c r="C33" s="836"/>
      <c r="D33" s="414">
        <f ca="1">RRE!L28</f>
        <v>1343349.71</v>
      </c>
      <c r="E33" s="414">
        <f ca="1">RRE!N28</f>
        <v>0</v>
      </c>
      <c r="F33" s="837">
        <f ca="1">RRE!O28</f>
        <v>0</v>
      </c>
      <c r="G33" s="837"/>
    </row>
    <row r="34" spans="2:7" x14ac:dyDescent="0.2">
      <c r="B34" s="838" t="s">
        <v>387</v>
      </c>
      <c r="C34" s="838"/>
      <c r="D34" s="415" t="s">
        <v>165</v>
      </c>
      <c r="E34" s="416">
        <f ca="1">RRE!$N$28/(RRE!$L$28+10^-12)</f>
        <v>0</v>
      </c>
      <c r="F34" s="839">
        <f ca="1">RRE!P24</f>
        <v>0</v>
      </c>
      <c r="G34" s="839"/>
    </row>
    <row r="35" spans="2:7" x14ac:dyDescent="0.2">
      <c r="B35" s="190"/>
      <c r="C35" s="50"/>
      <c r="D35" s="50"/>
      <c r="E35" s="50"/>
      <c r="F35" s="50"/>
      <c r="G35" s="50"/>
    </row>
    <row r="36" spans="2:7" x14ac:dyDescent="0.2">
      <c r="B36" s="190"/>
      <c r="C36" s="190"/>
      <c r="D36" s="190"/>
      <c r="E36" s="190"/>
      <c r="F36" s="190"/>
      <c r="G36" s="50"/>
    </row>
    <row r="37" spans="2:7" x14ac:dyDescent="0.2">
      <c r="B37" s="840" t="str">
        <f ca="1">IF(RRE.Numero&gt;1,"2. Encaminhamos ainda a documentação relativa à prestação de contas da etapa físico-financeira anterior.","")</f>
        <v/>
      </c>
      <c r="C37" s="840"/>
      <c r="D37" s="840"/>
      <c r="E37" s="840"/>
      <c r="F37" s="840"/>
      <c r="G37" s="840"/>
    </row>
    <row r="38" spans="2:7" x14ac:dyDescent="0.2">
      <c r="B38" s="840"/>
      <c r="C38" s="840"/>
      <c r="D38" s="840"/>
      <c r="E38" s="840"/>
      <c r="F38" s="840"/>
      <c r="G38" s="840"/>
    </row>
    <row r="39" spans="2:7" ht="12.75" customHeight="1" x14ac:dyDescent="0.2">
      <c r="B39" s="840" t="str">
        <f ca="1">IF(AND(RRE.Numero&gt;1,NOT(ISBLANK(Import.TransfereGOV))),"3. Na oportunidade, informamos que a execução financeira da parcela anterior está devidamente comprovada no TransfereGOV.","")</f>
        <v/>
      </c>
      <c r="C39" s="840"/>
      <c r="D39" s="840"/>
      <c r="E39" s="840"/>
      <c r="F39" s="840"/>
      <c r="G39" s="840"/>
    </row>
    <row r="40" spans="2:7" x14ac:dyDescent="0.2">
      <c r="B40" s="840"/>
      <c r="C40" s="840"/>
      <c r="D40" s="840"/>
      <c r="E40" s="840"/>
      <c r="F40" s="840"/>
      <c r="G40" s="840"/>
    </row>
    <row r="41" spans="2:7" x14ac:dyDescent="0.2">
      <c r="B41" s="417"/>
      <c r="C41" s="412"/>
      <c r="D41" s="412"/>
      <c r="E41" s="412"/>
      <c r="F41" s="412"/>
      <c r="G41" s="412"/>
    </row>
    <row r="42" spans="2:7" ht="12.75" customHeight="1" x14ac:dyDescent="0.2">
      <c r="B42" s="840"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0"/>
      <c r="D42" s="840"/>
      <c r="E42" s="840"/>
      <c r="F42" s="840"/>
      <c r="G42" s="840"/>
    </row>
    <row r="43" spans="2:7" x14ac:dyDescent="0.2">
      <c r="B43" s="840"/>
      <c r="C43" s="840"/>
      <c r="D43" s="840"/>
      <c r="E43" s="840"/>
      <c r="F43" s="840"/>
      <c r="G43" s="840"/>
    </row>
    <row r="44" spans="2:7" x14ac:dyDescent="0.2">
      <c r="B44" s="840"/>
      <c r="C44" s="840"/>
      <c r="D44" s="840"/>
      <c r="E44" s="840"/>
      <c r="F44" s="840"/>
      <c r="G44" s="840"/>
    </row>
    <row r="45" spans="2:7" x14ac:dyDescent="0.2">
      <c r="B45" s="840"/>
      <c r="C45" s="840"/>
      <c r="D45" s="840"/>
      <c r="E45" s="840"/>
      <c r="F45" s="840"/>
      <c r="G45" s="840"/>
    </row>
    <row r="46" spans="2:7" x14ac:dyDescent="0.2">
      <c r="B46" s="840"/>
      <c r="C46" s="840"/>
      <c r="D46" s="840"/>
      <c r="E46" s="840"/>
      <c r="F46" s="840"/>
      <c r="G46" s="840"/>
    </row>
    <row r="47" spans="2:7" x14ac:dyDescent="0.2">
      <c r="G47" s="287"/>
    </row>
    <row r="48" spans="2:7" x14ac:dyDescent="0.2">
      <c r="G48" s="287"/>
    </row>
    <row r="49" spans="2:7" x14ac:dyDescent="0.2">
      <c r="B49" s="50" t="s">
        <v>388</v>
      </c>
      <c r="G49" s="287"/>
    </row>
    <row r="50" spans="2:7" x14ac:dyDescent="0.2">
      <c r="B50" s="287"/>
      <c r="C50" s="287"/>
      <c r="D50" s="287"/>
      <c r="E50" s="287"/>
      <c r="F50" s="287"/>
      <c r="G50" s="287"/>
    </row>
    <row r="51" spans="2:7" x14ac:dyDescent="0.2">
      <c r="B51" s="50"/>
      <c r="C51" s="50"/>
      <c r="D51" s="50"/>
      <c r="E51" s="50"/>
      <c r="F51" s="50"/>
      <c r="G51" s="50"/>
    </row>
    <row r="52" spans="2:7" x14ac:dyDescent="0.2">
      <c r="B52" s="50"/>
      <c r="C52" s="50"/>
      <c r="D52" s="50"/>
      <c r="E52" s="50"/>
      <c r="F52" s="50"/>
      <c r="G52" s="50"/>
    </row>
    <row r="53" spans="2:7" x14ac:dyDescent="0.2">
      <c r="B53" s="418"/>
      <c r="C53" s="418"/>
      <c r="D53" s="418"/>
      <c r="E53" s="50"/>
      <c r="F53" s="50"/>
      <c r="G53" s="50"/>
    </row>
    <row r="54" spans="2:7" x14ac:dyDescent="0.2">
      <c r="B54" s="834" t="str">
        <f>DADOS!$C$28</f>
        <v>FLAVIO BENINI</v>
      </c>
      <c r="C54" s="834"/>
      <c r="D54" s="834"/>
      <c r="E54" s="834"/>
      <c r="F54" s="834"/>
      <c r="G54" s="834"/>
    </row>
    <row r="55" spans="2:7" x14ac:dyDescent="0.2">
      <c r="B55" s="834" t="str">
        <f>DADOS!$C$29</f>
        <v>PREFEITO MUNICIPAL</v>
      </c>
      <c r="C55" s="834"/>
      <c r="D55" s="834"/>
      <c r="E55" s="834"/>
      <c r="F55" s="834"/>
      <c r="G55" s="834"/>
    </row>
    <row r="56" spans="2:7" x14ac:dyDescent="0.2">
      <c r="B56" s="835"/>
      <c r="C56" s="835"/>
      <c r="D56" s="835"/>
      <c r="E56" s="835"/>
      <c r="F56" s="835"/>
      <c r="G56" s="835"/>
    </row>
  </sheetData>
  <sheetProtection algorithmName="SHA-512" hashValue="cqy3viJrdlk7V19wQvvFIxHY389ndXAufnC7vfj0jTS0waBkxa9cqqd4X05wnSNx1enFCQIKlLKSH9d39wJltA==" saltValue="dMl2lbAnmOp0X1eXrFm1M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&amp;LPMv3.09&amp;R&amp;P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56" customWidth="1"/>
    <col min="2" max="2" width="25" style="556" customWidth="1"/>
    <col min="3" max="3" width="12" style="556" customWidth="1"/>
    <col min="4" max="4" width="15.7109375" style="558" customWidth="1"/>
    <col min="5" max="5" width="70" style="556" customWidth="1"/>
    <col min="6" max="6" width="20" style="556" customWidth="1"/>
    <col min="7" max="7" width="10" style="556" customWidth="1"/>
    <col min="8" max="8" width="25" style="556" customWidth="1"/>
    <col min="9" max="9" width="15" style="556" customWidth="1"/>
    <col min="10" max="10" width="13" style="556" customWidth="1"/>
    <col min="11" max="12" width="35" style="556" customWidth="1"/>
    <col min="13" max="13" width="20" style="556" customWidth="1"/>
    <col min="14" max="14" width="15" style="556" customWidth="1"/>
    <col min="15" max="15" width="50" style="556" customWidth="1"/>
    <col min="16" max="16" width="20" style="556" customWidth="1"/>
    <col min="17" max="17" width="50" style="556" customWidth="1"/>
    <col min="18" max="18" width="15" style="556" customWidth="1"/>
    <col min="19" max="19" width="17.7109375" style="556" customWidth="1"/>
    <col min="20" max="16384" width="9.140625" style="556"/>
  </cols>
  <sheetData>
    <row r="1" spans="1:19" x14ac:dyDescent="0.25">
      <c r="A1" s="555" t="s">
        <v>474</v>
      </c>
      <c r="B1" s="555" t="s">
        <v>475</v>
      </c>
      <c r="C1" s="555" t="s">
        <v>230</v>
      </c>
      <c r="D1" s="557" t="s">
        <v>231</v>
      </c>
      <c r="E1" s="555" t="s">
        <v>476</v>
      </c>
      <c r="F1" s="555" t="s">
        <v>477</v>
      </c>
      <c r="G1" s="555" t="s">
        <v>478</v>
      </c>
      <c r="H1" s="555" t="s">
        <v>479</v>
      </c>
      <c r="I1" s="555" t="s">
        <v>480</v>
      </c>
      <c r="J1" s="555" t="s">
        <v>210</v>
      </c>
      <c r="K1" s="555" t="s">
        <v>481</v>
      </c>
      <c r="L1" s="555" t="s">
        <v>482</v>
      </c>
      <c r="M1" s="555" t="s">
        <v>483</v>
      </c>
      <c r="N1" s="555" t="s">
        <v>484</v>
      </c>
      <c r="O1" s="555" t="s">
        <v>485</v>
      </c>
      <c r="P1" s="555" t="s">
        <v>486</v>
      </c>
      <c r="Q1" s="555" t="s">
        <v>487</v>
      </c>
      <c r="R1" s="555" t="s">
        <v>488</v>
      </c>
      <c r="S1" s="555" t="s">
        <v>489</v>
      </c>
    </row>
    <row r="2" spans="1:19" ht="45.2" customHeight="1" x14ac:dyDescent="0.25">
      <c r="A2" s="646"/>
      <c r="B2" s="647"/>
      <c r="C2" s="646"/>
      <c r="D2" s="646"/>
      <c r="E2" s="646"/>
      <c r="F2" s="648"/>
      <c r="G2" s="646"/>
      <c r="H2" s="649"/>
      <c r="I2" s="649"/>
      <c r="J2" s="656"/>
      <c r="K2" s="651"/>
      <c r="L2" s="657"/>
      <c r="M2" s="646"/>
      <c r="N2" s="652"/>
      <c r="O2" s="646"/>
      <c r="P2" s="652"/>
      <c r="Q2" s="646"/>
      <c r="R2" s="653"/>
      <c r="S2" s="651"/>
    </row>
  </sheetData>
  <sheetProtection algorithmName="SHA-512" hashValue="sZa9ljsUoGcyXhEF4+JZL/n9FRfwErBhxyRsAr7wCT7jWjbeBdvlfnce+bdL51MUBhNZ/raEUMawji2Z/W9X9Q==" saltValue="/mCnMYICDlE54Pz8K0zRyg==" spinCount="100000" sheet="1" objects="1" scenarios="1"/>
  <conditionalFormatting sqref="A2:S2">
    <cfRule type="expression" dxfId="38" priority="61">
      <formula>$A2="Macrosserviço"</formula>
    </cfRule>
  </conditionalFormatting>
  <conditionalFormatting sqref="E2">
    <cfRule type="expression" dxfId="37" priority="67">
      <formula>OR(E2="",IF($A2="Macrosserviço",LEN($E2)&gt;100,LEN($E2)&gt;500))</formula>
    </cfRule>
  </conditionalFormatting>
  <conditionalFormatting sqref="M2">
    <cfRule type="expression" dxfId="36" priority="62">
      <formula>IF($A2="Serviço",LEN(M2)&gt;500,M2&lt;&gt;"")</formula>
    </cfRule>
  </conditionalFormatting>
  <conditionalFormatting sqref="A2">
    <cfRule type="expression" dxfId="35" priority="54">
      <formula>AND(A2&lt;&gt;"Macrosserviço",A2&lt;&gt;"Serviço")</formula>
    </cfRule>
  </conditionalFormatting>
  <conditionalFormatting sqref="C2">
    <cfRule type="expression" dxfId="34" priority="53">
      <formula>IF($A2="Serviço",AND(C2&lt;&gt;"Composição",C2&lt;&gt;"Cotação",C2&lt;&gt;"SINAPI",C2&lt;&gt;"Outros"),C2&lt;&gt;"")</formula>
    </cfRule>
  </conditionalFormatting>
  <conditionalFormatting sqref="D2">
    <cfRule type="expression" dxfId="33" priority="52">
      <formula>IF($A2="Serviço",OR(D2="",LEN($D2)&gt;13),D2&lt;&gt;"")</formula>
    </cfRule>
  </conditionalFormatting>
  <conditionalFormatting sqref="H2">
    <cfRule type="expression" dxfId="32" priority="51">
      <formula>IF(A2="Serviço",OR(NOT(ISNUMBER(H2)),H2&lt;&gt;ROUND(H2,2),AND(C2&lt;&gt;"SINAPI",H2=0),H2&lt;0,H2&gt;9999999999.99),H2&lt;&gt;"")</formula>
    </cfRule>
  </conditionalFormatting>
  <conditionalFormatting sqref="I2">
    <cfRule type="expression" dxfId="31" priority="50">
      <formula>IF($A2="Serviço",OR(NOT(ISNUMBER(I2)),I2&lt;&gt;ROUND(I2,2),I2&lt;=0,I2&gt;9999999999.99),I2&lt;&gt;"")</formula>
    </cfRule>
  </conditionalFormatting>
  <conditionalFormatting sqref="J2">
    <cfRule type="expression" dxfId="30" priority="49">
      <formula>IF($A2="Serviço",OR(NOT(ISNUMBER(VALUE(J2))),VALUE(J2)&lt;&gt;ROUND(VALUE(J2),4),VALUE(J2)&lt;=0,VALUE(J2)&gt;100%),J2&lt;&gt;"")</formula>
    </cfRule>
  </conditionalFormatting>
  <conditionalFormatting sqref="N2">
    <cfRule type="expression" dxfId="29" priority="48">
      <formula>IF($A2="Serviço",OR(NOT(ISNUMBER(N2)),N2&lt;&gt;ROUND(N2,0),N2&lt;1,N2&gt;999),N2&lt;&gt;"")</formula>
    </cfRule>
  </conditionalFormatting>
  <conditionalFormatting sqref="O2">
    <cfRule type="expression" dxfId="28" priority="47">
      <formula>IF($A2="Serviço",OR(O2="",LEN(O2)&gt;100),O2&lt;&gt;"")</formula>
    </cfRule>
  </conditionalFormatting>
  <conditionalFormatting sqref="P2">
    <cfRule type="expression" dxfId="27" priority="46">
      <formula>IF($A2="Macrosserviço",P2&lt;&gt;"",OR(NOT(ISNUMBER(P2)),P2&lt;&gt;ROUND(P2,0),P2&lt;1,P2&gt;999))</formula>
    </cfRule>
  </conditionalFormatting>
  <conditionalFormatting sqref="Q2">
    <cfRule type="expression" dxfId="26" priority="45">
      <formula>IF($A2="Macrosserviço",Q2&lt;&gt;"",OR(Q2="",LEN(Q2)&gt;100))</formula>
    </cfRule>
  </conditionalFormatting>
  <conditionalFormatting sqref="B2">
    <cfRule type="cellIs" dxfId="25" priority="44" operator="equal">
      <formula>""</formula>
    </cfRule>
  </conditionalFormatting>
  <conditionalFormatting sqref="R2">
    <cfRule type="expression" dxfId="24" priority="36">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&amp;LPMv3.09&amp;R&amp;P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3"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56" customWidth="1"/>
    <col min="2" max="2" width="50" style="556" customWidth="1"/>
    <col min="3" max="3" width="20" style="556" customWidth="1"/>
    <col min="4" max="4" width="50" style="556" customWidth="1"/>
    <col min="5" max="5" width="35" style="556" customWidth="1"/>
    <col min="6" max="16384" width="9.140625" style="556"/>
  </cols>
  <sheetData>
    <row r="1" spans="1:5" x14ac:dyDescent="0.25">
      <c r="A1" s="555" t="s">
        <v>494</v>
      </c>
      <c r="B1" s="555" t="s">
        <v>264</v>
      </c>
      <c r="C1" s="555" t="s">
        <v>495</v>
      </c>
      <c r="D1" s="555" t="s">
        <v>487</v>
      </c>
      <c r="E1" s="555" t="s">
        <v>496</v>
      </c>
    </row>
    <row r="2" spans="1:5" ht="45.2" customHeight="1" x14ac:dyDescent="0.25">
      <c r="A2" s="655"/>
      <c r="B2" s="655"/>
      <c r="C2" s="654"/>
      <c r="D2" s="654"/>
      <c r="E2" s="654"/>
    </row>
  </sheetData>
  <sheetProtection algorithmName="SHA-512" hashValue="0xIGYPevnLd4/lV98KwvOFbCwDZ9AdJZP+58OcXj+mltYEZvkphKjbvdK3QwEM7BtuMzsf8wBA674kV7DCXCOQ==" saltValue="J704DT9XdnnL2M5lqiAX/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&amp;LPMv3.09&amp;R&amp;P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56" customWidth="1"/>
    <col min="2" max="2" width="25" style="556" customWidth="1"/>
    <col min="3" max="3" width="12" style="556" customWidth="1"/>
    <col min="4" max="4" width="15.7109375" style="558" customWidth="1"/>
    <col min="5" max="5" width="70" style="556" customWidth="1"/>
    <col min="6" max="6" width="20" style="556" customWidth="1"/>
    <col min="7" max="7" width="10" style="556" customWidth="1"/>
    <col min="8" max="8" width="25" style="556" customWidth="1"/>
    <col min="9" max="9" width="15" style="556" customWidth="1"/>
    <col min="10" max="10" width="13" style="556" customWidth="1"/>
    <col min="11" max="12" width="35" style="556" customWidth="1"/>
    <col min="13" max="14" width="20" style="556" customWidth="1"/>
    <col min="15" max="15" width="50" style="556" customWidth="1"/>
    <col min="16" max="16" width="15" style="556" customWidth="1"/>
    <col min="17" max="17" width="17.7109375" style="556" customWidth="1"/>
    <col min="18" max="16384" width="9.140625" style="556"/>
  </cols>
  <sheetData>
    <row r="1" spans="1:17" x14ac:dyDescent="0.25">
      <c r="A1" s="555" t="s">
        <v>474</v>
      </c>
      <c r="B1" s="555" t="s">
        <v>475</v>
      </c>
      <c r="C1" s="555" t="s">
        <v>230</v>
      </c>
      <c r="D1" s="557" t="s">
        <v>231</v>
      </c>
      <c r="E1" s="555" t="s">
        <v>476</v>
      </c>
      <c r="F1" s="555" t="s">
        <v>477</v>
      </c>
      <c r="G1" s="555" t="s">
        <v>478</v>
      </c>
      <c r="H1" s="555" t="s">
        <v>479</v>
      </c>
      <c r="I1" s="555" t="s">
        <v>480</v>
      </c>
      <c r="J1" s="555" t="s">
        <v>210</v>
      </c>
      <c r="K1" s="555" t="s">
        <v>481</v>
      </c>
      <c r="L1" s="555" t="s">
        <v>482</v>
      </c>
      <c r="M1" s="555" t="s">
        <v>483</v>
      </c>
      <c r="N1" s="555" t="s">
        <v>486</v>
      </c>
      <c r="O1" s="555" t="s">
        <v>487</v>
      </c>
      <c r="P1" s="555" t="s">
        <v>488</v>
      </c>
      <c r="Q1" s="555" t="s">
        <v>489</v>
      </c>
    </row>
    <row r="2" spans="1:17" ht="45.2" customHeight="1" x14ac:dyDescent="0.25">
      <c r="A2" s="646"/>
      <c r="B2" s="647"/>
      <c r="C2" s="646"/>
      <c r="D2" s="646"/>
      <c r="E2" s="646"/>
      <c r="F2" s="648"/>
      <c r="G2" s="646"/>
      <c r="H2" s="649"/>
      <c r="I2" s="649"/>
      <c r="J2" s="650"/>
      <c r="K2" s="651"/>
      <c r="L2" s="651"/>
      <c r="M2" s="646"/>
      <c r="N2" s="652"/>
      <c r="O2" s="646"/>
      <c r="P2" s="653"/>
      <c r="Q2" s="651"/>
    </row>
  </sheetData>
  <sheetProtection algorithmName="SHA-512" hashValue="yqylKFtc0foJqA4DxslPH1A7HVUrMI/4Xp5Nh+1VgL4PNf/l76rM5g8yuk8+Vc35SB2VX83WiVFNdkKyfMVuCg==" saltValue="ac2lrm3q6pRTmrsTpqWFE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&amp;LPMv3.09&amp;R&amp;P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56" customWidth="1"/>
    <col min="2" max="2" width="70" style="556" customWidth="1"/>
    <col min="3" max="3" width="10" style="556" customWidth="1"/>
    <col min="4" max="4" width="20" style="556" customWidth="1"/>
    <col min="5" max="16384" width="9.140625" style="556"/>
  </cols>
  <sheetData>
    <row r="1" spans="1:4" x14ac:dyDescent="0.25">
      <c r="A1" s="555" t="s">
        <v>497</v>
      </c>
      <c r="B1" s="555" t="s">
        <v>490</v>
      </c>
      <c r="C1" s="555" t="s">
        <v>443</v>
      </c>
      <c r="D1" s="555" t="s">
        <v>498</v>
      </c>
    </row>
    <row r="2" spans="1:4" ht="45.2" customHeight="1" x14ac:dyDescent="0.25">
      <c r="A2" s="659"/>
      <c r="B2" s="659"/>
      <c r="C2" s="660"/>
      <c r="D2" s="661"/>
    </row>
  </sheetData>
  <sheetProtection algorithmName="SHA-512" hashValue="zKs277GmVVtEkV0qKL3aqfzExtihL3D/2CP8buHmreYbtJinef9Plsn2siBIbHd6R+nGygteC82DOxU6ZiYdjQ==" saltValue="+6qo/HvTKkfAfSoxCq5qkw=="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&amp;LPMv3.09&amp;R&amp;P / &amp;N</oddFooter>
  </headerFooter>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Rafaela3854.AMAUC</cp:lastModifiedBy>
  <cp:revision>5</cp:revision>
  <cp:lastPrinted>2026-06-16T12:35:47Z</cp:lastPrinted>
  <dcterms:created xsi:type="dcterms:W3CDTF">1997-01-10T22:22:50Z</dcterms:created>
  <dcterms:modified xsi:type="dcterms:W3CDTF">2026-06-16T12:39:22Z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