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EstaPastaDeTrabalho"/>
  <mc:AlternateContent xmlns:mc="http://schemas.openxmlformats.org/markup-compatibility/2006">
    <mc:Choice Requires="x15">
      <x15ac:absPath xmlns:x15ac="http://schemas.microsoft.com/office/spreadsheetml/2010/11/ac" url="X:\Urbanismo\URB. 2025\2025 - LOTEAMENTO SONHO MEU\001 - ATUALIZAÇÃO LOTEAMENTO SONHO MEU\002 - PASTA TÉCNICA LICITAÇÃO\"/>
    </mc:Choice>
  </mc:AlternateContent>
  <xr:revisionPtr revIDLastSave="0" documentId="13_ncr:1_{BA956E62-DF1D-4D92-919E-3ADAAE8D1D7F}" xr6:coauthVersionLast="47" xr6:coauthVersionMax="47" xr10:uidLastSave="{00000000-0000-0000-0000-000000000000}"/>
  <bookViews>
    <workbookView xWindow="-120" yWindow="-120" windowWidth="29040" windowHeight="15840" tabRatio="750" firstSheet="2" activeTab="3" xr2:uid="{00000000-000D-0000-FFFF-FFFF00000000}"/>
  </bookViews>
  <sheets>
    <sheet name="base_cron_sfm" sheetId="21" state="hidden" r:id="rId1"/>
    <sheet name="_base_cron_fp" sheetId="19" state="hidden" r:id="rId2"/>
    <sheet name="BDI" sheetId="14" r:id="rId3"/>
    <sheet name="ORÇAMENTO" sheetId="1" r:id="rId4"/>
    <sheet name="CRONOGRAMA" sheetId="17" r:id="rId5"/>
  </sheets>
  <externalReferences>
    <externalReference r:id="rId6"/>
    <externalReference r:id="rId7"/>
  </externalReferences>
  <definedNames>
    <definedName name="_xlnm._FilterDatabase" localSheetId="3" hidden="1">ORÇAMENTO!$A$17:$W$280</definedName>
    <definedName name="_xlnm.Print_Area" localSheetId="1">_base_cron_fp!$B$1:$P$13</definedName>
    <definedName name="_xlnm.Print_Area" localSheetId="0">base_cron_sfm!$B$1:$P$13</definedName>
    <definedName name="_xlnm.Print_Area" localSheetId="2">BDI!$A$1:$C$22</definedName>
    <definedName name="_xlnm.Print_Area" localSheetId="4">CRONOGRAMA!$B$1:$Z$26</definedName>
    <definedName name="_xlnm.Print_Area" localSheetId="3">ORÇAMENTO!$B$2:$S$295</definedName>
    <definedName name="d" localSheetId="1">[1]proposta!#REF!</definedName>
    <definedName name="d" localSheetId="0">[1]proposta!#REF!</definedName>
    <definedName name="d">[1]proposta!#REF!</definedName>
    <definedName name="j">ORÇAMENTO!$B$1</definedName>
    <definedName name="_xlnm.Print_Titles" localSheetId="3">ORÇAMENTO!$16:$17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80" i="1" l="1"/>
  <c r="S41" i="1"/>
  <c r="S48" i="1"/>
  <c r="S66" i="1"/>
  <c r="S72" i="1"/>
  <c r="S84" i="1"/>
  <c r="S92" i="1"/>
  <c r="S126" i="1"/>
  <c r="S135" i="1"/>
  <c r="S188" i="1"/>
  <c r="S153" i="1"/>
  <c r="S185" i="1"/>
  <c r="R40" i="1"/>
  <c r="R42" i="1"/>
  <c r="R43" i="1"/>
  <c r="R44" i="1"/>
  <c r="R45" i="1"/>
  <c r="R46" i="1"/>
  <c r="R47" i="1"/>
  <c r="R49" i="1"/>
  <c r="R50" i="1"/>
  <c r="R51" i="1"/>
  <c r="R52" i="1"/>
  <c r="R53" i="1"/>
  <c r="R54" i="1"/>
  <c r="R55" i="1"/>
  <c r="R56" i="1"/>
  <c r="R57" i="1"/>
  <c r="R58" i="1"/>
  <c r="R59" i="1"/>
  <c r="R60" i="1"/>
  <c r="R61" i="1"/>
  <c r="R62" i="1"/>
  <c r="R63" i="1"/>
  <c r="R64" i="1"/>
  <c r="R65" i="1"/>
  <c r="R67" i="1"/>
  <c r="R68" i="1"/>
  <c r="R69" i="1"/>
  <c r="R70" i="1"/>
  <c r="R71" i="1"/>
  <c r="R73" i="1"/>
  <c r="R74" i="1"/>
  <c r="R75" i="1"/>
  <c r="R76" i="1"/>
  <c r="R77" i="1"/>
  <c r="R78" i="1"/>
  <c r="R79" i="1"/>
  <c r="R80" i="1"/>
  <c r="R81" i="1"/>
  <c r="R82" i="1"/>
  <c r="R83" i="1"/>
  <c r="R85" i="1"/>
  <c r="R86" i="1"/>
  <c r="R87" i="1"/>
  <c r="R88" i="1"/>
  <c r="R89" i="1"/>
  <c r="R90" i="1"/>
  <c r="R91"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7" i="1"/>
  <c r="R128" i="1"/>
  <c r="R129" i="1"/>
  <c r="R130" i="1"/>
  <c r="R131" i="1"/>
  <c r="R132" i="1"/>
  <c r="R133" i="1"/>
  <c r="R134" i="1"/>
  <c r="R136" i="1"/>
  <c r="R137" i="1"/>
  <c r="R138" i="1"/>
  <c r="R139" i="1"/>
  <c r="R140" i="1"/>
  <c r="R141" i="1"/>
  <c r="R142" i="1"/>
  <c r="R143" i="1"/>
  <c r="R144" i="1"/>
  <c r="R145" i="1"/>
  <c r="R146" i="1"/>
  <c r="R147" i="1"/>
  <c r="R148" i="1"/>
  <c r="R149" i="1"/>
  <c r="R150" i="1"/>
  <c r="R151" i="1"/>
  <c r="R152" i="1"/>
  <c r="R155" i="1"/>
  <c r="R156" i="1"/>
  <c r="R157" i="1"/>
  <c r="R158" i="1"/>
  <c r="R159" i="1"/>
  <c r="R160" i="1"/>
  <c r="R161" i="1"/>
  <c r="R162" i="1"/>
  <c r="R163" i="1"/>
  <c r="R164" i="1"/>
  <c r="R165" i="1"/>
  <c r="R166" i="1"/>
  <c r="R167" i="1"/>
  <c r="R168" i="1"/>
  <c r="R169" i="1"/>
  <c r="R170" i="1"/>
  <c r="R171" i="1"/>
  <c r="R172" i="1"/>
  <c r="R173" i="1"/>
  <c r="R174" i="1"/>
  <c r="R176" i="1"/>
  <c r="R177" i="1"/>
  <c r="R178" i="1"/>
  <c r="R179" i="1"/>
  <c r="R180" i="1"/>
  <c r="R181" i="1"/>
  <c r="R182" i="1"/>
  <c r="R183" i="1"/>
  <c r="R184" i="1"/>
  <c r="R186"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4" i="1"/>
  <c r="R265" i="1"/>
  <c r="R266" i="1"/>
  <c r="R267" i="1"/>
  <c r="R268" i="1"/>
  <c r="R270" i="1"/>
  <c r="R271" i="1"/>
  <c r="R272" i="1"/>
  <c r="R273" i="1"/>
  <c r="R274" i="1"/>
  <c r="R275" i="1"/>
  <c r="R276" i="1"/>
  <c r="R277" i="1"/>
  <c r="R278" i="1"/>
  <c r="R279" i="1"/>
  <c r="S33" i="1"/>
  <c r="S30" i="1"/>
  <c r="R29" i="1"/>
  <c r="R31" i="1"/>
  <c r="R34" i="1"/>
  <c r="R35" i="1"/>
  <c r="R36" i="1"/>
  <c r="R37" i="1"/>
  <c r="R38" i="1"/>
  <c r="R39" i="1"/>
  <c r="S18" i="1"/>
  <c r="R20" i="1"/>
  <c r="R21" i="1"/>
  <c r="R22" i="1"/>
  <c r="R23" i="1"/>
  <c r="R24" i="1"/>
  <c r="R25" i="1"/>
  <c r="R26" i="1"/>
  <c r="R27" i="1"/>
  <c r="R28" i="1"/>
  <c r="R19" i="1"/>
  <c r="M85" i="1"/>
  <c r="G241" i="1"/>
  <c r="G240" i="1"/>
  <c r="G239" i="1"/>
  <c r="G235" i="1"/>
  <c r="G234" i="1"/>
  <c r="G233" i="1"/>
  <c r="G223" i="1"/>
  <c r="G222" i="1"/>
  <c r="G221" i="1"/>
  <c r="G229" i="1"/>
  <c r="G228" i="1"/>
  <c r="G227" i="1"/>
  <c r="AC10" i="17" l="1"/>
  <c r="AC11" i="17"/>
  <c r="AC12" i="17"/>
  <c r="AC13" i="17"/>
  <c r="AC14" i="17"/>
  <c r="AC15" i="17"/>
  <c r="AC16" i="17"/>
  <c r="AC17" i="17"/>
  <c r="AC18" i="17"/>
  <c r="AC20" i="17"/>
  <c r="AC21" i="17"/>
  <c r="W10" i="17"/>
  <c r="V10" i="17"/>
  <c r="U10" i="17"/>
  <c r="T10" i="17"/>
  <c r="S10" i="17"/>
  <c r="R10" i="17"/>
  <c r="Q10" i="17"/>
  <c r="P10" i="17"/>
  <c r="O10" i="17"/>
  <c r="N10" i="17"/>
  <c r="M10" i="17"/>
  <c r="L10" i="17"/>
  <c r="K10" i="17"/>
  <c r="J10" i="17"/>
  <c r="I10" i="17"/>
  <c r="H10" i="17"/>
  <c r="G10" i="17"/>
  <c r="F10" i="17"/>
  <c r="C13" i="14" l="1"/>
  <c r="M74" i="1" l="1"/>
  <c r="J74" i="1"/>
  <c r="J73" i="1"/>
  <c r="M37" i="1" l="1"/>
  <c r="M35" i="1"/>
  <c r="M36" i="1" s="1"/>
  <c r="J37" i="1"/>
  <c r="M39" i="1"/>
  <c r="J39" i="1"/>
  <c r="J28" i="1"/>
  <c r="J151" i="1" l="1"/>
  <c r="M136" i="1"/>
  <c r="J136" i="1"/>
  <c r="J124" i="1"/>
  <c r="V219" i="1"/>
  <c r="W219" i="1"/>
  <c r="J219" i="1"/>
  <c r="J267" i="1" l="1"/>
  <c r="M267" i="1"/>
  <c r="H266" i="1"/>
  <c r="J266" i="1" s="1"/>
  <c r="J265" i="1"/>
  <c r="M265" i="1"/>
  <c r="H264" i="1"/>
  <c r="J264" i="1" s="1"/>
  <c r="J261" i="1"/>
  <c r="J260" i="1"/>
  <c r="V214" i="1"/>
  <c r="W214" i="1"/>
  <c r="V213" i="1"/>
  <c r="W213" i="1"/>
  <c r="V212" i="1"/>
  <c r="W212" i="1"/>
  <c r="U211" i="1"/>
  <c r="V211" i="1"/>
  <c r="W211" i="1"/>
  <c r="K214" i="1"/>
  <c r="N214" i="1" s="1"/>
  <c r="O214" i="1" s="1"/>
  <c r="H214" i="1"/>
  <c r="K213" i="1"/>
  <c r="N213" i="1" s="1"/>
  <c r="O213" i="1" s="1"/>
  <c r="H213" i="1"/>
  <c r="K212" i="1"/>
  <c r="N212" i="1" s="1"/>
  <c r="O212" i="1" s="1"/>
  <c r="H212" i="1"/>
  <c r="M158" i="1"/>
  <c r="G259" i="1"/>
  <c r="H259" i="1" s="1"/>
  <c r="H258" i="1"/>
  <c r="H257" i="1"/>
  <c r="H256" i="1"/>
  <c r="M252" i="1"/>
  <c r="M220" i="1"/>
  <c r="M192" i="1"/>
  <c r="V218" i="1"/>
  <c r="W218" i="1"/>
  <c r="V217" i="1"/>
  <c r="W217" i="1"/>
  <c r="V216" i="1"/>
  <c r="W216" i="1"/>
  <c r="U215" i="1"/>
  <c r="V215" i="1"/>
  <c r="W215" i="1"/>
  <c r="K218" i="1"/>
  <c r="N218" i="1" s="1"/>
  <c r="O218" i="1" s="1"/>
  <c r="H218" i="1"/>
  <c r="K217" i="1"/>
  <c r="N217" i="1" s="1"/>
  <c r="O217" i="1" s="1"/>
  <c r="H217" i="1"/>
  <c r="K216" i="1"/>
  <c r="N216" i="1" s="1"/>
  <c r="O216" i="1" s="1"/>
  <c r="H216" i="1"/>
  <c r="M203" i="1"/>
  <c r="M190" i="1"/>
  <c r="M88" i="1"/>
  <c r="V103" i="1"/>
  <c r="W103" i="1"/>
  <c r="V93" i="1"/>
  <c r="W93" i="1"/>
  <c r="M81" i="1"/>
  <c r="M79" i="1"/>
  <c r="M78" i="1"/>
  <c r="M76" i="1"/>
  <c r="M75" i="1"/>
  <c r="W70" i="1"/>
  <c r="H70" i="1"/>
  <c r="J70" i="1" s="1"/>
  <c r="M68" i="1"/>
  <c r="M67" i="1"/>
  <c r="M42" i="1"/>
  <c r="M58" i="1" s="1"/>
  <c r="X54" i="1" s="1"/>
  <c r="M53" i="1"/>
  <c r="M55" i="1" s="1"/>
  <c r="J55" i="1"/>
  <c r="J54" i="1"/>
  <c r="J53" i="1"/>
  <c r="H52" i="1"/>
  <c r="M52" i="1"/>
  <c r="J51" i="1"/>
  <c r="J50" i="1"/>
  <c r="H211" i="1" l="1"/>
  <c r="J211" i="1" s="1"/>
  <c r="H215" i="1"/>
  <c r="J215" i="1" s="1"/>
  <c r="H255" i="1"/>
  <c r="J255" i="1" s="1"/>
  <c r="M45" i="1"/>
  <c r="M43" i="1"/>
  <c r="M62" i="1"/>
  <c r="M60" i="1"/>
  <c r="M54" i="1"/>
  <c r="J52" i="1"/>
  <c r="J155" i="1" l="1"/>
  <c r="M138" i="1"/>
  <c r="J133" i="1"/>
  <c r="J132" i="1"/>
  <c r="J150" i="1"/>
  <c r="J149" i="1"/>
  <c r="J148" i="1"/>
  <c r="J131" i="1"/>
  <c r="J130" i="1"/>
  <c r="V64" i="1" l="1"/>
  <c r="W64" i="1"/>
  <c r="V63" i="1"/>
  <c r="W63" i="1"/>
  <c r="U62" i="1"/>
  <c r="V62" i="1"/>
  <c r="W62" i="1"/>
  <c r="J62" i="1"/>
  <c r="J64" i="1"/>
  <c r="J63" i="1"/>
  <c r="M46" i="1"/>
  <c r="J46" i="1"/>
  <c r="J44" i="1"/>
  <c r="M44" i="1"/>
  <c r="H43" i="1"/>
  <c r="J43" i="1" s="1"/>
  <c r="J42" i="1"/>
  <c r="U42" i="1"/>
  <c r="V42" i="1"/>
  <c r="W42" i="1"/>
  <c r="H45" i="1"/>
  <c r="J45" i="1" s="1"/>
  <c r="V69" i="1"/>
  <c r="W69" i="1"/>
  <c r="H69" i="1"/>
  <c r="J69" i="1" s="1"/>
  <c r="V68" i="1"/>
  <c r="W68" i="1"/>
  <c r="H68" i="1"/>
  <c r="J68" i="1" s="1"/>
  <c r="M139" i="1" l="1"/>
  <c r="J139" i="1"/>
  <c r="J138" i="1"/>
  <c r="J137" i="1"/>
  <c r="J147" i="1" l="1"/>
  <c r="J146" i="1"/>
  <c r="J145" i="1"/>
  <c r="J144" i="1"/>
  <c r="J31" i="1" l="1"/>
  <c r="J27" i="1"/>
  <c r="J23" i="1"/>
  <c r="J22" i="1"/>
  <c r="J26" i="1"/>
  <c r="J25" i="1"/>
  <c r="J24" i="1"/>
  <c r="J21" i="1"/>
  <c r="J20" i="1"/>
  <c r="V82" i="1" l="1"/>
  <c r="W82" i="1"/>
  <c r="J141" i="1"/>
  <c r="J140" i="1"/>
  <c r="J163" i="1"/>
  <c r="J168" i="1"/>
  <c r="J173" i="1"/>
  <c r="J172" i="1"/>
  <c r="J171" i="1"/>
  <c r="J170" i="1"/>
  <c r="J169" i="1"/>
  <c r="J167" i="1" l="1"/>
  <c r="J159" i="1"/>
  <c r="M193" i="1"/>
  <c r="J193" i="1"/>
  <c r="M160" i="1"/>
  <c r="J156" i="1"/>
  <c r="J160" i="1"/>
  <c r="J165" i="1"/>
  <c r="M77" i="1"/>
  <c r="H251" i="1"/>
  <c r="H250" i="1"/>
  <c r="H249" i="1"/>
  <c r="H247" i="1"/>
  <c r="H246" i="1"/>
  <c r="H245" i="1"/>
  <c r="H244" i="1" l="1"/>
  <c r="J244" i="1" s="1"/>
  <c r="H248" i="1"/>
  <c r="J248" i="1" s="1"/>
  <c r="J254" i="1" l="1"/>
  <c r="J253" i="1"/>
  <c r="J129" i="1"/>
  <c r="J252" i="1"/>
  <c r="V121" i="1" l="1"/>
  <c r="W121" i="1"/>
  <c r="M128" i="1"/>
  <c r="V18" i="1"/>
  <c r="W18" i="1"/>
  <c r="J19" i="1"/>
  <c r="I89" i="1" l="1"/>
  <c r="I88" i="1"/>
  <c r="I87" i="1"/>
  <c r="J166" i="1" l="1"/>
  <c r="J164" i="1" l="1"/>
  <c r="J162" i="1"/>
  <c r="J161" i="1"/>
  <c r="M179" i="1"/>
  <c r="M178" i="1"/>
  <c r="M177" i="1"/>
  <c r="M176" i="1"/>
  <c r="I186" i="1"/>
  <c r="V182" i="1"/>
  <c r="W182" i="1"/>
  <c r="G183" i="1"/>
  <c r="H183" i="1" s="1"/>
  <c r="H182" i="1"/>
  <c r="H181" i="1"/>
  <c r="H180" i="1"/>
  <c r="H178" i="1"/>
  <c r="J178" i="1" s="1"/>
  <c r="H177" i="1"/>
  <c r="J177" i="1" s="1"/>
  <c r="J176" i="1"/>
  <c r="J158" i="1"/>
  <c r="J128" i="1"/>
  <c r="J127" i="1"/>
  <c r="M107" i="1"/>
  <c r="M97" i="1"/>
  <c r="M96" i="1"/>
  <c r="J122" i="1"/>
  <c r="M116" i="1"/>
  <c r="M115" i="1"/>
  <c r="M114" i="1"/>
  <c r="M113" i="1"/>
  <c r="H179" i="1" l="1"/>
  <c r="J179" i="1" s="1"/>
  <c r="G120" i="1"/>
  <c r="H120" i="1" s="1"/>
  <c r="H119" i="1"/>
  <c r="H118" i="1"/>
  <c r="H117" i="1"/>
  <c r="H115" i="1"/>
  <c r="J115" i="1" s="1"/>
  <c r="H114" i="1"/>
  <c r="J114" i="1" s="1"/>
  <c r="H113" i="1"/>
  <c r="J113" i="1" s="1"/>
  <c r="M106" i="1"/>
  <c r="M105" i="1"/>
  <c r="M104" i="1"/>
  <c r="G111" i="1"/>
  <c r="H111" i="1" s="1"/>
  <c r="H110" i="1"/>
  <c r="H109" i="1"/>
  <c r="H108" i="1"/>
  <c r="M94" i="1"/>
  <c r="H94" i="1"/>
  <c r="J94" i="1" s="1"/>
  <c r="M98" i="1"/>
  <c r="J95" i="1"/>
  <c r="H106" i="1"/>
  <c r="J106" i="1" s="1"/>
  <c r="H105" i="1"/>
  <c r="J105" i="1" s="1"/>
  <c r="H104" i="1"/>
  <c r="J104" i="1" s="1"/>
  <c r="K103" i="1"/>
  <c r="N103" i="1" s="1"/>
  <c r="G102" i="1"/>
  <c r="H102" i="1" s="1"/>
  <c r="H101" i="1"/>
  <c r="H100" i="1"/>
  <c r="H99" i="1"/>
  <c r="H97" i="1"/>
  <c r="J97" i="1" s="1"/>
  <c r="H96" i="1"/>
  <c r="J96" i="1" s="1"/>
  <c r="K93" i="1"/>
  <c r="N93" i="1" s="1"/>
  <c r="H116" i="1" l="1"/>
  <c r="J116" i="1" s="1"/>
  <c r="H107" i="1"/>
  <c r="J107" i="1" s="1"/>
  <c r="H98" i="1"/>
  <c r="J98" i="1" s="1"/>
  <c r="J143" i="1" l="1"/>
  <c r="J142" i="1"/>
  <c r="J157" i="1"/>
  <c r="J135" i="1"/>
  <c r="K135" i="1"/>
  <c r="N33" i="1" l="1"/>
  <c r="N41" i="1"/>
  <c r="N48" i="1"/>
  <c r="N66" i="1"/>
  <c r="N72" i="1"/>
  <c r="N84" i="1"/>
  <c r="N92" i="1"/>
  <c r="N135" i="1"/>
  <c r="N188" i="1"/>
  <c r="N269" i="1"/>
  <c r="M64" i="1" l="1"/>
  <c r="M63" i="1"/>
  <c r="M59" i="1"/>
  <c r="M61" i="1"/>
  <c r="J90" i="1" l="1"/>
  <c r="H210" i="1" l="1"/>
  <c r="H209" i="1"/>
  <c r="H208" i="1"/>
  <c r="H206" i="1"/>
  <c r="H205" i="1"/>
  <c r="H204" i="1"/>
  <c r="H202" i="1"/>
  <c r="H201" i="1"/>
  <c r="H200" i="1"/>
  <c r="H198" i="1"/>
  <c r="H197" i="1"/>
  <c r="H196" i="1"/>
  <c r="H194" i="1"/>
  <c r="H191" i="1"/>
  <c r="H190" i="1"/>
  <c r="J89" i="1"/>
  <c r="J88" i="1"/>
  <c r="J87" i="1"/>
  <c r="H80" i="1"/>
  <c r="H79" i="1"/>
  <c r="H78" i="1"/>
  <c r="H77" i="1"/>
  <c r="H76" i="1"/>
  <c r="G75" i="1"/>
  <c r="H75" i="1" s="1"/>
  <c r="H61" i="1"/>
  <c r="H59" i="1"/>
  <c r="H38" i="1"/>
  <c r="H224" i="1"/>
  <c r="H225" i="1"/>
  <c r="H221" i="1"/>
  <c r="H230" i="1"/>
  <c r="H227" i="1"/>
  <c r="H228" i="1"/>
  <c r="H229" i="1"/>
  <c r="H231" i="1"/>
  <c r="H237" i="1"/>
  <c r="H242" i="1"/>
  <c r="H243" i="1"/>
  <c r="H240" i="1"/>
  <c r="J60" i="1"/>
  <c r="J58" i="1"/>
  <c r="J86" i="1"/>
  <c r="J85" i="1"/>
  <c r="H186" i="1" l="1"/>
  <c r="J186" i="1" s="1"/>
  <c r="H239" i="1"/>
  <c r="H241" i="1"/>
  <c r="H199" i="1"/>
  <c r="H195" i="1"/>
  <c r="H226" i="1"/>
  <c r="H207" i="1"/>
  <c r="H203" i="1"/>
  <c r="H235" i="1"/>
  <c r="H234" i="1"/>
  <c r="H233" i="1"/>
  <c r="H223" i="1"/>
  <c r="H236" i="1"/>
  <c r="H222" i="1"/>
  <c r="H238" i="1" l="1"/>
  <c r="H220" i="1"/>
  <c r="H232" i="1"/>
  <c r="J279" i="1"/>
  <c r="J278" i="1"/>
  <c r="J277" i="1"/>
  <c r="J276" i="1"/>
  <c r="J275" i="1"/>
  <c r="J274" i="1"/>
  <c r="J273" i="1"/>
  <c r="J272" i="1"/>
  <c r="J271" i="1"/>
  <c r="J270" i="1"/>
  <c r="K243" i="1"/>
  <c r="N243" i="1" s="1"/>
  <c r="O243" i="1" s="1"/>
  <c r="K242" i="1"/>
  <c r="N242" i="1" s="1"/>
  <c r="O242" i="1" s="1"/>
  <c r="K241" i="1"/>
  <c r="N241" i="1" s="1"/>
  <c r="O241" i="1" s="1"/>
  <c r="K240" i="1"/>
  <c r="N240" i="1" s="1"/>
  <c r="O240" i="1" s="1"/>
  <c r="K239" i="1"/>
  <c r="N239" i="1" s="1"/>
  <c r="O239" i="1" s="1"/>
  <c r="K237" i="1"/>
  <c r="N237" i="1" s="1"/>
  <c r="O237" i="1" s="1"/>
  <c r="K236" i="1"/>
  <c r="N236" i="1" s="1"/>
  <c r="O236" i="1" s="1"/>
  <c r="K235" i="1"/>
  <c r="N235" i="1" s="1"/>
  <c r="O235" i="1" s="1"/>
  <c r="K234" i="1"/>
  <c r="N234" i="1" s="1"/>
  <c r="O234" i="1" s="1"/>
  <c r="K233" i="1"/>
  <c r="N233" i="1" s="1"/>
  <c r="O233" i="1" s="1"/>
  <c r="K231" i="1"/>
  <c r="N231" i="1" s="1"/>
  <c r="O231" i="1" s="1"/>
  <c r="K230" i="1"/>
  <c r="N230" i="1" s="1"/>
  <c r="O230" i="1" s="1"/>
  <c r="K229" i="1"/>
  <c r="N229" i="1" s="1"/>
  <c r="O229" i="1" s="1"/>
  <c r="K228" i="1"/>
  <c r="N228" i="1" s="1"/>
  <c r="O228" i="1" s="1"/>
  <c r="K227" i="1"/>
  <c r="N227" i="1" s="1"/>
  <c r="O227" i="1" s="1"/>
  <c r="K225" i="1"/>
  <c r="N225" i="1" s="1"/>
  <c r="O225" i="1" s="1"/>
  <c r="K224" i="1"/>
  <c r="N224" i="1" s="1"/>
  <c r="O224" i="1" s="1"/>
  <c r="K223" i="1"/>
  <c r="N223" i="1" s="1"/>
  <c r="O223" i="1" s="1"/>
  <c r="K222" i="1"/>
  <c r="N222" i="1" s="1"/>
  <c r="O222" i="1" s="1"/>
  <c r="K221" i="1"/>
  <c r="N221" i="1" s="1"/>
  <c r="O221" i="1" s="1"/>
  <c r="K210" i="1"/>
  <c r="N210" i="1" s="1"/>
  <c r="O210" i="1" s="1"/>
  <c r="K209" i="1"/>
  <c r="N209" i="1" s="1"/>
  <c r="O209" i="1" s="1"/>
  <c r="K208" i="1"/>
  <c r="N208" i="1" s="1"/>
  <c r="O208" i="1" s="1"/>
  <c r="K206" i="1"/>
  <c r="N206" i="1" s="1"/>
  <c r="O206" i="1" s="1"/>
  <c r="K205" i="1"/>
  <c r="N205" i="1" s="1"/>
  <c r="O205" i="1" s="1"/>
  <c r="K204" i="1"/>
  <c r="N204" i="1" s="1"/>
  <c r="O204" i="1" s="1"/>
  <c r="K202" i="1"/>
  <c r="N202" i="1" s="1"/>
  <c r="O202" i="1" s="1"/>
  <c r="K201" i="1"/>
  <c r="N201" i="1" s="1"/>
  <c r="O201" i="1" s="1"/>
  <c r="K200" i="1"/>
  <c r="N200" i="1" s="1"/>
  <c r="O200" i="1" s="1"/>
  <c r="K198" i="1"/>
  <c r="N198" i="1" s="1"/>
  <c r="O198" i="1" s="1"/>
  <c r="K197" i="1"/>
  <c r="N197" i="1" s="1"/>
  <c r="O197" i="1" s="1"/>
  <c r="K196" i="1"/>
  <c r="N196" i="1" s="1"/>
  <c r="O196" i="1" s="1"/>
  <c r="J194" i="1"/>
  <c r="J192" i="1"/>
  <c r="J191" i="1"/>
  <c r="J190" i="1"/>
  <c r="J82" i="1"/>
  <c r="J81" i="1"/>
  <c r="J80" i="1"/>
  <c r="J79" i="1"/>
  <c r="J77" i="1"/>
  <c r="J76" i="1"/>
  <c r="J75" i="1"/>
  <c r="J67" i="1"/>
  <c r="J38" i="1"/>
  <c r="J36" i="1"/>
  <c r="J35" i="1"/>
  <c r="J34" i="1"/>
  <c r="J59" i="1" l="1"/>
  <c r="J61" i="1"/>
  <c r="J195" i="1"/>
  <c r="J199" i="1"/>
  <c r="J207" i="1"/>
  <c r="J203" i="1"/>
  <c r="J226" i="1"/>
  <c r="J220" i="1"/>
  <c r="J238" i="1"/>
  <c r="J232" i="1"/>
  <c r="A2" i="21"/>
  <c r="S2" i="21"/>
  <c r="A3" i="21"/>
  <c r="S3" i="21"/>
  <c r="A4" i="21"/>
  <c r="S4" i="21"/>
  <c r="A5" i="21"/>
  <c r="S5" i="21"/>
  <c r="A6" i="21"/>
  <c r="S6" i="21"/>
  <c r="A7" i="21"/>
  <c r="S7" i="21"/>
  <c r="A8" i="21"/>
  <c r="S8" i="21"/>
  <c r="A9" i="21"/>
  <c r="S9" i="21"/>
  <c r="A10" i="21"/>
  <c r="S10" i="21"/>
  <c r="A11" i="21"/>
  <c r="S11" i="21"/>
  <c r="A12" i="21"/>
  <c r="S12" i="21"/>
  <c r="A15" i="21"/>
  <c r="S15" i="21"/>
  <c r="A16" i="21"/>
  <c r="S16" i="21"/>
  <c r="A17" i="21"/>
  <c r="S17" i="21"/>
  <c r="A18" i="21"/>
  <c r="S18" i="21"/>
  <c r="A19" i="21"/>
  <c r="S19" i="21"/>
  <c r="A20" i="21"/>
  <c r="S20" i="21"/>
  <c r="A21" i="21"/>
  <c r="S21" i="21"/>
  <c r="A22" i="21"/>
  <c r="S22" i="21"/>
  <c r="A23" i="21"/>
  <c r="S23" i="21"/>
  <c r="A24" i="21"/>
  <c r="S24" i="21"/>
  <c r="A25" i="21"/>
  <c r="S25" i="21"/>
  <c r="A28" i="21"/>
  <c r="S28" i="21"/>
  <c r="A29" i="21"/>
  <c r="S29" i="21"/>
  <c r="A30" i="21"/>
  <c r="S30" i="21"/>
  <c r="A31" i="21"/>
  <c r="S31" i="21"/>
  <c r="A32" i="21"/>
  <c r="S32" i="21"/>
  <c r="A33" i="21"/>
  <c r="S33" i="21"/>
  <c r="A34" i="21"/>
  <c r="S34" i="21"/>
  <c r="A35" i="21"/>
  <c r="S35" i="21"/>
  <c r="A36" i="21"/>
  <c r="S36" i="21"/>
  <c r="A37" i="21"/>
  <c r="S37" i="21"/>
  <c r="A38" i="21"/>
  <c r="S38" i="21"/>
  <c r="A41" i="21"/>
  <c r="S41" i="21"/>
  <c r="A42" i="21"/>
  <c r="S42" i="21"/>
  <c r="A43" i="21"/>
  <c r="S43" i="21"/>
  <c r="A44" i="21"/>
  <c r="S44" i="21"/>
  <c r="A45" i="21"/>
  <c r="S45" i="21"/>
  <c r="A46" i="21"/>
  <c r="S46" i="21"/>
  <c r="A47" i="21"/>
  <c r="S47" i="21"/>
  <c r="A48" i="21"/>
  <c r="S48" i="21"/>
  <c r="A49" i="21"/>
  <c r="S49" i="21"/>
  <c r="A50" i="21"/>
  <c r="S50" i="21"/>
  <c r="A51" i="21"/>
  <c r="S51" i="21"/>
  <c r="A54" i="21"/>
  <c r="S54" i="21"/>
  <c r="A55" i="21"/>
  <c r="S55" i="21"/>
  <c r="A56" i="21"/>
  <c r="S56" i="21"/>
  <c r="A57" i="21"/>
  <c r="S57" i="21"/>
  <c r="A58" i="21"/>
  <c r="S58" i="21"/>
  <c r="A59" i="21"/>
  <c r="S59" i="21"/>
  <c r="A60" i="21"/>
  <c r="S60" i="21"/>
  <c r="A61" i="21"/>
  <c r="S61" i="21"/>
  <c r="A62" i="21"/>
  <c r="S62" i="21"/>
  <c r="A63" i="21"/>
  <c r="S63" i="21"/>
  <c r="A64" i="21"/>
  <c r="S64" i="21"/>
  <c r="A67" i="21"/>
  <c r="S67" i="21"/>
  <c r="A68" i="21"/>
  <c r="S68" i="21"/>
  <c r="A69" i="21"/>
  <c r="S69" i="21"/>
  <c r="A70" i="21"/>
  <c r="S70" i="21"/>
  <c r="A71" i="21"/>
  <c r="S71" i="21"/>
  <c r="A72" i="21"/>
  <c r="S72" i="21"/>
  <c r="A73" i="21"/>
  <c r="S73" i="21"/>
  <c r="A74" i="21"/>
  <c r="S74" i="21"/>
  <c r="A75" i="21"/>
  <c r="S75" i="21"/>
  <c r="A76" i="21"/>
  <c r="S76" i="21"/>
  <c r="A77" i="21"/>
  <c r="S77" i="21"/>
  <c r="A80" i="21"/>
  <c r="S80" i="21"/>
  <c r="A81" i="21"/>
  <c r="S81" i="21"/>
  <c r="A82" i="21"/>
  <c r="S82" i="21"/>
  <c r="A83" i="21"/>
  <c r="S83" i="21"/>
  <c r="A84" i="21"/>
  <c r="S84" i="21"/>
  <c r="A85" i="21"/>
  <c r="S85" i="21"/>
  <c r="A86" i="21"/>
  <c r="S86" i="21"/>
  <c r="A87" i="21"/>
  <c r="S87" i="21"/>
  <c r="A88" i="21"/>
  <c r="S88" i="21"/>
  <c r="A89" i="21"/>
  <c r="S89" i="21"/>
  <c r="A90" i="21"/>
  <c r="S90" i="21"/>
  <c r="A93" i="21"/>
  <c r="S93" i="21"/>
  <c r="A94" i="21"/>
  <c r="S94" i="21"/>
  <c r="A95" i="21"/>
  <c r="S95" i="21"/>
  <c r="A96" i="21"/>
  <c r="S96" i="21"/>
  <c r="A97" i="21"/>
  <c r="S97" i="21"/>
  <c r="A98" i="21"/>
  <c r="S98" i="21"/>
  <c r="A99" i="21"/>
  <c r="S99" i="21"/>
  <c r="A100" i="21"/>
  <c r="S100" i="21"/>
  <c r="A101" i="21"/>
  <c r="S101" i="21"/>
  <c r="A102" i="21"/>
  <c r="S102" i="21"/>
  <c r="A103" i="21"/>
  <c r="S103" i="21"/>
  <c r="A106" i="21"/>
  <c r="S106" i="21"/>
  <c r="A107" i="21"/>
  <c r="S107" i="21"/>
  <c r="A108" i="21"/>
  <c r="S108" i="21"/>
  <c r="A109" i="21"/>
  <c r="S109" i="21"/>
  <c r="A110" i="21"/>
  <c r="S110" i="21"/>
  <c r="A111" i="21"/>
  <c r="S111" i="21"/>
  <c r="A112" i="21"/>
  <c r="S112" i="21"/>
  <c r="A113" i="21"/>
  <c r="S113" i="21"/>
  <c r="A114" i="21"/>
  <c r="S114" i="21"/>
  <c r="A115" i="21"/>
  <c r="S115" i="21"/>
  <c r="A116" i="21"/>
  <c r="S116" i="21"/>
  <c r="A119" i="21"/>
  <c r="S119" i="21"/>
  <c r="A120" i="21"/>
  <c r="S120" i="21"/>
  <c r="A121" i="21"/>
  <c r="S121" i="21"/>
  <c r="A122" i="21"/>
  <c r="S122" i="21"/>
  <c r="A123" i="21"/>
  <c r="S123" i="21"/>
  <c r="A124" i="21"/>
  <c r="S124" i="21"/>
  <c r="A125" i="21"/>
  <c r="S125" i="21"/>
  <c r="A126" i="21"/>
  <c r="S126" i="21"/>
  <c r="A127" i="21"/>
  <c r="S127" i="21"/>
  <c r="A128" i="21"/>
  <c r="S128" i="21"/>
  <c r="A129" i="21"/>
  <c r="S129" i="21"/>
  <c r="S131" i="21"/>
  <c r="A2" i="19" l="1"/>
  <c r="S2" i="19"/>
  <c r="A3" i="19"/>
  <c r="S3" i="19"/>
  <c r="A4" i="19"/>
  <c r="S4" i="19"/>
  <c r="A5" i="19"/>
  <c r="S5" i="19"/>
  <c r="A6" i="19"/>
  <c r="S6" i="19"/>
  <c r="A7" i="19"/>
  <c r="S7" i="19"/>
  <c r="A8" i="19"/>
  <c r="S8" i="19"/>
  <c r="A9" i="19"/>
  <c r="S9" i="19"/>
  <c r="A10" i="19"/>
  <c r="S10" i="19"/>
  <c r="A11" i="19"/>
  <c r="S11" i="19"/>
  <c r="A12" i="19"/>
  <c r="S12" i="19"/>
  <c r="A15" i="19"/>
  <c r="S15" i="19"/>
  <c r="A16" i="19"/>
  <c r="S16" i="19"/>
  <c r="A17" i="19"/>
  <c r="S17" i="19"/>
  <c r="A18" i="19"/>
  <c r="S18" i="19"/>
  <c r="A19" i="19"/>
  <c r="S19" i="19"/>
  <c r="A20" i="19"/>
  <c r="S20" i="19"/>
  <c r="A21" i="19"/>
  <c r="S21" i="19"/>
  <c r="A22" i="19"/>
  <c r="S22" i="19"/>
  <c r="A23" i="19"/>
  <c r="S23" i="19"/>
  <c r="A24" i="19"/>
  <c r="S24" i="19"/>
  <c r="A25" i="19"/>
  <c r="S25" i="19"/>
  <c r="A28" i="19"/>
  <c r="S28" i="19"/>
  <c r="A29" i="19"/>
  <c r="S29" i="19"/>
  <c r="A30" i="19"/>
  <c r="S30" i="19"/>
  <c r="A31" i="19"/>
  <c r="S31" i="19"/>
  <c r="A32" i="19"/>
  <c r="S32" i="19"/>
  <c r="A33" i="19"/>
  <c r="S33" i="19"/>
  <c r="A34" i="19"/>
  <c r="S34" i="19"/>
  <c r="A35" i="19"/>
  <c r="S35" i="19"/>
  <c r="A36" i="19"/>
  <c r="S36" i="19"/>
  <c r="A37" i="19"/>
  <c r="S37" i="19"/>
  <c r="A38" i="19"/>
  <c r="S38" i="19"/>
  <c r="A41" i="19"/>
  <c r="S41" i="19"/>
  <c r="A42" i="19"/>
  <c r="S42" i="19"/>
  <c r="A43" i="19"/>
  <c r="S43" i="19"/>
  <c r="A44" i="19"/>
  <c r="S44" i="19"/>
  <c r="A45" i="19"/>
  <c r="S45" i="19"/>
  <c r="A46" i="19"/>
  <c r="S46" i="19"/>
  <c r="A47" i="19"/>
  <c r="S47" i="19"/>
  <c r="A48" i="19"/>
  <c r="S48" i="19"/>
  <c r="A49" i="19"/>
  <c r="S49" i="19"/>
  <c r="A50" i="19"/>
  <c r="S50" i="19"/>
  <c r="A51" i="19"/>
  <c r="S51" i="19"/>
  <c r="A54" i="19"/>
  <c r="S54" i="19"/>
  <c r="A55" i="19"/>
  <c r="S55" i="19"/>
  <c r="A56" i="19"/>
  <c r="S56" i="19"/>
  <c r="A57" i="19"/>
  <c r="S57" i="19"/>
  <c r="A58" i="19"/>
  <c r="S58" i="19"/>
  <c r="A59" i="19"/>
  <c r="S59" i="19"/>
  <c r="A60" i="19"/>
  <c r="S60" i="19"/>
  <c r="A61" i="19"/>
  <c r="S61" i="19"/>
  <c r="A62" i="19"/>
  <c r="S62" i="19"/>
  <c r="A63" i="19"/>
  <c r="S63" i="19"/>
  <c r="A64" i="19"/>
  <c r="S64" i="19"/>
  <c r="A67" i="19"/>
  <c r="S67" i="19"/>
  <c r="A68" i="19"/>
  <c r="S68" i="19"/>
  <c r="A69" i="19"/>
  <c r="S69" i="19"/>
  <c r="A70" i="19"/>
  <c r="S70" i="19"/>
  <c r="A71" i="19"/>
  <c r="S71" i="19"/>
  <c r="A72" i="19"/>
  <c r="S72" i="19"/>
  <c r="A73" i="19"/>
  <c r="S73" i="19"/>
  <c r="A74" i="19"/>
  <c r="S74" i="19"/>
  <c r="A75" i="19"/>
  <c r="S75" i="19"/>
  <c r="A76" i="19"/>
  <c r="S76" i="19"/>
  <c r="A77" i="19"/>
  <c r="S77" i="19"/>
  <c r="A80" i="19"/>
  <c r="S80" i="19"/>
  <c r="A81" i="19"/>
  <c r="S81" i="19"/>
  <c r="A82" i="19"/>
  <c r="S82" i="19"/>
  <c r="A83" i="19"/>
  <c r="S83" i="19"/>
  <c r="A84" i="19"/>
  <c r="S84" i="19"/>
  <c r="A85" i="19"/>
  <c r="S85" i="19"/>
  <c r="A86" i="19"/>
  <c r="S86" i="19"/>
  <c r="A87" i="19"/>
  <c r="S87" i="19"/>
  <c r="A88" i="19"/>
  <c r="S88" i="19"/>
  <c r="A89" i="19"/>
  <c r="S89" i="19"/>
  <c r="A90" i="19"/>
  <c r="S90" i="19"/>
  <c r="A93" i="19"/>
  <c r="S93" i="19"/>
  <c r="A94" i="19"/>
  <c r="S94" i="19"/>
  <c r="A95" i="19"/>
  <c r="S95" i="19"/>
  <c r="A96" i="19"/>
  <c r="S96" i="19"/>
  <c r="A97" i="19"/>
  <c r="S97" i="19"/>
  <c r="A98" i="19"/>
  <c r="S98" i="19"/>
  <c r="A99" i="19"/>
  <c r="S99" i="19"/>
  <c r="A100" i="19"/>
  <c r="S100" i="19"/>
  <c r="A101" i="19"/>
  <c r="S101" i="19"/>
  <c r="A102" i="19"/>
  <c r="S102" i="19"/>
  <c r="A103" i="19"/>
  <c r="S103" i="19"/>
  <c r="A106" i="19"/>
  <c r="S106" i="19"/>
  <c r="A107" i="19"/>
  <c r="S107" i="19"/>
  <c r="A108" i="19"/>
  <c r="S108" i="19"/>
  <c r="A109" i="19"/>
  <c r="S109" i="19"/>
  <c r="A110" i="19"/>
  <c r="S110" i="19"/>
  <c r="A111" i="19"/>
  <c r="S111" i="19"/>
  <c r="A112" i="19"/>
  <c r="S112" i="19"/>
  <c r="A113" i="19"/>
  <c r="S113" i="19"/>
  <c r="A114" i="19"/>
  <c r="S114" i="19"/>
  <c r="A115" i="19"/>
  <c r="S115" i="19"/>
  <c r="A116" i="19"/>
  <c r="S116" i="19"/>
  <c r="A119" i="19"/>
  <c r="S119" i="19"/>
  <c r="A120" i="19"/>
  <c r="S120" i="19"/>
  <c r="A121" i="19"/>
  <c r="S121" i="19"/>
  <c r="A122" i="19"/>
  <c r="S122" i="19"/>
  <c r="A123" i="19"/>
  <c r="S123" i="19"/>
  <c r="A124" i="19"/>
  <c r="S124" i="19"/>
  <c r="A125" i="19"/>
  <c r="S125" i="19"/>
  <c r="A126" i="19"/>
  <c r="S126" i="19"/>
  <c r="A127" i="19"/>
  <c r="S127" i="19"/>
  <c r="A128" i="19"/>
  <c r="S128" i="19"/>
  <c r="A129" i="19"/>
  <c r="S129" i="19"/>
  <c r="S131" i="19"/>
  <c r="A22" i="17"/>
  <c r="A19" i="17"/>
  <c r="A17" i="17"/>
  <c r="X17" i="17" s="1"/>
  <c r="A16" i="17"/>
  <c r="X16" i="17" s="1"/>
  <c r="A15" i="17"/>
  <c r="X15" i="17" s="1"/>
  <c r="A14" i="17"/>
  <c r="X14" i="17" s="1"/>
  <c r="A13" i="17"/>
  <c r="A12" i="17"/>
  <c r="X12" i="17" s="1"/>
  <c r="A11" i="17"/>
  <c r="X11" i="17" s="1"/>
  <c r="A10" i="17"/>
  <c r="A9" i="17"/>
  <c r="X13" i="17" l="1"/>
  <c r="X19" i="17"/>
  <c r="AC19" i="17" s="1"/>
  <c r="X22" i="17"/>
  <c r="AC22" i="17" s="1"/>
  <c r="X9" i="17"/>
  <c r="X10" i="17"/>
  <c r="F8" i="17"/>
  <c r="G7" i="17" s="1"/>
  <c r="G8" i="17" s="1"/>
  <c r="H7" i="17" s="1"/>
  <c r="H8" i="17" s="1"/>
  <c r="I7" i="17" s="1"/>
  <c r="I8" i="17" s="1"/>
  <c r="J7" i="17" s="1"/>
  <c r="J8" i="17" s="1"/>
  <c r="K7" i="17" s="1"/>
  <c r="K8" i="17" s="1"/>
  <c r="L7" i="17" s="1"/>
  <c r="L8" i="17" s="1"/>
  <c r="M7" i="17" s="1"/>
  <c r="M8" i="17" s="1"/>
  <c r="N7" i="17" s="1"/>
  <c r="N8" i="17" s="1"/>
  <c r="O7" i="17" s="1"/>
  <c r="O8" i="17" s="1"/>
  <c r="P7" i="17" s="1"/>
  <c r="P8" i="17" s="1"/>
  <c r="X7" i="17" l="1"/>
  <c r="X8" i="17" s="1"/>
  <c r="Q7" i="17"/>
  <c r="Q8" i="17" s="1"/>
  <c r="R7" i="17" s="1"/>
  <c r="R8" i="17" s="1"/>
  <c r="S7" i="17" s="1"/>
  <c r="S8" i="17" s="1"/>
  <c r="T7" i="17" s="1"/>
  <c r="T8" i="17" s="1"/>
  <c r="U7" i="17" s="1"/>
  <c r="U8" i="17" s="1"/>
  <c r="V7" i="17" s="1"/>
  <c r="V8" i="17" s="1"/>
  <c r="W7" i="17" s="1"/>
  <c r="W8" i="17" s="1"/>
  <c r="AC9" i="17"/>
  <c r="W35" i="1" l="1"/>
  <c r="U35" i="1"/>
  <c r="V36" i="1"/>
  <c r="U36" i="1"/>
  <c r="V38" i="1" l="1"/>
  <c r="W38" i="1" l="1"/>
  <c r="K47" i="1" l="1"/>
  <c r="N47" i="1" s="1"/>
  <c r="O47" i="1" s="1"/>
  <c r="B24" i="14" l="1"/>
  <c r="C2" i="14" s="1"/>
  <c r="C6" i="14" s="1"/>
  <c r="B13" i="14" s="1"/>
  <c r="B15" i="14" s="1"/>
  <c r="B17" i="14"/>
  <c r="F10" i="1" l="1"/>
  <c r="F9" i="1"/>
  <c r="K186" i="1" s="1"/>
  <c r="K73" i="1" l="1"/>
  <c r="N73" i="1" s="1"/>
  <c r="O73" i="1" s="1"/>
  <c r="K74" i="1"/>
  <c r="N74" i="1" s="1"/>
  <c r="O74" i="1" s="1"/>
  <c r="K39" i="1"/>
  <c r="N39" i="1" s="1"/>
  <c r="O39" i="1" s="1"/>
  <c r="K37" i="1"/>
  <c r="N37" i="1" s="1"/>
  <c r="O37" i="1" s="1"/>
  <c r="K136" i="1"/>
  <c r="N136" i="1" s="1"/>
  <c r="O136" i="1" s="1"/>
  <c r="K28" i="1"/>
  <c r="N28" i="1" s="1"/>
  <c r="O28" i="1" s="1"/>
  <c r="K151" i="1"/>
  <c r="N151" i="1" s="1"/>
  <c r="O151" i="1" s="1"/>
  <c r="K219" i="1"/>
  <c r="N219" i="1" s="1"/>
  <c r="O219" i="1" s="1"/>
  <c r="K124" i="1"/>
  <c r="N124" i="1" s="1"/>
  <c r="O124" i="1" s="1"/>
  <c r="O123" i="1" s="1"/>
  <c r="K266" i="1"/>
  <c r="N266" i="1" s="1"/>
  <c r="O266" i="1" s="1"/>
  <c r="K265" i="1"/>
  <c r="N265" i="1" s="1"/>
  <c r="O265" i="1" s="1"/>
  <c r="K261" i="1"/>
  <c r="N261" i="1" s="1"/>
  <c r="O261" i="1" s="1"/>
  <c r="K264" i="1"/>
  <c r="N264" i="1" s="1"/>
  <c r="O264" i="1" s="1"/>
  <c r="K267" i="1"/>
  <c r="N267" i="1" s="1"/>
  <c r="O267" i="1" s="1"/>
  <c r="K211" i="1"/>
  <c r="N211" i="1" s="1"/>
  <c r="O211" i="1" s="1"/>
  <c r="K260" i="1"/>
  <c r="N260" i="1" s="1"/>
  <c r="O260" i="1" s="1"/>
  <c r="K215" i="1"/>
  <c r="N215" i="1" s="1"/>
  <c r="O215" i="1" s="1"/>
  <c r="K259" i="1"/>
  <c r="N259" i="1" s="1"/>
  <c r="O259" i="1" s="1"/>
  <c r="K258" i="1"/>
  <c r="N258" i="1" s="1"/>
  <c r="K257" i="1"/>
  <c r="N257" i="1" s="1"/>
  <c r="O257" i="1" s="1"/>
  <c r="K256" i="1"/>
  <c r="N256" i="1" s="1"/>
  <c r="O256" i="1" s="1"/>
  <c r="K255" i="1"/>
  <c r="N255" i="1" s="1"/>
  <c r="O255" i="1" s="1"/>
  <c r="K70" i="1"/>
  <c r="N70" i="1" s="1"/>
  <c r="O70" i="1" s="1"/>
  <c r="K53" i="1"/>
  <c r="N53" i="1" s="1"/>
  <c r="O53" i="1" s="1"/>
  <c r="K55" i="1"/>
  <c r="N55" i="1" s="1"/>
  <c r="O55" i="1" s="1"/>
  <c r="K54" i="1"/>
  <c r="N54" i="1" s="1"/>
  <c r="O54" i="1" s="1"/>
  <c r="K51" i="1"/>
  <c r="N51" i="1" s="1"/>
  <c r="O51" i="1" s="1"/>
  <c r="K52" i="1"/>
  <c r="N52" i="1" s="1"/>
  <c r="O52" i="1" s="1"/>
  <c r="K155" i="1"/>
  <c r="N155" i="1" s="1"/>
  <c r="O155" i="1" s="1"/>
  <c r="K50" i="1"/>
  <c r="N50" i="1" s="1"/>
  <c r="O50" i="1" s="1"/>
  <c r="K150" i="1"/>
  <c r="N150" i="1" s="1"/>
  <c r="O150" i="1" s="1"/>
  <c r="K132" i="1"/>
  <c r="N132" i="1" s="1"/>
  <c r="O132" i="1" s="1"/>
  <c r="K133" i="1"/>
  <c r="N133" i="1" s="1"/>
  <c r="O133" i="1" s="1"/>
  <c r="K149" i="1"/>
  <c r="N149" i="1" s="1"/>
  <c r="O149" i="1" s="1"/>
  <c r="K148" i="1"/>
  <c r="N148" i="1" s="1"/>
  <c r="O148" i="1" s="1"/>
  <c r="K131" i="1"/>
  <c r="N131" i="1" s="1"/>
  <c r="O131" i="1" s="1"/>
  <c r="K130" i="1"/>
  <c r="N130" i="1" s="1"/>
  <c r="O130" i="1" s="1"/>
  <c r="K62" i="1"/>
  <c r="N62" i="1" s="1"/>
  <c r="O62" i="1" s="1"/>
  <c r="K64" i="1"/>
  <c r="N64" i="1" s="1"/>
  <c r="O64" i="1" s="1"/>
  <c r="K46" i="1"/>
  <c r="N46" i="1" s="1"/>
  <c r="O46" i="1" s="1"/>
  <c r="K63" i="1"/>
  <c r="N63" i="1" s="1"/>
  <c r="O63" i="1" s="1"/>
  <c r="K45" i="1"/>
  <c r="N45" i="1" s="1"/>
  <c r="O45" i="1" s="1"/>
  <c r="K42" i="1"/>
  <c r="N42" i="1" s="1"/>
  <c r="O42" i="1" s="1"/>
  <c r="K43" i="1"/>
  <c r="N43" i="1" s="1"/>
  <c r="O43" i="1" s="1"/>
  <c r="K44" i="1"/>
  <c r="N44" i="1" s="1"/>
  <c r="O44" i="1" s="1"/>
  <c r="K68" i="1"/>
  <c r="N68" i="1" s="1"/>
  <c r="O68" i="1" s="1"/>
  <c r="K69" i="1"/>
  <c r="N69" i="1" s="1"/>
  <c r="O69" i="1" s="1"/>
  <c r="K138" i="1"/>
  <c r="N138" i="1" s="1"/>
  <c r="O138" i="1" s="1"/>
  <c r="K139" i="1"/>
  <c r="N139" i="1" s="1"/>
  <c r="O139" i="1" s="1"/>
  <c r="K137" i="1"/>
  <c r="N137" i="1" s="1"/>
  <c r="O137" i="1" s="1"/>
  <c r="K147" i="1"/>
  <c r="K144" i="1"/>
  <c r="N144" i="1" s="1"/>
  <c r="O144" i="1" s="1"/>
  <c r="K146" i="1"/>
  <c r="N146" i="1" s="1"/>
  <c r="O146" i="1" s="1"/>
  <c r="K145" i="1"/>
  <c r="N145" i="1" s="1"/>
  <c r="O145" i="1" s="1"/>
  <c r="K22" i="1"/>
  <c r="N22" i="1" s="1"/>
  <c r="O22" i="1" s="1"/>
  <c r="K23" i="1"/>
  <c r="N23" i="1" s="1"/>
  <c r="O23" i="1" s="1"/>
  <c r="K141" i="1"/>
  <c r="N141" i="1" s="1"/>
  <c r="O141" i="1" s="1"/>
  <c r="K20" i="1"/>
  <c r="N20" i="1" s="1"/>
  <c r="O20" i="1" s="1"/>
  <c r="K21" i="1"/>
  <c r="K140" i="1"/>
  <c r="N140" i="1" s="1"/>
  <c r="O140" i="1" s="1"/>
  <c r="K173" i="1"/>
  <c r="N173" i="1" s="1"/>
  <c r="O173" i="1" s="1"/>
  <c r="K168" i="1"/>
  <c r="N168" i="1" s="1"/>
  <c r="O168" i="1" s="1"/>
  <c r="K163" i="1"/>
  <c r="N163" i="1" s="1"/>
  <c r="O163" i="1" s="1"/>
  <c r="K171" i="1"/>
  <c r="N171" i="1" s="1"/>
  <c r="O171" i="1" s="1"/>
  <c r="K169" i="1"/>
  <c r="N169" i="1" s="1"/>
  <c r="O169" i="1" s="1"/>
  <c r="K170" i="1"/>
  <c r="N170" i="1" s="1"/>
  <c r="O170" i="1" s="1"/>
  <c r="K172" i="1"/>
  <c r="N172" i="1" s="1"/>
  <c r="O172" i="1" s="1"/>
  <c r="K193" i="1"/>
  <c r="N193" i="1" s="1"/>
  <c r="O193" i="1" s="1"/>
  <c r="K159" i="1"/>
  <c r="N159" i="1" s="1"/>
  <c r="O159" i="1" s="1"/>
  <c r="K167" i="1"/>
  <c r="N167" i="1" s="1"/>
  <c r="O167" i="1" s="1"/>
  <c r="K160" i="1"/>
  <c r="N160" i="1" s="1"/>
  <c r="O160" i="1" s="1"/>
  <c r="K156" i="1"/>
  <c r="N156" i="1" s="1"/>
  <c r="O156" i="1" s="1"/>
  <c r="K165" i="1"/>
  <c r="N165" i="1" s="1"/>
  <c r="O165" i="1" s="1"/>
  <c r="K249" i="1"/>
  <c r="N249" i="1" s="1"/>
  <c r="O249" i="1" s="1"/>
  <c r="K251" i="1"/>
  <c r="N251" i="1" s="1"/>
  <c r="O251" i="1" s="1"/>
  <c r="K250" i="1"/>
  <c r="N250" i="1" s="1"/>
  <c r="O250" i="1" s="1"/>
  <c r="K248" i="1"/>
  <c r="N248" i="1" s="1"/>
  <c r="O248" i="1" s="1"/>
  <c r="K247" i="1"/>
  <c r="N247" i="1" s="1"/>
  <c r="O247" i="1" s="1"/>
  <c r="K245" i="1"/>
  <c r="N245" i="1" s="1"/>
  <c r="O245" i="1" s="1"/>
  <c r="K246" i="1"/>
  <c r="N246" i="1" s="1"/>
  <c r="O246" i="1" s="1"/>
  <c r="K244" i="1"/>
  <c r="N244" i="1" s="1"/>
  <c r="O244" i="1" s="1"/>
  <c r="K253" i="1"/>
  <c r="N253" i="1" s="1"/>
  <c r="O253" i="1" s="1"/>
  <c r="K254" i="1"/>
  <c r="N254" i="1" s="1"/>
  <c r="O254" i="1" s="1"/>
  <c r="K252" i="1"/>
  <c r="N252" i="1" s="1"/>
  <c r="O252" i="1" s="1"/>
  <c r="K129" i="1"/>
  <c r="N129" i="1" s="1"/>
  <c r="O129" i="1" s="1"/>
  <c r="K166" i="1"/>
  <c r="N166" i="1" s="1"/>
  <c r="O166" i="1" s="1"/>
  <c r="K19" i="1"/>
  <c r="N19" i="1" s="1"/>
  <c r="O19" i="1" s="1"/>
  <c r="N186" i="1"/>
  <c r="O186" i="1" s="1"/>
  <c r="O185" i="1" s="1"/>
  <c r="K161" i="1"/>
  <c r="N161" i="1" s="1"/>
  <c r="O161" i="1" s="1"/>
  <c r="K162" i="1"/>
  <c r="N162" i="1" s="1"/>
  <c r="O162" i="1" s="1"/>
  <c r="K164" i="1"/>
  <c r="N164" i="1" s="1"/>
  <c r="O164" i="1" s="1"/>
  <c r="K182" i="1"/>
  <c r="N182" i="1" s="1"/>
  <c r="K180" i="1"/>
  <c r="N180" i="1" s="1"/>
  <c r="K181" i="1"/>
  <c r="N181" i="1" s="1"/>
  <c r="K183" i="1"/>
  <c r="N183" i="1" s="1"/>
  <c r="K178" i="1"/>
  <c r="N178" i="1" s="1"/>
  <c r="K177" i="1"/>
  <c r="N177" i="1" s="1"/>
  <c r="K176" i="1"/>
  <c r="N176" i="1" s="1"/>
  <c r="O176" i="1" s="1"/>
  <c r="K179" i="1"/>
  <c r="N179" i="1" s="1"/>
  <c r="K128" i="1"/>
  <c r="N128" i="1" s="1"/>
  <c r="O128" i="1" s="1"/>
  <c r="K158" i="1"/>
  <c r="N158" i="1" s="1"/>
  <c r="O158" i="1" s="1"/>
  <c r="K122" i="1"/>
  <c r="N122" i="1" s="1"/>
  <c r="O122" i="1" s="1"/>
  <c r="O121" i="1" s="1"/>
  <c r="K127" i="1"/>
  <c r="N127" i="1" s="1"/>
  <c r="O127" i="1" s="1"/>
  <c r="K120" i="1"/>
  <c r="N120" i="1" s="1"/>
  <c r="O120" i="1" s="1"/>
  <c r="K119" i="1"/>
  <c r="N119" i="1" s="1"/>
  <c r="O119" i="1" s="1"/>
  <c r="K109" i="1"/>
  <c r="N109" i="1" s="1"/>
  <c r="O109" i="1" s="1"/>
  <c r="K108" i="1"/>
  <c r="N108" i="1" s="1"/>
  <c r="O108" i="1" s="1"/>
  <c r="K117" i="1"/>
  <c r="N117" i="1" s="1"/>
  <c r="O117" i="1" s="1"/>
  <c r="K111" i="1"/>
  <c r="N111" i="1" s="1"/>
  <c r="O111" i="1" s="1"/>
  <c r="K118" i="1"/>
  <c r="N118" i="1" s="1"/>
  <c r="O118" i="1" s="1"/>
  <c r="K110" i="1"/>
  <c r="N110" i="1" s="1"/>
  <c r="O110" i="1" s="1"/>
  <c r="K115" i="1"/>
  <c r="N115" i="1" s="1"/>
  <c r="O115" i="1" s="1"/>
  <c r="K114" i="1"/>
  <c r="N114" i="1" s="1"/>
  <c r="O114" i="1" s="1"/>
  <c r="K113" i="1"/>
  <c r="N113" i="1" s="1"/>
  <c r="O113" i="1" s="1"/>
  <c r="K116" i="1"/>
  <c r="N116" i="1" s="1"/>
  <c r="O116" i="1" s="1"/>
  <c r="K107" i="1"/>
  <c r="N107" i="1" s="1"/>
  <c r="O107" i="1" s="1"/>
  <c r="K95" i="1"/>
  <c r="N95" i="1" s="1"/>
  <c r="O95" i="1" s="1"/>
  <c r="K94" i="1"/>
  <c r="N94" i="1" s="1"/>
  <c r="O94" i="1" s="1"/>
  <c r="K101" i="1"/>
  <c r="N101" i="1" s="1"/>
  <c r="O101" i="1" s="1"/>
  <c r="K100" i="1"/>
  <c r="N100" i="1" s="1"/>
  <c r="O100" i="1" s="1"/>
  <c r="K99" i="1"/>
  <c r="N99" i="1" s="1"/>
  <c r="O99" i="1" s="1"/>
  <c r="K102" i="1"/>
  <c r="N102" i="1" s="1"/>
  <c r="O102" i="1" s="1"/>
  <c r="K96" i="1"/>
  <c r="N96" i="1" s="1"/>
  <c r="O96" i="1" s="1"/>
  <c r="K104" i="1"/>
  <c r="N104" i="1" s="1"/>
  <c r="O104" i="1" s="1"/>
  <c r="K97" i="1"/>
  <c r="N97" i="1" s="1"/>
  <c r="O97" i="1" s="1"/>
  <c r="K105" i="1"/>
  <c r="N105" i="1" s="1"/>
  <c r="O105" i="1" s="1"/>
  <c r="K106" i="1"/>
  <c r="N106" i="1" s="1"/>
  <c r="O106" i="1" s="1"/>
  <c r="K98" i="1"/>
  <c r="N98" i="1" s="1"/>
  <c r="O98" i="1" s="1"/>
  <c r="K90" i="1"/>
  <c r="N90" i="1" s="1"/>
  <c r="K87" i="1"/>
  <c r="N87" i="1" s="1"/>
  <c r="K86" i="1"/>
  <c r="K88" i="1"/>
  <c r="K85" i="1"/>
  <c r="N85" i="1" s="1"/>
  <c r="K89" i="1"/>
  <c r="K60" i="1"/>
  <c r="K58" i="1"/>
  <c r="K36" i="1"/>
  <c r="N36" i="1" s="1"/>
  <c r="K79" i="1"/>
  <c r="K271" i="1"/>
  <c r="K81" i="1"/>
  <c r="N81" i="1" s="1"/>
  <c r="O81" i="1" s="1"/>
  <c r="K34" i="1"/>
  <c r="N34" i="1" s="1"/>
  <c r="O34" i="1" s="1"/>
  <c r="K190" i="1"/>
  <c r="K191" i="1"/>
  <c r="K278" i="1"/>
  <c r="K194" i="1"/>
  <c r="K276" i="1"/>
  <c r="K270" i="1"/>
  <c r="K75" i="1"/>
  <c r="N75" i="1" s="1"/>
  <c r="O75" i="1" s="1"/>
  <c r="K38" i="1"/>
  <c r="N38" i="1" s="1"/>
  <c r="O38" i="1" s="1"/>
  <c r="U38" i="1" s="1"/>
  <c r="K82" i="1"/>
  <c r="N82" i="1" s="1"/>
  <c r="O82" i="1" s="1"/>
  <c r="K274" i="1"/>
  <c r="N274" i="1" s="1"/>
  <c r="K61" i="1"/>
  <c r="K272" i="1"/>
  <c r="K192" i="1"/>
  <c r="N192" i="1" s="1"/>
  <c r="O192" i="1" s="1"/>
  <c r="K275" i="1"/>
  <c r="K279" i="1"/>
  <c r="K67" i="1"/>
  <c r="O83" i="1"/>
  <c r="K59" i="1"/>
  <c r="N59" i="1" s="1"/>
  <c r="K76" i="1"/>
  <c r="K277" i="1"/>
  <c r="K273" i="1"/>
  <c r="K35" i="1"/>
  <c r="N35" i="1" s="1"/>
  <c r="K80" i="1"/>
  <c r="N80" i="1" s="1"/>
  <c r="K78" i="1"/>
  <c r="K77" i="1"/>
  <c r="K226" i="1"/>
  <c r="N226" i="1" s="1"/>
  <c r="O226" i="1" s="1"/>
  <c r="K203" i="1"/>
  <c r="N203" i="1" s="1"/>
  <c r="O203" i="1" s="1"/>
  <c r="K220" i="1"/>
  <c r="N220" i="1" s="1"/>
  <c r="O220" i="1" s="1"/>
  <c r="K207" i="1"/>
  <c r="N207" i="1" s="1"/>
  <c r="O207" i="1" s="1"/>
  <c r="K195" i="1"/>
  <c r="N195" i="1" s="1"/>
  <c r="O195" i="1" s="1"/>
  <c r="K232" i="1"/>
  <c r="N232" i="1" s="1"/>
  <c r="O232" i="1" s="1"/>
  <c r="K238" i="1"/>
  <c r="N238" i="1" s="1"/>
  <c r="O238" i="1" s="1"/>
  <c r="K199" i="1"/>
  <c r="N199" i="1" s="1"/>
  <c r="O199" i="1" s="1"/>
  <c r="O263" i="1" l="1"/>
  <c r="O49" i="1"/>
  <c r="P41" i="1"/>
  <c r="Y12" i="17" s="1"/>
  <c r="O93" i="1"/>
  <c r="P126" i="1"/>
  <c r="Y18" i="17" s="1"/>
  <c r="O112" i="1"/>
  <c r="O103" i="1"/>
  <c r="N191" i="1"/>
  <c r="O191" i="1" s="1"/>
  <c r="N88" i="1"/>
  <c r="O88" i="1" s="1"/>
  <c r="N61" i="1"/>
  <c r="O61" i="1" s="1"/>
  <c r="N279" i="1"/>
  <c r="O279" i="1" s="1"/>
  <c r="N276" i="1"/>
  <c r="O276" i="1" s="1"/>
  <c r="N78" i="1"/>
  <c r="O78" i="1" s="1"/>
  <c r="N272" i="1"/>
  <c r="O272" i="1" s="1"/>
  <c r="N79" i="1"/>
  <c r="O79" i="1" s="1"/>
  <c r="N194" i="1"/>
  <c r="O194" i="1" s="1"/>
  <c r="N278" i="1"/>
  <c r="O278" i="1" s="1"/>
  <c r="N190" i="1"/>
  <c r="O190" i="1" s="1"/>
  <c r="N58" i="1"/>
  <c r="O58" i="1" s="1"/>
  <c r="N89" i="1"/>
  <c r="O89" i="1" s="1"/>
  <c r="N277" i="1"/>
  <c r="O277" i="1" s="1"/>
  <c r="N76" i="1"/>
  <c r="O76" i="1" s="1"/>
  <c r="N271" i="1"/>
  <c r="O271" i="1" s="1"/>
  <c r="N275" i="1"/>
  <c r="O275" i="1" s="1"/>
  <c r="N273" i="1"/>
  <c r="O273" i="1" s="1"/>
  <c r="N77" i="1"/>
  <c r="O77" i="1" s="1"/>
  <c r="N67" i="1"/>
  <c r="O67" i="1" s="1"/>
  <c r="P66" i="1" s="1"/>
  <c r="Y14" i="17" s="1"/>
  <c r="N270" i="1"/>
  <c r="O270" i="1" s="1"/>
  <c r="N86" i="1"/>
  <c r="O86" i="1" s="1"/>
  <c r="N60" i="1"/>
  <c r="O60" i="1" s="1"/>
  <c r="O80" i="1"/>
  <c r="O85" i="1"/>
  <c r="O90" i="1"/>
  <c r="O274" i="1"/>
  <c r="O35" i="1"/>
  <c r="V35" i="1"/>
  <c r="O36" i="1"/>
  <c r="W36" i="1"/>
  <c r="O87" i="1"/>
  <c r="O59" i="1"/>
  <c r="P72" i="1" l="1"/>
  <c r="Y15" i="17" s="1"/>
  <c r="P92" i="1"/>
  <c r="Y17" i="17" s="1"/>
  <c r="O57" i="1"/>
  <c r="P48" i="1" s="1"/>
  <c r="Y13" i="17" s="1"/>
  <c r="P269" i="1"/>
  <c r="Y22" i="17" s="1"/>
  <c r="V277" i="1"/>
  <c r="W277" i="1"/>
  <c r="U277" i="1"/>
  <c r="W77" i="1"/>
  <c r="V77" i="1"/>
  <c r="U77" i="1"/>
  <c r="V76" i="1" l="1"/>
  <c r="W76" i="1" l="1"/>
  <c r="U76" i="1"/>
  <c r="W61" i="1" l="1"/>
  <c r="W59" i="1"/>
  <c r="V61" i="1" l="1"/>
  <c r="U61" i="1"/>
  <c r="U59" i="1"/>
  <c r="V59" i="1"/>
  <c r="W89" i="1" l="1"/>
  <c r="V89" i="1"/>
  <c r="U89" i="1"/>
  <c r="U207" i="1" l="1"/>
  <c r="U226" i="1"/>
  <c r="U194" i="1"/>
  <c r="U199" i="1"/>
  <c r="V220" i="1" l="1"/>
  <c r="W220" i="1"/>
  <c r="V195" i="1"/>
  <c r="W195" i="1"/>
  <c r="W203" i="1"/>
  <c r="V203" i="1"/>
  <c r="W199" i="1"/>
  <c r="V199" i="1"/>
  <c r="U220" i="1"/>
  <c r="W226" i="1"/>
  <c r="V226" i="1"/>
  <c r="W207" i="1"/>
  <c r="V207" i="1"/>
  <c r="V194" i="1"/>
  <c r="W194" i="1"/>
  <c r="U203" i="1"/>
  <c r="U195" i="1"/>
  <c r="V209" i="1" l="1"/>
  <c r="W209" i="1"/>
  <c r="U209" i="1"/>
  <c r="W227" i="1"/>
  <c r="U227" i="1"/>
  <c r="V227" i="1"/>
  <c r="W201" i="1"/>
  <c r="V201" i="1"/>
  <c r="U201" i="1"/>
  <c r="U206" i="1"/>
  <c r="W206" i="1"/>
  <c r="V206" i="1"/>
  <c r="U197" i="1"/>
  <c r="V197" i="1"/>
  <c r="W197" i="1"/>
  <c r="V223" i="1"/>
  <c r="U223" i="1"/>
  <c r="W223" i="1"/>
  <c r="V221" i="1"/>
  <c r="W221" i="1"/>
  <c r="U221" i="1"/>
  <c r="W229" i="1"/>
  <c r="V229" i="1"/>
  <c r="U229" i="1"/>
  <c r="W230" i="1"/>
  <c r="V230" i="1"/>
  <c r="U230" i="1"/>
  <c r="W200" i="1"/>
  <c r="U200" i="1"/>
  <c r="V200" i="1"/>
  <c r="W210" i="1"/>
  <c r="V210" i="1"/>
  <c r="U210" i="1"/>
  <c r="W231" i="1"/>
  <c r="U231" i="1"/>
  <c r="V231" i="1"/>
  <c r="W228" i="1"/>
  <c r="V228" i="1"/>
  <c r="U228" i="1"/>
  <c r="U202" i="1"/>
  <c r="W202" i="1"/>
  <c r="V202" i="1"/>
  <c r="W205" i="1"/>
  <c r="U205" i="1"/>
  <c r="V205" i="1"/>
  <c r="W224" i="1"/>
  <c r="V224" i="1"/>
  <c r="U224" i="1"/>
  <c r="W222" i="1"/>
  <c r="V222" i="1"/>
  <c r="U222" i="1"/>
  <c r="W208" i="1"/>
  <c r="U208" i="1"/>
  <c r="V208" i="1"/>
  <c r="U204" i="1"/>
  <c r="W204" i="1"/>
  <c r="V204" i="1"/>
  <c r="U196" i="1"/>
  <c r="W196" i="1"/>
  <c r="V196" i="1"/>
  <c r="V198" i="1"/>
  <c r="U198" i="1"/>
  <c r="W198" i="1"/>
  <c r="V225" i="1"/>
  <c r="U225" i="1"/>
  <c r="W225" i="1"/>
  <c r="U58" i="1" l="1"/>
  <c r="W58" i="1" l="1"/>
  <c r="V58" i="1"/>
  <c r="U78" i="1"/>
  <c r="W80" i="1" l="1"/>
  <c r="V80" i="1"/>
  <c r="W78" i="1"/>
  <c r="V78" i="1"/>
  <c r="V79" i="1"/>
  <c r="W79" i="1"/>
  <c r="U79" i="1"/>
  <c r="U80" i="1"/>
  <c r="V278" i="1" l="1"/>
  <c r="W278" i="1"/>
  <c r="U278" i="1"/>
  <c r="K268" i="1" l="1"/>
  <c r="N268" i="1" s="1"/>
  <c r="O268" i="1" s="1"/>
  <c r="K263" i="1"/>
  <c r="N263" i="1" s="1"/>
  <c r="K262" i="1"/>
  <c r="N262" i="1" s="1"/>
  <c r="O262" i="1" s="1"/>
  <c r="O189" i="1" s="1"/>
  <c r="P188" i="1" s="1"/>
  <c r="Y21" i="17" s="1"/>
  <c r="U274" i="1" l="1"/>
  <c r="U276" i="1"/>
  <c r="U190" i="1"/>
  <c r="U270" i="1"/>
  <c r="U272" i="1"/>
  <c r="U279" i="1"/>
  <c r="U252" i="1"/>
  <c r="Z3" i="17" l="1"/>
  <c r="W279" i="1"/>
  <c r="V279" i="1"/>
  <c r="V273" i="1"/>
  <c r="W273" i="1"/>
  <c r="V270" i="1"/>
  <c r="W270" i="1"/>
  <c r="W271" i="1"/>
  <c r="V271" i="1"/>
  <c r="W275" i="1"/>
  <c r="V275" i="1"/>
  <c r="W190" i="1"/>
  <c r="V190" i="1"/>
  <c r="V274" i="1"/>
  <c r="W274" i="1"/>
  <c r="U273" i="1"/>
  <c r="V252" i="1"/>
  <c r="W252" i="1"/>
  <c r="W276" i="1"/>
  <c r="V276" i="1"/>
  <c r="V272" i="1"/>
  <c r="W272" i="1"/>
  <c r="U275" i="1"/>
  <c r="U271" i="1"/>
  <c r="W188" i="1" l="1"/>
  <c r="V188" i="1"/>
  <c r="U188" i="1" l="1"/>
  <c r="V85" i="1" l="1"/>
  <c r="W85" i="1"/>
  <c r="V81" i="1"/>
  <c r="W81" i="1"/>
  <c r="U85" i="1"/>
  <c r="K91" i="1" l="1"/>
  <c r="N91" i="1" s="1"/>
  <c r="O91" i="1" s="1"/>
  <c r="P84" i="1" s="1"/>
  <c r="Y16" i="17" s="1"/>
  <c r="K112" i="1"/>
  <c r="N112" i="1" s="1"/>
  <c r="K40" i="1"/>
  <c r="N40" i="1" s="1"/>
  <c r="O40" i="1" s="1"/>
  <c r="P33" i="1" s="1"/>
  <c r="Y11" i="17" s="1"/>
  <c r="K184" i="1"/>
  <c r="N184" i="1" s="1"/>
  <c r="O184" i="1" s="1"/>
  <c r="O183" i="1"/>
  <c r="O181" i="1"/>
  <c r="O180" i="1"/>
  <c r="O179" i="1"/>
  <c r="O178" i="1"/>
  <c r="O177" i="1"/>
  <c r="K143" i="1"/>
  <c r="K142" i="1"/>
  <c r="K157" i="1"/>
  <c r="K32" i="1"/>
  <c r="N32" i="1" s="1"/>
  <c r="O32" i="1" s="1"/>
  <c r="K31" i="1"/>
  <c r="N31" i="1" s="1"/>
  <c r="O31" i="1" s="1"/>
  <c r="P30" i="1" s="1"/>
  <c r="Y10" i="17" s="1"/>
  <c r="K27" i="1"/>
  <c r="N27" i="1" s="1"/>
  <c r="O27" i="1" s="1"/>
  <c r="K26" i="1"/>
  <c r="N26" i="1" s="1"/>
  <c r="O26" i="1" s="1"/>
  <c r="K25" i="1"/>
  <c r="N25" i="1" s="1"/>
  <c r="O25" i="1" s="1"/>
  <c r="K24" i="1"/>
  <c r="N24" i="1" s="1"/>
  <c r="O24" i="1" s="1"/>
  <c r="N21" i="1"/>
  <c r="O21" i="1" s="1"/>
  <c r="P18" i="1" l="1"/>
  <c r="Y9" i="17" s="1"/>
  <c r="O175" i="1"/>
  <c r="N152" i="1"/>
  <c r="O152" i="1" s="1"/>
  <c r="N147" i="1"/>
  <c r="O147" i="1" s="1"/>
  <c r="N157" i="1"/>
  <c r="O157" i="1" s="1"/>
  <c r="O154" i="1" s="1"/>
  <c r="P153" i="1" s="1"/>
  <c r="Y20" i="17" s="1"/>
  <c r="N143" i="1"/>
  <c r="O143" i="1" s="1"/>
  <c r="N142" i="1"/>
  <c r="O142" i="1" s="1"/>
  <c r="U116" i="1"/>
  <c r="U120" i="1"/>
  <c r="U108" i="1"/>
  <c r="U88" i="1"/>
  <c r="U87" i="1"/>
  <c r="U105" i="1"/>
  <c r="U127" i="1"/>
  <c r="U106" i="1"/>
  <c r="U119" i="1"/>
  <c r="U128" i="1"/>
  <c r="P135" i="1" l="1"/>
  <c r="W107" i="1"/>
  <c r="V107" i="1"/>
  <c r="V98" i="1"/>
  <c r="W98" i="1"/>
  <c r="W91" i="1"/>
  <c r="V91" i="1"/>
  <c r="V117" i="1"/>
  <c r="W117" i="1"/>
  <c r="W111" i="1"/>
  <c r="V111" i="1"/>
  <c r="W102" i="1"/>
  <c r="V102" i="1"/>
  <c r="W96" i="1"/>
  <c r="V96" i="1"/>
  <c r="V118" i="1"/>
  <c r="W118" i="1"/>
  <c r="W101" i="1"/>
  <c r="V101" i="1"/>
  <c r="V120" i="1"/>
  <c r="W120" i="1"/>
  <c r="V133" i="1"/>
  <c r="W133" i="1"/>
  <c r="V112" i="1"/>
  <c r="W112" i="1"/>
  <c r="U111" i="1"/>
  <c r="U96" i="1"/>
  <c r="U133" i="1"/>
  <c r="U98" i="1"/>
  <c r="V114" i="1"/>
  <c r="W114" i="1"/>
  <c r="V99" i="1"/>
  <c r="W99" i="1"/>
  <c r="V75" i="1"/>
  <c r="W75" i="1"/>
  <c r="U107" i="1"/>
  <c r="U91" i="1"/>
  <c r="W109" i="1"/>
  <c r="V109" i="1"/>
  <c r="W86" i="1"/>
  <c r="V86" i="1"/>
  <c r="V90" i="1"/>
  <c r="W90" i="1"/>
  <c r="V97" i="1"/>
  <c r="W97" i="1"/>
  <c r="U90" i="1"/>
  <c r="U86" i="1"/>
  <c r="U114" i="1"/>
  <c r="U99" i="1"/>
  <c r="U101" i="1"/>
  <c r="U117" i="1"/>
  <c r="V113" i="1"/>
  <c r="W113" i="1"/>
  <c r="W88" i="1"/>
  <c r="V88" i="1"/>
  <c r="W116" i="1"/>
  <c r="V116" i="1"/>
  <c r="V104" i="1"/>
  <c r="W104" i="1"/>
  <c r="U102" i="1"/>
  <c r="U118" i="1"/>
  <c r="U104" i="1"/>
  <c r="W119" i="1"/>
  <c r="V119" i="1"/>
  <c r="V110" i="1"/>
  <c r="W110" i="1"/>
  <c r="V95" i="1"/>
  <c r="W95" i="1"/>
  <c r="V128" i="1"/>
  <c r="W128" i="1"/>
  <c r="V106" i="1"/>
  <c r="W106" i="1"/>
  <c r="W127" i="1"/>
  <c r="V127" i="1"/>
  <c r="W115" i="1"/>
  <c r="V115" i="1"/>
  <c r="V105" i="1"/>
  <c r="W105" i="1"/>
  <c r="W100" i="1"/>
  <c r="V100" i="1"/>
  <c r="V87" i="1"/>
  <c r="W87" i="1"/>
  <c r="W108" i="1"/>
  <c r="V108" i="1"/>
  <c r="U115" i="1"/>
  <c r="U100" i="1"/>
  <c r="U113" i="1"/>
  <c r="U110" i="1"/>
  <c r="U95" i="1"/>
  <c r="U75" i="1"/>
  <c r="U112" i="1"/>
  <c r="U97" i="1"/>
  <c r="U109" i="1"/>
  <c r="O280" i="1" l="1"/>
  <c r="Y19" i="17"/>
  <c r="P280" i="1"/>
  <c r="W84" i="1"/>
  <c r="U72" i="1"/>
  <c r="U33" i="1"/>
  <c r="U84" i="1"/>
  <c r="Y4" i="17" l="1"/>
  <c r="Z2" i="17" s="1"/>
  <c r="Z4" i="17" s="1"/>
  <c r="Y24" i="17"/>
  <c r="V84" i="1"/>
  <c r="W72" i="1"/>
  <c r="V72" i="1"/>
  <c r="W33" i="1"/>
  <c r="V33" i="1"/>
  <c r="Z10" i="17" l="1"/>
  <c r="Z21" i="17"/>
  <c r="Z19" i="17"/>
  <c r="Z20" i="17"/>
  <c r="Z13" i="17"/>
  <c r="Z12" i="17"/>
  <c r="Z16" i="17"/>
  <c r="Z22" i="17"/>
  <c r="Z15" i="17"/>
  <c r="Z18" i="17"/>
  <c r="Z14" i="17"/>
  <c r="Z17" i="17"/>
  <c r="Z9" i="17"/>
  <c r="Z11" i="17"/>
  <c r="V60" i="1"/>
  <c r="W60" i="1"/>
  <c r="U60" i="1"/>
  <c r="W180" i="1" l="1"/>
  <c r="V180" i="1"/>
  <c r="V179" i="1"/>
  <c r="W179" i="1"/>
  <c r="W67" i="1"/>
  <c r="V67" i="1"/>
  <c r="V178" i="1"/>
  <c r="W178" i="1"/>
  <c r="V177" i="1"/>
  <c r="W177" i="1"/>
  <c r="W183" i="1"/>
  <c r="V183" i="1"/>
  <c r="W181" i="1"/>
  <c r="V181" i="1"/>
  <c r="V269" i="1" l="1"/>
  <c r="W269" i="1" l="1"/>
  <c r="U269" i="1"/>
  <c r="U183" i="1"/>
  <c r="U181" i="1"/>
  <c r="U180" i="1"/>
  <c r="U179" i="1"/>
  <c r="U178" i="1"/>
  <c r="U177" i="1"/>
  <c r="W135" i="1" l="1"/>
  <c r="V135" i="1"/>
  <c r="U135" i="1"/>
  <c r="U67" i="1" l="1"/>
  <c r="V41" i="1" l="1"/>
  <c r="V66" i="1"/>
  <c r="U41" i="1"/>
  <c r="W41" i="1" l="1"/>
  <c r="W66" i="1"/>
  <c r="U66" i="1"/>
  <c r="J280" i="1" l="1"/>
  <c r="V48" i="1" l="1"/>
  <c r="W48" i="1"/>
  <c r="U48" i="1"/>
  <c r="Z24" i="17" l="1"/>
  <c r="AD5" i="17" l="1"/>
  <c r="V92" i="1" l="1"/>
  <c r="U92" i="1"/>
  <c r="W9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Ruy  José da Costa</author>
    <author>PARANACIDADE: Ruy  Jose da Costa</author>
  </authors>
  <commentList>
    <comment ref="D1" authorId="0" shapeId="0" xr:uid="{00000000-0006-0000-0300-000001000000}">
      <text>
        <r>
          <rPr>
            <b/>
            <sz val="8"/>
            <color indexed="81"/>
            <rFont val="Segoe UI"/>
            <family val="2"/>
          </rPr>
          <t>Ruy  José da Costa:</t>
        </r>
        <r>
          <rPr>
            <sz val="8"/>
            <color indexed="81"/>
            <rFont val="Segoe UI"/>
            <family val="2"/>
          </rPr>
          <t xml:space="preserve">
FILTRO PARA EDITAL
    "</t>
        </r>
        <r>
          <rPr>
            <b/>
            <sz val="8"/>
            <color indexed="81"/>
            <rFont val="Segoe UI"/>
            <family val="2"/>
          </rPr>
          <t>CARTILHA</t>
        </r>
        <r>
          <rPr>
            <sz val="8"/>
            <color indexed="81"/>
            <rFont val="Segoe UI"/>
            <family val="2"/>
          </rPr>
          <t>"</t>
        </r>
      </text>
    </comment>
    <comment ref="L1" authorId="0" shapeId="0" xr:uid="{00000000-0006-0000-0300-000002000000}">
      <text>
        <r>
          <rPr>
            <b/>
            <sz val="8"/>
            <color indexed="81"/>
            <rFont val="Segoe UI"/>
            <family val="2"/>
          </rPr>
          <t>Ruy  José da Costa:</t>
        </r>
        <r>
          <rPr>
            <sz val="8"/>
            <color indexed="81"/>
            <rFont val="Segoe UI"/>
            <family val="2"/>
          </rPr>
          <t xml:space="preserve">
FILTRO PARA EDITAL
    "</t>
        </r>
        <r>
          <rPr>
            <b/>
            <sz val="8"/>
            <color indexed="81"/>
            <rFont val="Segoe UI"/>
            <family val="2"/>
          </rPr>
          <t>CARTILHA</t>
        </r>
        <r>
          <rPr>
            <sz val="8"/>
            <color indexed="81"/>
            <rFont val="Segoe UI"/>
            <family val="2"/>
          </rPr>
          <t>"</t>
        </r>
      </text>
    </comment>
    <comment ref="D3" authorId="0" shapeId="0" xr:uid="{00000000-0006-0000-0300-000005000000}">
      <text>
        <r>
          <rPr>
            <b/>
            <sz val="8"/>
            <color indexed="81"/>
            <rFont val="Segoe UI"/>
            <family val="2"/>
          </rPr>
          <t>Ruy  José da Costa:</t>
        </r>
        <r>
          <rPr>
            <sz val="8"/>
            <color indexed="81"/>
            <rFont val="Segoe UI"/>
            <family val="2"/>
          </rPr>
          <t xml:space="preserve">
FILTRO PARA EDITAL
    "</t>
        </r>
        <r>
          <rPr>
            <b/>
            <sz val="8"/>
            <color indexed="81"/>
            <rFont val="Segoe UI"/>
            <family val="2"/>
          </rPr>
          <t>ANEXO</t>
        </r>
        <r>
          <rPr>
            <sz val="8"/>
            <color indexed="81"/>
            <rFont val="Segoe UI"/>
            <family val="2"/>
          </rPr>
          <t>"</t>
        </r>
      </text>
    </comment>
    <comment ref="L3" authorId="0" shapeId="0" xr:uid="{00000000-0006-0000-0300-000006000000}">
      <text>
        <r>
          <rPr>
            <b/>
            <sz val="8"/>
            <color indexed="81"/>
            <rFont val="Segoe UI"/>
            <family val="2"/>
          </rPr>
          <t>Ruy  José da Costa:</t>
        </r>
        <r>
          <rPr>
            <sz val="8"/>
            <color indexed="81"/>
            <rFont val="Segoe UI"/>
            <family val="2"/>
          </rPr>
          <t xml:space="preserve">
FILTRO PARA EDITAL
    "</t>
        </r>
        <r>
          <rPr>
            <b/>
            <sz val="8"/>
            <color indexed="81"/>
            <rFont val="Segoe UI"/>
            <family val="2"/>
          </rPr>
          <t>ANEXO</t>
        </r>
        <r>
          <rPr>
            <sz val="8"/>
            <color indexed="81"/>
            <rFont val="Segoe UI"/>
            <family val="2"/>
          </rPr>
          <t>"</t>
        </r>
      </text>
    </comment>
    <comment ref="I75" authorId="0" shapeId="0" xr:uid="{3EF0551F-B3C9-407A-BF0C-DD317E1E95B2}">
      <text>
        <r>
          <rPr>
            <b/>
            <sz val="8"/>
            <color indexed="81"/>
            <rFont val="Segoe UI"/>
            <family val="2"/>
          </rPr>
          <t>=MF3 pré x 0,50294</t>
        </r>
      </text>
    </comment>
    <comment ref="I87" authorId="1" shapeId="0" xr:uid="{BC92A56E-F228-49EB-A3FB-32FE71BF2A5B}">
      <text>
        <r>
          <rPr>
            <b/>
            <sz val="12"/>
            <color indexed="81"/>
            <rFont val="Tahoma"/>
            <family val="2"/>
          </rPr>
          <t>CUSTO DA PLACA (R$/M2) * CONSUMO (0,1964)  + CUSTO DE UM
SUPORTE METÁLICO</t>
        </r>
        <r>
          <rPr>
            <sz val="9"/>
            <color indexed="81"/>
            <rFont val="Tahoma"/>
            <family val="2"/>
          </rPr>
          <t xml:space="preserve">
</t>
        </r>
      </text>
    </comment>
    <comment ref="I88" authorId="1" shapeId="0" xr:uid="{9ECE3706-2A59-4E36-B9E1-2CD92DC56DB3}">
      <text>
        <r>
          <rPr>
            <b/>
            <sz val="12"/>
            <color indexed="81"/>
            <rFont val="Tahoma"/>
            <family val="2"/>
          </rPr>
          <t>CUSTO DA PLACA (R$/M2) * CONSUMO (0,2160)  + CUSTO DE UM
SUPORTE METÁLICO</t>
        </r>
        <r>
          <rPr>
            <sz val="9"/>
            <color indexed="81"/>
            <rFont val="Tahoma"/>
            <family val="2"/>
          </rPr>
          <t xml:space="preserve">
</t>
        </r>
      </text>
    </comment>
    <comment ref="I89" authorId="1" shapeId="0" xr:uid="{B2E608FA-DC1C-4665-A2C3-F68E945AC9F0}">
      <text>
        <r>
          <rPr>
            <b/>
            <sz val="12"/>
            <color indexed="81"/>
            <rFont val="Tahoma"/>
            <family val="2"/>
          </rPr>
          <t>CUSTO DA PLACA (R$/M2) * CONSUMO (0,2025)  + CUSTO DE UM
SUPORTE METÁLICO</t>
        </r>
        <r>
          <rPr>
            <sz val="9"/>
            <color indexed="81"/>
            <rFont val="Tahoma"/>
            <family val="2"/>
          </rPr>
          <t xml:space="preserve">
</t>
        </r>
      </text>
    </comment>
    <comment ref="I270" authorId="0" shapeId="0" xr:uid="{00000000-0006-0000-0300-000031010000}">
      <text>
        <r>
          <rPr>
            <b/>
            <sz val="8"/>
            <color indexed="81"/>
            <rFont val="Segoe UI"/>
            <family val="2"/>
          </rPr>
          <t>Mínimo um ensaio
Cada 100m de pista</t>
        </r>
        <r>
          <rPr>
            <sz val="8"/>
            <color indexed="81"/>
            <rFont val="Segoe UI"/>
            <family val="2"/>
          </rPr>
          <t xml:space="preserve">
</t>
        </r>
      </text>
    </comment>
    <comment ref="I271" authorId="0" shapeId="0" xr:uid="{00000000-0006-0000-0300-000032010000}">
      <text>
        <r>
          <rPr>
            <b/>
            <sz val="8"/>
            <color indexed="81"/>
            <rFont val="Segoe UI"/>
            <family val="2"/>
          </rPr>
          <t>Mínimo um ensaio
Cada 100m de pista</t>
        </r>
        <r>
          <rPr>
            <sz val="8"/>
            <color indexed="81"/>
            <rFont val="Segoe UI"/>
            <family val="2"/>
          </rPr>
          <t xml:space="preserve">
</t>
        </r>
      </text>
    </comment>
    <comment ref="I272" authorId="0" shapeId="0" xr:uid="{00000000-0006-0000-0300-000033010000}">
      <text>
        <r>
          <rPr>
            <b/>
            <sz val="8"/>
            <color indexed="81"/>
            <rFont val="Segoe UI"/>
            <family val="2"/>
          </rPr>
          <t>Mínimo um ensaio
Cada 100m de pista</t>
        </r>
        <r>
          <rPr>
            <sz val="8"/>
            <color indexed="81"/>
            <rFont val="Segoe UI"/>
            <family val="2"/>
          </rPr>
          <t xml:space="preserve">
</t>
        </r>
      </text>
    </comment>
    <comment ref="I273" authorId="0" shapeId="0" xr:uid="{00000000-0006-0000-0300-000034010000}">
      <text>
        <r>
          <rPr>
            <b/>
            <sz val="8"/>
            <color indexed="81"/>
            <rFont val="Segoe UI"/>
            <family val="2"/>
          </rPr>
          <t>Mínimo um ensaio
Cada 800m2 de pista</t>
        </r>
        <r>
          <rPr>
            <sz val="8"/>
            <color indexed="81"/>
            <rFont val="Segoe UI"/>
            <family val="2"/>
          </rPr>
          <t xml:space="preserve">
</t>
        </r>
      </text>
    </comment>
    <comment ref="I274" authorId="0" shapeId="0" xr:uid="{00000000-0006-0000-0300-000035010000}">
      <text>
        <r>
          <rPr>
            <b/>
            <sz val="8"/>
            <color indexed="81"/>
            <rFont val="Segoe UI"/>
            <family val="2"/>
          </rPr>
          <t>Mínimo um ensaio
Cada 600m2 de pista</t>
        </r>
        <r>
          <rPr>
            <sz val="8"/>
            <color indexed="81"/>
            <rFont val="Segoe UI"/>
            <family val="2"/>
          </rPr>
          <t xml:space="preserve">
</t>
        </r>
      </text>
    </comment>
    <comment ref="I275" authorId="0" shapeId="0" xr:uid="{00000000-0006-0000-0300-000036010000}">
      <text>
        <r>
          <rPr>
            <b/>
            <sz val="8"/>
            <color indexed="81"/>
            <rFont val="Segoe UI"/>
            <family val="2"/>
          </rPr>
          <t>Mínimo um ensaio
Cada 700m2 de pista</t>
        </r>
        <r>
          <rPr>
            <sz val="8"/>
            <color indexed="81"/>
            <rFont val="Segoe UI"/>
            <family val="2"/>
          </rPr>
          <t xml:space="preserve">
</t>
        </r>
      </text>
    </comment>
    <comment ref="I276" authorId="0" shapeId="0" xr:uid="{00000000-0006-0000-0300-000037010000}">
      <text>
        <r>
          <rPr>
            <b/>
            <sz val="8"/>
            <color indexed="81"/>
            <rFont val="Segoe UI"/>
            <family val="2"/>
          </rPr>
          <t>Mínimo um ensaio
Cada 600m2 de pista</t>
        </r>
        <r>
          <rPr>
            <sz val="8"/>
            <color indexed="81"/>
            <rFont val="Segoe UI"/>
            <family val="2"/>
          </rPr>
          <t xml:space="preserve">
</t>
        </r>
      </text>
    </comment>
    <comment ref="I277" authorId="0" shapeId="0" xr:uid="{E11610BB-B29F-4F34-B7B3-99CE1E11AC35}">
      <text>
        <r>
          <rPr>
            <b/>
            <sz val="8"/>
            <color indexed="81"/>
            <rFont val="Segoe UI"/>
            <family val="2"/>
          </rPr>
          <t>Mínimo um ensaio
Cada 700m2 de pista</t>
        </r>
        <r>
          <rPr>
            <sz val="8"/>
            <color indexed="81"/>
            <rFont val="Segoe UI"/>
            <family val="2"/>
          </rPr>
          <t xml:space="preserve">
</t>
        </r>
      </text>
    </comment>
  </commentList>
</comments>
</file>

<file path=xl/sharedStrings.xml><?xml version="1.0" encoding="utf-8"?>
<sst xmlns="http://schemas.openxmlformats.org/spreadsheetml/2006/main" count="2144" uniqueCount="440">
  <si>
    <t>:</t>
  </si>
  <si>
    <t>SUBPROJETO</t>
  </si>
  <si>
    <t>PROTOCOLO</t>
  </si>
  <si>
    <t xml:space="preserve">ARQ Nº </t>
  </si>
  <si>
    <t>LOCAL</t>
  </si>
  <si>
    <t>DMT</t>
  </si>
  <si>
    <t>CONSUMO</t>
  </si>
  <si>
    <t>CUSTOS UNITÁRIOS - ( R$ )</t>
  </si>
  <si>
    <t>TRANSP</t>
  </si>
  <si>
    <t>EXEC.</t>
  </si>
  <si>
    <t>S/BDI</t>
  </si>
  <si>
    <t>C/BDI</t>
  </si>
  <si>
    <t>QUANT</t>
  </si>
  <si>
    <t>UNIT</t>
  </si>
  <si>
    <t>( R$ ) - PM</t>
  </si>
  <si>
    <t>m3</t>
  </si>
  <si>
    <t xml:space="preserve"> </t>
  </si>
  <si>
    <t>m2</t>
  </si>
  <si>
    <t>m</t>
  </si>
  <si>
    <t>ton</t>
  </si>
  <si>
    <t>un</t>
  </si>
  <si>
    <t>kg</t>
  </si>
  <si>
    <t>VIGA080</t>
  </si>
  <si>
    <t>VIGA100</t>
  </si>
  <si>
    <t>M</t>
  </si>
  <si>
    <t>N</t>
  </si>
  <si>
    <t>BLSM120</t>
  </si>
  <si>
    <t>BLSM150</t>
  </si>
  <si>
    <t>PVMH130</t>
  </si>
  <si>
    <t>PVMH180</t>
  </si>
  <si>
    <t>P.V. Pré-moldado H até 1,30 m Tubo até 0,80 + chaminé 1,00 m</t>
  </si>
  <si>
    <t>P.V. Pré-moldado H até 1,80 m Tubo até 1,20 + chaminé 1,00 m</t>
  </si>
  <si>
    <t>ENSAIOS (%)</t>
  </si>
  <si>
    <t>transporte</t>
  </si>
  <si>
    <t>x</t>
  </si>
  <si>
    <t>ESCRITÓRIO REGIONAL</t>
  </si>
  <si>
    <t>DESCRIÇÃO DOS SERVIÇOS</t>
  </si>
  <si>
    <t>km</t>
  </si>
  <si>
    <t>( ton )</t>
  </si>
  <si>
    <t>UD</t>
  </si>
  <si>
    <t>( R$ ) - PM
TOTAIS</t>
  </si>
  <si>
    <t>Município:</t>
  </si>
  <si>
    <t/>
  </si>
  <si>
    <t>5</t>
  </si>
  <si>
    <t>2</t>
  </si>
  <si>
    <t>Demolição de Concreto Símples</t>
  </si>
  <si>
    <t>Regularização e Compactação p/ assentamento de calçadas/lajotas/blocos</t>
  </si>
  <si>
    <t>DER</t>
  </si>
  <si>
    <t>3</t>
  </si>
  <si>
    <t>Cimento</t>
  </si>
  <si>
    <t>4</t>
  </si>
  <si>
    <t>6</t>
  </si>
  <si>
    <t>534908F</t>
  </si>
  <si>
    <t>Areia</t>
  </si>
  <si>
    <t>Brita</t>
  </si>
  <si>
    <t>Massa</t>
  </si>
  <si>
    <t>Aço CA-50 Dobr. e Colocação</t>
  </si>
  <si>
    <t>Aço CA-60 Dobr. e Colocação</t>
  </si>
  <si>
    <t>Suporte metál.galv.fogo d=2,5" c/tampa e aletas anti-giro h=3,00m</t>
  </si>
  <si>
    <t>Placa sinalização refletiva-círculo (0,1964 m2/ud) + suporte METÁLICO</t>
  </si>
  <si>
    <t>Placa sinalização refletiva-octógono (0,2160 m2/ud) + suporte METÁLICO</t>
  </si>
  <si>
    <t>Placa sinalização refletiva-losango (0,2025 m2/ud) + suporte METÁLICO</t>
  </si>
  <si>
    <t>820000F</t>
  </si>
  <si>
    <t>820000H</t>
  </si>
  <si>
    <t>8</t>
  </si>
  <si>
    <t>Escavação de Bueiros em 1ª Categoria</t>
  </si>
  <si>
    <t>Escavação de Bueiros em 3ª Categoria</t>
  </si>
  <si>
    <t>Reaterro Sem Apiloamento</t>
  </si>
  <si>
    <t>Lastro de Brita</t>
  </si>
  <si>
    <t>Tubo</t>
  </si>
  <si>
    <t>Tijolo</t>
  </si>
  <si>
    <t>Cal</t>
  </si>
  <si>
    <t>B.L. Símples pré-moldado H até 1,20 m</t>
  </si>
  <si>
    <t>B.L. Símples pré-moldado H até 1,50 m</t>
  </si>
  <si>
    <t>Código</t>
  </si>
  <si>
    <t>Orígem</t>
  </si>
  <si>
    <t>IMPRIMIR</t>
  </si>
  <si>
    <t>ITENS</t>
  </si>
  <si>
    <t>7</t>
  </si>
  <si>
    <t>Cartilha</t>
  </si>
  <si>
    <t>Arquivo</t>
  </si>
  <si>
    <t>ANEXO</t>
  </si>
  <si>
    <t>Anexo</t>
  </si>
  <si>
    <t>TERRAPLENAGEM</t>
  </si>
  <si>
    <t>REVESTIMENTO</t>
  </si>
  <si>
    <t>MEIO-FIO E SARJETA</t>
  </si>
  <si>
    <t>DRENAGEM</t>
  </si>
  <si>
    <t>SERVIÇOS PRELIMINARES</t>
  </si>
  <si>
    <t>BASE / SUB-BASE</t>
  </si>
  <si>
    <t>PAISAGISMO / URBANISMO</t>
  </si>
  <si>
    <t>SINALIZAÇÃO DE TRÂNSITO</t>
  </si>
  <si>
    <t>ILUMINAÇÃO PÚBLICA</t>
  </si>
  <si>
    <t>9</t>
  </si>
  <si>
    <t>SERVIÇOS DIVERSOS</t>
  </si>
  <si>
    <t>10</t>
  </si>
  <si>
    <t>PM curitiba</t>
  </si>
  <si>
    <t>Fincadinha de concreto - (9x19x39cm-0,0171m3/m)</t>
  </si>
  <si>
    <t xml:space="preserve">Faixa de Sinalização Horizontal c/tinta resina acrílica base solvente- (0,034 m2/m2) </t>
  </si>
  <si>
    <t>IMPOSTOS</t>
  </si>
  <si>
    <t>TOTAL</t>
  </si>
  <si>
    <t>LUCRO</t>
  </si>
  <si>
    <t>PREÇO GLOBAL</t>
  </si>
  <si>
    <t>1</t>
  </si>
  <si>
    <t>11</t>
  </si>
  <si>
    <t>Ensaio de Massa Específica - In Situ - Método Frasco de Areia (Grau de Compactação) - Regularização e Compactação do Subleito</t>
  </si>
  <si>
    <t>74022/27</t>
  </si>
  <si>
    <t>Ensaio de Controle de Taxa de Aplicação de Ligante Betuminoso</t>
  </si>
  <si>
    <t>74022/50</t>
  </si>
  <si>
    <t>Ensaio de Determinação da Taxa de Espalhamento do Agregado</t>
  </si>
  <si>
    <t>Ensaio de Percentagem de Betume - Misturas Betuminosas</t>
  </si>
  <si>
    <t>74022/53</t>
  </si>
  <si>
    <t>Ensaio de Controle do Grau de Compactação da Mistura Asfáltica</t>
  </si>
  <si>
    <t>74022/56</t>
  </si>
  <si>
    <t>Ensaio de Densidade do Material Betuminoso</t>
  </si>
  <si>
    <t>gb</t>
  </si>
  <si>
    <t>DAER/RS</t>
  </si>
  <si>
    <t xml:space="preserve">     </t>
  </si>
  <si>
    <t>%</t>
  </si>
  <si>
    <t>820000I</t>
  </si>
  <si>
    <t>BDI (%) - SERVIÇOS</t>
  </si>
  <si>
    <t>ENSAIOS TECNOLÓGICOS</t>
  </si>
  <si>
    <t>=ISS x base de cálculo</t>
  </si>
  <si>
    <r>
      <t>Digite  "</t>
    </r>
    <r>
      <rPr>
        <b/>
        <sz val="10"/>
        <rFont val="MS Sans Serif"/>
      </rPr>
      <t>X</t>
    </r>
    <r>
      <rPr>
        <sz val="10"/>
        <rFont val="MS Sans Serif"/>
      </rPr>
      <t>" para obter Valor Total sem BDI</t>
    </r>
  </si>
  <si>
    <t>8.1</t>
  </si>
  <si>
    <t>5.1</t>
  </si>
  <si>
    <t>SEIL/2016</t>
  </si>
  <si>
    <t>3.20</t>
  </si>
  <si>
    <t>7.1</t>
  </si>
  <si>
    <t>Imprimação com Emulsão EAI - exclusive emulsão</t>
  </si>
  <si>
    <t>Pintura de ligação com RR-1C - exclusive emulsão</t>
  </si>
  <si>
    <t>Fornecimento de emulsão EAI - imprimação</t>
  </si>
  <si>
    <t>taxa RR-1C</t>
  </si>
  <si>
    <t>SERVIÇOS DE URBANIZAÇÃO</t>
  </si>
  <si>
    <t>PAVIMENTAÇÃO</t>
  </si>
  <si>
    <t>SINAPI</t>
  </si>
  <si>
    <t>7.4</t>
  </si>
  <si>
    <t>CRONOGRAMA FÍSICO FINANCEIRO</t>
  </si>
  <si>
    <t>Valor Total</t>
  </si>
  <si>
    <t>SERVIÇOS</t>
  </si>
  <si>
    <t>PARCELAS (%)</t>
  </si>
  <si>
    <t>% S/</t>
  </si>
  <si>
    <t>Controle</t>
  </si>
  <si>
    <t>ITEM</t>
  </si>
  <si>
    <t>ITEM (R$)</t>
  </si>
  <si>
    <t>Data Início</t>
  </si>
  <si>
    <t>Data Fim</t>
  </si>
  <si>
    <t>TOTAIS</t>
  </si>
  <si>
    <t>Assinatura:</t>
  </si>
  <si>
    <t>___________________________</t>
  </si>
  <si>
    <t>Fornecimento de emulsão RR-1C - pintura de ligação</t>
  </si>
  <si>
    <t>COMPOSIÇÃO</t>
  </si>
  <si>
    <t>ADMINISTRAÇÃO CENTRAL</t>
  </si>
  <si>
    <t>RISCOS</t>
  </si>
  <si>
    <t>DESPESAS FINANCEIRAS</t>
  </si>
  <si>
    <t>3- Fórmula de cálculo do ISS</t>
  </si>
  <si>
    <t>4- Valor do ISS calculado (Máximo : 2,50%)</t>
  </si>
  <si>
    <t>ISS =</t>
  </si>
  <si>
    <t>PIS =</t>
  </si>
  <si>
    <t>COFINS =</t>
  </si>
  <si>
    <t>CPMF =</t>
  </si>
  <si>
    <t>TOTAL =</t>
  </si>
  <si>
    <t>TIPO DE SERVIÇO</t>
  </si>
  <si>
    <t>OBRAS</t>
  </si>
  <si>
    <t>MATERIAIS</t>
  </si>
  <si>
    <t>BDI (OBRA OU MATERIAIS/EQUIP.)</t>
  </si>
  <si>
    <t>BDI=(((((1+(C8+C9+C10)/100)*(1+C11/100)*(1+C12/100))/(1-C6/100))-1)*100)</t>
  </si>
  <si>
    <t>BDI (OBRA)</t>
  </si>
  <si>
    <t>BDI (MATERIAIS E EQUIPAMENTOS)</t>
  </si>
  <si>
    <t>VALORES DO BDI POR TIPO DE OBRA</t>
  </si>
  <si>
    <t>TIPOS DE OBRA</t>
  </si>
  <si>
    <t>1º Quartil</t>
  </si>
  <si>
    <t>Médio</t>
  </si>
  <si>
    <t>3º Quartil</t>
  </si>
  <si>
    <t>CONSTRUÇÃO DE EDIFÍCIOS</t>
  </si>
  <si>
    <t>CONSTRUÇÃO DE RODOVIAS E FERROVIAS</t>
  </si>
  <si>
    <t>CONSTRUÇÃO DE REDES DE ABASTECIMENTO DE ÁGUA, COLETA DE ESGOTO E CONSTRUÇÕES CORRELATAS</t>
  </si>
  <si>
    <t>CONSTRUÇÃO E MANUTENÇÃO DE ESTAÇÕES E REDES DE DISTRIBUIÇÃO DE ENERGIA ELÉTRICA</t>
  </si>
  <si>
    <t>OBRAS PORTUÁRIAS, MARÍTIMAS E FLUVIAIS</t>
  </si>
  <si>
    <t>BDI PARA ITENS DE MERO FORNECIMENTO DE
MATERIAIS E EQUIPAMENTOS</t>
  </si>
  <si>
    <t>RISCO</t>
  </si>
  <si>
    <t>SEGURO + GARANTIA</t>
  </si>
  <si>
    <t>DESPESA FINANCEIRA</t>
  </si>
  <si>
    <t>BDI PARA ITENS DE MERO FORNECIMENTO DE MATERIAIS E EQUIPAMENTOS</t>
  </si>
  <si>
    <t>PARCELA DO BDI</t>
  </si>
  <si>
    <t>PERCENTUAL DE ADMINISTRAÇÃO LOCAL INSERIDO NO CUSTO DIRETO*</t>
  </si>
  <si>
    <t>*Para verificação da adequabilidade das planilhas orçamentárias das obras públicas utilizar como referência do impacto esperado para os itens associados a administração local no valor total do orçamento, os seguintes valores percentuais abtidos no estudo de que tratam estes autos.</t>
  </si>
  <si>
    <t>Paver ou Bloket  Colorido e=6cm - sem colchão</t>
  </si>
  <si>
    <t>Paver ou Bloket  Colorido e=8cm - sem colchão</t>
  </si>
  <si>
    <t>X</t>
  </si>
  <si>
    <t>PAV-071</t>
  </si>
  <si>
    <t>Arrancamento de Meio-Fio</t>
  </si>
  <si>
    <t>UN</t>
  </si>
  <si>
    <t>m4</t>
  </si>
  <si>
    <t>73916/2</t>
  </si>
  <si>
    <t>PLACA ESMALTADA PARA IDENTIFICAÇÃO NR DE RUA, DIMENSÕES 45X25CM</t>
  </si>
  <si>
    <t>Orçacivil</t>
  </si>
  <si>
    <t>'</t>
  </si>
  <si>
    <t>534906K</t>
  </si>
  <si>
    <t>534906L</t>
  </si>
  <si>
    <t>810250E</t>
  </si>
  <si>
    <t>.</t>
  </si>
  <si>
    <t>Colchão de pó de pedra para assentamento de calçadas</t>
  </si>
  <si>
    <t>603900D</t>
  </si>
  <si>
    <t>601200B</t>
  </si>
  <si>
    <t>610400C</t>
  </si>
  <si>
    <t>610600D</t>
  </si>
  <si>
    <t>610800C</t>
  </si>
  <si>
    <t>611000B</t>
  </si>
  <si>
    <t xml:space="preserve">                                                                                                           </t>
  </si>
  <si>
    <t xml:space="preserve">                           </t>
  </si>
  <si>
    <t>Escavação e carga mat. 1a. cat./sem transporte</t>
  </si>
  <si>
    <t>04.110.000030.SER</t>
  </si>
  <si>
    <t>Projeto:</t>
  </si>
  <si>
    <t>BDI - ACÓRDÃO Nº 2622/2013 – TCU
PAVIMENTAÇÃO</t>
  </si>
  <si>
    <t>520100A</t>
  </si>
  <si>
    <t>DER mat</t>
  </si>
  <si>
    <t>560100B</t>
  </si>
  <si>
    <t>589190A</t>
  </si>
  <si>
    <t>561100A</t>
  </si>
  <si>
    <t>589420B</t>
  </si>
  <si>
    <t>100576B</t>
  </si>
  <si>
    <t>603000A</t>
  </si>
  <si>
    <t>603300A</t>
  </si>
  <si>
    <t>603900H</t>
  </si>
  <si>
    <t>SEGUROS E GARANTIAS</t>
  </si>
  <si>
    <t>BDI (%) - MATERIAIS</t>
  </si>
  <si>
    <t>ISS Município</t>
  </si>
  <si>
    <t>Base de Cálculo (% de mão de Obra)</t>
  </si>
  <si>
    <t>602000A</t>
  </si>
  <si>
    <t>Formas de madeira comum</t>
  </si>
  <si>
    <t>Extração de corpo de prova de concreto asfáltico com sonda rotativa</t>
  </si>
  <si>
    <t>Mobilização e desmobilização de equipamento e equipe para extração de corpos de prova da capa asfáltica.</t>
  </si>
  <si>
    <t>Paver ou Bloket  e=6cm - Podotátil direcional/alerta - sem colchão</t>
  </si>
  <si>
    <t>Ensaio de Massa Específica - In Situ - Método Frasco de Areia (Grau de Compactação) -  Base</t>
  </si>
  <si>
    <t>Ensaio de Granulometria do Agregado - Subbase/ Base e reforço.</t>
  </si>
  <si>
    <t>Bituruna</t>
  </si>
  <si>
    <t>m3X km</t>
  </si>
  <si>
    <t>Transporte com caminhão basculante de 10m³, em via urbana pavimentada, DMT até 30km (DMT de projeto 6km - trecho até Reciclinho)</t>
  </si>
  <si>
    <t>REFERÊNCIAS</t>
  </si>
  <si>
    <t>TUBO, PVC OCRE, JUNTA ELÁSTICA, DN 150 MM, PARA COLETOR PREDIAL DE ESGOTO. AF_06/2022</t>
  </si>
  <si>
    <t>104085</t>
  </si>
  <si>
    <t>TUBO, PVC OCRE, JUNTA ELÁSTICA, DN 100 MM, PARA COLETOR PREDIAL DE ESGOTO. AF_06/2022</t>
  </si>
  <si>
    <t xml:space="preserve">TE DE SERVICO INTEGRADO, EM POLIPROPILENO (PP), PARA TUBOS EM PEAD/PVC, 60 X 20 MM - LIGACAO PREDIAL DE AGUA                                                                                                                                                                                                                                                                                                                                                                                              </t>
  </si>
  <si>
    <t>,</t>
  </si>
  <si>
    <t>MURO DE CONTENÇÃO</t>
  </si>
  <si>
    <t>FUNDAÇÃO - ESTACAS E BLOCOS</t>
  </si>
  <si>
    <t>Concreto Fck= 25MPa, preparo em betoneira e lançamento.</t>
  </si>
  <si>
    <t>101174</t>
  </si>
  <si>
    <t>Estaca broca de concreto, diametro de 25 cm, escavação , manual a trado concha, com armadura de arranque.</t>
  </si>
  <si>
    <t>PILARES</t>
  </si>
  <si>
    <t>Concreto Fck= 30MPa, preparo em betoneira e lançamento.</t>
  </si>
  <si>
    <t>VIGAS</t>
  </si>
  <si>
    <t>ALVENARIA</t>
  </si>
  <si>
    <t>Alvenaria de vedação de blocos de concreto  19x19x39 cm e argamassa de assentamento com preparo em betoneira.</t>
  </si>
  <si>
    <t>MURO DE GABIÃO</t>
  </si>
  <si>
    <t>m3Xkm</t>
  </si>
  <si>
    <t>REDE DE ABASTECIMENTO DE ÁGUA</t>
  </si>
  <si>
    <t>REDE DE COLETA DE ESGOTO</t>
  </si>
  <si>
    <t>004002001</t>
  </si>
  <si>
    <t>SANEPAR</t>
  </si>
  <si>
    <t>Escavação mecanizada  de vala em solos em geral, profundidade 0 m &lt;h = 2m</t>
  </si>
  <si>
    <t>POÇO SECO PARA BOOSTER</t>
  </si>
  <si>
    <t>602100</t>
  </si>
  <si>
    <t>Formas de madeira compensada resinada</t>
  </si>
  <si>
    <t>BOOSTER DE BOMBEAMENTO EM LINHA</t>
  </si>
  <si>
    <t>COTAÇÃO</t>
  </si>
  <si>
    <t>CT 01</t>
  </si>
  <si>
    <t>009013002</t>
  </si>
  <si>
    <t>TERMINAL DE LIMPEZA (TL) PVC JE DN 150</t>
  </si>
  <si>
    <t>009014002</t>
  </si>
  <si>
    <t>TUBO DE QUEDA (TQ) PVC JE DN 150</t>
  </si>
  <si>
    <t>0917</t>
  </si>
  <si>
    <t>091702</t>
  </si>
  <si>
    <t>Acréscimo para profundidade superior a 1,00m</t>
  </si>
  <si>
    <t>74209/1</t>
  </si>
  <si>
    <t>PLACA DE OBRA 4,00 X 2,00 M, EM CHAPA DE ACO GALVANIZADO, INCLUSIVE ARMAÇÃO EM MADEIRA E PONTALETES</t>
  </si>
  <si>
    <t>Escavação, Carga e Transporte 3ª Cat. (ROCHA)</t>
  </si>
  <si>
    <t>860150</t>
  </si>
  <si>
    <t>Transporte com caminhão basculante de 10m³, em via urbana pavimentada, DMT até 30km (DMT de projeto 8,6km - Pedreira até o trecho).</t>
  </si>
  <si>
    <t>Corpo de BSTC ø 0,40 Sem Berço c/ Armação Símples PA-1</t>
  </si>
  <si>
    <t>603100</t>
  </si>
  <si>
    <t>GRADE DE FERRO PARA BOCA DE LOBO</t>
  </si>
  <si>
    <t>Bloco</t>
  </si>
  <si>
    <t>Bloco de concreto</t>
  </si>
  <si>
    <t>Sarjeta trapezoidal de concreto - tipo 4</t>
  </si>
  <si>
    <t>Corpo de BSTC ø 0,80 Sem Berço c/ Armação Símples PA-2</t>
  </si>
  <si>
    <t>Corpo de BSTC ø 0,60 Sem Berço c/ Armação Símples PA-2</t>
  </si>
  <si>
    <t>Corpo de BSTC ø 1,00 Sem Berço c/ Armação Símples PA-2</t>
  </si>
  <si>
    <t>620200B</t>
  </si>
  <si>
    <t>0,6231</t>
  </si>
  <si>
    <t>2,2155</t>
  </si>
  <si>
    <t>103926</t>
  </si>
  <si>
    <t>ESCADA HIDRÁULICA, LARGURA DE 1 A 4,1 M, TIPO DESCIDA DÁGUA DE ATERRO EM DEGRAUS (DAD 04, 06, 08, 10, 12, 14, 16, 18), EM CONCRETO USINADO, FCK = 20 MPA, LANÇADO COM BOMBA, INCLUINDO ARMAÇÃO, MATERIAIS E FÔRMAS (3 UTILIZAÇÕES). AF_08/2022</t>
  </si>
  <si>
    <t>Boca (Ala) de BSTC ø 0,80 m</t>
  </si>
  <si>
    <t>Boca (Ala) de BSTC ø 1,00 m</t>
  </si>
  <si>
    <t>98114</t>
  </si>
  <si>
    <t>TAMPA CIRCULAR PARA ESGOTO E DRENAGEM, EM FERRO FUNDIDO, DIÂMETRO INTERNO = 0,60m</t>
  </si>
  <si>
    <t>Topografia e Geodésia - Locação e nivelamento para assentamento de tubulação de esgoto (Ordem  de Serviço para Execução – OSE)</t>
  </si>
  <si>
    <t>COMPACTAÇÃO EM VALAS DE FORMA MECANIZADA</t>
  </si>
  <si>
    <t>200102</t>
  </si>
  <si>
    <t>Tampa e Copo de concreto para inspeção de ligação predial e de redes coletoras DN 100</t>
  </si>
  <si>
    <t>Município: Bituruna</t>
  </si>
  <si>
    <t>104357</t>
  </si>
  <si>
    <t>CAP, PVC, SÉRIE NORMAL, ESGOTO PREDIAL, DN 100 MM, JUNTA ELÁSTICA, FORNECIDO E INSTALADO EM SUBCOLETOR DE ESGOTO SANITÁRIO. AF_08/2022</t>
  </si>
  <si>
    <t>TÊ DE REDUÇÃO, PVC OCRE, JUNTA ELÁSTICA, DN 150 X 100 MM, PARA COLETOR PREDIAL DE ESGOTO. AF_06/2022</t>
  </si>
  <si>
    <t>CURVA LONGA, 90 GRAUS, PVC OCRE, JUNTA ELÁSTICA, DN 100 MM, PARA COLETOR PREDIAL DE ESGOTO. AF_06/2022</t>
  </si>
  <si>
    <t>104062</t>
  </si>
  <si>
    <t>Cotação</t>
  </si>
  <si>
    <t>Banco de Preços</t>
  </si>
  <si>
    <t>103376</t>
  </si>
  <si>
    <t>014046043</t>
  </si>
  <si>
    <t>SOLDA POR TERMOFUSÃO PARA TUBOS DE POLIETILENO DE ALTA DENSIDADE (PEAD)  - TUBO E CONEXÃO PEAD JS DE 110 mm - Termofusão</t>
  </si>
  <si>
    <t>89796A</t>
  </si>
  <si>
    <t>TE, PVC OCRE, ESGOTO PREDIAL, DN 100 X 100 MM, JUNTA ELÁSTICA, FORNECIDO E INSTALADO EM RAMAL DE DESCARGA OU RAMAL DE ESGOTO SANITÁRIO</t>
  </si>
  <si>
    <t>POÇO DE VISITA TIPO C - DN 800 - Com profundidade até 1,00m</t>
  </si>
  <si>
    <t>TUBO PEAD LISO PARA REDE DE ÁGUA OU ESGOTO, DIÂMETRO DE 63 MM, JUNTA SOLDADA (NÃO INCLUI A EXECUÇÃO DE SOLDA) - FORNECIMENTO E ASSENTAMENTO. AF_12/2021 (FORNECIMENTO EM BOBINAS DE NO MÍNIMO 50 METROS).</t>
  </si>
  <si>
    <t>TUBO PEAD LISO PARA REDE DE ÁGUA OU ESGOTO, DIÂMETRO DE 110 MM, JUNTA SOLDADA (NÃO INCLUI A EXECUÇÃO DE SOLDA) - FORNECIMENTO E ASSENTAMENTO. AF_12/2021 (FORNECIMENTO EM BOBINAS DE NO MÍNIMO 50 METROS).</t>
  </si>
  <si>
    <t>SOLDA POR TERMOFUSÃO PARA TUBOS DE POLIETILENO DE ALTA DENSIDADE (PEAD)  - TUBO E CONEXÃO PEAD JS DE  63mm - Termofusão</t>
  </si>
  <si>
    <t>103372</t>
  </si>
  <si>
    <t>Hidrossemeadura</t>
  </si>
  <si>
    <t>PLANTIO DE GRAMA ESMERALDA OU SÃO CARLOS OU CURITIBANA, EM PLACAS. AF_07/2024</t>
  </si>
  <si>
    <t>SEINFRA</t>
  </si>
  <si>
    <t>C2850</t>
  </si>
  <si>
    <t>Instalação provisória de água e sanitário</t>
  </si>
  <si>
    <t>C1622</t>
  </si>
  <si>
    <t>m²</t>
  </si>
  <si>
    <t>Barracão para escritório</t>
  </si>
  <si>
    <t>Local para refeições / Refeitório</t>
  </si>
  <si>
    <t>Barracão fechado para materiais</t>
  </si>
  <si>
    <t>INSTALAÇÕES PROVISÓRIAS DE LUZ, FORÇA, TELEFONE E LÓGICA</t>
  </si>
  <si>
    <t>C2936</t>
  </si>
  <si>
    <t>C2831</t>
  </si>
  <si>
    <t>FOSSA SUMIDOURO PARA BARRACÃO</t>
  </si>
  <si>
    <t>C2946</t>
  </si>
  <si>
    <t>Sanitários e chuveiros</t>
  </si>
  <si>
    <t>C0370</t>
  </si>
  <si>
    <t>Barracão aberto</t>
  </si>
  <si>
    <t>1001004</t>
  </si>
  <si>
    <t>90777</t>
  </si>
  <si>
    <t>H</t>
  </si>
  <si>
    <t>DRENO MURO</t>
  </si>
  <si>
    <t>TUBO PEAD LISO PARA REDE DE ÁGUA OU ESGOTO, DIÂMETRO DE 20 MM, JUNTA SOLDADA  (NÃO INCLUI A EXECUÇÃO DE SOLDA) - FORNECIMENTO E ASSENTAMENTO</t>
  </si>
  <si>
    <t>TÊ PEAD DE 63MM SDR11 PN 16 LONGO (TOPO)</t>
  </si>
  <si>
    <t xml:space="preserve">JOELHO 90º PEAD DE 63MM SDR11 PN16 LONGO (TOPO) </t>
  </si>
  <si>
    <t>JOELHO 45º PEAD DE 63MM SDR11 PN16 LONGO (TOPO)</t>
  </si>
  <si>
    <t>TAMPAO PEAD DE 20MM SDR11 PN16 (EF)</t>
  </si>
  <si>
    <t>Meio-Fio com Sarjeta DER - Tipo 2 - (0,042 m3) - Pré-Moldado</t>
  </si>
  <si>
    <t>Meio-Fio com Sarjeta DER - Tipo 7 - (0,031 m3) - Pré-Moldado</t>
  </si>
  <si>
    <t>CONSTRUÇÃO DE BASE E SUB-BASE PARA PAVIMENTAÇÃO DE RACHÃO, COM ESPESSURA DE 20 CM - EXCLUSIVE CARGA E TRANSPORTE. AF_09/2024</t>
  </si>
  <si>
    <t>REGULARIZAÇÃO E COMPACTAÇÃO DE SUBLEITO DE SOLO PREDOMINANTEMENTE ARGILOSO, PARA OBRAS DE CONSTRUÇÃO DE PAVIMENTOS. AF_09/2024</t>
  </si>
  <si>
    <t>CONSTRUÇÃO DE BASE E SUB-BASE PARA PAVIMENTAÇÃO DE BRITA GRADUADA SIMPLES, COM ESPESSURA DE 15 CM - EXCLUSIVE CARGA E TRANSPORTE. AF_09/2024</t>
  </si>
  <si>
    <t>TRANSPORTE COM CAMINHÃO BASCULANTE DE 10 M³, EM VIA URBANA PAVIMENTADA, DMT ATÉ 30 KM (UNIDADE: M3XKM). AF_07/2020 (DMT = 8,6KM / PEDREIRA ATÉ O TRECHO)</t>
  </si>
  <si>
    <t>EXECUÇÃO DE PAVIMENTO COM APLICAÇÃO DE CONCRETO ASFÁLTICO, CAMADA DE ROLAMENTO - EXCLUSIVE CARGA E TRANSPORTE. AF_11/2019</t>
  </si>
  <si>
    <t>TRANSPORTE COM CAMINHÃO BASCULANTE DE 10 M³, EM VIA URBANA PAVIMENTADA, DMT ATÉ 30 KM (UNIDADE: M3XKM). AF_07/2020 (DMT = 85KM / USINA ATÉ O TRECHO)</t>
  </si>
  <si>
    <t>TRANSPORTE COM CAMINHÃO BASCULANTE DE 10 M³, EM VIA URBANA PAVIMENTADA, ADICIONAL PARA DMT EXCEDENTE A 30 KM (UNIDADE: M3XKM). AF_07/2020</t>
  </si>
  <si>
    <t>m3xKM</t>
  </si>
  <si>
    <t xml:space="preserve">Gabião tipo caixa 2x1x1,00m ZN/AL </t>
  </si>
  <si>
    <t>14</t>
  </si>
  <si>
    <t>Booster de bombeamento de esgoto formado por um conjunto motobomba com corpo duplo com duas volutas e dois motores, painel elétrico completo com todos os sistemas de acionamento.</t>
  </si>
  <si>
    <t>COT 001</t>
  </si>
  <si>
    <t>CURVA PVC, BB, JE, 90 GRAUS, DN 200 MM, PARA TUBO CORRUGADO E/OU LISO,
REDE COLETORA ESGOTO</t>
  </si>
  <si>
    <t>TIL (TUBO DE INSPEÇÃO E LIMPEZA) PARA LIGAÇÃO PREDIAL DE ESGOTO, EM PVC, DN 100 X 100 MM. AF_12/2020</t>
  </si>
  <si>
    <t>98112</t>
  </si>
  <si>
    <t>TUBO DE PVC PARA REDE COLETORA DE ESGOTO DE PAREDE MACIÇA, DN 200 MM, JUNTA ELÁSTICA - FORNECIMENTO E ASSENTAMENTO. AF_01/2021</t>
  </si>
  <si>
    <t>TUBO PVC AZUL DEFOFO AZUL 01MPA PB JEI DN 150MM</t>
  </si>
  <si>
    <t>ASSENTAMENTO DE TUBO DE PVC DEFOFO OU PRFV OU RPVC PARA REDE DE ÁGUA, DN 150 MM, JUNTA ELÁSTICA INTEGRADA, INSTALADO EM LOCAL COM NÍVEL BAIXO DE INTERFERÊNCIAS (NÃO INCLUI FORNECIMENTO).
AF_05/2024</t>
  </si>
  <si>
    <t>97134</t>
  </si>
  <si>
    <t>TAMPA PLÁSTICA PVC TIPO T-12 PADRÃO SANEPAR PARA ABRIGO DE REGISTRO (PASSEIO)</t>
  </si>
  <si>
    <t>SINAPI-I</t>
  </si>
  <si>
    <t>MONTAGEM DE TUBO E CONEXÃO PVC JE/JEI DN 200</t>
  </si>
  <si>
    <t>94306</t>
  </si>
  <si>
    <t>ATERRO MECANIZADO COM ESCAVADEIRA HIDRÁULICA (CAPACIDADE DA CAÇAMBA: 0,8 M³ / POTÊNCIA: 111 HP), LARGURA ATÉ 2,5 M, PROFUNDIDADE DE 1,5 A 3,0 M, COM SOLO ARGILO-ARENOSO. AF_08/2023</t>
  </si>
  <si>
    <t>OK</t>
  </si>
  <si>
    <t>REDE COLETORA DE ESGOTO</t>
  </si>
  <si>
    <t>PAV-085</t>
  </si>
  <si>
    <t>Limpeza e Lavagem da pista ( Recape )</t>
  </si>
  <si>
    <t>PAVIMENTAÇÃO ASFÁLTICA</t>
  </si>
  <si>
    <t>REPERFILAGEM</t>
  </si>
  <si>
    <t>COMP006</t>
  </si>
  <si>
    <t>EXECUÇÃO DE PAVIMENTO COM APLICAÇÃO DE CONCRETO ASFÁLTICO "FAIXA F", CAMADA DE REPERFILAMENTO  - EXCLUSIVE CARGA E TRANSPORTE. AF_11/2019</t>
  </si>
  <si>
    <t>CAPA DE ROLAMENTO - LOMBADAS</t>
  </si>
  <si>
    <t>Meio-Fio Reto  DER - Tipo 3 - Pré-Moldado</t>
  </si>
  <si>
    <t>606700A</t>
  </si>
  <si>
    <t>TRANSPORTE COM CAMINHÃO BASCULANTE DE 10 M³, EM VIA URBANA PAVIMENTADA, DMT ATÉ 30 KM (UNIDADE: M3XKM). AF_07/2020 (DMT = 7,1KM / DO TRECHO ATÉ BOTA FORA)</t>
  </si>
  <si>
    <t>Corpo de BSTC ø 1,50 Sem Berço c/ Armação Símples PA-2</t>
  </si>
  <si>
    <t xml:space="preserve">Corpo de BSTC ø 1,20 Sem Berço c/ Armação Símples </t>
  </si>
  <si>
    <t>TELA DE ACO SOLDADA NERVURADA, CA-60, Q-283 (4,48 KG/M2), DIAMETRO DO FIO = 6,0 MM, LARGURA = 2,45 X 6,00 M DE COMPRIMENTO, ESPACAMENTO DA MALHA = 10 X 10 CM</t>
  </si>
  <si>
    <t>43127</t>
  </si>
  <si>
    <t>ORSE</t>
  </si>
  <si>
    <t>03079</t>
  </si>
  <si>
    <t xml:space="preserve">ENROCAMENTO COM PEDRA BRUTA LANÇADA </t>
  </si>
  <si>
    <t>REATERRO DE VALA COM MATERIAL BRITADO</t>
  </si>
  <si>
    <t>m3XKm</t>
  </si>
  <si>
    <t>REDE DE ÁGUA PLUVIAL</t>
  </si>
  <si>
    <t>COMP002</t>
  </si>
  <si>
    <t xml:space="preserve">RETIRADA DE TUBOS DE CONCRETO D=1200mm COM APROVEITAMENTO E REASSENTAMENTO </t>
  </si>
  <si>
    <t>DRENO EM MURO DE CONTENÇÃO, EXECUTADO NO PÉ DO MURO, COM TUBO DE PEAD CORRUGADO FLEXÍVEL PERFURADO, ENCHIMENTO COM BRITA, ENVOLVIDO COM MANTA GEOTÊXTIL. AF_07/2021</t>
  </si>
  <si>
    <t>Topografia e Geodésia - Locação e nivelamento para assentamento de tubulação de rede água</t>
  </si>
  <si>
    <t>Válvula de gaveta DN 75 com bolsas cunha de borracha para Tubos de PVC/PBA</t>
  </si>
  <si>
    <t>BANCO DE PREÇOS</t>
  </si>
  <si>
    <t>Locação de pavimentação.AF_03/2024</t>
  </si>
  <si>
    <t>Limpeza mecanizada de camada vegetal</t>
  </si>
  <si>
    <t>98525</t>
  </si>
  <si>
    <t>C3210</t>
  </si>
  <si>
    <t>TRANSPORTE COM CAMINHÃO BASCULANTE DE 10 M³, EM VIA URBANA PAVIMENTADA, DMT ATÉ 30 KM (UNIDADE: M3XKM). AF_07/2020 (DMT = 7,1KM / TRECHO ATÉ BOTA FORA)</t>
  </si>
  <si>
    <t>LOTEAMENTO SONHO MEU</t>
  </si>
  <si>
    <t xml:space="preserve">Local da Obra: Rua Lídio Perizollo </t>
  </si>
  <si>
    <t xml:space="preserve">ENSAIOS TECNOLÓGICOS
</t>
  </si>
  <si>
    <t>ADMINISTRAÇÃO LOCAL</t>
  </si>
  <si>
    <t>5.2</t>
  </si>
  <si>
    <t>9.1</t>
  </si>
  <si>
    <t>9.2</t>
  </si>
  <si>
    <t>9.4</t>
  </si>
  <si>
    <t>9.5</t>
  </si>
  <si>
    <t>12</t>
  </si>
  <si>
    <t>12.1</t>
  </si>
  <si>
    <t>12.2</t>
  </si>
  <si>
    <t>12.3</t>
  </si>
  <si>
    <t>13</t>
  </si>
  <si>
    <t>13.1</t>
  </si>
  <si>
    <t>9.3</t>
  </si>
  <si>
    <t>13.2</t>
  </si>
  <si>
    <t>DER OUTUBRO 2024 / SINAPI  JANEIRO 2025 / SEINFRA/ ORÇACIVIL/ PM Curitiba/ SANEPAR/ DAER-RS/ SEIL</t>
  </si>
  <si>
    <t>ENGENHEIRO CIVIL DE OBRA JUNIOR COM ENCARGOS COMPLEMENTARES (20Hrs/semana)</t>
  </si>
  <si>
    <t>____________________________________________</t>
  </si>
  <si>
    <t>BASE/ SUB-BASE</t>
  </si>
  <si>
    <t>MEIO FIO E SARJETAS</t>
  </si>
  <si>
    <t>REDE DE DRENAGEM</t>
  </si>
  <si>
    <t>Infraestrutura Loteamento Sonho Meu e Recape de vias no Bairro São João</t>
  </si>
  <si>
    <t>Projeto: Loteamento Sonho meu e recape asfáltico em vias do Bairro São João</t>
  </si>
  <si>
    <t>ORÇAMENTO LICITAÇÃO</t>
  </si>
  <si>
    <t>CUSTO UNITÁRIO</t>
  </si>
  <si>
    <t>CUSTO TOTAL PROPONENTE</t>
  </si>
  <si>
    <t>PREÇO TOTAL  PROPONENTE</t>
  </si>
  <si>
    <t>PROPOSTA DE PREÇO</t>
  </si>
  <si>
    <t>Responsável Técnico</t>
  </si>
  <si>
    <t>Registro CREA  ou CAU</t>
  </si>
  <si>
    <t>CIDADE, ESTADO, XX DE XXXXXXXXXXXXXXXXXXX DE 2025.</t>
  </si>
  <si>
    <t>Resp. Técnico:</t>
  </si>
  <si>
    <t>data: XX/XX/2025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</si>
</sst>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R$&quot;\ * #,##0.00_-;\-&quot;R$&quot;\ * #,##0.00_-;_-&quot;R$&quot;\ * &quot;-&quot;??_-;_-@_-"/>
    <numFmt numFmtId="43" formatCode="_-* #,##0.00_-;\-* #,##0.00_-;_-* &quot;-&quot;??_-;_-@_-"/>
    <numFmt numFmtId="164" formatCode="_(* #,##0.00_);_(* \(#,##0.00\);_(* &quot;-&quot;??_);_(@_)"/>
    <numFmt numFmtId="165" formatCode="&quot;R$&quot;#,##0.00_);\(&quot;R$&quot;#,##0.00\)"/>
    <numFmt numFmtId="166" formatCode="0.0000"/>
    <numFmt numFmtId="167" formatCode="0.0%"/>
    <numFmt numFmtId="168" formatCode="#,##0.00\ &quot;m2&quot;"/>
    <numFmt numFmtId="169" formatCode="d/m/yy;@"/>
    <numFmt numFmtId="173" formatCode="_-[$R$-416]\ * #,##0.00_-;\-[$R$-416]\ * #,##0.00_-;_-[$R$-416]\ * &quot;-&quot;??_-;_-@_-"/>
    <numFmt numFmtId="175" formatCode="0.0E+00"/>
  </numFmts>
  <fonts count="53" x14ac:knownFonts="1">
    <font>
      <sz val="8"/>
      <name val="Arial"/>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sz val="8"/>
      <name val="Arial"/>
      <family val="2"/>
    </font>
    <font>
      <sz val="10"/>
      <name val="Arial"/>
      <family val="2"/>
    </font>
    <font>
      <b/>
      <sz val="10"/>
      <name val="Arial"/>
      <family val="2"/>
    </font>
    <font>
      <b/>
      <sz val="12"/>
      <name val="Arial"/>
      <family val="2"/>
    </font>
    <font>
      <b/>
      <sz val="12"/>
      <color indexed="81"/>
      <name val="Tahoma"/>
      <family val="2"/>
    </font>
    <font>
      <sz val="9"/>
      <color indexed="81"/>
      <name val="Tahoma"/>
      <family val="2"/>
    </font>
    <font>
      <sz val="8"/>
      <name val="Arial"/>
      <family val="2"/>
    </font>
    <font>
      <sz val="8"/>
      <color indexed="81"/>
      <name val="Segoe UI"/>
      <family val="2"/>
    </font>
    <font>
      <b/>
      <sz val="8"/>
      <color indexed="81"/>
      <name val="Segoe UI"/>
      <family val="2"/>
    </font>
    <font>
      <sz val="10"/>
      <name val="MS Sans Serif"/>
    </font>
    <font>
      <b/>
      <sz val="16"/>
      <name val="Arial"/>
      <family val="2"/>
    </font>
    <font>
      <sz val="8"/>
      <name val="MS Sans Serif"/>
    </font>
    <font>
      <sz val="10"/>
      <name val="Arial"/>
      <family val="2"/>
    </font>
    <font>
      <b/>
      <sz val="14"/>
      <name val="Arial"/>
      <family val="2"/>
    </font>
    <font>
      <sz val="14"/>
      <name val="Arial"/>
      <family val="2"/>
    </font>
    <font>
      <sz val="14"/>
      <color theme="3" tint="0.39997558519241921"/>
      <name val="Arial"/>
      <family val="2"/>
    </font>
    <font>
      <b/>
      <sz val="10"/>
      <name val="MS Sans Serif"/>
    </font>
    <font>
      <b/>
      <sz val="8"/>
      <name val="MS Sans Serif"/>
    </font>
    <font>
      <sz val="10"/>
      <name val="Algerian"/>
      <family val="5"/>
    </font>
    <font>
      <b/>
      <sz val="20"/>
      <name val="Arial"/>
      <family val="2"/>
    </font>
    <font>
      <sz val="8"/>
      <color indexed="12"/>
      <name val="Arial"/>
      <family val="2"/>
    </font>
    <font>
      <sz val="10"/>
      <name val="Times New Roman"/>
      <family val="1"/>
    </font>
    <font>
      <b/>
      <sz val="10"/>
      <name val="Times New Roman"/>
      <family val="1"/>
    </font>
    <font>
      <sz val="8"/>
      <name val="Times New Roman"/>
      <family val="1"/>
    </font>
    <font>
      <sz val="8"/>
      <color indexed="9"/>
      <name val="Times New Roman"/>
      <family val="1"/>
    </font>
    <font>
      <b/>
      <sz val="8"/>
      <color indexed="12"/>
      <name val="Arial"/>
      <family val="2"/>
    </font>
    <font>
      <sz val="11"/>
      <name val="Calibri"/>
      <family val="2"/>
    </font>
    <font>
      <b/>
      <sz val="11"/>
      <name val="Calibri"/>
      <family val="2"/>
    </font>
    <font>
      <b/>
      <sz val="14"/>
      <color rgb="FF0000FF"/>
      <name val="Arial"/>
      <family val="2"/>
    </font>
    <font>
      <sz val="14"/>
      <color rgb="FF0000FF"/>
      <name val="Arial"/>
      <family val="2"/>
    </font>
    <font>
      <b/>
      <sz val="10"/>
      <color rgb="FFFF0000"/>
      <name val="MS Sans Serif"/>
    </font>
    <font>
      <b/>
      <sz val="12"/>
      <color rgb="FFFF0000"/>
      <name val="Arial"/>
      <family val="2"/>
    </font>
    <font>
      <sz val="12"/>
      <color theme="1"/>
      <name val="Arial"/>
      <family val="2"/>
    </font>
    <font>
      <sz val="8"/>
      <color theme="1"/>
      <name val="Arial"/>
      <family val="2"/>
    </font>
    <font>
      <sz val="8"/>
      <color indexed="9"/>
      <name val="Arial"/>
      <family val="2"/>
    </font>
    <font>
      <b/>
      <sz val="8"/>
      <color indexed="10"/>
      <name val="Arial"/>
      <family val="2"/>
    </font>
    <font>
      <b/>
      <sz val="8"/>
      <color theme="1"/>
      <name val="Arial"/>
      <family val="2"/>
    </font>
    <font>
      <b/>
      <sz val="8"/>
      <color indexed="8"/>
      <name val="Arial"/>
      <family val="2"/>
    </font>
    <font>
      <sz val="8"/>
      <color indexed="8"/>
      <name val="Arial"/>
      <family val="2"/>
    </font>
    <font>
      <sz val="8"/>
      <color theme="0"/>
      <name val="Arial"/>
      <family val="2"/>
    </font>
    <font>
      <b/>
      <sz val="8"/>
      <color theme="0"/>
      <name val="Arial"/>
      <family val="2"/>
    </font>
    <font>
      <sz val="16"/>
      <name val="Arial"/>
      <family val="2"/>
    </font>
    <font>
      <sz val="11"/>
      <color indexed="8"/>
      <name val="Calibri"/>
      <family val="2"/>
    </font>
    <font>
      <sz val="12"/>
      <color indexed="8"/>
      <name val="Arial"/>
      <family val="2"/>
    </font>
    <font>
      <sz val="10"/>
      <color theme="1"/>
      <name val="Arial"/>
      <family val="2"/>
    </font>
    <font>
      <sz val="8"/>
      <name val="Calibri"/>
      <family val="2"/>
    </font>
    <font>
      <sz val="10"/>
      <name val="Calibri"/>
      <family val="2"/>
    </font>
    <font>
      <sz val="8"/>
      <name val="Arial"/>
    </font>
  </fonts>
  <fills count="13">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indexed="26"/>
        <bgColor indexed="64"/>
      </patternFill>
    </fill>
    <fill>
      <patternFill patternType="solid">
        <fgColor theme="3" tint="0.79998168889431442"/>
        <bgColor indexed="64"/>
      </patternFill>
    </fill>
    <fill>
      <patternFill patternType="solid">
        <fgColor theme="3" tint="0.59999389629810485"/>
        <bgColor indexed="64"/>
      </patternFill>
    </fill>
  </fills>
  <borders count="120">
    <border>
      <left/>
      <right/>
      <top/>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right/>
      <top style="thin">
        <color indexed="64"/>
      </top>
      <bottom style="thin">
        <color indexed="64"/>
      </bottom>
      <diagonal/>
    </border>
    <border>
      <left/>
      <right style="dotted">
        <color indexed="64"/>
      </right>
      <top style="medium">
        <color indexed="64"/>
      </top>
      <bottom/>
      <diagonal/>
    </border>
    <border>
      <left/>
      <right style="dotted">
        <color indexed="64"/>
      </right>
      <top/>
      <bottom/>
      <diagonal/>
    </border>
    <border>
      <left style="medium">
        <color indexed="64"/>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bottom style="medium">
        <color indexed="64"/>
      </bottom>
      <diagonal/>
    </border>
    <border>
      <left style="hair">
        <color indexed="64"/>
      </left>
      <right/>
      <top/>
      <bottom style="medium">
        <color indexed="64"/>
      </bottom>
      <diagonal/>
    </border>
    <border>
      <left style="double">
        <color indexed="64"/>
      </left>
      <right style="thin">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dashDotDot">
        <color indexed="64"/>
      </right>
      <top style="medium">
        <color indexed="64"/>
      </top>
      <bottom style="thin">
        <color indexed="64"/>
      </bottom>
      <diagonal/>
    </border>
    <border>
      <left style="dashDotDot">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thin">
        <color indexed="64"/>
      </left>
      <right/>
      <top style="thin">
        <color indexed="64"/>
      </top>
      <bottom/>
      <diagonal/>
    </border>
    <border>
      <left/>
      <right style="double">
        <color indexed="64"/>
      </right>
      <top style="thin">
        <color indexed="64"/>
      </top>
      <bottom style="thin">
        <color indexed="64"/>
      </bottom>
      <diagonal/>
    </border>
    <border>
      <left style="double">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style="thin">
        <color indexed="64"/>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style="thin">
        <color indexed="64"/>
      </right>
      <top style="double">
        <color indexed="64"/>
      </top>
      <bottom/>
      <diagonal/>
    </border>
    <border>
      <left/>
      <right style="dashDotDot">
        <color indexed="64"/>
      </right>
      <top style="medium">
        <color indexed="64"/>
      </top>
      <bottom/>
      <diagonal/>
    </border>
    <border>
      <left/>
      <right style="dashDotDot">
        <color indexed="64"/>
      </right>
      <top/>
      <bottom style="medium">
        <color indexed="64"/>
      </bottom>
      <diagonal/>
    </border>
    <border>
      <left style="thin">
        <color indexed="64"/>
      </left>
      <right/>
      <top/>
      <bottom/>
      <diagonal/>
    </border>
    <border>
      <left/>
      <right style="thin">
        <color indexed="64"/>
      </right>
      <top/>
      <bottom/>
      <diagonal/>
    </border>
    <border>
      <left style="medium">
        <color indexed="64"/>
      </left>
      <right/>
      <top style="thin">
        <color indexed="64"/>
      </top>
      <bottom/>
      <diagonal/>
    </border>
    <border>
      <left style="medium">
        <color indexed="64"/>
      </left>
      <right style="thin">
        <color indexed="64"/>
      </right>
      <top/>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bottom style="double">
        <color indexed="64"/>
      </bottom>
      <diagonal/>
    </border>
    <border>
      <left/>
      <right/>
      <top style="thin">
        <color indexed="64"/>
      </top>
      <bottom/>
      <diagonal/>
    </border>
  </borders>
  <cellStyleXfs count="160">
    <xf numFmtId="0" fontId="0" fillId="0" borderId="0"/>
    <xf numFmtId="0" fontId="6" fillId="0" borderId="0"/>
    <xf numFmtId="0" fontId="5" fillId="0" borderId="0"/>
    <xf numFmtId="164" fontId="5" fillId="0" borderId="0" applyFont="0" applyFill="0" applyBorder="0" applyAlignment="0" applyProtection="0"/>
    <xf numFmtId="9" fontId="11" fillId="0" borderId="0" applyFont="0" applyFill="0" applyBorder="0" applyAlignment="0" applyProtection="0"/>
    <xf numFmtId="0" fontId="5" fillId="0" borderId="0"/>
    <xf numFmtId="9" fontId="5" fillId="0" borderId="0" applyFont="0" applyFill="0" applyBorder="0" applyAlignment="0" applyProtection="0"/>
    <xf numFmtId="0" fontId="14" fillId="0" borderId="0"/>
    <xf numFmtId="0" fontId="17" fillId="0" borderId="0"/>
    <xf numFmtId="43" fontId="17" fillId="0" borderId="0" applyFont="0" applyFill="0" applyBorder="0" applyAlignment="0" applyProtection="0"/>
    <xf numFmtId="43" fontId="5" fillId="0" borderId="0" applyFont="0" applyFill="0" applyBorder="0" applyAlignment="0" applyProtection="0"/>
    <xf numFmtId="0" fontId="6" fillId="0" borderId="0"/>
    <xf numFmtId="43" fontId="6" fillId="0" borderId="0" applyFont="0" applyFill="0" applyBorder="0" applyAlignment="0" applyProtection="0"/>
    <xf numFmtId="43" fontId="5" fillId="0" borderId="0" applyFont="0" applyFill="0" applyBorder="0" applyAlignment="0" applyProtection="0"/>
    <xf numFmtId="0" fontId="6" fillId="0" borderId="0"/>
    <xf numFmtId="43" fontId="6" fillId="0" borderId="0" applyFont="0" applyFill="0" applyBorder="0" applyAlignment="0" applyProtection="0"/>
    <xf numFmtId="164" fontId="6" fillId="0" borderId="0" applyFont="0" applyFill="0" applyBorder="0" applyAlignment="0" applyProtection="0"/>
    <xf numFmtId="9" fontId="6" fillId="0" borderId="0" applyFont="0" applyFill="0" applyBorder="0" applyAlignment="0" applyProtection="0"/>
    <xf numFmtId="0" fontId="3" fillId="0" borderId="0"/>
    <xf numFmtId="0" fontId="2"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1" fillId="0" borderId="0"/>
    <xf numFmtId="0" fontId="1" fillId="0" borderId="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1" fillId="0" borderId="0"/>
    <xf numFmtId="0" fontId="47" fillId="0" borderId="0"/>
    <xf numFmtId="0" fontId="37" fillId="0" borderId="0"/>
    <xf numFmtId="0" fontId="37" fillId="0" borderId="0"/>
    <xf numFmtId="44" fontId="47" fillId="0" borderId="0" applyFont="0" applyFill="0" applyBorder="0" applyAlignment="0" applyProtection="0"/>
    <xf numFmtId="44" fontId="48" fillId="0" borderId="0" applyFont="0" applyFill="0" applyBorder="0" applyAlignment="0" applyProtection="0"/>
    <xf numFmtId="0" fontId="47" fillId="0" borderId="0"/>
    <xf numFmtId="44" fontId="7" fillId="0" borderId="0" applyFill="0" applyBorder="0" applyAlignment="0" applyProtection="0"/>
    <xf numFmtId="43" fontId="7" fillId="0" borderId="0" applyFill="0" applyBorder="0" applyAlignment="0" applyProtection="0"/>
    <xf numFmtId="0" fontId="47" fillId="0" borderId="0"/>
    <xf numFmtId="44" fontId="5" fillId="0" borderId="0" applyFont="0" applyFill="0" applyBorder="0" applyAlignment="0" applyProtection="0"/>
    <xf numFmtId="0" fontId="49" fillId="0" borderId="0"/>
    <xf numFmtId="44" fontId="52" fillId="0" borderId="0" applyFont="0" applyFill="0" applyBorder="0" applyAlignment="0" applyProtection="0"/>
  </cellStyleXfs>
  <cellXfs count="731">
    <xf numFmtId="0" fontId="0" fillId="0" borderId="0" xfId="0"/>
    <xf numFmtId="0" fontId="14" fillId="0" borderId="0" xfId="7"/>
    <xf numFmtId="0" fontId="6" fillId="0" borderId="0" xfId="14" applyProtection="1">
      <protection locked="0"/>
    </xf>
    <xf numFmtId="0" fontId="6" fillId="0" borderId="0" xfId="14"/>
    <xf numFmtId="0" fontId="7" fillId="3" borderId="75" xfId="14" applyFont="1" applyFill="1" applyBorder="1" applyAlignment="1">
      <alignment horizontal="left"/>
    </xf>
    <xf numFmtId="10" fontId="4" fillId="0" borderId="77" xfId="17" applyNumberFormat="1" applyFont="1" applyFill="1" applyBorder="1" applyAlignment="1" applyProtection="1">
      <alignment horizontal="center"/>
    </xf>
    <xf numFmtId="0" fontId="7" fillId="3" borderId="78" xfId="14" applyFont="1" applyFill="1" applyBorder="1" applyAlignment="1">
      <alignment horizontal="left"/>
    </xf>
    <xf numFmtId="4" fontId="4" fillId="9" borderId="80" xfId="14" applyNumberFormat="1" applyFont="1" applyFill="1" applyBorder="1" applyAlignment="1" applyProtection="1">
      <alignment horizontal="center"/>
      <protection locked="0"/>
    </xf>
    <xf numFmtId="10" fontId="4" fillId="0" borderId="81" xfId="17" applyNumberFormat="1" applyFont="1" applyFill="1" applyBorder="1" applyAlignment="1" applyProtection="1">
      <alignment horizontal="center"/>
    </xf>
    <xf numFmtId="0" fontId="7" fillId="3" borderId="82" xfId="14" applyFont="1" applyFill="1" applyBorder="1" applyAlignment="1">
      <alignment horizontal="left"/>
    </xf>
    <xf numFmtId="168" fontId="7" fillId="8" borderId="83" xfId="14" applyNumberFormat="1" applyFont="1" applyFill="1" applyBorder="1" applyAlignment="1">
      <alignment horizontal="left" indent="1"/>
    </xf>
    <xf numFmtId="0" fontId="19" fillId="3" borderId="84" xfId="14" applyFont="1" applyFill="1" applyBorder="1" applyAlignment="1">
      <alignment horizontal="center"/>
    </xf>
    <xf numFmtId="0" fontId="18" fillId="3" borderId="69" xfId="14" applyFont="1" applyFill="1" applyBorder="1" applyAlignment="1">
      <alignment horizontal="centerContinuous"/>
    </xf>
    <xf numFmtId="0" fontId="19" fillId="3" borderId="9" xfId="14" applyFont="1" applyFill="1" applyBorder="1" applyAlignment="1">
      <alignment horizontal="centerContinuous"/>
    </xf>
    <xf numFmtId="0" fontId="4" fillId="3" borderId="84" xfId="14" applyFont="1" applyFill="1" applyBorder="1" applyAlignment="1">
      <alignment horizontal="centerContinuous"/>
    </xf>
    <xf numFmtId="0" fontId="4" fillId="3" borderId="19" xfId="14" applyFont="1" applyFill="1" applyBorder="1" applyAlignment="1">
      <alignment horizontal="centerContinuous"/>
    </xf>
    <xf numFmtId="40" fontId="25" fillId="3" borderId="85" xfId="14" applyNumberFormat="1" applyFont="1" applyFill="1" applyBorder="1"/>
    <xf numFmtId="10" fontId="5" fillId="0" borderId="86" xfId="17" applyNumberFormat="1" applyFont="1" applyFill="1" applyBorder="1" applyProtection="1"/>
    <xf numFmtId="0" fontId="7" fillId="2" borderId="28" xfId="14" applyFont="1" applyFill="1" applyBorder="1" applyAlignment="1" applyProtection="1">
      <alignment horizontal="center"/>
      <protection locked="0"/>
    </xf>
    <xf numFmtId="1" fontId="7" fillId="10" borderId="94" xfId="14" applyNumberFormat="1" applyFont="1" applyFill="1" applyBorder="1" applyAlignment="1" applyProtection="1">
      <alignment horizontal="center"/>
      <protection locked="0"/>
    </xf>
    <xf numFmtId="0" fontId="5" fillId="0" borderId="0" xfId="14" applyFont="1"/>
    <xf numFmtId="0" fontId="6" fillId="3" borderId="100" xfId="14" applyFill="1" applyBorder="1"/>
    <xf numFmtId="0" fontId="6" fillId="3" borderId="101" xfId="14" applyFill="1" applyBorder="1"/>
    <xf numFmtId="0" fontId="5" fillId="3" borderId="101" xfId="14" applyFont="1" applyFill="1" applyBorder="1"/>
    <xf numFmtId="40" fontId="5" fillId="3" borderId="101" xfId="14" applyNumberFormat="1" applyFont="1" applyFill="1" applyBorder="1"/>
    <xf numFmtId="0" fontId="5" fillId="3" borderId="102" xfId="14" applyFont="1" applyFill="1" applyBorder="1"/>
    <xf numFmtId="0" fontId="6" fillId="3" borderId="103" xfId="14" applyFill="1" applyBorder="1"/>
    <xf numFmtId="0" fontId="7" fillId="3" borderId="104" xfId="14" applyFont="1" applyFill="1" applyBorder="1" applyAlignment="1">
      <alignment horizontal="centerContinuous"/>
    </xf>
    <xf numFmtId="0" fontId="6" fillId="3" borderId="104" xfId="14" applyFill="1" applyBorder="1" applyAlignment="1">
      <alignment horizontal="centerContinuous"/>
    </xf>
    <xf numFmtId="0" fontId="5" fillId="3" borderId="104" xfId="14" applyFont="1" applyFill="1" applyBorder="1"/>
    <xf numFmtId="40" fontId="25" fillId="3" borderId="105" xfId="14" applyNumberFormat="1" applyFont="1" applyFill="1" applyBorder="1"/>
    <xf numFmtId="0" fontId="25" fillId="3" borderId="106" xfId="14" applyFont="1" applyFill="1" applyBorder="1"/>
    <xf numFmtId="0" fontId="6" fillId="3" borderId="91" xfId="14" applyFill="1" applyBorder="1" applyAlignment="1">
      <alignment horizontal="center"/>
    </xf>
    <xf numFmtId="0" fontId="7" fillId="9" borderId="9" xfId="14" applyFont="1" applyFill="1" applyBorder="1" applyProtection="1">
      <protection locked="0"/>
    </xf>
    <xf numFmtId="0" fontId="7" fillId="9" borderId="9" xfId="14" applyFont="1" applyFill="1" applyBorder="1" applyAlignment="1" applyProtection="1">
      <alignment horizontal="left" vertical="top"/>
      <protection locked="0"/>
    </xf>
    <xf numFmtId="0" fontId="7" fillId="9" borderId="9" xfId="14" applyFont="1" applyFill="1" applyBorder="1" applyAlignment="1" applyProtection="1">
      <alignment horizontal="centerContinuous" vertical="center"/>
      <protection locked="0"/>
    </xf>
    <xf numFmtId="0" fontId="7" fillId="9" borderId="12" xfId="14" applyFont="1" applyFill="1" applyBorder="1" applyAlignment="1" applyProtection="1">
      <alignment horizontal="centerContinuous" vertical="center"/>
      <protection locked="0"/>
    </xf>
    <xf numFmtId="0" fontId="7" fillId="3" borderId="11" xfId="14" applyFont="1" applyFill="1" applyBorder="1" applyAlignment="1">
      <alignment horizontal="left" vertical="top"/>
    </xf>
    <xf numFmtId="0" fontId="7" fillId="3" borderId="9" xfId="14" applyFont="1" applyFill="1" applyBorder="1"/>
    <xf numFmtId="0" fontId="7" fillId="0" borderId="108" xfId="14" applyFont="1" applyBorder="1"/>
    <xf numFmtId="0" fontId="7" fillId="3" borderId="9" xfId="14" applyFont="1" applyFill="1" applyBorder="1" applyAlignment="1">
      <alignment horizontal="left"/>
    </xf>
    <xf numFmtId="0" fontId="7" fillId="3" borderId="9" xfId="14" applyFont="1" applyFill="1" applyBorder="1" applyAlignment="1">
      <alignment horizontal="centerContinuous" vertical="center"/>
    </xf>
    <xf numFmtId="0" fontId="7" fillId="3" borderId="12" xfId="14" applyFont="1" applyFill="1" applyBorder="1"/>
    <xf numFmtId="0" fontId="6" fillId="9" borderId="12" xfId="14" applyFill="1" applyBorder="1" applyProtection="1">
      <protection locked="0"/>
    </xf>
    <xf numFmtId="0" fontId="6" fillId="9" borderId="10" xfId="14" applyFill="1" applyBorder="1" applyAlignment="1" applyProtection="1">
      <alignment horizontal="centerContinuous" vertical="center" wrapText="1"/>
      <protection locked="0"/>
    </xf>
    <xf numFmtId="0" fontId="6" fillId="9" borderId="10" xfId="14" applyFill="1" applyBorder="1" applyAlignment="1" applyProtection="1">
      <alignment horizontal="left" vertical="center"/>
      <protection locked="0"/>
    </xf>
    <xf numFmtId="0" fontId="6" fillId="9" borderId="16" xfId="14" applyFill="1" applyBorder="1" applyAlignment="1" applyProtection="1">
      <alignment horizontal="centerContinuous" vertical="center"/>
      <protection locked="0"/>
    </xf>
    <xf numFmtId="0" fontId="6" fillId="3" borderId="15" xfId="14" applyFill="1" applyBorder="1" applyAlignment="1">
      <alignment horizontal="centerContinuous" vertical="center"/>
    </xf>
    <xf numFmtId="14" fontId="6" fillId="3" borderId="10" xfId="14" applyNumberFormat="1" applyFill="1" applyBorder="1" applyAlignment="1">
      <alignment horizontal="center" vertical="center"/>
    </xf>
    <xf numFmtId="0" fontId="6" fillId="3" borderId="10" xfId="14" applyFill="1" applyBorder="1" applyAlignment="1">
      <alignment horizontal="centerContinuous"/>
    </xf>
    <xf numFmtId="0" fontId="6" fillId="0" borderId="109" xfId="14" applyBorder="1"/>
    <xf numFmtId="0" fontId="6" fillId="3" borderId="10" xfId="14" applyFill="1" applyBorder="1" applyAlignment="1">
      <alignment horizontal="centerContinuous" vertical="center" wrapText="1"/>
    </xf>
    <xf numFmtId="0" fontId="6" fillId="3" borderId="10" xfId="14" applyFill="1" applyBorder="1" applyAlignment="1">
      <alignment vertical="center"/>
    </xf>
    <xf numFmtId="17" fontId="6" fillId="3" borderId="16" xfId="14" applyNumberFormat="1" applyFill="1" applyBorder="1" applyAlignment="1">
      <alignment horizontal="center" vertical="center"/>
    </xf>
    <xf numFmtId="17" fontId="6" fillId="9" borderId="10" xfId="14" applyNumberFormat="1" applyFill="1" applyBorder="1" applyAlignment="1" applyProtection="1">
      <alignment horizontal="center" vertical="center"/>
      <protection locked="0"/>
    </xf>
    <xf numFmtId="14" fontId="7" fillId="9" borderId="10" xfId="14" applyNumberFormat="1" applyFont="1" applyFill="1" applyBorder="1" applyAlignment="1" applyProtection="1">
      <alignment horizontal="center" vertical="center"/>
      <protection locked="0"/>
    </xf>
    <xf numFmtId="17" fontId="6" fillId="9" borderId="16" xfId="14" applyNumberFormat="1" applyFill="1" applyBorder="1" applyAlignment="1" applyProtection="1">
      <alignment horizontal="center" vertical="center"/>
      <protection locked="0"/>
    </xf>
    <xf numFmtId="0" fontId="32" fillId="0" borderId="0" xfId="5" applyFont="1" applyAlignment="1">
      <alignment vertical="center"/>
    </xf>
    <xf numFmtId="0" fontId="14" fillId="0" borderId="0" xfId="7" applyProtection="1">
      <protection locked="0"/>
    </xf>
    <xf numFmtId="0" fontId="16" fillId="0" borderId="0" xfId="7" applyFont="1" applyProtection="1">
      <protection locked="0"/>
    </xf>
    <xf numFmtId="0" fontId="14" fillId="0" borderId="0" xfId="7" applyAlignment="1">
      <alignment vertical="center"/>
    </xf>
    <xf numFmtId="0" fontId="14" fillId="0" borderId="0" xfId="7" applyAlignment="1" applyProtection="1">
      <alignment vertical="center"/>
      <protection locked="0"/>
    </xf>
    <xf numFmtId="2" fontId="19" fillId="0" borderId="59" xfId="7" applyNumberFormat="1" applyFont="1" applyBorder="1" applyAlignment="1">
      <alignment horizontal="right" vertical="center"/>
    </xf>
    <xf numFmtId="2" fontId="19" fillId="0" borderId="51" xfId="7" applyNumberFormat="1" applyFont="1" applyBorder="1" applyAlignment="1">
      <alignment horizontal="center" vertical="center"/>
    </xf>
    <xf numFmtId="0" fontId="21" fillId="0" borderId="0" xfId="7" applyFont="1" applyAlignment="1">
      <alignment vertical="center"/>
    </xf>
    <xf numFmtId="2" fontId="19" fillId="0" borderId="112" xfId="7" applyNumberFormat="1" applyFont="1" applyBorder="1" applyAlignment="1">
      <alignment horizontal="right" vertical="center"/>
    </xf>
    <xf numFmtId="2" fontId="19" fillId="0" borderId="52" xfId="7" applyNumberFormat="1" applyFont="1" applyBorder="1" applyAlignment="1">
      <alignment horizontal="center" vertical="center"/>
    </xf>
    <xf numFmtId="0" fontId="18" fillId="0" borderId="3" xfId="7" applyFont="1" applyBorder="1" applyAlignment="1">
      <alignment horizontal="right" vertical="center"/>
    </xf>
    <xf numFmtId="2" fontId="18" fillId="0" borderId="36" xfId="7" applyNumberFormat="1" applyFont="1" applyBorder="1" applyAlignment="1">
      <alignment horizontal="center" vertical="center"/>
    </xf>
    <xf numFmtId="2" fontId="14" fillId="0" borderId="0" xfId="7" applyNumberFormat="1" applyAlignment="1" applyProtection="1">
      <alignment vertical="center"/>
      <protection locked="0"/>
    </xf>
    <xf numFmtId="0" fontId="18" fillId="0" borderId="64" xfId="7" applyFont="1" applyBorder="1" applyAlignment="1">
      <alignment vertical="center"/>
    </xf>
    <xf numFmtId="2" fontId="19" fillId="0" borderId="67" xfId="7" applyNumberFormat="1" applyFont="1" applyBorder="1" applyAlignment="1">
      <alignment horizontal="center" vertical="center"/>
    </xf>
    <xf numFmtId="2" fontId="19" fillId="0" borderId="49" xfId="7" applyNumberFormat="1" applyFont="1" applyBorder="1" applyAlignment="1">
      <alignment horizontal="center" vertical="center"/>
    </xf>
    <xf numFmtId="0" fontId="14" fillId="0" borderId="0" xfId="7" quotePrefix="1" applyAlignment="1" applyProtection="1">
      <alignment vertical="center"/>
      <protection locked="0"/>
    </xf>
    <xf numFmtId="2" fontId="19" fillId="5" borderId="34" xfId="7" applyNumberFormat="1" applyFont="1" applyFill="1" applyBorder="1" applyAlignment="1" applyProtection="1">
      <alignment horizontal="center" vertical="center"/>
      <protection locked="0"/>
    </xf>
    <xf numFmtId="2" fontId="19" fillId="5" borderId="49" xfId="7" applyNumberFormat="1" applyFont="1" applyFill="1" applyBorder="1" applyAlignment="1" applyProtection="1">
      <alignment horizontal="center" vertical="center"/>
      <protection locked="0"/>
    </xf>
    <xf numFmtId="164" fontId="14" fillId="0" borderId="0" xfId="3" applyFont="1" applyFill="1" applyAlignment="1" applyProtection="1">
      <alignment vertical="center"/>
    </xf>
    <xf numFmtId="0" fontId="18" fillId="0" borderId="59" xfId="7" applyFont="1" applyBorder="1" applyAlignment="1">
      <alignment vertical="center"/>
    </xf>
    <xf numFmtId="2" fontId="19" fillId="5" borderId="31" xfId="7" applyNumberFormat="1" applyFont="1" applyFill="1" applyBorder="1" applyAlignment="1" applyProtection="1">
      <alignment horizontal="center" vertical="center"/>
      <protection locked="0"/>
    </xf>
    <xf numFmtId="2" fontId="19" fillId="5" borderId="51" xfId="7" applyNumberFormat="1" applyFont="1" applyFill="1" applyBorder="1" applyAlignment="1" applyProtection="1">
      <alignment horizontal="center" vertical="center"/>
      <protection locked="0"/>
    </xf>
    <xf numFmtId="0" fontId="18" fillId="0" borderId="53" xfId="7" applyFont="1" applyBorder="1" applyAlignment="1">
      <alignment vertical="center"/>
    </xf>
    <xf numFmtId="2" fontId="19" fillId="5" borderId="26" xfId="7" applyNumberFormat="1" applyFont="1" applyFill="1" applyBorder="1" applyAlignment="1" applyProtection="1">
      <alignment horizontal="center" vertical="center"/>
      <protection locked="0"/>
    </xf>
    <xf numFmtId="2" fontId="19" fillId="5" borderId="65" xfId="7" applyNumberFormat="1" applyFont="1" applyFill="1" applyBorder="1" applyAlignment="1" applyProtection="1">
      <alignment horizontal="center" vertical="center"/>
      <protection locked="0"/>
    </xf>
    <xf numFmtId="0" fontId="18" fillId="0" borderId="28" xfId="7" applyFont="1" applyBorder="1" applyAlignment="1">
      <alignment vertical="center"/>
    </xf>
    <xf numFmtId="2" fontId="18" fillId="0" borderId="35" xfId="7" applyNumberFormat="1" applyFont="1" applyBorder="1" applyAlignment="1">
      <alignment horizontal="center" vertical="center"/>
    </xf>
    <xf numFmtId="0" fontId="31" fillId="0" borderId="0" xfId="5" quotePrefix="1" applyFont="1" applyAlignment="1">
      <alignment vertical="center"/>
    </xf>
    <xf numFmtId="0" fontId="33" fillId="0" borderId="2" xfId="7" applyFont="1" applyBorder="1" applyAlignment="1">
      <alignment vertical="center"/>
    </xf>
    <xf numFmtId="10" fontId="33" fillId="0" borderId="3" xfId="7" applyNumberFormat="1" applyFont="1" applyBorder="1" applyAlignment="1">
      <alignment horizontal="centerContinuous" vertical="center"/>
    </xf>
    <xf numFmtId="9" fontId="33" fillId="0" borderId="36" xfId="7" applyNumberFormat="1" applyFont="1" applyBorder="1" applyAlignment="1">
      <alignment horizontal="centerContinuous" vertical="center"/>
    </xf>
    <xf numFmtId="0" fontId="23" fillId="0" borderId="28" xfId="7" applyFont="1" applyBorder="1" applyAlignment="1">
      <alignment horizontal="center" vertical="center"/>
    </xf>
    <xf numFmtId="167" fontId="14" fillId="0" borderId="0" xfId="7" applyNumberFormat="1" applyAlignment="1">
      <alignment vertical="center"/>
    </xf>
    <xf numFmtId="0" fontId="34" fillId="0" borderId="0" xfId="7" applyFont="1" applyAlignment="1">
      <alignment vertical="center"/>
    </xf>
    <xf numFmtId="0" fontId="35" fillId="0" borderId="0" xfId="7" applyFont="1" applyAlignment="1" applyProtection="1">
      <alignment vertical="center"/>
      <protection locked="0"/>
    </xf>
    <xf numFmtId="0" fontId="35" fillId="0" borderId="0" xfId="7" applyFont="1" applyProtection="1">
      <protection locked="0"/>
    </xf>
    <xf numFmtId="0" fontId="19" fillId="0" borderId="0" xfId="7" applyFont="1" applyAlignment="1">
      <alignment vertical="center"/>
    </xf>
    <xf numFmtId="0" fontId="5" fillId="0" borderId="0" xfId="7" applyFont="1" applyAlignment="1">
      <alignment vertical="center"/>
    </xf>
    <xf numFmtId="0" fontId="7" fillId="0" borderId="0" xfId="7" applyFont="1" applyAlignment="1">
      <alignment vertical="center"/>
    </xf>
    <xf numFmtId="0" fontId="36" fillId="0" borderId="0" xfId="7" applyFont="1" applyAlignment="1">
      <alignment horizontal="center" vertical="center"/>
    </xf>
    <xf numFmtId="0" fontId="4" fillId="0" borderId="0" xfId="7" applyFont="1" applyAlignment="1">
      <alignment vertical="center"/>
    </xf>
    <xf numFmtId="2" fontId="20" fillId="0" borderId="0" xfId="7" applyNumberFormat="1" applyFont="1" applyAlignment="1">
      <alignment horizontal="left" vertical="center"/>
    </xf>
    <xf numFmtId="2" fontId="20" fillId="0" borderId="6" xfId="7" quotePrefix="1" applyNumberFormat="1" applyFont="1" applyBorder="1" applyAlignment="1">
      <alignment horizontal="right" vertical="center"/>
    </xf>
    <xf numFmtId="2" fontId="20" fillId="0" borderId="6" xfId="7" applyNumberFormat="1" applyFont="1" applyBorder="1" applyAlignment="1">
      <alignment horizontal="right" vertical="center"/>
    </xf>
    <xf numFmtId="0" fontId="22" fillId="0" borderId="0" xfId="7" applyFont="1" applyAlignment="1">
      <alignment vertical="center"/>
    </xf>
    <xf numFmtId="0" fontId="16" fillId="0" borderId="0" xfId="7" applyFont="1" applyAlignment="1">
      <alignment vertical="center"/>
    </xf>
    <xf numFmtId="0" fontId="7" fillId="0" borderId="28" xfId="7" applyFont="1" applyBorder="1" applyAlignment="1">
      <alignment horizontal="center" vertical="center"/>
    </xf>
    <xf numFmtId="0" fontId="7" fillId="0" borderId="35" xfId="7" applyFont="1" applyBorder="1" applyAlignment="1">
      <alignment horizontal="center" vertical="center"/>
    </xf>
    <xf numFmtId="0" fontId="7" fillId="0" borderId="5" xfId="7" applyFont="1" applyBorder="1" applyAlignment="1">
      <alignment horizontal="center" vertical="center"/>
    </xf>
    <xf numFmtId="0" fontId="7" fillId="0" borderId="29" xfId="7" applyFont="1" applyBorder="1" applyAlignment="1">
      <alignment horizontal="center" vertical="center"/>
    </xf>
    <xf numFmtId="0" fontId="6" fillId="0" borderId="32" xfId="7" applyFont="1" applyBorder="1" applyAlignment="1">
      <alignment vertical="center" wrapText="1"/>
    </xf>
    <xf numFmtId="10" fontId="6" fillId="0" borderId="44" xfId="7" applyNumberFormat="1" applyFont="1" applyBorder="1" applyAlignment="1">
      <alignment horizontal="center" vertical="center"/>
    </xf>
    <xf numFmtId="10" fontId="6" fillId="0" borderId="30" xfId="7" applyNumberFormat="1" applyFont="1" applyBorder="1" applyAlignment="1">
      <alignment horizontal="center" vertical="center"/>
    </xf>
    <xf numFmtId="10" fontId="6" fillId="0" borderId="45" xfId="7" applyNumberFormat="1" applyFont="1" applyBorder="1" applyAlignment="1">
      <alignment horizontal="center" vertical="center"/>
    </xf>
    <xf numFmtId="0" fontId="6" fillId="0" borderId="43" xfId="7" applyFont="1" applyBorder="1" applyAlignment="1">
      <alignment vertical="center" wrapText="1"/>
    </xf>
    <xf numFmtId="10" fontId="6" fillId="0" borderId="42" xfId="7" applyNumberFormat="1" applyFont="1" applyBorder="1" applyAlignment="1">
      <alignment horizontal="center" vertical="center"/>
    </xf>
    <xf numFmtId="10" fontId="6" fillId="0" borderId="6" xfId="7" applyNumberFormat="1" applyFont="1" applyBorder="1" applyAlignment="1">
      <alignment horizontal="center" vertical="center"/>
    </xf>
    <xf numFmtId="10" fontId="6" fillId="0" borderId="33" xfId="7" applyNumberFormat="1" applyFont="1" applyBorder="1" applyAlignment="1">
      <alignment horizontal="center" vertical="center"/>
    </xf>
    <xf numFmtId="0" fontId="6" fillId="0" borderId="8" xfId="7" applyFont="1" applyBorder="1" applyAlignment="1">
      <alignment vertical="center" wrapText="1"/>
    </xf>
    <xf numFmtId="10" fontId="6" fillId="0" borderId="71" xfId="7" applyNumberFormat="1" applyFont="1" applyBorder="1" applyAlignment="1">
      <alignment horizontal="center" vertical="center"/>
    </xf>
    <xf numFmtId="10" fontId="6" fillId="0" borderId="24" xfId="7" applyNumberFormat="1" applyFont="1" applyBorder="1" applyAlignment="1">
      <alignment horizontal="center" vertical="center"/>
    </xf>
    <xf numFmtId="10" fontId="6" fillId="0" borderId="72" xfId="7" applyNumberFormat="1" applyFont="1" applyBorder="1" applyAlignment="1">
      <alignment horizontal="center" vertical="center"/>
    </xf>
    <xf numFmtId="0" fontId="16" fillId="0" borderId="0" xfId="7" applyFont="1" applyAlignment="1">
      <alignment vertical="center" wrapText="1"/>
    </xf>
    <xf numFmtId="10" fontId="6" fillId="0" borderId="74" xfId="7" applyNumberFormat="1" applyFont="1" applyBorder="1" applyAlignment="1">
      <alignment horizontal="center" vertical="center"/>
    </xf>
    <xf numFmtId="10" fontId="6" fillId="0" borderId="23" xfId="7" applyNumberFormat="1" applyFont="1" applyBorder="1" applyAlignment="1">
      <alignment horizontal="center" vertical="center"/>
    </xf>
    <xf numFmtId="10" fontId="6" fillId="0" borderId="48" xfId="7" applyNumberFormat="1" applyFont="1" applyBorder="1" applyAlignment="1">
      <alignment horizontal="center" vertical="center"/>
    </xf>
    <xf numFmtId="0" fontId="7" fillId="0" borderId="25" xfId="0" applyFont="1" applyBorder="1" applyAlignment="1">
      <alignment horizontal="center" vertical="center" wrapText="1"/>
    </xf>
    <xf numFmtId="0" fontId="7" fillId="0" borderId="74" xfId="7" applyFont="1" applyBorder="1" applyAlignment="1">
      <alignment horizontal="center" vertical="center"/>
    </xf>
    <xf numFmtId="0" fontId="7" fillId="0" borderId="23" xfId="7" applyFont="1" applyBorder="1" applyAlignment="1">
      <alignment horizontal="center" vertical="center"/>
    </xf>
    <xf numFmtId="0" fontId="7" fillId="0" borderId="48" xfId="7" applyFont="1" applyBorder="1" applyAlignment="1">
      <alignment horizontal="center" vertical="center"/>
    </xf>
    <xf numFmtId="10" fontId="16" fillId="0" borderId="0" xfId="7" applyNumberFormat="1" applyFont="1" applyAlignment="1">
      <alignment vertical="center"/>
    </xf>
    <xf numFmtId="10" fontId="14" fillId="0" borderId="0" xfId="7" applyNumberFormat="1" applyAlignment="1">
      <alignment vertical="center"/>
    </xf>
    <xf numFmtId="0" fontId="7" fillId="0" borderId="28" xfId="7" applyFont="1" applyBorder="1" applyAlignment="1">
      <alignment vertical="center" wrapText="1"/>
    </xf>
    <xf numFmtId="0" fontId="16" fillId="0" borderId="0" xfId="7" applyFont="1" applyAlignment="1" applyProtection="1">
      <alignment vertical="center"/>
      <protection locked="0"/>
    </xf>
    <xf numFmtId="0" fontId="4" fillId="0" borderId="42" xfId="0" applyFont="1" applyBorder="1" applyAlignment="1">
      <alignment horizontal="center" vertical="center" textRotation="90" wrapText="1"/>
    </xf>
    <xf numFmtId="0" fontId="5" fillId="0" borderId="30" xfId="0" applyFont="1" applyBorder="1" applyAlignment="1">
      <alignment horizontal="center" vertical="center"/>
    </xf>
    <xf numFmtId="0" fontId="5" fillId="0" borderId="6" xfId="0" applyFont="1" applyBorder="1" applyAlignment="1">
      <alignment horizontal="center" vertical="center"/>
    </xf>
    <xf numFmtId="0" fontId="5" fillId="0" borderId="51" xfId="1" applyFont="1" applyBorder="1" applyAlignment="1">
      <alignment vertical="center" wrapText="1"/>
    </xf>
    <xf numFmtId="0" fontId="4" fillId="0" borderId="6" xfId="0" applyFont="1" applyBorder="1" applyAlignment="1">
      <alignment horizontal="center" vertical="center"/>
    </xf>
    <xf numFmtId="0" fontId="5" fillId="0" borderId="43" xfId="1" applyFont="1" applyBorder="1" applyAlignment="1">
      <alignment vertical="center"/>
    </xf>
    <xf numFmtId="2" fontId="5" fillId="0" borderId="42" xfId="1" quotePrefix="1" applyNumberFormat="1" applyFont="1" applyBorder="1" applyAlignment="1">
      <alignment horizontal="center" vertical="center"/>
    </xf>
    <xf numFmtId="166" fontId="5" fillId="0" borderId="33" xfId="1" quotePrefix="1" applyNumberFormat="1" applyFont="1" applyBorder="1" applyAlignment="1">
      <alignment horizontal="center" vertical="center"/>
    </xf>
    <xf numFmtId="0" fontId="5" fillId="2" borderId="0" xfId="0" applyFont="1" applyFill="1" applyAlignment="1">
      <alignment vertical="center"/>
    </xf>
    <xf numFmtId="166" fontId="5" fillId="0" borderId="33" xfId="1" applyNumberFormat="1" applyFont="1" applyBorder="1" applyAlignment="1">
      <alignment horizontal="center" vertical="center"/>
    </xf>
    <xf numFmtId="2" fontId="5" fillId="0" borderId="31" xfId="1" applyNumberFormat="1" applyFont="1" applyBorder="1" applyAlignment="1">
      <alignment horizontal="center" vertical="center"/>
    </xf>
    <xf numFmtId="2" fontId="5" fillId="0" borderId="42" xfId="1" applyNumberFormat="1" applyFont="1" applyBorder="1" applyAlignment="1">
      <alignment horizontal="center" vertical="center"/>
    </xf>
    <xf numFmtId="0" fontId="5" fillId="0" borderId="51" xfId="1" applyFont="1" applyBorder="1" applyAlignment="1">
      <alignment horizontal="left" vertical="center" wrapText="1"/>
    </xf>
    <xf numFmtId="0" fontId="4" fillId="0" borderId="68" xfId="2" applyFont="1" applyBorder="1" applyAlignment="1">
      <alignment horizontal="center" vertical="center"/>
    </xf>
    <xf numFmtId="0" fontId="4" fillId="0" borderId="24" xfId="0" applyFont="1" applyBorder="1" applyAlignment="1">
      <alignment horizontal="center" vertical="center"/>
    </xf>
    <xf numFmtId="0" fontId="4" fillId="0" borderId="30" xfId="2" applyFont="1" applyBorder="1" applyAlignment="1">
      <alignment horizontal="center" vertical="center"/>
    </xf>
    <xf numFmtId="0" fontId="5" fillId="0" borderId="22" xfId="1" applyFont="1" applyBorder="1" applyAlignment="1">
      <alignment vertical="center" wrapText="1"/>
    </xf>
    <xf numFmtId="0" fontId="5" fillId="0" borderId="50" xfId="1" applyFont="1" applyBorder="1" applyAlignment="1">
      <alignment vertical="center"/>
    </xf>
    <xf numFmtId="2" fontId="5" fillId="0" borderId="69" xfId="1" applyNumberFormat="1" applyFont="1" applyBorder="1" applyAlignment="1">
      <alignment horizontal="center" vertical="center"/>
    </xf>
    <xf numFmtId="166" fontId="5" fillId="0" borderId="70" xfId="1" applyNumberFormat="1" applyFont="1" applyBorder="1" applyAlignment="1">
      <alignment horizontal="center" vertical="center"/>
    </xf>
    <xf numFmtId="2" fontId="5" fillId="0" borderId="67" xfId="1" applyNumberFormat="1" applyFont="1" applyBorder="1" applyAlignment="1">
      <alignment horizontal="center" vertical="center"/>
    </xf>
    <xf numFmtId="0" fontId="5" fillId="0" borderId="8" xfId="1" applyFont="1" applyBorder="1" applyAlignment="1">
      <alignment vertical="center"/>
    </xf>
    <xf numFmtId="0" fontId="4" fillId="0" borderId="68" xfId="0" applyFont="1" applyBorder="1" applyAlignment="1">
      <alignment horizontal="center" vertical="center"/>
    </xf>
    <xf numFmtId="2" fontId="5" fillId="0" borderId="34" xfId="1" applyNumberFormat="1" applyFont="1" applyBorder="1" applyAlignment="1">
      <alignment horizontal="center" vertical="center"/>
    </xf>
    <xf numFmtId="2" fontId="5" fillId="0" borderId="6" xfId="1" applyNumberFormat="1" applyFont="1" applyBorder="1" applyAlignment="1">
      <alignment horizontal="center" vertical="center"/>
    </xf>
    <xf numFmtId="2" fontId="4" fillId="0" borderId="6" xfId="1" applyNumberFormat="1" applyFont="1" applyBorder="1" applyAlignment="1">
      <alignment horizontal="center" vertical="center"/>
    </xf>
    <xf numFmtId="2" fontId="5" fillId="0" borderId="33" xfId="1" applyNumberFormat="1" applyFont="1" applyBorder="1" applyAlignment="1">
      <alignment horizontal="center" vertical="center"/>
    </xf>
    <xf numFmtId="4" fontId="5" fillId="0" borderId="6" xfId="1" applyNumberFormat="1" applyFont="1" applyBorder="1" applyAlignment="1">
      <alignment vertical="center"/>
    </xf>
    <xf numFmtId="4" fontId="5" fillId="0" borderId="33" xfId="1" applyNumberFormat="1"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44" fillId="0" borderId="3" xfId="0" applyFont="1" applyBorder="1" applyAlignment="1">
      <alignment horizontal="left" vertical="center"/>
    </xf>
    <xf numFmtId="0" fontId="5" fillId="0" borderId="27" xfId="0" applyFont="1" applyBorder="1" applyAlignment="1">
      <alignment horizontal="left" vertical="center"/>
    </xf>
    <xf numFmtId="0" fontId="4" fillId="0" borderId="27" xfId="1" applyFont="1" applyBorder="1" applyAlignment="1">
      <alignment horizontal="left" vertical="center"/>
    </xf>
    <xf numFmtId="2" fontId="5" fillId="0" borderId="27" xfId="1" applyNumberFormat="1" applyFont="1" applyBorder="1" applyAlignment="1">
      <alignment horizontal="center" vertical="center"/>
    </xf>
    <xf numFmtId="166" fontId="5" fillId="0" borderId="27" xfId="1" applyNumberFormat="1" applyFont="1" applyBorder="1" applyAlignment="1">
      <alignment horizontal="center" vertical="center"/>
    </xf>
    <xf numFmtId="0" fontId="4" fillId="0" borderId="27" xfId="0" applyFont="1" applyBorder="1" applyAlignment="1">
      <alignment vertical="center"/>
    </xf>
    <xf numFmtId="0" fontId="4" fillId="0" borderId="36" xfId="0" applyFont="1" applyBorder="1" applyAlignment="1">
      <alignment vertical="center"/>
    </xf>
    <xf numFmtId="4" fontId="4" fillId="0" borderId="28" xfId="1" applyNumberFormat="1" applyFont="1" applyBorder="1" applyAlignment="1">
      <alignment vertical="center"/>
    </xf>
    <xf numFmtId="4" fontId="4" fillId="0" borderId="3" xfId="1" applyNumberFormat="1" applyFont="1" applyBorder="1" applyAlignment="1">
      <alignment vertical="center"/>
    </xf>
    <xf numFmtId="49" fontId="38" fillId="0" borderId="6" xfId="0" quotePrefix="1" applyNumberFormat="1" applyFont="1" applyBorder="1" applyAlignment="1" applyProtection="1">
      <alignment horizontal="center" vertical="center"/>
      <protection locked="0"/>
    </xf>
    <xf numFmtId="0" fontId="5" fillId="0" borderId="31" xfId="0" applyFont="1" applyBorder="1" applyAlignment="1">
      <alignment horizontal="center" vertical="center"/>
    </xf>
    <xf numFmtId="0" fontId="5" fillId="0" borderId="67" xfId="0" applyFont="1" applyBorder="1" applyAlignment="1">
      <alignment horizontal="center" vertical="center"/>
    </xf>
    <xf numFmtId="0" fontId="5" fillId="0" borderId="34" xfId="0" applyFont="1" applyBorder="1" applyAlignment="1">
      <alignment horizontal="center" vertical="center"/>
    </xf>
    <xf numFmtId="4" fontId="5" fillId="0" borderId="30" xfId="0" applyNumberFormat="1" applyFont="1" applyBorder="1" applyAlignment="1" applyProtection="1">
      <alignment vertical="center"/>
      <protection locked="0"/>
    </xf>
    <xf numFmtId="0" fontId="5" fillId="0" borderId="31" xfId="0" quotePrefix="1" applyFont="1" applyBorder="1" applyAlignment="1">
      <alignment horizontal="center" vertical="center"/>
    </xf>
    <xf numFmtId="39" fontId="39" fillId="0" borderId="9" xfId="3" applyNumberFormat="1" applyFont="1" applyFill="1" applyBorder="1" applyAlignment="1" applyProtection="1">
      <alignment horizontal="centerContinuous" vertical="center"/>
    </xf>
    <xf numFmtId="39" fontId="39" fillId="0" borderId="57" xfId="3" applyNumberFormat="1" applyFont="1" applyFill="1" applyBorder="1" applyAlignment="1" applyProtection="1">
      <alignment horizontal="centerContinuous" vertical="center"/>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9" xfId="1" applyFont="1" applyBorder="1" applyAlignment="1">
      <alignment vertical="center"/>
    </xf>
    <xf numFmtId="164" fontId="5" fillId="0" borderId="9" xfId="3" applyFont="1" applyFill="1" applyBorder="1" applyAlignment="1" applyProtection="1">
      <alignment horizontal="center" vertical="center"/>
    </xf>
    <xf numFmtId="39" fontId="38" fillId="0" borderId="57" xfId="3" applyNumberFormat="1" applyFont="1" applyFill="1" applyBorder="1" applyAlignment="1" applyProtection="1">
      <alignment horizontal="centerContinuous" vertical="center"/>
    </xf>
    <xf numFmtId="0" fontId="4" fillId="5" borderId="9" xfId="1" applyFont="1" applyFill="1" applyBorder="1" applyAlignment="1">
      <alignment vertical="center"/>
    </xf>
    <xf numFmtId="0" fontId="5" fillId="5" borderId="9" xfId="1" applyFont="1" applyFill="1" applyBorder="1" applyAlignment="1">
      <alignment vertical="center"/>
    </xf>
    <xf numFmtId="0" fontId="5" fillId="5" borderId="12" xfId="1" applyFont="1" applyFill="1" applyBorder="1" applyAlignment="1">
      <alignment vertical="center"/>
    </xf>
    <xf numFmtId="0" fontId="5" fillId="0" borderId="0" xfId="0" applyFont="1" applyAlignment="1">
      <alignment horizontal="center" vertical="center"/>
    </xf>
    <xf numFmtId="0" fontId="5" fillId="0" borderId="13" xfId="0" applyFont="1" applyBorder="1" applyAlignment="1">
      <alignment vertical="center"/>
    </xf>
    <xf numFmtId="0" fontId="40" fillId="0" borderId="0" xfId="1" applyFont="1" applyAlignment="1">
      <alignment vertical="center"/>
    </xf>
    <xf numFmtId="164" fontId="5" fillId="0" borderId="0" xfId="3" applyFont="1" applyFill="1" applyBorder="1" applyAlignment="1" applyProtection="1">
      <alignment horizontal="center" vertical="center"/>
    </xf>
    <xf numFmtId="0" fontId="5" fillId="0" borderId="14" xfId="0" applyFont="1" applyBorder="1" applyAlignment="1">
      <alignment vertical="center"/>
    </xf>
    <xf numFmtId="4" fontId="38" fillId="0" borderId="58" xfId="1" applyNumberFormat="1" applyFont="1" applyBorder="1" applyAlignment="1">
      <alignment horizontal="center" vertical="center"/>
    </xf>
    <xf numFmtId="0" fontId="38" fillId="0" borderId="0" xfId="1" applyFont="1" applyAlignment="1">
      <alignment horizontal="center" vertical="center"/>
    </xf>
    <xf numFmtId="0" fontId="38" fillId="0" borderId="0" xfId="1" applyFont="1" applyAlignment="1" applyProtection="1">
      <alignment horizontal="centerContinuous" vertical="center"/>
      <protection locked="0"/>
    </xf>
    <xf numFmtId="0" fontId="38" fillId="0" borderId="14" xfId="1" applyFont="1" applyBorder="1" applyAlignment="1" applyProtection="1">
      <alignment horizontal="centerContinuous" vertical="center"/>
      <protection locked="0"/>
    </xf>
    <xf numFmtId="0" fontId="5" fillId="0" borderId="13" xfId="1" applyFont="1" applyBorder="1" applyAlignment="1">
      <alignment horizontal="center" vertical="center"/>
    </xf>
    <xf numFmtId="0" fontId="5" fillId="0" borderId="0" xfId="1" applyFont="1" applyAlignment="1">
      <alignment vertical="center"/>
    </xf>
    <xf numFmtId="0" fontId="4" fillId="0" borderId="0" xfId="1" applyFont="1" applyAlignment="1">
      <alignment vertical="center"/>
    </xf>
    <xf numFmtId="0" fontId="4" fillId="5" borderId="0" xfId="1" applyFont="1" applyFill="1" applyAlignment="1">
      <alignment vertical="center"/>
    </xf>
    <xf numFmtId="0" fontId="5" fillId="5" borderId="0" xfId="1" applyFont="1" applyFill="1" applyAlignment="1">
      <alignment vertical="center"/>
    </xf>
    <xf numFmtId="0" fontId="4" fillId="0" borderId="58" xfId="1" applyFont="1" applyBorder="1" applyAlignment="1">
      <alignment horizontal="right" vertical="center"/>
    </xf>
    <xf numFmtId="0" fontId="4" fillId="0" borderId="0" xfId="1" applyFont="1" applyAlignment="1">
      <alignment horizontal="right" vertical="center"/>
    </xf>
    <xf numFmtId="0" fontId="4" fillId="0" borderId="0" xfId="1" applyFont="1" applyAlignment="1" applyProtection="1">
      <alignment vertical="center"/>
      <protection locked="0"/>
    </xf>
    <xf numFmtId="0" fontId="4" fillId="0" borderId="14" xfId="1" applyFont="1" applyBorder="1" applyAlignment="1" applyProtection="1">
      <alignment vertical="center"/>
      <protection locked="0"/>
    </xf>
    <xf numFmtId="0" fontId="4" fillId="0" borderId="14" xfId="1" applyFont="1" applyBorder="1" applyAlignment="1">
      <alignment vertical="center"/>
    </xf>
    <xf numFmtId="10" fontId="4" fillId="0" borderId="28" xfId="4" applyNumberFormat="1" applyFont="1" applyFill="1" applyBorder="1" applyAlignment="1" applyProtection="1">
      <alignment horizontal="right" vertical="center"/>
      <protection locked="0"/>
    </xf>
    <xf numFmtId="0" fontId="46" fillId="0" borderId="0" xfId="0" applyFont="1" applyAlignment="1">
      <alignment vertical="center"/>
    </xf>
    <xf numFmtId="0" fontId="15" fillId="0" borderId="0" xfId="0" applyFont="1" applyAlignment="1">
      <alignment vertical="center"/>
    </xf>
    <xf numFmtId="49" fontId="4" fillId="0" borderId="54" xfId="0" applyNumberFormat="1" applyFont="1" applyBorder="1" applyAlignment="1" applyProtection="1">
      <alignment horizontal="center" vertical="center"/>
      <protection locked="0"/>
    </xf>
    <xf numFmtId="49" fontId="4" fillId="0" borderId="55" xfId="0" applyNumberFormat="1" applyFont="1" applyBorder="1" applyAlignment="1" applyProtection="1">
      <alignment horizontal="center" vertical="center"/>
      <protection locked="0"/>
    </xf>
    <xf numFmtId="49" fontId="4" fillId="0" borderId="22" xfId="0" applyNumberFormat="1" applyFont="1" applyBorder="1" applyAlignment="1" applyProtection="1">
      <alignment horizontal="center" vertical="center"/>
      <protection locked="0"/>
    </xf>
    <xf numFmtId="49" fontId="4" fillId="0" borderId="62" xfId="0" applyNumberFormat="1" applyFont="1" applyBorder="1" applyAlignment="1" applyProtection="1">
      <alignment horizontal="center" vertical="center"/>
      <protection locked="0"/>
    </xf>
    <xf numFmtId="49" fontId="4" fillId="0" borderId="63" xfId="0" applyNumberFormat="1" applyFont="1" applyBorder="1" applyAlignment="1" applyProtection="1">
      <alignment horizontal="center" vertical="center"/>
      <protection locked="0"/>
    </xf>
    <xf numFmtId="49" fontId="4" fillId="0" borderId="51" xfId="0" applyNumberFormat="1" applyFont="1" applyBorder="1" applyAlignment="1" applyProtection="1">
      <alignment horizontal="center" vertical="center"/>
      <protection locked="0"/>
    </xf>
    <xf numFmtId="49" fontId="4" fillId="0" borderId="10" xfId="0" applyNumberFormat="1" applyFont="1" applyBorder="1" applyAlignment="1" applyProtection="1">
      <alignment horizontal="center" vertical="center"/>
      <protection locked="0"/>
    </xf>
    <xf numFmtId="49" fontId="4" fillId="0" borderId="61" xfId="0" applyNumberFormat="1" applyFont="1" applyBorder="1" applyAlignment="1" applyProtection="1">
      <alignment horizontal="center" vertical="center"/>
      <protection locked="0"/>
    </xf>
    <xf numFmtId="49" fontId="4" fillId="0" borderId="16" xfId="0" applyNumberFormat="1" applyFont="1" applyBorder="1" applyAlignment="1" applyProtection="1">
      <alignment horizontal="center" vertical="center"/>
      <protection locked="0"/>
    </xf>
    <xf numFmtId="0" fontId="4" fillId="0" borderId="15" xfId="0" applyFont="1" applyBorder="1" applyAlignment="1" applyProtection="1">
      <alignment horizontal="left" vertical="center"/>
      <protection locked="0"/>
    </xf>
    <xf numFmtId="0" fontId="4" fillId="0" borderId="10" xfId="0" applyFont="1" applyBorder="1" applyAlignment="1" applyProtection="1">
      <alignment horizontal="left" vertical="center"/>
      <protection locked="0"/>
    </xf>
    <xf numFmtId="0" fontId="42" fillId="0" borderId="56" xfId="0" applyFont="1" applyBorder="1" applyAlignment="1">
      <alignment horizontal="centerContinuous" vertical="center"/>
    </xf>
    <xf numFmtId="0" fontId="42" fillId="0" borderId="42" xfId="0" applyFont="1" applyBorder="1" applyAlignment="1">
      <alignment horizontal="centerContinuous" vertical="center"/>
    </xf>
    <xf numFmtId="0" fontId="4" fillId="0" borderId="0" xfId="0" applyFont="1" applyAlignment="1">
      <alignment horizontal="center" vertical="center" wrapText="1"/>
    </xf>
    <xf numFmtId="0" fontId="4" fillId="0" borderId="0" xfId="0" applyFont="1" applyAlignment="1">
      <alignment horizontal="center" vertical="center"/>
    </xf>
    <xf numFmtId="2" fontId="5" fillId="0" borderId="30" xfId="1" applyNumberFormat="1" applyFont="1" applyBorder="1" applyAlignment="1">
      <alignment horizontal="center" vertical="center"/>
    </xf>
    <xf numFmtId="2" fontId="4" fillId="0" borderId="30" xfId="1" applyNumberFormat="1" applyFont="1" applyBorder="1" applyAlignment="1">
      <alignment horizontal="center" vertical="center"/>
    </xf>
    <xf numFmtId="2" fontId="5" fillId="0" borderId="45" xfId="1" applyNumberFormat="1" applyFont="1" applyBorder="1" applyAlignment="1">
      <alignment horizontal="center" vertical="center"/>
    </xf>
    <xf numFmtId="4" fontId="5" fillId="0" borderId="30" xfId="1" applyNumberFormat="1" applyFont="1" applyBorder="1" applyAlignment="1">
      <alignment vertical="center"/>
    </xf>
    <xf numFmtId="2" fontId="5" fillId="0" borderId="31" xfId="1" quotePrefix="1" applyNumberFormat="1" applyFont="1" applyBorder="1" applyAlignment="1">
      <alignment horizontal="center" vertical="center"/>
    </xf>
    <xf numFmtId="0" fontId="5" fillId="0" borderId="0" xfId="0" quotePrefix="1" applyFont="1" applyAlignment="1">
      <alignment vertical="center"/>
    </xf>
    <xf numFmtId="49" fontId="38" fillId="0" borderId="31" xfId="0" quotePrefix="1" applyNumberFormat="1" applyFont="1" applyBorder="1" applyAlignment="1" applyProtection="1">
      <alignment horizontal="center" vertical="center"/>
      <protection locked="0"/>
    </xf>
    <xf numFmtId="0" fontId="5" fillId="0" borderId="33" xfId="0" applyFont="1" applyBorder="1" applyAlignment="1" applyProtection="1">
      <alignment horizontal="left" vertical="center" wrapText="1"/>
      <protection locked="0"/>
    </xf>
    <xf numFmtId="0" fontId="4" fillId="0" borderId="51" xfId="1" applyFont="1" applyBorder="1" applyAlignment="1">
      <alignment vertical="center"/>
    </xf>
    <xf numFmtId="2" fontId="5" fillId="0" borderId="42" xfId="1" applyNumberFormat="1" applyFont="1" applyBorder="1" applyAlignment="1">
      <alignment horizontal="left" vertical="center"/>
    </xf>
    <xf numFmtId="166" fontId="5" fillId="0" borderId="33" xfId="1" applyNumberFormat="1" applyFont="1" applyBorder="1" applyAlignment="1">
      <alignment horizontal="left" vertical="center"/>
    </xf>
    <xf numFmtId="2" fontId="5" fillId="0" borderId="31" xfId="1" applyNumberFormat="1" applyFont="1" applyBorder="1" applyAlignment="1">
      <alignment horizontal="left" vertical="center"/>
    </xf>
    <xf numFmtId="2" fontId="5" fillId="0" borderId="6" xfId="1" applyNumberFormat="1" applyFont="1" applyBorder="1" applyAlignment="1">
      <alignment horizontal="left" vertical="center"/>
    </xf>
    <xf numFmtId="2" fontId="5" fillId="0" borderId="6" xfId="1" applyNumberFormat="1" applyFont="1" applyBorder="1" applyAlignment="1">
      <alignment horizontal="right" vertical="center"/>
    </xf>
    <xf numFmtId="2" fontId="4" fillId="0" borderId="33" xfId="1" applyNumberFormat="1" applyFont="1" applyBorder="1" applyAlignment="1">
      <alignment horizontal="center" vertical="center"/>
    </xf>
    <xf numFmtId="0" fontId="5" fillId="0" borderId="45" xfId="0" applyFont="1" applyBorder="1" applyAlignment="1" applyProtection="1">
      <alignment horizontal="left" vertical="center" wrapText="1"/>
      <protection locked="0"/>
    </xf>
    <xf numFmtId="2" fontId="4" fillId="0" borderId="30" xfId="1" applyNumberFormat="1" applyFont="1" applyBorder="1" applyAlignment="1">
      <alignment horizontal="right" vertical="center"/>
    </xf>
    <xf numFmtId="4" fontId="5" fillId="0" borderId="45" xfId="1" applyNumberFormat="1" applyFont="1" applyBorder="1" applyAlignment="1">
      <alignment vertical="center"/>
    </xf>
    <xf numFmtId="49" fontId="38" fillId="0" borderId="26" xfId="0" quotePrefix="1" applyNumberFormat="1" applyFont="1" applyBorder="1" applyAlignment="1" applyProtection="1">
      <alignment horizontal="center" vertical="center"/>
      <protection locked="0"/>
    </xf>
    <xf numFmtId="0" fontId="4" fillId="0" borderId="52" xfId="1" applyFont="1" applyBorder="1" applyAlignment="1">
      <alignment vertical="center"/>
    </xf>
    <xf numFmtId="2" fontId="5" fillId="0" borderId="41" xfId="1" applyNumberFormat="1" applyFont="1" applyBorder="1" applyAlignment="1">
      <alignment horizontal="left" vertical="center"/>
    </xf>
    <xf numFmtId="166" fontId="5" fillId="0" borderId="39" xfId="1" applyNumberFormat="1" applyFont="1" applyBorder="1" applyAlignment="1">
      <alignment horizontal="left" vertical="center"/>
    </xf>
    <xf numFmtId="2" fontId="5" fillId="0" borderId="37" xfId="1" applyNumberFormat="1" applyFont="1" applyBorder="1" applyAlignment="1">
      <alignment horizontal="left" vertical="center"/>
    </xf>
    <xf numFmtId="2" fontId="5" fillId="0" borderId="38" xfId="1" applyNumberFormat="1" applyFont="1" applyBorder="1" applyAlignment="1">
      <alignment horizontal="left" vertical="center"/>
    </xf>
    <xf numFmtId="2" fontId="5" fillId="0" borderId="38" xfId="1" applyNumberFormat="1" applyFont="1" applyBorder="1" applyAlignment="1">
      <alignment horizontal="right" vertical="center"/>
    </xf>
    <xf numFmtId="2" fontId="4" fillId="0" borderId="1" xfId="1" applyNumberFormat="1" applyFont="1" applyBorder="1" applyAlignment="1">
      <alignment horizontal="right" vertical="center"/>
    </xf>
    <xf numFmtId="2" fontId="4" fillId="0" borderId="39" xfId="1" applyNumberFormat="1" applyFont="1" applyBorder="1" applyAlignment="1">
      <alignment horizontal="center" vertical="center"/>
    </xf>
    <xf numFmtId="4" fontId="5" fillId="0" borderId="38" xfId="1" applyNumberFormat="1" applyFont="1" applyBorder="1" applyAlignment="1">
      <alignment vertical="center"/>
    </xf>
    <xf numFmtId="4" fontId="5" fillId="0" borderId="39" xfId="1" applyNumberFormat="1" applyFont="1" applyBorder="1" applyAlignment="1">
      <alignment vertical="center"/>
    </xf>
    <xf numFmtId="0" fontId="5" fillId="0" borderId="49" xfId="1" applyFont="1" applyBorder="1" applyAlignment="1">
      <alignment vertical="center" wrapText="1"/>
    </xf>
    <xf numFmtId="0" fontId="5" fillId="0" borderId="32" xfId="1" applyFont="1" applyBorder="1" applyAlignment="1">
      <alignment vertical="center"/>
    </xf>
    <xf numFmtId="2" fontId="5" fillId="0" borderId="44" xfId="1" applyNumberFormat="1" applyFont="1" applyBorder="1" applyAlignment="1">
      <alignment horizontal="center" vertical="center"/>
    </xf>
    <xf numFmtId="166" fontId="5" fillId="0" borderId="45" xfId="1" applyNumberFormat="1" applyFont="1" applyBorder="1" applyAlignment="1">
      <alignment horizontal="center" vertical="center"/>
    </xf>
    <xf numFmtId="0" fontId="5" fillId="2" borderId="0" xfId="0" quotePrefix="1" applyFont="1" applyFill="1" applyAlignment="1">
      <alignment vertical="center"/>
    </xf>
    <xf numFmtId="2" fontId="5" fillId="0" borderId="39" xfId="1" applyNumberFormat="1" applyFont="1" applyBorder="1" applyAlignment="1">
      <alignment horizontal="center" vertical="center"/>
    </xf>
    <xf numFmtId="0" fontId="5" fillId="0" borderId="37" xfId="2" applyBorder="1" applyAlignment="1">
      <alignment horizontal="center" vertical="center"/>
    </xf>
    <xf numFmtId="0" fontId="5" fillId="0" borderId="52" xfId="1" applyFont="1" applyBorder="1" applyAlignment="1">
      <alignment vertical="center" wrapText="1"/>
    </xf>
    <xf numFmtId="0" fontId="5" fillId="0" borderId="66" xfId="1" applyFont="1" applyBorder="1" applyAlignment="1">
      <alignment vertical="center"/>
    </xf>
    <xf numFmtId="2" fontId="5" fillId="0" borderId="41" xfId="1" applyNumberFormat="1" applyFont="1" applyBorder="1" applyAlignment="1">
      <alignment horizontal="center" vertical="center"/>
    </xf>
    <xf numFmtId="2" fontId="5" fillId="0" borderId="37" xfId="1" applyNumberFormat="1" applyFont="1" applyBorder="1" applyAlignment="1">
      <alignment horizontal="center" vertical="center"/>
    </xf>
    <xf numFmtId="2" fontId="5" fillId="0" borderId="38" xfId="1" applyNumberFormat="1" applyFont="1" applyBorder="1" applyAlignment="1">
      <alignment horizontal="center" vertical="center"/>
    </xf>
    <xf numFmtId="2" fontId="4" fillId="0" borderId="38" xfId="1" applyNumberFormat="1" applyFont="1" applyBorder="1" applyAlignment="1">
      <alignment horizontal="center" vertical="center"/>
    </xf>
    <xf numFmtId="0" fontId="5" fillId="0" borderId="67" xfId="2" applyBorder="1" applyAlignment="1">
      <alignment horizontal="center" vertical="center"/>
    </xf>
    <xf numFmtId="2" fontId="5" fillId="0" borderId="68" xfId="1" applyNumberFormat="1" applyFont="1" applyBorder="1" applyAlignment="1">
      <alignment horizontal="center" vertical="center"/>
    </xf>
    <xf numFmtId="2" fontId="4" fillId="0" borderId="68" xfId="1" applyNumberFormat="1" applyFont="1" applyBorder="1" applyAlignment="1">
      <alignment horizontal="center" vertical="center"/>
    </xf>
    <xf numFmtId="2" fontId="5" fillId="0" borderId="70" xfId="1" applyNumberFormat="1" applyFont="1" applyBorder="1" applyAlignment="1">
      <alignment horizontal="center" vertical="center"/>
    </xf>
    <xf numFmtId="4" fontId="5" fillId="0" borderId="70" xfId="1" applyNumberFormat="1" applyFont="1" applyBorder="1" applyAlignment="1">
      <alignment vertical="center"/>
    </xf>
    <xf numFmtId="0" fontId="5" fillId="0" borderId="26" xfId="2" applyBorder="1" applyAlignment="1">
      <alignment horizontal="center" vertical="center"/>
    </xf>
    <xf numFmtId="0" fontId="5" fillId="0" borderId="65" xfId="1" applyFont="1" applyBorder="1" applyAlignment="1">
      <alignment vertical="center" wrapText="1"/>
    </xf>
    <xf numFmtId="2" fontId="5" fillId="0" borderId="26" xfId="1" quotePrefix="1" applyNumberFormat="1" applyFont="1" applyBorder="1" applyAlignment="1">
      <alignment horizontal="center" vertical="center"/>
    </xf>
    <xf numFmtId="166" fontId="5" fillId="0" borderId="0" xfId="0" applyNumberFormat="1" applyFont="1" applyAlignment="1">
      <alignment horizontal="center" vertical="center"/>
    </xf>
    <xf numFmtId="2" fontId="5" fillId="0" borderId="24" xfId="1" applyNumberFormat="1" applyFont="1" applyBorder="1" applyAlignment="1">
      <alignment horizontal="center" vertical="center"/>
    </xf>
    <xf numFmtId="2" fontId="4" fillId="0" borderId="24" xfId="1" applyNumberFormat="1" applyFont="1" applyBorder="1" applyAlignment="1">
      <alignment horizontal="center" vertical="center"/>
    </xf>
    <xf numFmtId="2" fontId="5" fillId="0" borderId="72" xfId="1" applyNumberFormat="1" applyFont="1" applyBorder="1" applyAlignment="1">
      <alignment horizontal="center" vertical="center"/>
    </xf>
    <xf numFmtId="4" fontId="5" fillId="0" borderId="72" xfId="1" applyNumberFormat="1" applyFont="1" applyBorder="1" applyAlignment="1">
      <alignment vertical="center"/>
    </xf>
    <xf numFmtId="0" fontId="5" fillId="2" borderId="0" xfId="0" applyFont="1" applyFill="1" applyAlignment="1">
      <alignment horizontal="right" vertical="center"/>
    </xf>
    <xf numFmtId="0" fontId="5" fillId="0" borderId="37" xfId="0" applyFont="1" applyBorder="1" applyAlignment="1">
      <alignment horizontal="center" vertical="center"/>
    </xf>
    <xf numFmtId="166" fontId="5" fillId="0" borderId="39" xfId="1" applyNumberFormat="1" applyFont="1" applyBorder="1" applyAlignment="1">
      <alignment horizontal="center" vertical="center"/>
    </xf>
    <xf numFmtId="2" fontId="5" fillId="0" borderId="113" xfId="1" applyNumberFormat="1" applyFont="1" applyBorder="1" applyAlignment="1">
      <alignment horizontal="center" vertical="center"/>
    </xf>
    <xf numFmtId="4" fontId="5" fillId="0" borderId="31" xfId="0" applyNumberFormat="1" applyFont="1" applyBorder="1" applyAlignment="1">
      <alignment horizontal="center" vertical="center"/>
    </xf>
    <xf numFmtId="2" fontId="5" fillId="0" borderId="69" xfId="1" applyNumberFormat="1" applyFont="1" applyBorder="1" applyAlignment="1">
      <alignment horizontal="center" vertical="center" wrapText="1"/>
    </xf>
    <xf numFmtId="0" fontId="5" fillId="0" borderId="0" xfId="0" applyFont="1" applyAlignment="1">
      <alignment horizontal="right" vertical="center"/>
    </xf>
    <xf numFmtId="0" fontId="5" fillId="0" borderId="30" xfId="0" applyFont="1" applyBorder="1" applyAlignment="1" applyProtection="1">
      <alignment horizontal="left" vertical="center" wrapText="1"/>
      <protection locked="0"/>
    </xf>
    <xf numFmtId="0" fontId="45" fillId="4" borderId="0" xfId="0" applyFont="1" applyFill="1" applyAlignment="1">
      <alignment vertical="center"/>
    </xf>
    <xf numFmtId="0" fontId="4" fillId="0" borderId="36" xfId="1" applyFont="1" applyBorder="1" applyAlignment="1">
      <alignment horizontal="left" vertical="center"/>
    </xf>
    <xf numFmtId="0" fontId="41" fillId="0" borderId="0" xfId="0" applyFont="1" applyAlignment="1">
      <alignment horizontal="center" vertical="center"/>
    </xf>
    <xf numFmtId="0" fontId="5" fillId="0" borderId="0" xfId="0" applyFont="1" applyAlignment="1">
      <alignment horizontal="left" vertical="center"/>
    </xf>
    <xf numFmtId="2" fontId="5" fillId="0" borderId="0" xfId="0" applyNumberFormat="1" applyFont="1" applyAlignment="1">
      <alignment vertical="center"/>
    </xf>
    <xf numFmtId="43" fontId="5" fillId="0" borderId="0" xfId="0" applyNumberFormat="1" applyFont="1" applyAlignment="1">
      <alignment vertical="center"/>
    </xf>
    <xf numFmtId="0" fontId="5" fillId="0" borderId="51" xfId="1" applyFont="1" applyBorder="1" applyAlignment="1">
      <alignment horizontal="left" vertical="center" wrapText="1" indent="2"/>
    </xf>
    <xf numFmtId="0" fontId="7" fillId="3" borderId="6" xfId="14" applyFont="1" applyFill="1" applyBorder="1" applyAlignment="1">
      <alignment horizontal="center"/>
    </xf>
    <xf numFmtId="0" fontId="6" fillId="3" borderId="7" xfId="14" applyFill="1" applyBorder="1" applyAlignment="1">
      <alignment horizontal="centerContinuous"/>
    </xf>
    <xf numFmtId="0" fontId="6" fillId="3" borderId="56" xfId="14" applyFill="1" applyBorder="1" applyAlignment="1">
      <alignment horizontal="centerContinuous"/>
    </xf>
    <xf numFmtId="0" fontId="6" fillId="3" borderId="42" xfId="14" applyFill="1" applyBorder="1" applyAlignment="1">
      <alignment horizontal="centerContinuous"/>
    </xf>
    <xf numFmtId="0" fontId="6" fillId="3" borderId="44" xfId="14" applyFill="1" applyBorder="1" applyAlignment="1">
      <alignment horizontal="centerContinuous"/>
    </xf>
    <xf numFmtId="0" fontId="6" fillId="3" borderId="88" xfId="14" applyFill="1" applyBorder="1" applyAlignment="1">
      <alignment horizontal="centerContinuous"/>
    </xf>
    <xf numFmtId="0" fontId="6" fillId="3" borderId="89" xfId="14" applyFill="1" applyBorder="1" applyAlignment="1">
      <alignment horizontal="center"/>
    </xf>
    <xf numFmtId="0" fontId="6" fillId="3" borderId="90" xfId="14" applyFill="1" applyBorder="1" applyAlignment="1">
      <alignment horizontal="center"/>
    </xf>
    <xf numFmtId="0" fontId="6" fillId="3" borderId="92" xfId="14" applyFill="1" applyBorder="1"/>
    <xf numFmtId="0" fontId="6" fillId="3" borderId="93" xfId="14" applyFill="1" applyBorder="1"/>
    <xf numFmtId="0" fontId="6" fillId="3" borderId="94" xfId="14" applyFill="1" applyBorder="1" applyAlignment="1">
      <alignment horizontal="center"/>
    </xf>
    <xf numFmtId="0" fontId="6" fillId="3" borderId="95" xfId="14" applyFill="1" applyBorder="1" applyAlignment="1">
      <alignment horizontal="center"/>
    </xf>
    <xf numFmtId="0" fontId="6" fillId="3" borderId="96" xfId="14" applyFill="1" applyBorder="1" applyAlignment="1">
      <alignment horizontal="center"/>
    </xf>
    <xf numFmtId="0" fontId="7" fillId="3" borderId="92" xfId="14" applyFont="1" applyFill="1" applyBorder="1" applyAlignment="1">
      <alignment textRotation="180"/>
    </xf>
    <xf numFmtId="169" fontId="6" fillId="3" borderId="94" xfId="14" applyNumberFormat="1" applyFill="1" applyBorder="1" applyAlignment="1">
      <alignment horizontal="center"/>
    </xf>
    <xf numFmtId="49" fontId="5" fillId="3" borderId="97" xfId="14" applyNumberFormat="1" applyFont="1" applyFill="1" applyBorder="1" applyAlignment="1">
      <alignment horizontal="center"/>
    </xf>
    <xf numFmtId="49" fontId="5" fillId="3" borderId="98" xfId="14" applyNumberFormat="1" applyFont="1" applyFill="1" applyBorder="1" applyAlignment="1">
      <alignment horizontal="left"/>
    </xf>
    <xf numFmtId="49" fontId="5" fillId="3" borderId="44" xfId="14" applyNumberFormat="1" applyFont="1" applyFill="1" applyBorder="1" applyAlignment="1">
      <alignment horizontal="left"/>
    </xf>
    <xf numFmtId="0" fontId="39" fillId="3" borderId="6" xfId="14" applyFont="1" applyFill="1" applyBorder="1"/>
    <xf numFmtId="0" fontId="5" fillId="3" borderId="44" xfId="14" applyFont="1" applyFill="1" applyBorder="1" applyAlignment="1">
      <alignment horizontal="center"/>
    </xf>
    <xf numFmtId="40" fontId="4" fillId="9" borderId="99" xfId="14" applyNumberFormat="1" applyFont="1" applyFill="1" applyBorder="1" applyAlignment="1">
      <alignment horizontal="right"/>
    </xf>
    <xf numFmtId="2" fontId="5" fillId="3" borderId="45" xfId="14" applyNumberFormat="1" applyFont="1" applyFill="1" applyBorder="1"/>
    <xf numFmtId="49" fontId="5" fillId="3" borderId="34" xfId="14" applyNumberFormat="1" applyFont="1" applyFill="1" applyBorder="1" applyAlignment="1">
      <alignment horizontal="center"/>
    </xf>
    <xf numFmtId="0" fontId="28" fillId="0" borderId="6" xfId="14" applyFont="1" applyBorder="1" applyAlignment="1">
      <alignment horizontal="center"/>
    </xf>
    <xf numFmtId="0" fontId="28" fillId="0" borderId="42" xfId="14" applyFont="1" applyBorder="1" applyAlignment="1">
      <alignment horizontal="center"/>
    </xf>
    <xf numFmtId="0" fontId="29" fillId="0" borderId="6" xfId="14" applyFont="1" applyBorder="1"/>
    <xf numFmtId="49" fontId="28" fillId="0" borderId="44" xfId="14" applyNumberFormat="1" applyFont="1" applyBorder="1" applyAlignment="1">
      <alignment horizontal="left"/>
    </xf>
    <xf numFmtId="49" fontId="28" fillId="0" borderId="44" xfId="14" applyNumberFormat="1" applyFont="1" applyBorder="1" applyAlignment="1">
      <alignment horizontal="center"/>
    </xf>
    <xf numFmtId="1" fontId="28" fillId="0" borderId="6" xfId="14" applyNumberFormat="1" applyFont="1" applyBorder="1" applyAlignment="1">
      <alignment horizontal="center"/>
    </xf>
    <xf numFmtId="0" fontId="28" fillId="0" borderId="44" xfId="14" applyFont="1" applyBorder="1" applyAlignment="1">
      <alignment horizontal="center"/>
    </xf>
    <xf numFmtId="0" fontId="28" fillId="0" borderId="30" xfId="14" applyFont="1" applyBorder="1" applyAlignment="1">
      <alignment horizontal="center"/>
    </xf>
    <xf numFmtId="49" fontId="28" fillId="0" borderId="114" xfId="14" applyNumberFormat="1" applyFont="1" applyBorder="1" applyAlignment="1">
      <alignment horizontal="center"/>
    </xf>
    <xf numFmtId="1" fontId="28" fillId="0" borderId="107" xfId="14" applyNumberFormat="1" applyFont="1" applyBorder="1" applyAlignment="1">
      <alignment horizontal="center"/>
    </xf>
    <xf numFmtId="169" fontId="26" fillId="0" borderId="94" xfId="14" applyNumberFormat="1" applyFont="1" applyBorder="1" applyAlignment="1">
      <alignment horizontal="center"/>
    </xf>
    <xf numFmtId="0" fontId="27" fillId="0" borderId="115" xfId="14" applyFont="1" applyBorder="1" applyAlignment="1">
      <alignment textRotation="180"/>
    </xf>
    <xf numFmtId="0" fontId="26" fillId="0" borderId="115" xfId="14" applyFont="1" applyBorder="1"/>
    <xf numFmtId="1" fontId="27" fillId="0" borderId="116" xfId="14" applyNumberFormat="1" applyFont="1" applyBorder="1" applyAlignment="1">
      <alignment horizontal="center"/>
    </xf>
    <xf numFmtId="0" fontId="27" fillId="0" borderId="117" xfId="14" applyFont="1" applyBorder="1" applyAlignment="1">
      <alignment horizontal="center"/>
    </xf>
    <xf numFmtId="1" fontId="28" fillId="0" borderId="34" xfId="14" applyNumberFormat="1" applyFont="1" applyBorder="1" applyAlignment="1">
      <alignment horizontal="center"/>
    </xf>
    <xf numFmtId="1" fontId="28" fillId="0" borderId="97" xfId="14" applyNumberFormat="1" applyFont="1" applyBorder="1" applyAlignment="1">
      <alignment horizontal="center"/>
    </xf>
    <xf numFmtId="0" fontId="27" fillId="0" borderId="92" xfId="14" applyFont="1" applyBorder="1" applyAlignment="1">
      <alignment textRotation="180"/>
    </xf>
    <xf numFmtId="0" fontId="26" fillId="0" borderId="92" xfId="14" applyFont="1" applyBorder="1"/>
    <xf numFmtId="1" fontId="27" fillId="0" borderId="118" xfId="14" applyNumberFormat="1" applyFont="1" applyBorder="1" applyAlignment="1">
      <alignment horizontal="center"/>
    </xf>
    <xf numFmtId="0" fontId="27" fillId="0" borderId="91" xfId="14" applyFont="1" applyBorder="1" applyAlignment="1">
      <alignment horizontal="center"/>
    </xf>
    <xf numFmtId="0" fontId="40" fillId="0" borderId="0" xfId="1" applyFont="1" applyAlignment="1">
      <alignment horizontal="left" vertical="center"/>
    </xf>
    <xf numFmtId="0" fontId="4" fillId="0" borderId="58" xfId="0" applyFont="1" applyBorder="1" applyAlignment="1">
      <alignment horizontal="right" vertical="center"/>
    </xf>
    <xf numFmtId="164" fontId="18" fillId="5" borderId="28" xfId="3" applyFont="1" applyFill="1" applyBorder="1" applyAlignment="1" applyProtection="1">
      <alignment horizontal="right" vertical="center"/>
      <protection locked="0"/>
    </xf>
    <xf numFmtId="0" fontId="8" fillId="0" borderId="0" xfId="7" applyFont="1" applyAlignment="1">
      <alignment vertical="center"/>
    </xf>
    <xf numFmtId="0" fontId="4"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14" xfId="1" applyFont="1" applyBorder="1" applyAlignment="1">
      <alignment vertical="center"/>
    </xf>
    <xf numFmtId="167" fontId="4" fillId="0" borderId="20" xfId="1" applyNumberFormat="1" applyFont="1" applyBorder="1" applyAlignment="1" applyProtection="1">
      <alignment horizontal="right" vertical="center"/>
      <protection locked="0"/>
    </xf>
    <xf numFmtId="4" fontId="4" fillId="9" borderId="42" xfId="14" applyNumberFormat="1" applyFont="1" applyFill="1" applyBorder="1" applyAlignment="1" applyProtection="1">
      <alignment horizontal="center"/>
      <protection locked="0"/>
    </xf>
    <xf numFmtId="0" fontId="50" fillId="0" borderId="6" xfId="0" applyFont="1" applyBorder="1" applyAlignment="1">
      <alignment wrapText="1"/>
    </xf>
    <xf numFmtId="0" fontId="50" fillId="0" borderId="6" xfId="0" applyFont="1" applyBorder="1" applyAlignment="1">
      <alignment horizontal="center"/>
    </xf>
    <xf numFmtId="0" fontId="50" fillId="0" borderId="6" xfId="0" applyFont="1" applyBorder="1" applyAlignment="1">
      <alignment horizontal="left"/>
    </xf>
    <xf numFmtId="49" fontId="38" fillId="0" borderId="34" xfId="0" quotePrefix="1" applyNumberFormat="1" applyFont="1" applyBorder="1" applyAlignment="1" applyProtection="1">
      <alignment horizontal="center" vertical="center"/>
      <protection locked="0"/>
    </xf>
    <xf numFmtId="49" fontId="38" fillId="0" borderId="30" xfId="0" quotePrefix="1" applyNumberFormat="1" applyFont="1" applyBorder="1" applyAlignment="1" applyProtection="1">
      <alignment horizontal="center" vertical="center"/>
      <protection locked="0"/>
    </xf>
    <xf numFmtId="0" fontId="5" fillId="0" borderId="38" xfId="0" applyFont="1" applyBorder="1" applyAlignment="1">
      <alignment horizontal="center" vertical="center"/>
    </xf>
    <xf numFmtId="0" fontId="4" fillId="0" borderId="49" xfId="1" applyFont="1" applyBorder="1" applyAlignment="1">
      <alignment vertical="center"/>
    </xf>
    <xf numFmtId="2" fontId="5" fillId="0" borderId="44" xfId="1" applyNumberFormat="1" applyFont="1" applyBorder="1" applyAlignment="1">
      <alignment horizontal="left" vertical="center"/>
    </xf>
    <xf numFmtId="166" fontId="5" fillId="0" borderId="45" xfId="1" applyNumberFormat="1" applyFont="1" applyBorder="1" applyAlignment="1">
      <alignment horizontal="left" vertical="center"/>
    </xf>
    <xf numFmtId="2" fontId="5" fillId="0" borderId="34" xfId="1" applyNumberFormat="1" applyFont="1" applyBorder="1" applyAlignment="1">
      <alignment horizontal="left" vertical="center"/>
    </xf>
    <xf numFmtId="0" fontId="5" fillId="0" borderId="51" xfId="1" applyFont="1" applyBorder="1" applyAlignment="1">
      <alignment vertical="center"/>
    </xf>
    <xf numFmtId="0" fontId="5" fillId="0" borderId="52" xfId="1" applyFont="1" applyBorder="1" applyAlignment="1">
      <alignment horizontal="left" vertical="center" wrapText="1" indent="2"/>
    </xf>
    <xf numFmtId="4" fontId="5" fillId="0" borderId="37" xfId="0" applyNumberFormat="1" applyFont="1" applyBorder="1" applyAlignment="1">
      <alignment horizontal="center" vertical="center"/>
    </xf>
    <xf numFmtId="0" fontId="5" fillId="0" borderId="14" xfId="1" applyFont="1" applyBorder="1" applyAlignment="1">
      <alignment horizontal="left" vertical="center" wrapText="1" indent="2"/>
    </xf>
    <xf numFmtId="0" fontId="5" fillId="0" borderId="52" xfId="1" applyFont="1" applyBorder="1" applyAlignment="1">
      <alignment vertical="center"/>
    </xf>
    <xf numFmtId="2" fontId="4" fillId="0" borderId="1" xfId="1" applyNumberFormat="1" applyFont="1" applyBorder="1" applyAlignment="1">
      <alignment horizontal="center" vertical="center"/>
    </xf>
    <xf numFmtId="0" fontId="50" fillId="0" borderId="30" xfId="0" applyFont="1" applyBorder="1" applyAlignment="1">
      <alignment wrapText="1"/>
    </xf>
    <xf numFmtId="2" fontId="5" fillId="0" borderId="30" xfId="1" applyNumberFormat="1" applyFont="1" applyBorder="1" applyAlignment="1">
      <alignment horizontal="left" vertical="center"/>
    </xf>
    <xf numFmtId="49" fontId="38" fillId="0" borderId="113" xfId="0" quotePrefix="1" applyNumberFormat="1" applyFont="1" applyBorder="1" applyAlignment="1" applyProtection="1">
      <alignment horizontal="center" vertical="center"/>
      <protection locked="0"/>
    </xf>
    <xf numFmtId="49" fontId="38" fillId="0" borderId="1" xfId="0" quotePrefix="1" applyNumberFormat="1" applyFont="1" applyBorder="1" applyAlignment="1" applyProtection="1">
      <alignment horizontal="center" vertical="center"/>
      <protection locked="0"/>
    </xf>
    <xf numFmtId="0" fontId="5" fillId="0" borderId="90"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49" fontId="38" fillId="0" borderId="37" xfId="0" quotePrefix="1" applyNumberFormat="1" applyFont="1" applyBorder="1" applyAlignment="1" applyProtection="1">
      <alignment horizontal="center" vertical="center"/>
      <protection locked="0"/>
    </xf>
    <xf numFmtId="49" fontId="38" fillId="0" borderId="38" xfId="0" quotePrefix="1" applyNumberFormat="1" applyFont="1" applyBorder="1" applyAlignment="1" applyProtection="1">
      <alignment horizontal="center" vertical="center"/>
      <protection locked="0"/>
    </xf>
    <xf numFmtId="0" fontId="5" fillId="0" borderId="6" xfId="1" applyFont="1" applyBorder="1" applyAlignment="1">
      <alignment horizontal="left" vertical="center" wrapText="1" indent="2"/>
    </xf>
    <xf numFmtId="0" fontId="5" fillId="0" borderId="38" xfId="0" applyFont="1" applyBorder="1" applyAlignment="1" applyProtection="1">
      <alignment horizontal="left" vertical="center" wrapText="1"/>
      <protection locked="0"/>
    </xf>
    <xf numFmtId="0" fontId="5" fillId="0" borderId="51" xfId="1" quotePrefix="1" applyFont="1" applyBorder="1" applyAlignment="1">
      <alignment horizontal="left" vertical="center"/>
    </xf>
    <xf numFmtId="0" fontId="50" fillId="0" borderId="6" xfId="0" applyFont="1" applyBorder="1" applyAlignment="1">
      <alignment vertical="center" wrapText="1"/>
    </xf>
    <xf numFmtId="0" fontId="50" fillId="0" borderId="30" xfId="0" applyFont="1" applyBorder="1" applyAlignment="1">
      <alignment horizontal="center" vertical="center"/>
    </xf>
    <xf numFmtId="4" fontId="5" fillId="6" borderId="73" xfId="0" applyNumberFormat="1" applyFont="1" applyFill="1" applyBorder="1" applyAlignment="1" applyProtection="1">
      <alignment vertical="center"/>
      <protection locked="0"/>
    </xf>
    <xf numFmtId="4" fontId="5" fillId="7" borderId="1" xfId="0" applyNumberFormat="1" applyFont="1" applyFill="1" applyBorder="1" applyAlignment="1" applyProtection="1">
      <alignment vertical="center"/>
      <protection locked="0"/>
    </xf>
    <xf numFmtId="0" fontId="5" fillId="0" borderId="34" xfId="2" applyBorder="1" applyAlignment="1">
      <alignment horizontal="center" vertical="center"/>
    </xf>
    <xf numFmtId="4" fontId="5" fillId="11" borderId="34" xfId="0" applyNumberFormat="1" applyFont="1" applyFill="1" applyBorder="1" applyAlignment="1" applyProtection="1">
      <alignment vertical="center"/>
      <protection locked="0"/>
    </xf>
    <xf numFmtId="4" fontId="5" fillId="11" borderId="30" xfId="0" applyNumberFormat="1" applyFont="1" applyFill="1" applyBorder="1" applyAlignment="1" applyProtection="1">
      <alignment vertical="center"/>
      <protection locked="0"/>
    </xf>
    <xf numFmtId="2" fontId="5" fillId="0" borderId="1" xfId="1" applyNumberFormat="1" applyFont="1" applyBorder="1" applyAlignment="1">
      <alignment horizontal="center" vertical="center"/>
    </xf>
    <xf numFmtId="4" fontId="5" fillId="0" borderId="14" xfId="1" applyNumberFormat="1" applyFont="1" applyBorder="1" applyAlignment="1">
      <alignment vertical="center"/>
    </xf>
    <xf numFmtId="0" fontId="5" fillId="0" borderId="1" xfId="0" applyFont="1" applyBorder="1" applyAlignment="1" applyProtection="1">
      <alignment horizontal="left" vertical="center" wrapText="1"/>
      <protection locked="0"/>
    </xf>
    <xf numFmtId="2" fontId="5" fillId="0" borderId="1" xfId="1" applyNumberFormat="1" applyFont="1" applyBorder="1" applyAlignment="1">
      <alignment horizontal="left" vertical="center"/>
    </xf>
    <xf numFmtId="166" fontId="5" fillId="0" borderId="1" xfId="1" applyNumberFormat="1" applyFont="1" applyBorder="1" applyAlignment="1">
      <alignment horizontal="left" vertical="center"/>
    </xf>
    <xf numFmtId="2" fontId="5" fillId="0" borderId="90" xfId="1" applyNumberFormat="1" applyFont="1" applyBorder="1" applyAlignment="1">
      <alignment horizontal="center" vertical="center"/>
    </xf>
    <xf numFmtId="4" fontId="5" fillId="0" borderId="1" xfId="1" applyNumberFormat="1" applyFont="1" applyBorder="1" applyAlignment="1">
      <alignment vertical="center"/>
    </xf>
    <xf numFmtId="0" fontId="4" fillId="0" borderId="30" xfId="1" applyFont="1" applyBorder="1" applyAlignment="1">
      <alignment vertical="center"/>
    </xf>
    <xf numFmtId="166" fontId="5" fillId="0" borderId="30" xfId="1" applyNumberFormat="1" applyFont="1" applyBorder="1" applyAlignment="1">
      <alignment horizontal="left" vertical="center"/>
    </xf>
    <xf numFmtId="2" fontId="4" fillId="0" borderId="38" xfId="1" applyNumberFormat="1" applyFont="1" applyBorder="1" applyAlignment="1">
      <alignment horizontal="right" vertical="center"/>
    </xf>
    <xf numFmtId="0" fontId="5" fillId="0" borderId="6" xfId="0" applyFont="1" applyBorder="1" applyAlignment="1">
      <alignment wrapText="1"/>
    </xf>
    <xf numFmtId="4" fontId="5" fillId="0" borderId="0" xfId="0" applyNumberFormat="1" applyFont="1" applyAlignment="1">
      <alignment vertical="center"/>
    </xf>
    <xf numFmtId="0" fontId="0" fillId="0" borderId="6" xfId="0" applyBorder="1" applyAlignment="1">
      <alignment horizontal="left" wrapText="1"/>
    </xf>
    <xf numFmtId="0" fontId="0" fillId="0" borderId="6" xfId="0" applyBorder="1" applyAlignment="1">
      <alignment wrapText="1"/>
    </xf>
    <xf numFmtId="49" fontId="38" fillId="0" borderId="6" xfId="0" quotePrefix="1" applyNumberFormat="1" applyFont="1" applyBorder="1" applyAlignment="1" applyProtection="1">
      <alignment horizontal="center" vertical="center" wrapText="1"/>
      <protection locked="0"/>
    </xf>
    <xf numFmtId="0" fontId="4" fillId="0" borderId="6" xfId="1" applyFont="1" applyBorder="1" applyAlignment="1">
      <alignment vertical="center"/>
    </xf>
    <xf numFmtId="166" fontId="5" fillId="0" borderId="6" xfId="1" applyNumberFormat="1" applyFont="1" applyBorder="1" applyAlignment="1">
      <alignment horizontal="left" vertical="center"/>
    </xf>
    <xf numFmtId="0" fontId="5" fillId="0" borderId="6" xfId="1" applyFont="1" applyBorder="1" applyAlignment="1">
      <alignment vertical="center" wrapText="1"/>
    </xf>
    <xf numFmtId="4" fontId="42" fillId="0" borderId="6" xfId="0" applyNumberFormat="1" applyFont="1" applyBorder="1" applyAlignment="1">
      <alignment vertical="center"/>
    </xf>
    <xf numFmtId="4" fontId="30" fillId="0" borderId="6" xfId="0" applyNumberFormat="1" applyFont="1" applyBorder="1" applyAlignment="1">
      <alignment vertical="center"/>
    </xf>
    <xf numFmtId="4" fontId="4" fillId="0" borderId="6" xfId="1" applyNumberFormat="1" applyFont="1" applyBorder="1" applyAlignment="1">
      <alignment vertical="center"/>
    </xf>
    <xf numFmtId="0" fontId="5" fillId="0" borderId="0" xfId="0" applyFont="1" applyAlignment="1">
      <alignment wrapText="1"/>
    </xf>
    <xf numFmtId="0" fontId="5" fillId="0" borderId="6" xfId="0" applyFont="1" applyBorder="1"/>
    <xf numFmtId="0" fontId="5" fillId="0" borderId="6" xfId="0" applyFont="1" applyBorder="1" applyAlignment="1">
      <alignment vertical="center" wrapText="1"/>
    </xf>
    <xf numFmtId="0" fontId="5" fillId="0" borderId="0" xfId="0" applyFont="1" applyAlignment="1">
      <alignment horizontal="center"/>
    </xf>
    <xf numFmtId="0" fontId="5" fillId="0" borderId="6" xfId="0" applyFont="1" applyBorder="1" applyAlignment="1">
      <alignment vertical="center"/>
    </xf>
    <xf numFmtId="0" fontId="5" fillId="0" borderId="113" xfId="0" applyFont="1" applyBorder="1" applyAlignment="1">
      <alignment horizontal="center" vertical="center"/>
    </xf>
    <xf numFmtId="0" fontId="5" fillId="0" borderId="1" xfId="0" applyFont="1" applyBorder="1" applyAlignment="1">
      <alignment horizontal="center" vertical="center"/>
    </xf>
    <xf numFmtId="2" fontId="5" fillId="0" borderId="111" xfId="1" applyNumberFormat="1" applyFont="1" applyBorder="1" applyAlignment="1">
      <alignment horizontal="center" vertical="center"/>
    </xf>
    <xf numFmtId="166" fontId="5" fillId="0" borderId="90" xfId="1" applyNumberFormat="1" applyFont="1" applyBorder="1" applyAlignment="1">
      <alignment horizontal="center" vertical="center"/>
    </xf>
    <xf numFmtId="4" fontId="5" fillId="0" borderId="110" xfId="1" applyNumberFormat="1" applyFont="1" applyBorder="1" applyAlignment="1">
      <alignment vertical="center"/>
    </xf>
    <xf numFmtId="0" fontId="5" fillId="0" borderId="30" xfId="1" applyFont="1" applyBorder="1" applyAlignment="1">
      <alignment horizontal="left" vertical="center" wrapText="1" indent="2"/>
    </xf>
    <xf numFmtId="166" fontId="5" fillId="0" borderId="30" xfId="1" applyNumberFormat="1" applyFont="1" applyBorder="1" applyAlignment="1">
      <alignment horizontal="center" vertical="center"/>
    </xf>
    <xf numFmtId="2" fontId="4" fillId="0" borderId="7" xfId="1" applyNumberFormat="1" applyFont="1" applyBorder="1" applyAlignment="1">
      <alignment horizontal="center" vertical="center"/>
    </xf>
    <xf numFmtId="0" fontId="5" fillId="0" borderId="6" xfId="0" applyFont="1" applyBorder="1" applyAlignment="1">
      <alignment horizontal="center"/>
    </xf>
    <xf numFmtId="0" fontId="5" fillId="0" borderId="113" xfId="2" applyBorder="1" applyAlignment="1">
      <alignment horizontal="center" vertical="center"/>
    </xf>
    <xf numFmtId="0" fontId="5" fillId="0" borderId="6" xfId="2" applyBorder="1" applyAlignment="1">
      <alignment horizontal="center" vertical="center"/>
    </xf>
    <xf numFmtId="0" fontId="5" fillId="0" borderId="14" xfId="1" applyFont="1" applyBorder="1" applyAlignment="1">
      <alignment vertical="center" wrapText="1"/>
    </xf>
    <xf numFmtId="4" fontId="5" fillId="6" borderId="113" xfId="0" applyNumberFormat="1" applyFont="1" applyFill="1" applyBorder="1" applyAlignment="1" applyProtection="1">
      <alignment vertical="center"/>
      <protection locked="0"/>
    </xf>
    <xf numFmtId="0" fontId="4" fillId="0" borderId="38" xfId="0" applyFont="1" applyBorder="1" applyAlignment="1">
      <alignment horizontal="center" vertical="center"/>
    </xf>
    <xf numFmtId="2" fontId="5" fillId="0" borderId="37" xfId="1" quotePrefix="1" applyNumberFormat="1" applyFont="1" applyBorder="1" applyAlignment="1">
      <alignment horizontal="center" vertical="center"/>
    </xf>
    <xf numFmtId="166" fontId="5" fillId="0" borderId="87" xfId="0" applyNumberFormat="1" applyFont="1" applyBorder="1" applyAlignment="1">
      <alignment horizontal="center" vertical="center"/>
    </xf>
    <xf numFmtId="2" fontId="5" fillId="0" borderId="6" xfId="1" quotePrefix="1" applyNumberFormat="1" applyFont="1" applyBorder="1" applyAlignment="1">
      <alignment horizontal="center" vertical="center"/>
    </xf>
    <xf numFmtId="166" fontId="5" fillId="0" borderId="6" xfId="0" applyNumberFormat="1" applyFont="1" applyBorder="1" applyAlignment="1">
      <alignment horizontal="center" vertical="center"/>
    </xf>
    <xf numFmtId="0" fontId="5" fillId="0" borderId="49" xfId="1" applyFont="1" applyBorder="1" applyAlignment="1">
      <alignment vertical="center"/>
    </xf>
    <xf numFmtId="2" fontId="5" fillId="0" borderId="44" xfId="1" quotePrefix="1" applyNumberFormat="1" applyFont="1" applyBorder="1" applyAlignment="1">
      <alignment horizontal="center" vertical="center"/>
    </xf>
    <xf numFmtId="2" fontId="5" fillId="0" borderId="87" xfId="1" applyNumberFormat="1" applyFont="1" applyBorder="1" applyAlignment="1">
      <alignment horizontal="center" vertical="center"/>
    </xf>
    <xf numFmtId="0" fontId="4" fillId="0" borderId="111" xfId="0" applyFont="1" applyBorder="1" applyAlignment="1">
      <alignment horizontal="center" vertical="center"/>
    </xf>
    <xf numFmtId="0" fontId="5" fillId="0" borderId="13" xfId="1" applyFont="1" applyBorder="1" applyAlignment="1">
      <alignment vertical="center"/>
    </xf>
    <xf numFmtId="2" fontId="5" fillId="0" borderId="38" xfId="1" quotePrefix="1" applyNumberFormat="1" applyFont="1" applyBorder="1" applyAlignment="1">
      <alignment horizontal="center" vertical="center"/>
    </xf>
    <xf numFmtId="166" fontId="5" fillId="0" borderId="38" xfId="0" applyNumberFormat="1" applyFont="1" applyBorder="1" applyAlignment="1">
      <alignment horizontal="center" vertical="center"/>
    </xf>
    <xf numFmtId="4" fontId="5" fillId="4" borderId="0" xfId="0" applyNumberFormat="1" applyFont="1" applyFill="1" applyAlignment="1" applyProtection="1">
      <alignment vertical="center"/>
      <protection locked="0"/>
    </xf>
    <xf numFmtId="4" fontId="5" fillId="4" borderId="1" xfId="0" applyNumberFormat="1" applyFont="1" applyFill="1" applyBorder="1" applyAlignment="1" applyProtection="1">
      <alignment vertical="center"/>
      <protection locked="0"/>
    </xf>
    <xf numFmtId="0" fontId="5" fillId="0" borderId="30" xfId="2" applyBorder="1" applyAlignment="1">
      <alignment horizontal="center" vertical="center"/>
    </xf>
    <xf numFmtId="0" fontId="5" fillId="4" borderId="30" xfId="0" applyFont="1" applyFill="1" applyBorder="1" applyAlignment="1" applyProtection="1">
      <alignment horizontal="left" vertical="center" wrapText="1"/>
      <protection locked="0"/>
    </xf>
    <xf numFmtId="0" fontId="4" fillId="4" borderId="30" xfId="1" applyFont="1" applyFill="1" applyBorder="1" applyAlignment="1">
      <alignment vertical="center"/>
    </xf>
    <xf numFmtId="2" fontId="5" fillId="4" borderId="30" xfId="1" applyNumberFormat="1" applyFont="1" applyFill="1" applyBorder="1" applyAlignment="1">
      <alignment horizontal="left" vertical="center"/>
    </xf>
    <xf numFmtId="166" fontId="5" fillId="4" borderId="30" xfId="1" applyNumberFormat="1" applyFont="1" applyFill="1" applyBorder="1" applyAlignment="1">
      <alignment horizontal="left" vertical="center"/>
    </xf>
    <xf numFmtId="2" fontId="5" fillId="4" borderId="30" xfId="1" applyNumberFormat="1" applyFont="1" applyFill="1" applyBorder="1" applyAlignment="1">
      <alignment horizontal="center" vertical="center"/>
    </xf>
    <xf numFmtId="0" fontId="5" fillId="0" borderId="30" xfId="0" applyFont="1" applyBorder="1" applyAlignment="1">
      <alignment wrapText="1"/>
    </xf>
    <xf numFmtId="0" fontId="0" fillId="0" borderId="56" xfId="0" applyBorder="1"/>
    <xf numFmtId="0" fontId="51" fillId="0" borderId="6" xfId="0" applyFont="1" applyBorder="1" applyAlignment="1">
      <alignment wrapText="1"/>
    </xf>
    <xf numFmtId="166" fontId="5" fillId="0" borderId="87" xfId="1" applyNumberFormat="1" applyFont="1" applyBorder="1" applyAlignment="1">
      <alignment horizontal="center" vertical="center"/>
    </xf>
    <xf numFmtId="0" fontId="0" fillId="0" borderId="38" xfId="0" applyBorder="1" applyAlignment="1">
      <alignment wrapText="1"/>
    </xf>
    <xf numFmtId="0" fontId="4" fillId="0" borderId="38" xfId="1" applyFont="1" applyBorder="1" applyAlignment="1">
      <alignment vertical="center"/>
    </xf>
    <xf numFmtId="166" fontId="5" fillId="0" borderId="38" xfId="1" applyNumberFormat="1" applyFont="1" applyBorder="1" applyAlignment="1">
      <alignment horizontal="left" vertical="center"/>
    </xf>
    <xf numFmtId="2" fontId="5" fillId="0" borderId="7" xfId="1" applyNumberFormat="1" applyFont="1" applyBorder="1" applyAlignment="1">
      <alignment horizontal="center" vertical="center"/>
    </xf>
    <xf numFmtId="2" fontId="4" fillId="0" borderId="87" xfId="1" applyNumberFormat="1" applyFont="1" applyBorder="1" applyAlignment="1">
      <alignment horizontal="center" vertical="center"/>
    </xf>
    <xf numFmtId="4" fontId="5" fillId="0" borderId="6" xfId="0" applyNumberFormat="1" applyFont="1" applyBorder="1" applyAlignment="1">
      <alignment horizontal="center" vertical="center"/>
    </xf>
    <xf numFmtId="49" fontId="4" fillId="0" borderId="6" xfId="0" applyNumberFormat="1" applyFont="1" applyBorder="1" applyAlignment="1">
      <alignment horizontal="center" vertical="center"/>
    </xf>
    <xf numFmtId="0" fontId="42" fillId="0" borderId="6" xfId="0" applyFont="1" applyBorder="1" applyAlignment="1">
      <alignment vertical="center" wrapText="1"/>
    </xf>
    <xf numFmtId="0" fontId="43" fillId="0" borderId="6" xfId="0" applyFont="1" applyBorder="1" applyAlignment="1">
      <alignment horizontal="center" vertical="center"/>
    </xf>
    <xf numFmtId="4" fontId="43" fillId="0" borderId="6" xfId="0" applyNumberFormat="1" applyFont="1" applyBorder="1" applyAlignment="1">
      <alignment vertical="center"/>
    </xf>
    <xf numFmtId="4" fontId="5" fillId="0" borderId="6" xfId="0" applyNumberFormat="1" applyFont="1" applyBorder="1" applyAlignment="1" applyProtection="1">
      <alignment vertical="center"/>
      <protection locked="0"/>
    </xf>
    <xf numFmtId="4" fontId="5" fillId="6" borderId="6" xfId="0" applyNumberFormat="1" applyFont="1" applyFill="1" applyBorder="1" applyAlignment="1" applyProtection="1">
      <alignment vertical="center"/>
      <protection locked="0"/>
    </xf>
    <xf numFmtId="0" fontId="5" fillId="0" borderId="1" xfId="2" applyBorder="1" applyAlignment="1">
      <alignment horizontal="center" vertical="center"/>
    </xf>
    <xf numFmtId="0" fontId="5" fillId="0" borderId="4" xfId="1" applyFont="1" applyBorder="1" applyAlignment="1">
      <alignment vertical="center"/>
    </xf>
    <xf numFmtId="166" fontId="5" fillId="0" borderId="90" xfId="1" quotePrefix="1" applyNumberFormat="1" applyFont="1" applyBorder="1" applyAlignment="1">
      <alignment horizontal="center" vertical="center"/>
    </xf>
    <xf numFmtId="4" fontId="5" fillId="0" borderId="48" xfId="1" applyNumberFormat="1" applyFont="1" applyBorder="1" applyAlignment="1">
      <alignment vertical="center"/>
    </xf>
    <xf numFmtId="4" fontId="5" fillId="0" borderId="38" xfId="0" applyNumberFormat="1" applyFont="1" applyBorder="1" applyAlignment="1" applyProtection="1">
      <alignment vertical="center"/>
      <protection locked="0"/>
    </xf>
    <xf numFmtId="0" fontId="5" fillId="0" borderId="38" xfId="0" applyFont="1" applyBorder="1" applyAlignment="1">
      <alignment wrapText="1"/>
    </xf>
    <xf numFmtId="0" fontId="5" fillId="0" borderId="38" xfId="1" applyFont="1" applyBorder="1" applyAlignment="1">
      <alignment horizontal="left" vertical="center" wrapText="1" indent="2"/>
    </xf>
    <xf numFmtId="4" fontId="5" fillId="0" borderId="38" xfId="0" applyNumberFormat="1" applyFont="1" applyBorder="1" applyAlignment="1">
      <alignment horizontal="center" vertical="center"/>
    </xf>
    <xf numFmtId="0" fontId="5" fillId="0" borderId="6" xfId="1" applyFont="1" applyBorder="1" applyAlignment="1">
      <alignment vertical="center"/>
    </xf>
    <xf numFmtId="166" fontId="5" fillId="0" borderId="6" xfId="1" applyNumberFormat="1" applyFont="1" applyBorder="1" applyAlignment="1">
      <alignment horizontal="center" vertical="center"/>
    </xf>
    <xf numFmtId="0" fontId="5" fillId="0" borderId="30" xfId="1" applyFont="1" applyBorder="1" applyAlignment="1">
      <alignment vertical="center"/>
    </xf>
    <xf numFmtId="0" fontId="4" fillId="12" borderId="2" xfId="0" applyFont="1" applyFill="1" applyBorder="1" applyAlignment="1">
      <alignment horizontal="center" vertical="center"/>
    </xf>
    <xf numFmtId="0" fontId="5" fillId="12" borderId="5" xfId="0" applyFont="1" applyFill="1" applyBorder="1" applyAlignment="1">
      <alignment horizontal="center" vertical="center"/>
    </xf>
    <xf numFmtId="0" fontId="4" fillId="12" borderId="36" xfId="1" applyFont="1" applyFill="1" applyBorder="1" applyAlignment="1">
      <alignment horizontal="left" vertical="center" wrapText="1" indent="2"/>
    </xf>
    <xf numFmtId="0" fontId="5" fillId="12" borderId="36" xfId="1" applyFont="1" applyFill="1" applyBorder="1" applyAlignment="1">
      <alignment vertical="center"/>
    </xf>
    <xf numFmtId="2" fontId="5" fillId="12" borderId="35" xfId="1" applyNumberFormat="1" applyFont="1" applyFill="1" applyBorder="1" applyAlignment="1">
      <alignment horizontal="center" vertical="center"/>
    </xf>
    <xf numFmtId="166" fontId="5" fillId="12" borderId="29" xfId="1" applyNumberFormat="1" applyFont="1" applyFill="1" applyBorder="1" applyAlignment="1">
      <alignment horizontal="center" vertical="center"/>
    </xf>
    <xf numFmtId="2" fontId="5" fillId="12" borderId="2" xfId="1" applyNumberFormat="1" applyFont="1" applyFill="1" applyBorder="1" applyAlignment="1">
      <alignment horizontal="center" vertical="center"/>
    </xf>
    <xf numFmtId="2" fontId="5" fillId="12" borderId="5" xfId="1" applyNumberFormat="1" applyFont="1" applyFill="1" applyBorder="1" applyAlignment="1">
      <alignment horizontal="center" vertical="center"/>
    </xf>
    <xf numFmtId="2" fontId="4" fillId="12" borderId="5" xfId="1" applyNumberFormat="1" applyFont="1" applyFill="1" applyBorder="1" applyAlignment="1">
      <alignment horizontal="center" vertical="center"/>
    </xf>
    <xf numFmtId="2" fontId="5" fillId="12" borderId="29" xfId="1" applyNumberFormat="1" applyFont="1" applyFill="1" applyBorder="1" applyAlignment="1">
      <alignment horizontal="center" vertical="center"/>
    </xf>
    <xf numFmtId="4" fontId="5" fillId="12" borderId="35" xfId="0" applyNumberFormat="1" applyFont="1" applyFill="1" applyBorder="1" applyAlignment="1">
      <alignment horizontal="center" vertical="center"/>
    </xf>
    <xf numFmtId="4" fontId="5" fillId="12" borderId="5" xfId="0" applyNumberFormat="1" applyFont="1" applyFill="1" applyBorder="1" applyAlignment="1" applyProtection="1">
      <alignment vertical="center"/>
      <protection locked="0"/>
    </xf>
    <xf numFmtId="4" fontId="5" fillId="12" borderId="29" xfId="1" applyNumberFormat="1" applyFont="1" applyFill="1" applyBorder="1" applyAlignment="1">
      <alignment vertical="center"/>
    </xf>
    <xf numFmtId="0" fontId="41" fillId="12" borderId="2" xfId="0" quotePrefix="1" applyFont="1" applyFill="1" applyBorder="1" applyAlignment="1">
      <alignment horizontal="center" vertical="center"/>
    </xf>
    <xf numFmtId="0" fontId="4" fillId="12" borderId="5" xfId="0" applyFont="1" applyFill="1" applyBorder="1" applyAlignment="1">
      <alignment horizontal="center" vertical="center"/>
    </xf>
    <xf numFmtId="0" fontId="4" fillId="12" borderId="36" xfId="1" applyFont="1" applyFill="1" applyBorder="1" applyAlignment="1">
      <alignment vertical="center" wrapText="1"/>
    </xf>
    <xf numFmtId="0" fontId="4" fillId="12" borderId="28" xfId="1" applyFont="1" applyFill="1" applyBorder="1" applyAlignment="1">
      <alignment vertical="center"/>
    </xf>
    <xf numFmtId="4" fontId="42" fillId="12" borderId="27" xfId="0" applyNumberFormat="1" applyFont="1" applyFill="1" applyBorder="1" applyAlignment="1">
      <alignment vertical="center"/>
    </xf>
    <xf numFmtId="4" fontId="30" fillId="12" borderId="36" xfId="0" applyNumberFormat="1" applyFont="1" applyFill="1" applyBorder="1" applyAlignment="1">
      <alignment vertical="center"/>
    </xf>
    <xf numFmtId="4" fontId="4" fillId="12" borderId="3" xfId="1" applyNumberFormat="1" applyFont="1" applyFill="1" applyBorder="1" applyAlignment="1">
      <alignment vertical="center"/>
    </xf>
    <xf numFmtId="4" fontId="4" fillId="12" borderId="27" xfId="1" applyNumberFormat="1" applyFont="1" applyFill="1" applyBorder="1" applyAlignment="1">
      <alignment vertical="center"/>
    </xf>
    <xf numFmtId="2" fontId="4" fillId="12" borderId="29" xfId="1" applyNumberFormat="1" applyFont="1" applyFill="1" applyBorder="1" applyAlignment="1">
      <alignment horizontal="center" vertical="center"/>
    </xf>
    <xf numFmtId="4" fontId="4" fillId="12" borderId="5" xfId="0" applyNumberFormat="1" applyFont="1" applyFill="1" applyBorder="1" applyAlignment="1" applyProtection="1">
      <alignment vertical="center"/>
      <protection locked="0"/>
    </xf>
    <xf numFmtId="4" fontId="4" fillId="12" borderId="36" xfId="1" applyNumberFormat="1" applyFont="1" applyFill="1" applyBorder="1" applyAlignment="1">
      <alignment vertical="center"/>
    </xf>
    <xf numFmtId="49" fontId="4" fillId="12" borderId="3" xfId="0" applyNumberFormat="1" applyFont="1" applyFill="1" applyBorder="1" applyAlignment="1">
      <alignment horizontal="center" vertical="center"/>
    </xf>
    <xf numFmtId="49" fontId="4" fillId="12" borderId="5" xfId="0" applyNumberFormat="1" applyFont="1" applyFill="1" applyBorder="1" applyAlignment="1">
      <alignment horizontal="center" vertical="center"/>
    </xf>
    <xf numFmtId="0" fontId="42" fillId="12" borderId="36" xfId="0" applyFont="1" applyFill="1" applyBorder="1" applyAlignment="1">
      <alignment vertical="center" wrapText="1"/>
    </xf>
    <xf numFmtId="0" fontId="43" fillId="12" borderId="28" xfId="0" applyFont="1" applyFill="1" applyBorder="1" applyAlignment="1">
      <alignment horizontal="center" vertical="center"/>
    </xf>
    <xf numFmtId="4" fontId="43" fillId="12" borderId="27" xfId="0" applyNumberFormat="1" applyFont="1" applyFill="1" applyBorder="1" applyAlignment="1">
      <alignment vertical="center"/>
    </xf>
    <xf numFmtId="49" fontId="4" fillId="12" borderId="2" xfId="0" applyNumberFormat="1" applyFont="1" applyFill="1" applyBorder="1" applyAlignment="1">
      <alignment horizontal="center" vertical="center"/>
    </xf>
    <xf numFmtId="49" fontId="4" fillId="12" borderId="35" xfId="0" applyNumberFormat="1" applyFont="1" applyFill="1" applyBorder="1" applyAlignment="1">
      <alignment horizontal="center" vertical="center"/>
    </xf>
    <xf numFmtId="4" fontId="5" fillId="12" borderId="30" xfId="0" applyNumberFormat="1" applyFont="1" applyFill="1" applyBorder="1" applyAlignment="1" applyProtection="1">
      <alignment vertical="center"/>
      <protection locked="0"/>
    </xf>
    <xf numFmtId="4" fontId="5" fillId="11" borderId="6" xfId="0" applyNumberFormat="1" applyFont="1" applyFill="1" applyBorder="1" applyAlignment="1" applyProtection="1">
      <alignment vertical="center"/>
      <protection locked="0"/>
    </xf>
    <xf numFmtId="4" fontId="5" fillId="11" borderId="1" xfId="0" applyNumberFormat="1" applyFont="1" applyFill="1" applyBorder="1" applyAlignment="1" applyProtection="1">
      <alignment vertical="center"/>
      <protection locked="0"/>
    </xf>
    <xf numFmtId="4" fontId="5" fillId="11" borderId="67" xfId="0" applyNumberFormat="1" applyFont="1" applyFill="1" applyBorder="1" applyAlignment="1" applyProtection="1">
      <alignment vertical="center"/>
      <protection locked="0"/>
    </xf>
    <xf numFmtId="49" fontId="4" fillId="12" borderId="46" xfId="0" applyNumberFormat="1" applyFont="1" applyFill="1" applyBorder="1" applyAlignment="1">
      <alignment horizontal="center" vertical="center"/>
    </xf>
    <xf numFmtId="49" fontId="4" fillId="12" borderId="18" xfId="0" applyNumberFormat="1" applyFont="1" applyFill="1" applyBorder="1" applyAlignment="1">
      <alignment horizontal="center" vertical="center"/>
    </xf>
    <xf numFmtId="0" fontId="42" fillId="12" borderId="12" xfId="0" applyFont="1" applyFill="1" applyBorder="1" applyAlignment="1">
      <alignment vertical="center" wrapText="1"/>
    </xf>
    <xf numFmtId="0" fontId="43" fillId="12" borderId="20" xfId="0" applyFont="1" applyFill="1" applyBorder="1" applyAlignment="1">
      <alignment horizontal="center" vertical="center"/>
    </xf>
    <xf numFmtId="4" fontId="43" fillId="12" borderId="9" xfId="0" applyNumberFormat="1" applyFont="1" applyFill="1" applyBorder="1" applyAlignment="1">
      <alignment vertical="center"/>
    </xf>
    <xf numFmtId="4" fontId="30" fillId="12" borderId="12" xfId="0" applyNumberFormat="1" applyFont="1" applyFill="1" applyBorder="1" applyAlignment="1">
      <alignment vertical="center"/>
    </xf>
    <xf numFmtId="4" fontId="4" fillId="12" borderId="11" xfId="1" applyNumberFormat="1" applyFont="1" applyFill="1" applyBorder="1" applyAlignment="1">
      <alignment vertical="center"/>
    </xf>
    <xf numFmtId="4" fontId="4" fillId="12" borderId="9" xfId="1" applyNumberFormat="1" applyFont="1" applyFill="1" applyBorder="1" applyAlignment="1">
      <alignment vertical="center"/>
    </xf>
    <xf numFmtId="4" fontId="5" fillId="12" borderId="9" xfId="1" applyNumberFormat="1" applyFont="1" applyFill="1" applyBorder="1" applyAlignment="1">
      <alignment vertical="center"/>
    </xf>
    <xf numFmtId="4" fontId="5" fillId="12" borderId="17" xfId="0" applyNumberFormat="1" applyFont="1" applyFill="1" applyBorder="1" applyAlignment="1" applyProtection="1">
      <alignment vertical="center"/>
      <protection locked="0"/>
    </xf>
    <xf numFmtId="4" fontId="4" fillId="12" borderId="12" xfId="1" applyNumberFormat="1" applyFont="1" applyFill="1" applyBorder="1" applyAlignment="1">
      <alignment vertical="center"/>
    </xf>
    <xf numFmtId="49" fontId="4" fillId="11" borderId="2" xfId="0" applyNumberFormat="1" applyFont="1" applyFill="1" applyBorder="1" applyAlignment="1">
      <alignment horizontal="center" vertical="center"/>
    </xf>
    <xf numFmtId="49" fontId="4" fillId="11" borderId="5" xfId="0" applyNumberFormat="1" applyFont="1" applyFill="1" applyBorder="1" applyAlignment="1">
      <alignment horizontal="center" vertical="center"/>
    </xf>
    <xf numFmtId="0" fontId="42" fillId="11" borderId="5" xfId="0" applyFont="1" applyFill="1" applyBorder="1" applyAlignment="1">
      <alignment vertical="center" wrapText="1"/>
    </xf>
    <xf numFmtId="0" fontId="43" fillId="11" borderId="5" xfId="0" applyFont="1" applyFill="1" applyBorder="1" applyAlignment="1">
      <alignment horizontal="center" vertical="center"/>
    </xf>
    <xf numFmtId="4" fontId="43" fillId="11" borderId="5" xfId="0" applyNumberFormat="1" applyFont="1" applyFill="1" applyBorder="1" applyAlignment="1">
      <alignment vertical="center"/>
    </xf>
    <xf numFmtId="4" fontId="30" fillId="11" borderId="5" xfId="0" applyNumberFormat="1" applyFont="1" applyFill="1" applyBorder="1" applyAlignment="1">
      <alignment vertical="center"/>
    </xf>
    <xf numFmtId="4" fontId="4" fillId="11" borderId="5" xfId="1" applyNumberFormat="1" applyFont="1" applyFill="1" applyBorder="1" applyAlignment="1">
      <alignment vertical="center"/>
    </xf>
    <xf numFmtId="4" fontId="5" fillId="11" borderId="5" xfId="1" applyNumberFormat="1" applyFont="1" applyFill="1" applyBorder="1" applyAlignment="1">
      <alignment vertical="center"/>
    </xf>
    <xf numFmtId="4" fontId="5" fillId="11" borderId="5" xfId="0" applyNumberFormat="1" applyFont="1" applyFill="1" applyBorder="1" applyAlignment="1" applyProtection="1">
      <alignment vertical="center"/>
      <protection locked="0"/>
    </xf>
    <xf numFmtId="4" fontId="4" fillId="11" borderId="29" xfId="1" applyNumberFormat="1" applyFont="1" applyFill="1" applyBorder="1" applyAlignment="1">
      <alignment vertical="center"/>
    </xf>
    <xf numFmtId="4" fontId="5" fillId="11" borderId="23" xfId="0" applyNumberFormat="1" applyFont="1" applyFill="1" applyBorder="1" applyAlignment="1" applyProtection="1">
      <alignment vertical="center"/>
      <protection locked="0"/>
    </xf>
    <xf numFmtId="49" fontId="41" fillId="11" borderId="2" xfId="0" quotePrefix="1" applyNumberFormat="1" applyFont="1" applyFill="1" applyBorder="1" applyAlignment="1" applyProtection="1">
      <alignment horizontal="center" vertical="center"/>
      <protection locked="0"/>
    </xf>
    <xf numFmtId="49" fontId="38" fillId="11" borderId="5" xfId="0" quotePrefix="1" applyNumberFormat="1" applyFont="1" applyFill="1" applyBorder="1" applyAlignment="1" applyProtection="1">
      <alignment horizontal="center" vertical="center"/>
      <protection locked="0"/>
    </xf>
    <xf numFmtId="0" fontId="4" fillId="11" borderId="29" xfId="0" applyFont="1" applyFill="1" applyBorder="1" applyAlignment="1" applyProtection="1">
      <alignment horizontal="left" vertical="center" wrapText="1"/>
      <protection locked="0"/>
    </xf>
    <xf numFmtId="0" fontId="4" fillId="11" borderId="36" xfId="1" applyFont="1" applyFill="1" applyBorder="1" applyAlignment="1">
      <alignment vertical="center"/>
    </xf>
    <xf numFmtId="2" fontId="5" fillId="11" borderId="35" xfId="1" applyNumberFormat="1" applyFont="1" applyFill="1" applyBorder="1" applyAlignment="1">
      <alignment horizontal="left" vertical="center"/>
    </xf>
    <xf numFmtId="166" fontId="5" fillId="11" borderId="29" xfId="1" applyNumberFormat="1" applyFont="1" applyFill="1" applyBorder="1" applyAlignment="1">
      <alignment horizontal="left" vertical="center"/>
    </xf>
    <xf numFmtId="2" fontId="5" fillId="11" borderId="2" xfId="1" applyNumberFormat="1" applyFont="1" applyFill="1" applyBorder="1" applyAlignment="1">
      <alignment horizontal="left" vertical="center"/>
    </xf>
    <xf numFmtId="2" fontId="5" fillId="11" borderId="5" xfId="1" applyNumberFormat="1" applyFont="1" applyFill="1" applyBorder="1" applyAlignment="1">
      <alignment horizontal="left" vertical="center"/>
    </xf>
    <xf numFmtId="2" fontId="5" fillId="11" borderId="5" xfId="1" applyNumberFormat="1" applyFont="1" applyFill="1" applyBorder="1" applyAlignment="1">
      <alignment horizontal="right" vertical="center"/>
    </xf>
    <xf numFmtId="2" fontId="4" fillId="11" borderId="5" xfId="1" applyNumberFormat="1" applyFont="1" applyFill="1" applyBorder="1" applyAlignment="1">
      <alignment horizontal="right" vertical="center"/>
    </xf>
    <xf numFmtId="2" fontId="4" fillId="11" borderId="29" xfId="1" applyNumberFormat="1" applyFont="1" applyFill="1" applyBorder="1" applyAlignment="1">
      <alignment horizontal="center" vertical="center"/>
    </xf>
    <xf numFmtId="0" fontId="4" fillId="11" borderId="2" xfId="0" applyFont="1" applyFill="1" applyBorder="1" applyAlignment="1">
      <alignment horizontal="center" vertical="center"/>
    </xf>
    <xf numFmtId="0" fontId="5" fillId="11" borderId="5" xfId="0" applyFont="1" applyFill="1" applyBorder="1" applyAlignment="1">
      <alignment horizontal="center" vertical="center"/>
    </xf>
    <xf numFmtId="0" fontId="4" fillId="11" borderId="36" xfId="1" applyFont="1" applyFill="1" applyBorder="1" applyAlignment="1">
      <alignment horizontal="left" vertical="center" wrapText="1" indent="2"/>
    </xf>
    <xf numFmtId="0" fontId="5" fillId="11" borderId="36" xfId="1" applyFont="1" applyFill="1" applyBorder="1" applyAlignment="1">
      <alignment vertical="center"/>
    </xf>
    <xf numFmtId="2" fontId="5" fillId="11" borderId="35" xfId="1" applyNumberFormat="1" applyFont="1" applyFill="1" applyBorder="1" applyAlignment="1">
      <alignment horizontal="center" vertical="center"/>
    </xf>
    <xf numFmtId="166" fontId="5" fillId="11" borderId="29" xfId="1" applyNumberFormat="1" applyFont="1" applyFill="1" applyBorder="1" applyAlignment="1">
      <alignment horizontal="center" vertical="center"/>
    </xf>
    <xf numFmtId="2" fontId="5" fillId="11" borderId="2" xfId="1" applyNumberFormat="1" applyFont="1" applyFill="1" applyBorder="1" applyAlignment="1">
      <alignment horizontal="center" vertical="center"/>
    </xf>
    <xf numFmtId="2" fontId="5" fillId="11" borderId="5" xfId="1" applyNumberFormat="1" applyFont="1" applyFill="1" applyBorder="1" applyAlignment="1">
      <alignment horizontal="center" vertical="center"/>
    </xf>
    <xf numFmtId="2" fontId="4" fillId="11" borderId="5" xfId="1" applyNumberFormat="1" applyFont="1" applyFill="1" applyBorder="1" applyAlignment="1">
      <alignment horizontal="center" vertical="center"/>
    </xf>
    <xf numFmtId="2" fontId="5" fillId="11" borderId="29" xfId="1" applyNumberFormat="1" applyFont="1" applyFill="1" applyBorder="1" applyAlignment="1">
      <alignment horizontal="center" vertical="center"/>
    </xf>
    <xf numFmtId="4" fontId="5" fillId="11" borderId="35" xfId="0" applyNumberFormat="1" applyFont="1" applyFill="1" applyBorder="1" applyAlignment="1">
      <alignment horizontal="center" vertical="center"/>
    </xf>
    <xf numFmtId="49" fontId="41" fillId="12" borderId="2" xfId="0" quotePrefix="1" applyNumberFormat="1" applyFont="1" applyFill="1" applyBorder="1" applyAlignment="1" applyProtection="1">
      <alignment horizontal="center" vertical="center"/>
      <protection locked="0"/>
    </xf>
    <xf numFmtId="49" fontId="38" fillId="12" borderId="5" xfId="0" quotePrefix="1" applyNumberFormat="1" applyFont="1" applyFill="1" applyBorder="1" applyAlignment="1" applyProtection="1">
      <alignment horizontal="center" vertical="center"/>
      <protection locked="0"/>
    </xf>
    <xf numFmtId="0" fontId="4" fillId="12" borderId="29" xfId="0" applyFont="1" applyFill="1" applyBorder="1" applyAlignment="1" applyProtection="1">
      <alignment horizontal="left" vertical="center" wrapText="1"/>
      <protection locked="0"/>
    </xf>
    <xf numFmtId="0" fontId="4" fillId="12" borderId="36" xfId="1" applyFont="1" applyFill="1" applyBorder="1" applyAlignment="1">
      <alignment vertical="center"/>
    </xf>
    <xf numFmtId="2" fontId="5" fillId="12" borderId="35" xfId="1" applyNumberFormat="1" applyFont="1" applyFill="1" applyBorder="1" applyAlignment="1">
      <alignment horizontal="left" vertical="center"/>
    </xf>
    <xf numFmtId="166" fontId="5" fillId="12" borderId="29" xfId="1" applyNumberFormat="1" applyFont="1" applyFill="1" applyBorder="1" applyAlignment="1">
      <alignment horizontal="left" vertical="center"/>
    </xf>
    <xf numFmtId="2" fontId="5" fillId="12" borderId="2" xfId="1" applyNumberFormat="1" applyFont="1" applyFill="1" applyBorder="1" applyAlignment="1">
      <alignment horizontal="left" vertical="center"/>
    </xf>
    <xf numFmtId="2" fontId="5" fillId="12" borderId="5" xfId="1" applyNumberFormat="1" applyFont="1" applyFill="1" applyBorder="1" applyAlignment="1">
      <alignment horizontal="left" vertical="center"/>
    </xf>
    <xf numFmtId="2" fontId="5" fillId="12" borderId="5" xfId="1" applyNumberFormat="1" applyFont="1" applyFill="1" applyBorder="1" applyAlignment="1">
      <alignment horizontal="right" vertical="center"/>
    </xf>
    <xf numFmtId="2" fontId="4" fillId="12" borderId="5" xfId="1" applyNumberFormat="1" applyFont="1" applyFill="1" applyBorder="1" applyAlignment="1">
      <alignment horizontal="right" vertical="center"/>
    </xf>
    <xf numFmtId="0" fontId="4" fillId="11" borderId="5" xfId="0" applyFont="1" applyFill="1" applyBorder="1" applyAlignment="1" applyProtection="1">
      <alignment horizontal="left" vertical="center" wrapText="1"/>
      <protection locked="0"/>
    </xf>
    <xf numFmtId="0" fontId="4" fillId="11" borderId="5" xfId="1" applyFont="1" applyFill="1" applyBorder="1" applyAlignment="1">
      <alignment vertical="center"/>
    </xf>
    <xf numFmtId="166" fontId="5" fillId="11" borderId="5" xfId="1" applyNumberFormat="1" applyFont="1" applyFill="1" applyBorder="1" applyAlignment="1">
      <alignment horizontal="left" vertical="center"/>
    </xf>
    <xf numFmtId="4" fontId="5" fillId="11" borderId="38" xfId="0" applyNumberFormat="1" applyFont="1" applyFill="1" applyBorder="1" applyAlignment="1" applyProtection="1">
      <alignment vertical="center"/>
      <protection locked="0"/>
    </xf>
    <xf numFmtId="49" fontId="41" fillId="11" borderId="5" xfId="0" quotePrefix="1" applyNumberFormat="1" applyFont="1" applyFill="1" applyBorder="1" applyAlignment="1" applyProtection="1">
      <alignment horizontal="center" vertical="center"/>
      <protection locked="0"/>
    </xf>
    <xf numFmtId="2" fontId="4" fillId="11" borderId="35" xfId="1" applyNumberFormat="1" applyFont="1" applyFill="1" applyBorder="1" applyAlignment="1">
      <alignment horizontal="left" vertical="center"/>
    </xf>
    <xf numFmtId="166" fontId="4" fillId="11" borderId="29" xfId="1" applyNumberFormat="1" applyFont="1" applyFill="1" applyBorder="1" applyAlignment="1">
      <alignment horizontal="left" vertical="center"/>
    </xf>
    <xf numFmtId="2" fontId="4" fillId="11" borderId="2" xfId="1" applyNumberFormat="1" applyFont="1" applyFill="1" applyBorder="1" applyAlignment="1">
      <alignment horizontal="left" vertical="center"/>
    </xf>
    <xf numFmtId="2" fontId="4" fillId="11" borderId="5" xfId="1" applyNumberFormat="1" applyFont="1" applyFill="1" applyBorder="1" applyAlignment="1">
      <alignment horizontal="left" vertical="center"/>
    </xf>
    <xf numFmtId="4" fontId="4" fillId="11" borderId="5" xfId="0" applyNumberFormat="1" applyFont="1" applyFill="1" applyBorder="1" applyAlignment="1" applyProtection="1">
      <alignment vertical="center"/>
      <protection locked="0"/>
    </xf>
    <xf numFmtId="49" fontId="4" fillId="11" borderId="35" xfId="0" applyNumberFormat="1" applyFont="1" applyFill="1" applyBorder="1" applyAlignment="1">
      <alignment horizontal="center" vertical="center"/>
    </xf>
    <xf numFmtId="0" fontId="42" fillId="11" borderId="36" xfId="0" applyFont="1" applyFill="1" applyBorder="1" applyAlignment="1">
      <alignment vertical="center" wrapText="1"/>
    </xf>
    <xf numFmtId="0" fontId="43" fillId="11" borderId="28" xfId="0" applyFont="1" applyFill="1" applyBorder="1" applyAlignment="1">
      <alignment horizontal="center" vertical="center"/>
    </xf>
    <xf numFmtId="4" fontId="43" fillId="11" borderId="27" xfId="0" applyNumberFormat="1" applyFont="1" applyFill="1" applyBorder="1" applyAlignment="1">
      <alignment vertical="center"/>
    </xf>
    <xf numFmtId="4" fontId="30" fillId="11" borderId="36" xfId="0" applyNumberFormat="1" applyFont="1" applyFill="1" applyBorder="1" applyAlignment="1">
      <alignment vertical="center"/>
    </xf>
    <xf numFmtId="4" fontId="4" fillId="11" borderId="3" xfId="1" applyNumberFormat="1" applyFont="1" applyFill="1" applyBorder="1" applyAlignment="1">
      <alignment vertical="center"/>
    </xf>
    <xf numFmtId="4" fontId="4" fillId="11" borderId="27" xfId="1" applyNumberFormat="1" applyFont="1" applyFill="1" applyBorder="1" applyAlignment="1">
      <alignment vertical="center"/>
    </xf>
    <xf numFmtId="4" fontId="4" fillId="11" borderId="36" xfId="1" applyNumberFormat="1" applyFont="1" applyFill="1" applyBorder="1" applyAlignment="1">
      <alignment vertical="center"/>
    </xf>
    <xf numFmtId="49" fontId="4" fillId="0" borderId="19" xfId="0" applyNumberFormat="1" applyFont="1" applyBorder="1" applyAlignment="1" applyProtection="1">
      <alignment horizontal="left" vertical="center"/>
      <protection locked="0"/>
    </xf>
    <xf numFmtId="49" fontId="4" fillId="0" borderId="56" xfId="0" applyNumberFormat="1" applyFont="1" applyBorder="1" applyAlignment="1" applyProtection="1">
      <alignment horizontal="left" vertical="center"/>
      <protection locked="0"/>
    </xf>
    <xf numFmtId="49" fontId="4" fillId="0" borderId="10" xfId="0" applyNumberFormat="1" applyFont="1" applyBorder="1" applyAlignment="1" applyProtection="1">
      <alignment horizontal="left" vertical="center"/>
      <protection locked="0"/>
    </xf>
    <xf numFmtId="4" fontId="5" fillId="11" borderId="113" xfId="0" applyNumberFormat="1" applyFont="1" applyFill="1" applyBorder="1" applyAlignment="1" applyProtection="1">
      <alignment vertical="center"/>
      <protection locked="0"/>
    </xf>
    <xf numFmtId="4" fontId="5" fillId="11" borderId="111" xfId="0" applyNumberFormat="1" applyFont="1" applyFill="1" applyBorder="1" applyAlignment="1">
      <alignment horizontal="center" vertical="center"/>
    </xf>
    <xf numFmtId="0" fontId="4" fillId="11" borderId="5" xfId="1" applyFont="1" applyFill="1" applyBorder="1" applyAlignment="1">
      <alignment horizontal="left" vertical="center" wrapText="1" indent="2"/>
    </xf>
    <xf numFmtId="0" fontId="5" fillId="11" borderId="27" xfId="1" applyFont="1" applyFill="1" applyBorder="1" applyAlignment="1">
      <alignment vertical="center"/>
    </xf>
    <xf numFmtId="166" fontId="5" fillId="11" borderId="5" xfId="1" applyNumberFormat="1" applyFont="1" applyFill="1" applyBorder="1" applyAlignment="1">
      <alignment horizontal="center" vertical="center"/>
    </xf>
    <xf numFmtId="0" fontId="50" fillId="0" borderId="6" xfId="0" applyFont="1" applyBorder="1" applyAlignment="1">
      <alignment horizontal="center" vertical="center"/>
    </xf>
    <xf numFmtId="0" fontId="42" fillId="12" borderId="36" xfId="0" applyFont="1" applyFill="1" applyBorder="1" applyAlignment="1">
      <alignment vertical="top" wrapText="1"/>
    </xf>
    <xf numFmtId="0" fontId="6" fillId="3" borderId="60" xfId="14" applyFill="1" applyBorder="1" applyAlignment="1">
      <alignment horizontal="centerContinuous"/>
    </xf>
    <xf numFmtId="0" fontId="6" fillId="3" borderId="115" xfId="14" applyFill="1" applyBorder="1" applyAlignment="1">
      <alignment horizontal="center"/>
    </xf>
    <xf numFmtId="17" fontId="6" fillId="3" borderId="10" xfId="14" applyNumberFormat="1" applyFill="1" applyBorder="1" applyAlignment="1">
      <alignment horizontal="center" vertical="center"/>
    </xf>
    <xf numFmtId="169" fontId="6" fillId="3" borderId="87" xfId="14" applyNumberFormat="1" applyFill="1" applyBorder="1" applyAlignment="1">
      <alignment horizontal="center"/>
    </xf>
    <xf numFmtId="0" fontId="5" fillId="3" borderId="6" xfId="14" applyFont="1" applyFill="1" applyBorder="1" applyAlignment="1">
      <alignment horizontal="center"/>
    </xf>
    <xf numFmtId="4" fontId="4" fillId="0" borderId="0" xfId="1" applyNumberFormat="1" applyFont="1" applyAlignment="1">
      <alignment vertical="center"/>
    </xf>
    <xf numFmtId="2" fontId="4" fillId="0" borderId="45" xfId="1" applyNumberFormat="1" applyFont="1" applyBorder="1" applyAlignment="1">
      <alignment horizontal="center" vertical="center"/>
    </xf>
    <xf numFmtId="0" fontId="4" fillId="12" borderId="5" xfId="0" applyFont="1" applyFill="1" applyBorder="1" applyAlignment="1" applyProtection="1">
      <alignment horizontal="left" vertical="center" wrapText="1"/>
      <protection locked="0"/>
    </xf>
    <xf numFmtId="0" fontId="4" fillId="12" borderId="5" xfId="1" applyFont="1" applyFill="1" applyBorder="1" applyAlignment="1">
      <alignment vertical="center"/>
    </xf>
    <xf numFmtId="166" fontId="5" fillId="12" borderId="5" xfId="1" applyNumberFormat="1" applyFont="1" applyFill="1" applyBorder="1" applyAlignment="1">
      <alignment horizontal="left" vertical="center"/>
    </xf>
    <xf numFmtId="4" fontId="5" fillId="11" borderId="73" xfId="0" applyNumberFormat="1" applyFont="1" applyFill="1" applyBorder="1" applyAlignment="1" applyProtection="1">
      <alignment vertical="center"/>
      <protection locked="0"/>
    </xf>
    <xf numFmtId="0" fontId="14" fillId="6" borderId="0" xfId="7" applyFill="1"/>
    <xf numFmtId="0" fontId="14" fillId="6" borderId="0" xfId="7" applyFill="1" applyProtection="1">
      <protection locked="0"/>
    </xf>
    <xf numFmtId="0" fontId="6" fillId="0" borderId="4" xfId="7" applyFont="1" applyBorder="1" applyAlignment="1">
      <alignment vertical="center" wrapText="1"/>
    </xf>
    <xf numFmtId="10" fontId="6" fillId="0" borderId="111" xfId="7" applyNumberFormat="1" applyFont="1" applyBorder="1" applyAlignment="1">
      <alignment horizontal="center" vertical="center"/>
    </xf>
    <xf numFmtId="10" fontId="6" fillId="0" borderId="1" xfId="7" applyNumberFormat="1" applyFont="1" applyBorder="1" applyAlignment="1">
      <alignment horizontal="center" vertical="center"/>
    </xf>
    <xf numFmtId="10" fontId="6" fillId="0" borderId="90" xfId="7" applyNumberFormat="1" applyFont="1" applyBorder="1" applyAlignment="1">
      <alignment horizontal="center" vertical="center"/>
    </xf>
    <xf numFmtId="0" fontId="6" fillId="6" borderId="28" xfId="7" applyFont="1" applyFill="1" applyBorder="1" applyAlignment="1">
      <alignment vertical="center" wrapText="1"/>
    </xf>
    <xf numFmtId="10" fontId="6" fillId="6" borderId="35" xfId="7" applyNumberFormat="1" applyFont="1" applyFill="1" applyBorder="1" applyAlignment="1">
      <alignment horizontal="center" vertical="center"/>
    </xf>
    <xf numFmtId="10" fontId="6" fillId="6" borderId="5" xfId="7" applyNumberFormat="1" applyFont="1" applyFill="1" applyBorder="1" applyAlignment="1">
      <alignment horizontal="center" vertical="center"/>
    </xf>
    <xf numFmtId="10" fontId="6" fillId="6" borderId="29" xfId="7" applyNumberFormat="1" applyFont="1" applyFill="1" applyBorder="1" applyAlignment="1">
      <alignment horizontal="center" vertical="center"/>
    </xf>
    <xf numFmtId="4" fontId="5" fillId="12" borderId="40" xfId="1" applyNumberFormat="1" applyFont="1" applyFill="1" applyBorder="1" applyAlignment="1">
      <alignment vertical="center"/>
    </xf>
    <xf numFmtId="0" fontId="5" fillId="3" borderId="30" xfId="14" applyFont="1" applyFill="1" applyBorder="1" applyAlignment="1">
      <alignment horizontal="center"/>
    </xf>
    <xf numFmtId="169" fontId="6" fillId="3" borderId="6" xfId="14" applyNumberFormat="1" applyFill="1" applyBorder="1" applyAlignment="1">
      <alignment horizontal="center"/>
    </xf>
    <xf numFmtId="0" fontId="6" fillId="0" borderId="6" xfId="14" applyBorder="1" applyProtection="1">
      <protection locked="0"/>
    </xf>
    <xf numFmtId="2" fontId="5" fillId="3" borderId="44" xfId="14" applyNumberFormat="1" applyFont="1" applyFill="1" applyBorder="1" applyAlignment="1">
      <alignment horizontal="center"/>
    </xf>
    <xf numFmtId="0" fontId="19" fillId="12" borderId="9" xfId="14" quotePrefix="1" applyFont="1" applyFill="1" applyBorder="1" applyAlignment="1">
      <alignment horizontal="left" vertical="center" indent="3"/>
    </xf>
    <xf numFmtId="0" fontId="15" fillId="12" borderId="9" xfId="14" applyFont="1" applyFill="1" applyBorder="1" applyAlignment="1">
      <alignment horizontal="centerContinuous"/>
    </xf>
    <xf numFmtId="0" fontId="6" fillId="12" borderId="9" xfId="14" quotePrefix="1" applyFill="1" applyBorder="1" applyAlignment="1">
      <alignment horizontal="left"/>
    </xf>
    <xf numFmtId="0" fontId="6" fillId="12" borderId="9" xfId="14" applyFill="1" applyBorder="1"/>
    <xf numFmtId="0" fontId="24" fillId="12" borderId="9" xfId="14" applyFont="1" applyFill="1" applyBorder="1" applyAlignment="1">
      <alignment vertical="center"/>
    </xf>
    <xf numFmtId="0" fontId="6" fillId="12" borderId="12" xfId="14" applyFill="1" applyBorder="1"/>
    <xf numFmtId="49" fontId="7" fillId="11" borderId="79" xfId="14" applyNumberFormat="1" applyFont="1" applyFill="1" applyBorder="1" applyProtection="1">
      <protection locked="0"/>
    </xf>
    <xf numFmtId="0" fontId="7" fillId="11" borderId="56" xfId="14" applyFont="1" applyFill="1" applyBorder="1" applyProtection="1">
      <protection locked="0"/>
    </xf>
    <xf numFmtId="0" fontId="6" fillId="0" borderId="0" xfId="7" applyFont="1" applyAlignment="1">
      <alignment horizontal="justify" vertical="center" wrapText="1"/>
    </xf>
    <xf numFmtId="0" fontId="6" fillId="0" borderId="0" xfId="0" applyFont="1" applyAlignment="1">
      <alignment horizontal="justify" vertical="center" wrapText="1"/>
    </xf>
    <xf numFmtId="0" fontId="0" fillId="0" borderId="0" xfId="0" applyAlignment="1">
      <alignment horizontal="justify" vertical="center" wrapText="1"/>
    </xf>
    <xf numFmtId="0" fontId="7" fillId="0" borderId="3" xfId="7" applyFont="1" applyBorder="1" applyAlignment="1">
      <alignment horizontal="center" vertical="center" wrapText="1"/>
    </xf>
    <xf numFmtId="0" fontId="7" fillId="0" borderId="2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 xfId="7" quotePrefix="1" applyFont="1" applyBorder="1" applyAlignment="1">
      <alignment horizontal="left" vertical="center"/>
    </xf>
    <xf numFmtId="0" fontId="7" fillId="0" borderId="27" xfId="7" applyFont="1" applyBorder="1" applyAlignment="1">
      <alignment horizontal="left" vertical="center"/>
    </xf>
    <xf numFmtId="0" fontId="5" fillId="0" borderId="36" xfId="5" applyBorder="1" applyAlignment="1">
      <alignment horizontal="left" vertical="center"/>
    </xf>
    <xf numFmtId="0" fontId="15" fillId="0" borderId="3" xfId="7" applyFont="1" applyBorder="1" applyAlignment="1">
      <alignment horizontal="center" vertical="center" wrapText="1"/>
    </xf>
    <xf numFmtId="0" fontId="0" fillId="0" borderId="27" xfId="0" applyBorder="1" applyAlignment="1">
      <alignment horizontal="center" vertical="center" wrapText="1"/>
    </xf>
    <xf numFmtId="0" fontId="0" fillId="0" borderId="36" xfId="0" applyBorder="1" applyAlignment="1">
      <alignment horizontal="center" vertical="center" wrapText="1"/>
    </xf>
    <xf numFmtId="0" fontId="18" fillId="0" borderId="20" xfId="7" applyFont="1" applyBorder="1" applyAlignment="1">
      <alignment horizontal="center" vertical="center" wrapText="1"/>
    </xf>
    <xf numFmtId="0" fontId="18" fillId="0" borderId="4" xfId="7" applyFont="1" applyBorder="1" applyAlignment="1">
      <alignment horizontal="center" vertical="center" wrapText="1"/>
    </xf>
    <xf numFmtId="0" fontId="0" fillId="0" borderId="25" xfId="0" applyBorder="1" applyAlignment="1">
      <alignment vertical="center" wrapText="1"/>
    </xf>
    <xf numFmtId="0" fontId="7" fillId="0" borderId="11" xfId="7" applyFont="1" applyBorder="1" applyAlignment="1">
      <alignment horizontal="center"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7" fillId="0" borderId="20" xfId="7" applyFont="1" applyBorder="1" applyAlignment="1">
      <alignment horizontal="center" vertical="center" wrapText="1"/>
    </xf>
    <xf numFmtId="0" fontId="0" fillId="0" borderId="25" xfId="0" applyBorder="1" applyAlignment="1">
      <alignment horizontal="center" vertical="center" wrapText="1"/>
    </xf>
    <xf numFmtId="0" fontId="7" fillId="0" borderId="27" xfId="7" applyFont="1" applyBorder="1" applyAlignment="1">
      <alignment horizontal="center" vertical="center" wrapText="1"/>
    </xf>
    <xf numFmtId="0" fontId="7" fillId="0" borderId="36" xfId="7" applyFont="1" applyBorder="1" applyAlignment="1">
      <alignment horizontal="center" vertical="center" wrapText="1"/>
    </xf>
    <xf numFmtId="0" fontId="7" fillId="0" borderId="20" xfId="7" applyFont="1" applyBorder="1" applyAlignment="1">
      <alignment vertical="center" wrapText="1"/>
    </xf>
    <xf numFmtId="0" fontId="7" fillId="0" borderId="25" xfId="0" applyFont="1" applyBorder="1" applyAlignment="1">
      <alignment vertical="center" wrapText="1"/>
    </xf>
    <xf numFmtId="0" fontId="4" fillId="0" borderId="9" xfId="1" applyFont="1" applyBorder="1" applyAlignment="1">
      <alignment vertical="center" wrapText="1"/>
    </xf>
    <xf numFmtId="0" fontId="4" fillId="0" borderId="12" xfId="0" applyFont="1" applyBorder="1" applyAlignment="1">
      <alignment vertical="center"/>
    </xf>
    <xf numFmtId="49" fontId="39" fillId="0" borderId="11" xfId="0" applyNumberFormat="1" applyFont="1" applyBorder="1" applyAlignment="1">
      <alignment horizontal="center" vertical="center"/>
    </xf>
    <xf numFmtId="49" fontId="39" fillId="0" borderId="12" xfId="0" applyNumberFormat="1" applyFont="1" applyBorder="1" applyAlignment="1">
      <alignment horizontal="center" vertical="center"/>
    </xf>
    <xf numFmtId="49" fontId="39" fillId="0" borderId="13" xfId="0" applyNumberFormat="1" applyFont="1" applyBorder="1" applyAlignment="1">
      <alignment horizontal="center" vertical="center"/>
    </xf>
    <xf numFmtId="49" fontId="39" fillId="0" borderId="14" xfId="0" applyNumberFormat="1" applyFont="1" applyBorder="1" applyAlignment="1">
      <alignment horizontal="center" vertical="center"/>
    </xf>
    <xf numFmtId="49" fontId="39" fillId="0" borderId="15" xfId="0" applyNumberFormat="1" applyFont="1" applyBorder="1" applyAlignment="1">
      <alignment horizontal="center" vertical="center"/>
    </xf>
    <xf numFmtId="49" fontId="39" fillId="0" borderId="16" xfId="0" applyNumberFormat="1" applyFont="1" applyBorder="1" applyAlignment="1">
      <alignment horizontal="center" vertical="center"/>
    </xf>
    <xf numFmtId="0" fontId="15" fillId="12" borderId="21" xfId="14" applyFont="1" applyFill="1" applyBorder="1" applyAlignment="1">
      <alignment horizontal="center" wrapText="1"/>
    </xf>
    <xf numFmtId="0" fontId="15" fillId="12" borderId="19" xfId="14" applyFont="1" applyFill="1" applyBorder="1" applyAlignment="1">
      <alignment horizontal="center" wrapText="1"/>
    </xf>
    <xf numFmtId="2" fontId="7" fillId="11" borderId="76" xfId="14" applyNumberFormat="1" applyFont="1" applyFill="1" applyBorder="1" applyAlignment="1" applyProtection="1">
      <alignment horizontal="left"/>
      <protection locked="0"/>
    </xf>
    <xf numFmtId="2" fontId="7" fillId="11" borderId="56" xfId="14" applyNumberFormat="1" applyFont="1" applyFill="1" applyBorder="1" applyAlignment="1" applyProtection="1">
      <alignment horizontal="left"/>
      <protection locked="0"/>
    </xf>
    <xf numFmtId="0" fontId="6" fillId="3" borderId="37" xfId="14" applyFill="1" applyBorder="1" applyAlignment="1">
      <alignment horizontal="center" vertical="center"/>
    </xf>
    <xf numFmtId="0" fontId="6" fillId="3" borderId="91" xfId="14" applyFill="1" applyBorder="1" applyAlignment="1">
      <alignment horizontal="center" vertical="center"/>
    </xf>
    <xf numFmtId="0" fontId="6" fillId="3" borderId="87" xfId="14" applyFill="1" applyBorder="1" applyAlignment="1">
      <alignment horizontal="center" vertical="center"/>
    </xf>
    <xf numFmtId="0" fontId="6" fillId="3" borderId="41" xfId="14" applyFill="1" applyBorder="1" applyAlignment="1">
      <alignment horizontal="center" vertical="center"/>
    </xf>
    <xf numFmtId="0" fontId="6" fillId="3" borderId="92" xfId="14" applyFill="1" applyBorder="1" applyAlignment="1">
      <alignment horizontal="center" vertical="center"/>
    </xf>
    <xf numFmtId="0" fontId="6" fillId="3" borderId="118" xfId="14" applyFill="1" applyBorder="1" applyAlignment="1">
      <alignment horizontal="center" vertical="center"/>
    </xf>
    <xf numFmtId="4" fontId="5" fillId="0" borderId="0" xfId="1" applyNumberFormat="1" applyFont="1" applyBorder="1" applyAlignment="1">
      <alignment vertical="center"/>
    </xf>
    <xf numFmtId="4" fontId="4" fillId="0" borderId="0" xfId="1" applyNumberFormat="1" applyFont="1" applyBorder="1" applyAlignment="1">
      <alignment vertical="center"/>
    </xf>
    <xf numFmtId="0" fontId="5" fillId="5" borderId="0" xfId="1" applyFont="1" applyFill="1" applyBorder="1" applyAlignment="1">
      <alignment vertical="center"/>
    </xf>
    <xf numFmtId="4" fontId="4" fillId="4" borderId="0" xfId="1" applyNumberFormat="1" applyFont="1" applyFill="1" applyBorder="1" applyAlignment="1">
      <alignment vertical="center"/>
    </xf>
    <xf numFmtId="4" fontId="5" fillId="0" borderId="13" xfId="1" applyNumberFormat="1" applyFont="1" applyBorder="1" applyAlignment="1">
      <alignment vertical="center"/>
    </xf>
    <xf numFmtId="4" fontId="4" fillId="4" borderId="13" xfId="1" applyNumberFormat="1" applyFont="1" applyFill="1" applyBorder="1" applyAlignment="1">
      <alignment vertical="center"/>
    </xf>
    <xf numFmtId="4" fontId="4" fillId="12" borderId="6" xfId="1" applyNumberFormat="1" applyFont="1" applyFill="1" applyBorder="1" applyAlignment="1">
      <alignment vertical="center"/>
    </xf>
    <xf numFmtId="4" fontId="4" fillId="4" borderId="6" xfId="1" applyNumberFormat="1" applyFont="1" applyFill="1" applyBorder="1" applyAlignment="1">
      <alignment vertical="center"/>
    </xf>
    <xf numFmtId="4" fontId="4" fillId="11" borderId="6" xfId="1" applyNumberFormat="1" applyFont="1" applyFill="1" applyBorder="1" applyAlignment="1">
      <alignment vertical="center"/>
    </xf>
    <xf numFmtId="165" fontId="4" fillId="12" borderId="37" xfId="1" applyNumberFormat="1" applyFont="1" applyFill="1" applyBorder="1" applyAlignment="1">
      <alignment horizontal="center" vertical="center" wrapText="1"/>
    </xf>
    <xf numFmtId="165" fontId="4" fillId="12" borderId="38" xfId="1" applyNumberFormat="1" applyFont="1" applyFill="1" applyBorder="1" applyAlignment="1">
      <alignment horizontal="center" vertical="center" wrapText="1"/>
    </xf>
    <xf numFmtId="165" fontId="4" fillId="12" borderId="39" xfId="1" applyNumberFormat="1" applyFont="1" applyFill="1" applyBorder="1" applyAlignment="1">
      <alignment horizontal="center" vertical="center" wrapText="1"/>
    </xf>
    <xf numFmtId="4" fontId="5" fillId="6" borderId="6" xfId="1" applyNumberFormat="1" applyFont="1" applyFill="1" applyBorder="1" applyAlignment="1">
      <alignment vertical="center"/>
    </xf>
    <xf numFmtId="4" fontId="4" fillId="6" borderId="6" xfId="1" applyNumberFormat="1" applyFont="1" applyFill="1" applyBorder="1" applyAlignment="1">
      <alignment vertical="center"/>
    </xf>
    <xf numFmtId="173" fontId="5" fillId="0" borderId="6" xfId="1" applyNumberFormat="1" applyFont="1" applyBorder="1" applyAlignment="1">
      <alignment vertical="center"/>
    </xf>
    <xf numFmtId="44" fontId="4" fillId="12" borderId="6" xfId="159" applyFont="1" applyFill="1" applyBorder="1" applyAlignment="1">
      <alignment vertical="center"/>
    </xf>
    <xf numFmtId="173" fontId="5" fillId="12" borderId="6" xfId="1" applyNumberFormat="1" applyFont="1" applyFill="1" applyBorder="1" applyAlignment="1">
      <alignment vertical="center"/>
    </xf>
    <xf numFmtId="175" fontId="4" fillId="0" borderId="6" xfId="1" applyNumberFormat="1" applyFont="1" applyBorder="1" applyAlignment="1">
      <alignment vertical="center"/>
    </xf>
    <xf numFmtId="0" fontId="5" fillId="0" borderId="0" xfId="1" applyFont="1" applyBorder="1" applyAlignment="1">
      <alignment horizontal="center" vertical="center"/>
    </xf>
    <xf numFmtId="0" fontId="4" fillId="12" borderId="13" xfId="0" applyFont="1" applyFill="1" applyBorder="1" applyAlignment="1">
      <alignment horizontal="center" vertical="center"/>
    </xf>
    <xf numFmtId="0" fontId="4" fillId="12" borderId="0" xfId="0" applyFont="1" applyFill="1" applyBorder="1" applyAlignment="1">
      <alignment horizontal="center" vertical="center"/>
    </xf>
    <xf numFmtId="0" fontId="4" fillId="12" borderId="14" xfId="0" applyFont="1" applyFill="1" applyBorder="1" applyAlignment="1">
      <alignment horizontal="center" vertical="center"/>
    </xf>
    <xf numFmtId="0" fontId="4" fillId="0" borderId="59" xfId="0" applyFont="1" applyBorder="1" applyAlignment="1" applyProtection="1">
      <alignment horizontal="center" vertical="center"/>
      <protection locked="0"/>
    </xf>
    <xf numFmtId="0" fontId="4" fillId="0" borderId="56" xfId="0" applyFont="1" applyBorder="1" applyAlignment="1" applyProtection="1">
      <alignment horizontal="center" vertical="center"/>
      <protection locked="0"/>
    </xf>
    <xf numFmtId="0" fontId="4" fillId="0" borderId="42" xfId="0" applyFont="1" applyBorder="1" applyAlignment="1" applyProtection="1">
      <alignment horizontal="center" vertical="center"/>
      <protection locked="0"/>
    </xf>
    <xf numFmtId="0" fontId="4" fillId="0" borderId="64" xfId="0" applyFont="1" applyBorder="1" applyAlignment="1" applyProtection="1">
      <alignment horizontal="center" vertical="center"/>
      <protection locked="0"/>
    </xf>
    <xf numFmtId="0" fontId="4" fillId="0" borderId="60" xfId="0" applyFont="1" applyBorder="1" applyAlignment="1" applyProtection="1">
      <alignment horizontal="center" vertical="center"/>
      <protection locked="0"/>
    </xf>
    <xf numFmtId="0" fontId="4" fillId="0" borderId="44" xfId="0" applyFont="1" applyBorder="1" applyAlignment="1" applyProtection="1">
      <alignment horizontal="center" vertical="center"/>
      <protection locked="0"/>
    </xf>
    <xf numFmtId="0" fontId="4" fillId="0" borderId="119" xfId="0" applyFont="1" applyBorder="1" applyAlignment="1" applyProtection="1">
      <alignment horizontal="center" vertical="center"/>
      <protection locked="0"/>
    </xf>
    <xf numFmtId="0" fontId="4" fillId="0" borderId="41" xfId="0" applyFont="1" applyBorder="1" applyAlignment="1" applyProtection="1">
      <alignment horizontal="center" vertical="center"/>
      <protection locked="0"/>
    </xf>
    <xf numFmtId="0" fontId="5" fillId="6" borderId="0" xfId="0" applyFont="1" applyFill="1" applyAlignment="1">
      <alignment horizontal="center" vertical="top"/>
    </xf>
    <xf numFmtId="166" fontId="6" fillId="6" borderId="0" xfId="0" applyNumberFormat="1" applyFont="1" applyFill="1" applyAlignment="1">
      <alignment horizontal="center" vertical="center"/>
    </xf>
    <xf numFmtId="0" fontId="5" fillId="6" borderId="0" xfId="0" applyFont="1" applyFill="1" applyAlignment="1">
      <alignment horizontal="left" vertical="top"/>
    </xf>
    <xf numFmtId="0" fontId="7" fillId="6" borderId="11" xfId="14" applyFont="1" applyFill="1" applyBorder="1" applyAlignment="1" applyProtection="1">
      <alignment horizontal="left" vertical="top"/>
      <protection locked="0"/>
    </xf>
    <xf numFmtId="0" fontId="7" fillId="6" borderId="9" xfId="14" applyFont="1" applyFill="1" applyBorder="1" applyProtection="1">
      <protection locked="0"/>
    </xf>
    <xf numFmtId="0" fontId="7" fillId="6" borderId="108" xfId="14" applyFont="1" applyFill="1" applyBorder="1" applyProtection="1">
      <protection locked="0"/>
    </xf>
    <xf numFmtId="0" fontId="6" fillId="6" borderId="15" xfId="14" applyFill="1" applyBorder="1" applyAlignment="1" applyProtection="1">
      <alignment horizontal="centerContinuous" vertical="center" wrapText="1"/>
      <protection locked="0"/>
    </xf>
    <xf numFmtId="0" fontId="6" fillId="6" borderId="10" xfId="14" applyFill="1" applyBorder="1" applyAlignment="1" applyProtection="1">
      <alignment vertical="center"/>
      <protection locked="0"/>
    </xf>
    <xf numFmtId="0" fontId="6" fillId="6" borderId="109" xfId="14" applyFill="1" applyBorder="1" applyProtection="1">
      <protection locked="0"/>
    </xf>
    <xf numFmtId="0" fontId="6" fillId="6" borderId="9" xfId="14" applyFill="1" applyBorder="1" applyProtection="1">
      <protection locked="0"/>
    </xf>
    <xf numFmtId="49" fontId="4" fillId="0" borderId="11" xfId="0" applyNumberFormat="1" applyFont="1" applyFill="1" applyBorder="1" applyAlignment="1">
      <alignment horizontal="center" vertical="center" wrapText="1"/>
    </xf>
    <xf numFmtId="49" fontId="4" fillId="0" borderId="17" xfId="0" applyNumberFormat="1"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2" xfId="1" applyFont="1" applyFill="1" applyBorder="1" applyAlignment="1">
      <alignment vertical="center" textRotation="90"/>
    </xf>
    <xf numFmtId="0" fontId="4" fillId="0" borderId="35" xfId="1" applyFont="1" applyFill="1" applyBorder="1" applyAlignment="1">
      <alignment horizontal="center" vertical="center"/>
    </xf>
    <xf numFmtId="0" fontId="4" fillId="0" borderId="29" xfId="1" applyFont="1" applyFill="1" applyBorder="1" applyAlignment="1">
      <alignment horizontal="center" vertical="center"/>
    </xf>
    <xf numFmtId="2" fontId="4" fillId="0" borderId="3" xfId="1" applyNumberFormat="1" applyFont="1" applyFill="1" applyBorder="1" applyAlignment="1">
      <alignment horizontal="centerContinuous" vertical="center"/>
    </xf>
    <xf numFmtId="0" fontId="5" fillId="0" borderId="27" xfId="1" applyFont="1" applyFill="1" applyBorder="1" applyAlignment="1">
      <alignment horizontal="centerContinuous" vertical="center"/>
    </xf>
    <xf numFmtId="0" fontId="4" fillId="0" borderId="27" xfId="1" applyFont="1" applyFill="1" applyBorder="1" applyAlignment="1">
      <alignment horizontal="centerContinuous" vertical="center"/>
    </xf>
    <xf numFmtId="0" fontId="4" fillId="0" borderId="47" xfId="1" applyFont="1" applyFill="1" applyBorder="1" applyAlignment="1">
      <alignment horizontal="center" vertical="center"/>
    </xf>
    <xf numFmtId="0" fontId="4" fillId="0" borderId="3" xfId="0" applyFont="1" applyFill="1" applyBorder="1" applyAlignment="1">
      <alignment horizontal="centerContinuous" vertical="center"/>
    </xf>
    <xf numFmtId="0" fontId="4" fillId="0" borderId="27" xfId="0" applyFont="1" applyFill="1" applyBorder="1" applyAlignment="1">
      <alignment horizontal="centerContinuous" vertical="center"/>
    </xf>
    <xf numFmtId="0" fontId="4" fillId="0" borderId="10" xfId="0" applyFont="1" applyFill="1" applyBorder="1" applyAlignment="1">
      <alignment horizontal="centerContinuous" vertical="center"/>
    </xf>
    <xf numFmtId="0" fontId="4" fillId="0" borderId="10" xfId="0" applyFont="1" applyFill="1" applyBorder="1" applyAlignment="1">
      <alignment horizontal="center" vertical="center"/>
    </xf>
    <xf numFmtId="0" fontId="5" fillId="0" borderId="15" xfId="0" quotePrefix="1" applyFont="1" applyFill="1" applyBorder="1" applyAlignment="1">
      <alignment horizontal="left" vertical="center"/>
    </xf>
    <xf numFmtId="0" fontId="5" fillId="0" borderId="23" xfId="0" applyFont="1" applyFill="1" applyBorder="1" applyAlignment="1">
      <alignment horizontal="center" vertical="center"/>
    </xf>
    <xf numFmtId="0" fontId="5" fillId="0" borderId="16" xfId="1" applyFont="1" applyFill="1" applyBorder="1" applyAlignment="1">
      <alignment vertical="center"/>
    </xf>
    <xf numFmtId="0" fontId="4" fillId="0" borderId="16" xfId="0" applyFont="1" applyFill="1" applyBorder="1" applyAlignment="1">
      <alignment vertical="center"/>
    </xf>
    <xf numFmtId="2" fontId="4" fillId="0" borderId="35" xfId="1" applyNumberFormat="1" applyFont="1" applyFill="1" applyBorder="1" applyAlignment="1">
      <alignment horizontal="center" vertical="center"/>
    </xf>
    <xf numFmtId="166" fontId="4" fillId="0" borderId="29" xfId="1" applyNumberFormat="1" applyFont="1" applyFill="1" applyBorder="1" applyAlignment="1">
      <alignment horizontal="center" vertical="center"/>
    </xf>
    <xf numFmtId="2" fontId="4" fillId="0" borderId="5" xfId="1" applyNumberFormat="1" applyFont="1" applyFill="1" applyBorder="1" applyAlignment="1">
      <alignment horizontal="center" vertical="center"/>
    </xf>
    <xf numFmtId="2" fontId="4" fillId="0" borderId="40" xfId="1" applyNumberFormat="1" applyFont="1" applyFill="1" applyBorder="1" applyAlignment="1">
      <alignment horizontal="center" vertical="center"/>
    </xf>
    <xf numFmtId="2" fontId="5" fillId="0" borderId="48" xfId="1" applyNumberFormat="1" applyFont="1" applyFill="1" applyBorder="1" applyAlignment="1">
      <alignment horizontal="center" vertical="center"/>
    </xf>
    <xf numFmtId="2" fontId="4" fillId="0" borderId="2" xfId="0" applyNumberFormat="1" applyFont="1" applyFill="1" applyBorder="1" applyAlignment="1">
      <alignment horizontal="center" vertical="center"/>
    </xf>
    <xf numFmtId="2" fontId="4" fillId="0" borderId="5" xfId="0" applyNumberFormat="1" applyFont="1" applyFill="1" applyBorder="1" applyAlignment="1">
      <alignment horizontal="center" vertical="center"/>
    </xf>
    <xf numFmtId="165" fontId="4" fillId="0" borderId="29" xfId="1" applyNumberFormat="1" applyFont="1" applyFill="1" applyBorder="1" applyAlignment="1">
      <alignment horizontal="center" vertical="center"/>
    </xf>
    <xf numFmtId="165" fontId="4" fillId="0" borderId="40" xfId="1" applyNumberFormat="1" applyFont="1" applyFill="1" applyBorder="1" applyAlignment="1">
      <alignment horizontal="center" vertical="center" wrapText="1"/>
    </xf>
    <xf numFmtId="0" fontId="15" fillId="0" borderId="13" xfId="0" applyFont="1" applyFill="1" applyBorder="1" applyAlignment="1">
      <alignment horizontal="center" vertical="center"/>
    </xf>
    <xf numFmtId="0" fontId="15" fillId="0" borderId="0" xfId="0" applyFont="1" applyFill="1" applyBorder="1" applyAlignment="1">
      <alignment horizontal="center" vertical="center"/>
    </xf>
  </cellXfs>
  <cellStyles count="160">
    <cellStyle name="Excel Built-in Normal" xfId="156" xr:uid="{10B98137-B1FC-4AA4-809B-C20450DCBF26}"/>
    <cellStyle name="Moeda" xfId="159" builtinId="4"/>
    <cellStyle name="Moeda 12" xfId="154" xr:uid="{AB4D3300-7360-4B4C-A9CF-C48DCA9F9094}"/>
    <cellStyle name="Moeda 2" xfId="157" xr:uid="{60A7D3C2-592F-46BB-911D-B68401580008}"/>
    <cellStyle name="Moeda 3 3 2" xfId="152" xr:uid="{8C30ED34-47F3-4624-A1FC-1C1044F90D78}"/>
    <cellStyle name="Moeda 4 3" xfId="151" xr:uid="{AFBC781F-2EDE-4B9A-82D1-AB36FE4BBE54}"/>
    <cellStyle name="Normal" xfId="0" builtinId="0"/>
    <cellStyle name="Normal 10 2" xfId="21" xr:uid="{C7FCEA2D-0802-447D-8D86-5D64D1C95BB9}"/>
    <cellStyle name="Normal 10 3" xfId="22" xr:uid="{2C3C9984-F31C-4CFD-898F-1297822CBB8C}"/>
    <cellStyle name="Normal 10 4" xfId="23" xr:uid="{1B28E536-041D-4810-83F2-0682B0D9EE51}"/>
    <cellStyle name="Normal 11 2" xfId="24" xr:uid="{FF3D04AE-023F-4D91-8881-74D59BEB479B}"/>
    <cellStyle name="Normal 11 3" xfId="25" xr:uid="{75559A7B-9573-4711-9321-BB1358E98D5D}"/>
    <cellStyle name="Normal 11 4" xfId="26" xr:uid="{C0707868-9A97-493B-B8C9-E1B669DF1E76}"/>
    <cellStyle name="Normal 12 2" xfId="27" xr:uid="{ABEC43A4-7BE0-4082-AD8F-7A6882C027ED}"/>
    <cellStyle name="Normal 12 3" xfId="28" xr:uid="{0D351B11-7AFB-49E9-99F3-D5119ADACE86}"/>
    <cellStyle name="Normal 12 4" xfId="29" xr:uid="{6367D256-4489-4025-83ED-FFE700279C79}"/>
    <cellStyle name="Normal 13 2" xfId="30" xr:uid="{8928A61C-4754-43CB-82F6-ADE5F617FE82}"/>
    <cellStyle name="Normal 13 3" xfId="31" xr:uid="{0E92D683-C35C-4F8B-A344-AC729973C7EF}"/>
    <cellStyle name="Normal 13 4" xfId="32" xr:uid="{3E9F75A5-D3E8-447A-B32A-AF624BB5FBD4}"/>
    <cellStyle name="Normal 14 2" xfId="33" xr:uid="{3DA75A01-9915-4FB1-A32C-F1E913EA1BDF}"/>
    <cellStyle name="Normal 14 3" xfId="34" xr:uid="{309D6D10-9EDB-4458-936D-C06D91310ECC}"/>
    <cellStyle name="Normal 14 4" xfId="35" xr:uid="{70C731D3-4BE2-41FC-8356-DA7A89FC439A}"/>
    <cellStyle name="Normal 15 2" xfId="36" xr:uid="{4136AC20-6F49-455F-8993-3DA0FA2BC0F5}"/>
    <cellStyle name="Normal 15 3" xfId="37" xr:uid="{5E76747C-B0BD-4442-9B44-6A59BB588122}"/>
    <cellStyle name="Normal 15 4" xfId="38" xr:uid="{F5C336F7-42EA-41BD-B816-8BE04C65C87E}"/>
    <cellStyle name="Normal 16 2" xfId="39" xr:uid="{F922C8B3-8D4F-4623-AA03-9A33CA5538B7}"/>
    <cellStyle name="Normal 16 3" xfId="40" xr:uid="{6749395D-AF22-43D2-9159-4C70F27EF2A5}"/>
    <cellStyle name="Normal 16 4" xfId="41" xr:uid="{B9BC0DA6-F94E-4B34-94A9-E92BA5537916}"/>
    <cellStyle name="Normal 17 2" xfId="42" xr:uid="{C7B22DEB-2629-48E3-A160-7D7EA3B0F2F8}"/>
    <cellStyle name="Normal 17 3" xfId="43" xr:uid="{74B0582A-AA88-416B-9839-B215694DFC0F}"/>
    <cellStyle name="Normal 17 4" xfId="44" xr:uid="{348D6B10-F398-440E-85B1-FB9B4B8B44A1}"/>
    <cellStyle name="Normal 18 2" xfId="45" xr:uid="{2005345E-D6F6-444F-B9E2-5E0D7102B8FC}"/>
    <cellStyle name="Normal 18 3" xfId="46" xr:uid="{D74B0C17-8373-47BA-9F36-36B77514CE68}"/>
    <cellStyle name="Normal 18 4" xfId="47" xr:uid="{4C9D047A-A246-4724-9E22-F4CDEBBAB784}"/>
    <cellStyle name="Normal 19 2" xfId="48" xr:uid="{0EF93FF7-70F0-4BBD-BBFF-FF5E6F478CAD}"/>
    <cellStyle name="Normal 19 3" xfId="49" xr:uid="{84ABC0A0-EA88-42CD-8CC4-370AC8FB1620}"/>
    <cellStyle name="Normal 19 4" xfId="50" xr:uid="{CF3F0304-FADE-42BF-87FE-35E753E1D550}"/>
    <cellStyle name="Normal 2" xfId="5" xr:uid="{00000000-0005-0000-0000-000001000000}"/>
    <cellStyle name="Normal 2 10" xfId="51" xr:uid="{ACB7E18F-C2C8-4872-8DB0-7CC998E4057E}"/>
    <cellStyle name="Normal 2 11" xfId="52" xr:uid="{B4ACC4E6-CC91-46C8-B767-A18C9B6B57E3}"/>
    <cellStyle name="Normal 2 12" xfId="53" xr:uid="{809C6789-ABEC-48B3-84F5-EBDC52AAE48B}"/>
    <cellStyle name="Normal 2 13" xfId="54" xr:uid="{101A7850-C92C-4BEE-9672-4FD0CFA4E2E6}"/>
    <cellStyle name="Normal 2 14" xfId="55" xr:uid="{BB0C27BD-B2E3-401D-82B5-41F0D3DD2FD9}"/>
    <cellStyle name="Normal 2 15" xfId="56" xr:uid="{D36A2230-714E-4655-B328-1D20F782EDAC}"/>
    <cellStyle name="Normal 2 16" xfId="57" xr:uid="{5F55B2C7-AFC9-4850-84F3-1A1AD5D79D0B}"/>
    <cellStyle name="Normal 2 17" xfId="58" xr:uid="{2515E2F0-15F3-463C-B57E-DE86C49B6E37}"/>
    <cellStyle name="Normal 2 18" xfId="59" xr:uid="{33E87679-146A-4C3C-9B17-872B0518507F}"/>
    <cellStyle name="Normal 2 19" xfId="60" xr:uid="{656903E4-B91A-44BB-9847-D54DCD1BD780}"/>
    <cellStyle name="Normal 2 2" xfId="61" xr:uid="{3C0F8230-37A8-4BA2-9E40-64B6DB053FC9}"/>
    <cellStyle name="Normal 2 2 2" xfId="153" xr:uid="{849FA99B-7FB7-44C6-AD1E-3FB47F540C58}"/>
    <cellStyle name="Normal 2 20" xfId="62" xr:uid="{C6120081-5E2D-4E44-A7B6-B78A182A36E8}"/>
    <cellStyle name="Normal 2 21" xfId="63" xr:uid="{3D33F6D9-23B0-4E52-81AB-077E861C1ADB}"/>
    <cellStyle name="Normal 2 22" xfId="20" xr:uid="{511BF938-2397-4C5F-B738-44698843AB9E}"/>
    <cellStyle name="Normal 2 3" xfId="64" xr:uid="{B14BB4FF-5955-483F-A570-CC99ED7BD953}"/>
    <cellStyle name="Normal 2 4" xfId="65" xr:uid="{7743081C-937E-451F-8797-0A6AF3B3529D}"/>
    <cellStyle name="Normal 2 5" xfId="66" xr:uid="{62E960DF-B3AF-4D0A-9225-6268C8CFC5F8}"/>
    <cellStyle name="Normal 2 6" xfId="67" xr:uid="{3B7198EC-4F18-4587-A3C5-3A8018C39A13}"/>
    <cellStyle name="Normal 2 7" xfId="68" xr:uid="{959FE131-6A83-4F89-AB28-681A32CD438F}"/>
    <cellStyle name="Normal 2 8" xfId="69" xr:uid="{D099EE72-447C-46FD-BDEC-BB09802024EE}"/>
    <cellStyle name="Normal 2 9" xfId="70" xr:uid="{2558FBDE-C045-4107-9C5E-B14E99959BBC}"/>
    <cellStyle name="Normal 3" xfId="8" xr:uid="{00000000-0005-0000-0000-000002000000}"/>
    <cellStyle name="Normal 3 2" xfId="7" xr:uid="{00000000-0005-0000-0000-000003000000}"/>
    <cellStyle name="Normal 3 3" xfId="14" xr:uid="{00000000-0005-0000-0000-000004000000}"/>
    <cellStyle name="Normal 3 4" xfId="11" xr:uid="{00000000-0005-0000-0000-000005000000}"/>
    <cellStyle name="Normal 4" xfId="18" xr:uid="{D97A6843-BF6A-4D2B-8C8E-A7F111332292}"/>
    <cellStyle name="Normal 4 10" xfId="72" xr:uid="{B36BF202-47D5-456B-BFB8-0A0394404CCC}"/>
    <cellStyle name="Normal 4 10 2" xfId="149" xr:uid="{78A8D8A7-670E-44BE-81CD-4FD040AA0227}"/>
    <cellStyle name="Normal 4 11" xfId="73" xr:uid="{98D9EB4E-F0A3-4F95-8C0D-23A4FA36BCC9}"/>
    <cellStyle name="Normal 4 12" xfId="71" xr:uid="{DD519264-20EA-4A9E-BF5E-BEEDC245AD7E}"/>
    <cellStyle name="Normal 4 13" xfId="111" xr:uid="{ABBA0781-E7F3-48CC-881F-8E45ACD043D9}"/>
    <cellStyle name="Normal 4 2" xfId="74" xr:uid="{41284BDE-4500-4BF7-ADB3-B123CF3E0536}"/>
    <cellStyle name="Normal 4 3" xfId="75" xr:uid="{B4C16A7F-9C14-4D78-BDCF-78217B452A80}"/>
    <cellStyle name="Normal 4 3 2 2" xfId="150" xr:uid="{E06BA928-A390-42D2-A5D2-E511CC7B6A5E}"/>
    <cellStyle name="Normal 4 4" xfId="76" xr:uid="{7AC2BEA2-DE1A-4AB4-80CB-A1DFD9077352}"/>
    <cellStyle name="Normal 4 4 2" xfId="147" xr:uid="{F02FCFE7-BEF5-46B3-A382-B11E14998804}"/>
    <cellStyle name="Normal 4 5" xfId="77" xr:uid="{5577A017-0455-4544-B939-6F73D2F3B918}"/>
    <cellStyle name="Normal 4 5 2" xfId="138" xr:uid="{AA6B3F73-2804-435B-8D72-A38F98840B9F}"/>
    <cellStyle name="Normal 4 6" xfId="78" xr:uid="{3EACBA21-A394-48F4-849B-CE2F5A5C48C3}"/>
    <cellStyle name="Normal 4 6 2" xfId="129" xr:uid="{48F01CBF-8D2A-406B-948D-5CD4BA38FF55}"/>
    <cellStyle name="Normal 4 7" xfId="79" xr:uid="{A98A0350-57C1-4C50-95AF-0CE56658E16A}"/>
    <cellStyle name="Normal 4 7 2" xfId="120" xr:uid="{B3B1C3A7-692B-4C3A-91C3-4BADC99A318A}"/>
    <cellStyle name="Normal 4 8" xfId="80" xr:uid="{2F811A85-B013-4F4B-A71B-10CDFB547C66}"/>
    <cellStyle name="Normal 4 9" xfId="81" xr:uid="{BE771318-719F-41AC-B575-263EAF232427}"/>
    <cellStyle name="Normal 5" xfId="82" xr:uid="{C5C4EDE3-A3E6-4CA1-9388-1DFBCC0FF7D7}"/>
    <cellStyle name="Normal 5 2" xfId="83" xr:uid="{DA56EAD1-E373-4199-BF9B-8FDADBBCF129}"/>
    <cellStyle name="Normal 5 2 2" xfId="148" xr:uid="{15708939-B83C-468E-BA00-34ABB47CA0D9}"/>
    <cellStyle name="Normal 5 3" xfId="84" xr:uid="{E36560E3-FD16-4908-BB23-08915F744073}"/>
    <cellStyle name="Normal 5 3 2" xfId="140" xr:uid="{8CBBCBFD-5265-4648-A41A-DDF726ECE915}"/>
    <cellStyle name="Normal 5 4" xfId="85" xr:uid="{63313625-B24C-4C38-9895-BE88C27450B7}"/>
    <cellStyle name="Normal 5 4 2" xfId="131" xr:uid="{39272284-334F-4ACB-B353-53ACF55E49B4}"/>
    <cellStyle name="Normal 5 5" xfId="86" xr:uid="{4074A621-82F6-4987-AAE5-C9C31F3037F8}"/>
    <cellStyle name="Normal 5 5 2" xfId="122" xr:uid="{CA40D97F-8E35-469F-90F1-B92599660714}"/>
    <cellStyle name="Normal 5 6" xfId="87" xr:uid="{59BF184F-3AD4-4AEC-B1A9-B4ABD1833F84}"/>
    <cellStyle name="Normal 5 7" xfId="88" xr:uid="{7577B450-D862-4ED9-9D62-13925608F243}"/>
    <cellStyle name="Normal 5 8" xfId="113" xr:uid="{D2839F95-CFB7-4279-A21D-1E2B2B0C64F0}"/>
    <cellStyle name="Normal 6" xfId="19" xr:uid="{DA8B8AA9-1105-4604-9FEE-B0513E03CBCA}"/>
    <cellStyle name="Normal 6 2" xfId="89" xr:uid="{9BE141E4-C440-4E2F-8017-A8D51E31E22D}"/>
    <cellStyle name="Normal 6 2 2" xfId="139" xr:uid="{2422D744-5F7E-43CA-A9A9-92D5FA3A5BE3}"/>
    <cellStyle name="Normal 6 3" xfId="90" xr:uid="{DAB3E6ED-54AD-48DB-B6EA-E2F501A47C24}"/>
    <cellStyle name="Normal 6 3 2" xfId="130" xr:uid="{231800F5-0D23-4E46-8430-7EC847DBB039}"/>
    <cellStyle name="Normal 6 4" xfId="91" xr:uid="{9FD44A23-58CE-4E7C-ACE1-9AE26A615B34}"/>
    <cellStyle name="Normal 6 4 2" xfId="121" xr:uid="{1A328B13-F35F-4DC0-A770-3D294710250C}"/>
    <cellStyle name="Normal 6 5" xfId="92" xr:uid="{95A24833-38B4-41D0-9323-593E487C416A}"/>
    <cellStyle name="Normal 6 6" xfId="93" xr:uid="{F1109F14-154B-4BF1-A40C-AF0887464BA9}"/>
    <cellStyle name="Normal 6 7" xfId="94" xr:uid="{4C316656-B851-49F5-81AD-3E2B9BE990F4}"/>
    <cellStyle name="Normal 6 8" xfId="112" xr:uid="{2F40CFB0-4A6D-48D6-877B-29636BE4791F}"/>
    <cellStyle name="Normal 7" xfId="158" xr:uid="{E0DD3128-3620-435C-8E79-AFC8DAC7E0C4}"/>
    <cellStyle name="Normal 7 2" xfId="95" xr:uid="{7D5C0329-7B08-4083-B2E7-4168F8B5914A}"/>
    <cellStyle name="Normal 7 3" xfId="96" xr:uid="{0F77AD3C-8E18-4381-BFF1-39842BE65A68}"/>
    <cellStyle name="Normal 7 4" xfId="97" xr:uid="{88D306A4-D2E1-4303-9063-6BB54BC4B1BC}"/>
    <cellStyle name="Normal 7 5" xfId="98" xr:uid="{621D4AC6-78A3-4EB3-B661-E76C018FD74B}"/>
    <cellStyle name="Normal 7 6" xfId="99" xr:uid="{B46AC82E-C724-4B59-B72B-DABC674D7764}"/>
    <cellStyle name="Normal 7 7" xfId="100" xr:uid="{A509A7F7-6469-4DD0-BCBE-B2B30CE96062}"/>
    <cellStyle name="Normal_ORÇAMENTO" xfId="1" xr:uid="{00000000-0005-0000-0000-000006000000}"/>
    <cellStyle name="Normal_ORÇAMENTO ALTERNATIVA 1 DER Junho2001" xfId="2" xr:uid="{00000000-0005-0000-0000-000007000000}"/>
    <cellStyle name="Porcentagem" xfId="4" builtinId="5"/>
    <cellStyle name="Porcentagem 2" xfId="6" xr:uid="{00000000-0005-0000-0000-000009000000}"/>
    <cellStyle name="Porcentagem 2 2" xfId="101" xr:uid="{34EFAD30-8928-45E4-BFD9-852E61117846}"/>
    <cellStyle name="Porcentagem 3" xfId="17" xr:uid="{22B45934-657F-4C4D-826C-FAA67E1BFC93}"/>
    <cellStyle name="Separador de milhares 2" xfId="102" xr:uid="{C9C04083-41F9-4FD2-8672-A5B8D6C19932}"/>
    <cellStyle name="Separador de milhares 2 2" xfId="103" xr:uid="{DBCAC4F9-8C44-4F09-B628-30CE8D544F90}"/>
    <cellStyle name="Separador de milhares 3" xfId="104" xr:uid="{0D9E3DBE-A014-49C4-809C-8D9D7E81E362}"/>
    <cellStyle name="Vírgula" xfId="3" builtinId="3"/>
    <cellStyle name="Vírgula 11" xfId="155" xr:uid="{2672BB9B-52DE-49C3-AF68-1D32D2972C68}"/>
    <cellStyle name="Vírgula 2" xfId="9" xr:uid="{00000000-0005-0000-0000-00000B000000}"/>
    <cellStyle name="Vírgula 2 2" xfId="15" xr:uid="{00000000-0005-0000-0000-00000C000000}"/>
    <cellStyle name="Vírgula 2 2 2" xfId="145" xr:uid="{F2CD5E26-48AF-40B9-AE5C-F163D00D3677}"/>
    <cellStyle name="Vírgula 2 2 3" xfId="136" xr:uid="{1289AA73-4C29-4AEE-856F-042D12B83296}"/>
    <cellStyle name="Vírgula 2 2 4" xfId="127" xr:uid="{FCC8304D-3A5B-4A85-8521-4D63763E3CC5}"/>
    <cellStyle name="Vírgula 2 2 5" xfId="118" xr:uid="{A0E47A97-901E-49EE-BB16-DAEB76AD5170}"/>
    <cellStyle name="Vírgula 2 2 6" xfId="109" xr:uid="{A2867CDB-7988-4E11-9DBD-15BA0D17E8EA}"/>
    <cellStyle name="Vírgula 2 3" xfId="12" xr:uid="{00000000-0005-0000-0000-00000D000000}"/>
    <cellStyle name="Vírgula 2 3 2" xfId="143" xr:uid="{2994A736-DD93-4235-BFE9-6A77DC59C003}"/>
    <cellStyle name="Vírgula 2 3 3" xfId="134" xr:uid="{A3A55303-9E26-4C8F-8AF5-D359D0FCAFF5}"/>
    <cellStyle name="Vírgula 2 3 4" xfId="125" xr:uid="{DABE6D47-E9E3-4564-9E39-652696942B77}"/>
    <cellStyle name="Vírgula 2 3 5" xfId="116" xr:uid="{1A350242-EB3B-455E-81BA-7DC06E80236A}"/>
    <cellStyle name="Vírgula 2 3 6" xfId="107" xr:uid="{8772CC36-09C4-42BF-8657-2945C60AF9A5}"/>
    <cellStyle name="Vírgula 2 4" xfId="141" xr:uid="{56D05F88-97B2-49EF-8E1B-C35F935A4447}"/>
    <cellStyle name="Vírgula 2 5" xfId="132" xr:uid="{91315B9B-5EBF-4F2E-8D44-EE6333189342}"/>
    <cellStyle name="Vírgula 2 6" xfId="123" xr:uid="{A77CC264-516E-46D3-AFA0-97D4D9097C0B}"/>
    <cellStyle name="Vírgula 2 7" xfId="114" xr:uid="{1EDF58AD-0D72-46C7-8B57-F5CF36DDEA65}"/>
    <cellStyle name="Vírgula 2 8" xfId="105" xr:uid="{7C62E288-1800-468D-93DB-D263E0B9D001}"/>
    <cellStyle name="Vírgula 3" xfId="13" xr:uid="{00000000-0005-0000-0000-00000E000000}"/>
    <cellStyle name="Vírgula 3 2" xfId="144" xr:uid="{3C4CE46C-70B4-40E1-A121-8BDEDEC49BE9}"/>
    <cellStyle name="Vírgula 3 3" xfId="135" xr:uid="{60895C00-E611-48DF-8497-73D91063EA10}"/>
    <cellStyle name="Vírgula 3 4" xfId="126" xr:uid="{DF1EF070-458F-49B1-A387-F2F4936A53AF}"/>
    <cellStyle name="Vírgula 3 5" xfId="117" xr:uid="{8183DEE9-B13E-47E5-B48B-BDB527640A11}"/>
    <cellStyle name="Vírgula 3 6" xfId="108" xr:uid="{D14EDB25-7542-4A62-B4A4-5057A8123FAF}"/>
    <cellStyle name="Vírgula 4" xfId="10" xr:uid="{00000000-0005-0000-0000-00000F000000}"/>
    <cellStyle name="Vírgula 4 2" xfId="142" xr:uid="{7F4C6983-64BE-4A4E-889A-8DFBC0D05F6A}"/>
    <cellStyle name="Vírgula 4 3" xfId="133" xr:uid="{70EAABE1-E7C9-420F-A01A-73519D6A0C49}"/>
    <cellStyle name="Vírgula 4 4" xfId="124" xr:uid="{479B3948-4FC1-49E5-9C4E-1499A20A8DD7}"/>
    <cellStyle name="Vírgula 4 5" xfId="115" xr:uid="{2717CE74-02E1-4382-82EA-346CFF93782B}"/>
    <cellStyle name="Vírgula 4 6" xfId="106" xr:uid="{7B35B2E4-FDAC-4E19-8262-F7486F80D581}"/>
    <cellStyle name="Vírgula 5" xfId="16" xr:uid="{413EA061-10DD-4953-B4D5-AF5325160EE2}"/>
    <cellStyle name="Vírgula 5 2" xfId="146" xr:uid="{17F9D0EC-CAD1-4809-8154-C62BB332A8E8}"/>
    <cellStyle name="Vírgula 5 3" xfId="137" xr:uid="{2F59BA34-34DB-422B-9A80-4AA87F5ABE51}"/>
    <cellStyle name="Vírgula 5 4" xfId="128" xr:uid="{0E788158-FFA4-419F-B3AB-1ABE570EDBA5}"/>
    <cellStyle name="Vírgula 5 5" xfId="119" xr:uid="{08CF154D-7B5B-4E40-98EF-F3C83BA17B00}"/>
    <cellStyle name="Vírgula 5 6" xfId="110" xr:uid="{945F71B8-3BFF-4264-9D10-5481B4C65A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167640</xdr:colOff>
      <xdr:row>1</xdr:row>
      <xdr:rowOff>106680</xdr:rowOff>
    </xdr:from>
    <xdr:to>
      <xdr:col>3</xdr:col>
      <xdr:colOff>655320</xdr:colOff>
      <xdr:row>1</xdr:row>
      <xdr:rowOff>106680</xdr:rowOff>
    </xdr:to>
    <xdr:cxnSp macro="">
      <xdr:nvCxnSpPr>
        <xdr:cNvPr id="2" name="Conector de Seta Reta 1">
          <a:extLst>
            <a:ext uri="{FF2B5EF4-FFF2-40B4-BE49-F238E27FC236}">
              <a16:creationId xmlns:a16="http://schemas.microsoft.com/office/drawing/2014/main" id="{03B4A242-0C54-48D3-8972-E36541DD9748}"/>
            </a:ext>
          </a:extLst>
        </xdr:cNvPr>
        <xdr:cNvCxnSpPr/>
      </xdr:nvCxnSpPr>
      <xdr:spPr bwMode="auto">
        <a:xfrm flipH="1">
          <a:off x="5547360" y="33528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30480</xdr:colOff>
      <xdr:row>18</xdr:row>
      <xdr:rowOff>129540</xdr:rowOff>
    </xdr:from>
    <xdr:to>
      <xdr:col>3</xdr:col>
      <xdr:colOff>518160</xdr:colOff>
      <xdr:row>18</xdr:row>
      <xdr:rowOff>129540</xdr:rowOff>
    </xdr:to>
    <xdr:cxnSp macro="">
      <xdr:nvCxnSpPr>
        <xdr:cNvPr id="3" name="Conector de Seta Reta 2">
          <a:extLst>
            <a:ext uri="{FF2B5EF4-FFF2-40B4-BE49-F238E27FC236}">
              <a16:creationId xmlns:a16="http://schemas.microsoft.com/office/drawing/2014/main" id="{4E2CCEDC-B35C-49AA-A5CE-76EFC86D2C2B}"/>
            </a:ext>
          </a:extLst>
        </xdr:cNvPr>
        <xdr:cNvCxnSpPr/>
      </xdr:nvCxnSpPr>
      <xdr:spPr bwMode="auto">
        <a:xfrm flipH="1">
          <a:off x="5410200" y="325374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38100</xdr:colOff>
      <xdr:row>19</xdr:row>
      <xdr:rowOff>114300</xdr:rowOff>
    </xdr:from>
    <xdr:to>
      <xdr:col>3</xdr:col>
      <xdr:colOff>525780</xdr:colOff>
      <xdr:row>19</xdr:row>
      <xdr:rowOff>114300</xdr:rowOff>
    </xdr:to>
    <xdr:cxnSp macro="">
      <xdr:nvCxnSpPr>
        <xdr:cNvPr id="4" name="Conector de Seta Reta 3">
          <a:extLst>
            <a:ext uri="{FF2B5EF4-FFF2-40B4-BE49-F238E27FC236}">
              <a16:creationId xmlns:a16="http://schemas.microsoft.com/office/drawing/2014/main" id="{AC32F2DB-EC0F-439E-9B81-69E7859841CB}"/>
            </a:ext>
          </a:extLst>
        </xdr:cNvPr>
        <xdr:cNvCxnSpPr/>
      </xdr:nvCxnSpPr>
      <xdr:spPr bwMode="auto">
        <a:xfrm flipH="1">
          <a:off x="5417820" y="346710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5" name="Conector de Seta Reta 4">
          <a:extLst>
            <a:ext uri="{FF2B5EF4-FFF2-40B4-BE49-F238E27FC236}">
              <a16:creationId xmlns:a16="http://schemas.microsoft.com/office/drawing/2014/main" id="{F857CCE6-C3C0-432E-BDCA-81AD72F23E70}"/>
            </a:ext>
          </a:extLst>
        </xdr:cNvPr>
        <xdr:cNvCxnSpPr/>
      </xdr:nvCxnSpPr>
      <xdr:spPr bwMode="auto">
        <a:xfrm flipH="1">
          <a:off x="6217920" y="258318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53340</xdr:colOff>
      <xdr:row>25</xdr:row>
      <xdr:rowOff>129540</xdr:rowOff>
    </xdr:from>
    <xdr:to>
      <xdr:col>3</xdr:col>
      <xdr:colOff>541020</xdr:colOff>
      <xdr:row>25</xdr:row>
      <xdr:rowOff>129540</xdr:rowOff>
    </xdr:to>
    <xdr:cxnSp macro="">
      <xdr:nvCxnSpPr>
        <xdr:cNvPr id="6" name="Conector de Seta Reta 5">
          <a:extLst>
            <a:ext uri="{FF2B5EF4-FFF2-40B4-BE49-F238E27FC236}">
              <a16:creationId xmlns:a16="http://schemas.microsoft.com/office/drawing/2014/main" id="{E88AD68E-D8E1-4B72-B409-3F11218ADB3D}"/>
            </a:ext>
          </a:extLst>
        </xdr:cNvPr>
        <xdr:cNvCxnSpPr/>
      </xdr:nvCxnSpPr>
      <xdr:spPr bwMode="auto">
        <a:xfrm flipH="1">
          <a:off x="5433060" y="520446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38100</xdr:colOff>
      <xdr:row>24</xdr:row>
      <xdr:rowOff>152400</xdr:rowOff>
    </xdr:from>
    <xdr:to>
      <xdr:col>3</xdr:col>
      <xdr:colOff>525780</xdr:colOff>
      <xdr:row>24</xdr:row>
      <xdr:rowOff>152400</xdr:rowOff>
    </xdr:to>
    <xdr:cxnSp macro="">
      <xdr:nvCxnSpPr>
        <xdr:cNvPr id="7" name="Conector de Seta Reta 6">
          <a:extLst>
            <a:ext uri="{FF2B5EF4-FFF2-40B4-BE49-F238E27FC236}">
              <a16:creationId xmlns:a16="http://schemas.microsoft.com/office/drawing/2014/main" id="{7310A2AC-BDBE-42E0-B95F-2574F435CCF6}"/>
            </a:ext>
          </a:extLst>
        </xdr:cNvPr>
        <xdr:cNvCxnSpPr/>
      </xdr:nvCxnSpPr>
      <xdr:spPr bwMode="auto">
        <a:xfrm flipH="1">
          <a:off x="5417820" y="500634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167640</xdr:colOff>
      <xdr:row>1</xdr:row>
      <xdr:rowOff>106680</xdr:rowOff>
    </xdr:from>
    <xdr:to>
      <xdr:col>3</xdr:col>
      <xdr:colOff>655320</xdr:colOff>
      <xdr:row>1</xdr:row>
      <xdr:rowOff>106680</xdr:rowOff>
    </xdr:to>
    <xdr:cxnSp macro="">
      <xdr:nvCxnSpPr>
        <xdr:cNvPr id="8" name="Conector de Seta Reta 7">
          <a:extLst>
            <a:ext uri="{FF2B5EF4-FFF2-40B4-BE49-F238E27FC236}">
              <a16:creationId xmlns:a16="http://schemas.microsoft.com/office/drawing/2014/main" id="{59606D2E-0FBD-4370-BA8D-ADBF1350EBA5}"/>
            </a:ext>
          </a:extLst>
        </xdr:cNvPr>
        <xdr:cNvCxnSpPr/>
      </xdr:nvCxnSpPr>
      <xdr:spPr bwMode="auto">
        <a:xfrm flipH="1">
          <a:off x="5547360" y="33528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30480</xdr:colOff>
      <xdr:row>18</xdr:row>
      <xdr:rowOff>129540</xdr:rowOff>
    </xdr:from>
    <xdr:to>
      <xdr:col>3</xdr:col>
      <xdr:colOff>518160</xdr:colOff>
      <xdr:row>18</xdr:row>
      <xdr:rowOff>129540</xdr:rowOff>
    </xdr:to>
    <xdr:cxnSp macro="">
      <xdr:nvCxnSpPr>
        <xdr:cNvPr id="9" name="Conector de Seta Reta 8">
          <a:extLst>
            <a:ext uri="{FF2B5EF4-FFF2-40B4-BE49-F238E27FC236}">
              <a16:creationId xmlns:a16="http://schemas.microsoft.com/office/drawing/2014/main" id="{A70A13F4-177A-474E-8462-6BD56B9BF425}"/>
            </a:ext>
          </a:extLst>
        </xdr:cNvPr>
        <xdr:cNvCxnSpPr/>
      </xdr:nvCxnSpPr>
      <xdr:spPr bwMode="auto">
        <a:xfrm flipH="1">
          <a:off x="5410200" y="385572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38100</xdr:colOff>
      <xdr:row>19</xdr:row>
      <xdr:rowOff>114300</xdr:rowOff>
    </xdr:from>
    <xdr:to>
      <xdr:col>3</xdr:col>
      <xdr:colOff>525780</xdr:colOff>
      <xdr:row>19</xdr:row>
      <xdr:rowOff>114300</xdr:rowOff>
    </xdr:to>
    <xdr:cxnSp macro="">
      <xdr:nvCxnSpPr>
        <xdr:cNvPr id="10" name="Conector de Seta Reta 9">
          <a:extLst>
            <a:ext uri="{FF2B5EF4-FFF2-40B4-BE49-F238E27FC236}">
              <a16:creationId xmlns:a16="http://schemas.microsoft.com/office/drawing/2014/main" id="{FECCD4C1-F07A-442D-9376-E9E168F9C20E}"/>
            </a:ext>
          </a:extLst>
        </xdr:cNvPr>
        <xdr:cNvCxnSpPr/>
      </xdr:nvCxnSpPr>
      <xdr:spPr bwMode="auto">
        <a:xfrm flipH="1">
          <a:off x="5417820" y="406908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11" name="Conector de Seta Reta 10">
          <a:extLst>
            <a:ext uri="{FF2B5EF4-FFF2-40B4-BE49-F238E27FC236}">
              <a16:creationId xmlns:a16="http://schemas.microsoft.com/office/drawing/2014/main" id="{7ECF5A24-24BA-496D-8755-AF9C988F226C}"/>
            </a:ext>
          </a:extLst>
        </xdr:cNvPr>
        <xdr:cNvCxnSpPr/>
      </xdr:nvCxnSpPr>
      <xdr:spPr bwMode="auto">
        <a:xfrm flipH="1">
          <a:off x="6217920" y="318516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53340</xdr:colOff>
      <xdr:row>25</xdr:row>
      <xdr:rowOff>129540</xdr:rowOff>
    </xdr:from>
    <xdr:to>
      <xdr:col>3</xdr:col>
      <xdr:colOff>541020</xdr:colOff>
      <xdr:row>25</xdr:row>
      <xdr:rowOff>129540</xdr:rowOff>
    </xdr:to>
    <xdr:cxnSp macro="">
      <xdr:nvCxnSpPr>
        <xdr:cNvPr id="12" name="Conector de Seta Reta 11">
          <a:extLst>
            <a:ext uri="{FF2B5EF4-FFF2-40B4-BE49-F238E27FC236}">
              <a16:creationId xmlns:a16="http://schemas.microsoft.com/office/drawing/2014/main" id="{D50BB275-E5CE-47FB-BEDE-36225A4DC161}"/>
            </a:ext>
          </a:extLst>
        </xdr:cNvPr>
        <xdr:cNvCxnSpPr/>
      </xdr:nvCxnSpPr>
      <xdr:spPr bwMode="auto">
        <a:xfrm flipH="1">
          <a:off x="5433060" y="516636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38100</xdr:colOff>
      <xdr:row>24</xdr:row>
      <xdr:rowOff>152400</xdr:rowOff>
    </xdr:from>
    <xdr:to>
      <xdr:col>3</xdr:col>
      <xdr:colOff>525780</xdr:colOff>
      <xdr:row>24</xdr:row>
      <xdr:rowOff>152400</xdr:rowOff>
    </xdr:to>
    <xdr:cxnSp macro="">
      <xdr:nvCxnSpPr>
        <xdr:cNvPr id="13" name="Conector de Seta Reta 12">
          <a:extLst>
            <a:ext uri="{FF2B5EF4-FFF2-40B4-BE49-F238E27FC236}">
              <a16:creationId xmlns:a16="http://schemas.microsoft.com/office/drawing/2014/main" id="{21782016-9F69-4581-8561-72D9B35744DF}"/>
            </a:ext>
          </a:extLst>
        </xdr:cNvPr>
        <xdr:cNvCxnSpPr/>
      </xdr:nvCxnSpPr>
      <xdr:spPr bwMode="auto">
        <a:xfrm flipH="1">
          <a:off x="5417820" y="496062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167640</xdr:colOff>
      <xdr:row>1</xdr:row>
      <xdr:rowOff>106680</xdr:rowOff>
    </xdr:from>
    <xdr:to>
      <xdr:col>3</xdr:col>
      <xdr:colOff>655320</xdr:colOff>
      <xdr:row>1</xdr:row>
      <xdr:rowOff>106680</xdr:rowOff>
    </xdr:to>
    <xdr:cxnSp macro="">
      <xdr:nvCxnSpPr>
        <xdr:cNvPr id="14" name="Conector de Seta Reta 13">
          <a:extLst>
            <a:ext uri="{FF2B5EF4-FFF2-40B4-BE49-F238E27FC236}">
              <a16:creationId xmlns:a16="http://schemas.microsoft.com/office/drawing/2014/main" id="{D7FCCEC2-0629-4C5F-94F5-83EB837BCBDF}"/>
            </a:ext>
          </a:extLst>
        </xdr:cNvPr>
        <xdr:cNvCxnSpPr/>
      </xdr:nvCxnSpPr>
      <xdr:spPr bwMode="auto">
        <a:xfrm flipH="1">
          <a:off x="5547360" y="33528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30480</xdr:colOff>
      <xdr:row>18</xdr:row>
      <xdr:rowOff>129540</xdr:rowOff>
    </xdr:from>
    <xdr:to>
      <xdr:col>3</xdr:col>
      <xdr:colOff>518160</xdr:colOff>
      <xdr:row>18</xdr:row>
      <xdr:rowOff>129540</xdr:rowOff>
    </xdr:to>
    <xdr:cxnSp macro="">
      <xdr:nvCxnSpPr>
        <xdr:cNvPr id="15" name="Conector de Seta Reta 14">
          <a:extLst>
            <a:ext uri="{FF2B5EF4-FFF2-40B4-BE49-F238E27FC236}">
              <a16:creationId xmlns:a16="http://schemas.microsoft.com/office/drawing/2014/main" id="{27B32F57-501F-4E84-9BA0-90A906D5134E}"/>
            </a:ext>
          </a:extLst>
        </xdr:cNvPr>
        <xdr:cNvCxnSpPr/>
      </xdr:nvCxnSpPr>
      <xdr:spPr bwMode="auto">
        <a:xfrm flipH="1">
          <a:off x="5410200" y="385572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38100</xdr:colOff>
      <xdr:row>19</xdr:row>
      <xdr:rowOff>114300</xdr:rowOff>
    </xdr:from>
    <xdr:to>
      <xdr:col>3</xdr:col>
      <xdr:colOff>525780</xdr:colOff>
      <xdr:row>19</xdr:row>
      <xdr:rowOff>114300</xdr:rowOff>
    </xdr:to>
    <xdr:cxnSp macro="">
      <xdr:nvCxnSpPr>
        <xdr:cNvPr id="16" name="Conector de Seta Reta 15">
          <a:extLst>
            <a:ext uri="{FF2B5EF4-FFF2-40B4-BE49-F238E27FC236}">
              <a16:creationId xmlns:a16="http://schemas.microsoft.com/office/drawing/2014/main" id="{679CCC5E-2DFD-40A1-B37D-E111F035CF79}"/>
            </a:ext>
          </a:extLst>
        </xdr:cNvPr>
        <xdr:cNvCxnSpPr/>
      </xdr:nvCxnSpPr>
      <xdr:spPr bwMode="auto">
        <a:xfrm flipH="1">
          <a:off x="5417820" y="406908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17" name="Conector de Seta Reta 16">
          <a:extLst>
            <a:ext uri="{FF2B5EF4-FFF2-40B4-BE49-F238E27FC236}">
              <a16:creationId xmlns:a16="http://schemas.microsoft.com/office/drawing/2014/main" id="{5C925E9A-3E07-407B-ABC2-DA6354F5162A}"/>
            </a:ext>
          </a:extLst>
        </xdr:cNvPr>
        <xdr:cNvCxnSpPr/>
      </xdr:nvCxnSpPr>
      <xdr:spPr bwMode="auto">
        <a:xfrm flipH="1">
          <a:off x="6217920" y="318516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53340</xdr:colOff>
      <xdr:row>25</xdr:row>
      <xdr:rowOff>129540</xdr:rowOff>
    </xdr:from>
    <xdr:to>
      <xdr:col>3</xdr:col>
      <xdr:colOff>541020</xdr:colOff>
      <xdr:row>25</xdr:row>
      <xdr:rowOff>129540</xdr:rowOff>
    </xdr:to>
    <xdr:cxnSp macro="">
      <xdr:nvCxnSpPr>
        <xdr:cNvPr id="18" name="Conector de Seta Reta 17">
          <a:extLst>
            <a:ext uri="{FF2B5EF4-FFF2-40B4-BE49-F238E27FC236}">
              <a16:creationId xmlns:a16="http://schemas.microsoft.com/office/drawing/2014/main" id="{95ADAB54-C3D7-4E10-A229-5FC2087F8FEF}"/>
            </a:ext>
          </a:extLst>
        </xdr:cNvPr>
        <xdr:cNvCxnSpPr/>
      </xdr:nvCxnSpPr>
      <xdr:spPr bwMode="auto">
        <a:xfrm flipH="1">
          <a:off x="5433060" y="516636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38100</xdr:colOff>
      <xdr:row>24</xdr:row>
      <xdr:rowOff>152400</xdr:rowOff>
    </xdr:from>
    <xdr:to>
      <xdr:col>3</xdr:col>
      <xdr:colOff>525780</xdr:colOff>
      <xdr:row>24</xdr:row>
      <xdr:rowOff>152400</xdr:rowOff>
    </xdr:to>
    <xdr:cxnSp macro="">
      <xdr:nvCxnSpPr>
        <xdr:cNvPr id="19" name="Conector de Seta Reta 18">
          <a:extLst>
            <a:ext uri="{FF2B5EF4-FFF2-40B4-BE49-F238E27FC236}">
              <a16:creationId xmlns:a16="http://schemas.microsoft.com/office/drawing/2014/main" id="{B6E8A65E-A0DF-44BF-9410-66C595ED1F67}"/>
            </a:ext>
          </a:extLst>
        </xdr:cNvPr>
        <xdr:cNvCxnSpPr/>
      </xdr:nvCxnSpPr>
      <xdr:spPr bwMode="auto">
        <a:xfrm flipH="1">
          <a:off x="5417820" y="4960620"/>
          <a:ext cx="487680"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20" name="Conector de Seta Reta 19">
          <a:extLst>
            <a:ext uri="{FF2B5EF4-FFF2-40B4-BE49-F238E27FC236}">
              <a16:creationId xmlns:a16="http://schemas.microsoft.com/office/drawing/2014/main" id="{7F87F4AA-43E2-42D6-A78A-4183FEAF1EC2}"/>
            </a:ext>
          </a:extLst>
        </xdr:cNvPr>
        <xdr:cNvCxnSpPr/>
      </xdr:nvCxnSpPr>
      <xdr:spPr bwMode="auto">
        <a:xfrm flipH="1">
          <a:off x="6560820" y="3870960"/>
          <a:ext cx="487680" cy="0"/>
        </a:xfrm>
        <a:prstGeom prst="straightConnector1">
          <a:avLst/>
        </a:prstGeom>
        <a:solidFill>
          <a:srgbClr val="FFFFFF"/>
        </a:solidFill>
        <a:ln w="9525" cap="flat" cmpd="sng" algn="ctr">
          <a:solidFill>
            <a:srgbClr val="00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21" name="Conector de Seta Reta 20">
          <a:extLst>
            <a:ext uri="{FF2B5EF4-FFF2-40B4-BE49-F238E27FC236}">
              <a16:creationId xmlns:a16="http://schemas.microsoft.com/office/drawing/2014/main" id="{8E52DD61-84E2-4B64-BAC4-6407CE9196C4}"/>
            </a:ext>
          </a:extLst>
        </xdr:cNvPr>
        <xdr:cNvCxnSpPr/>
      </xdr:nvCxnSpPr>
      <xdr:spPr bwMode="auto">
        <a:xfrm flipH="1">
          <a:off x="6560820" y="3870960"/>
          <a:ext cx="487680" cy="0"/>
        </a:xfrm>
        <a:prstGeom prst="straightConnector1">
          <a:avLst/>
        </a:prstGeom>
        <a:solidFill>
          <a:srgbClr val="FFFFFF"/>
        </a:solidFill>
        <a:ln w="9525" cap="flat" cmpd="sng" algn="ctr">
          <a:solidFill>
            <a:srgbClr val="00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22" name="Conector de Seta Reta 21">
          <a:extLst>
            <a:ext uri="{FF2B5EF4-FFF2-40B4-BE49-F238E27FC236}">
              <a16:creationId xmlns:a16="http://schemas.microsoft.com/office/drawing/2014/main" id="{C8A32430-7D9A-492F-8253-C094527738CF}"/>
            </a:ext>
          </a:extLst>
        </xdr:cNvPr>
        <xdr:cNvCxnSpPr/>
      </xdr:nvCxnSpPr>
      <xdr:spPr bwMode="auto">
        <a:xfrm flipH="1">
          <a:off x="6560820" y="3870960"/>
          <a:ext cx="487680" cy="0"/>
        </a:xfrm>
        <a:prstGeom prst="straightConnector1">
          <a:avLst/>
        </a:prstGeom>
        <a:solidFill>
          <a:srgbClr val="FFFFFF"/>
        </a:solidFill>
        <a:ln w="9525" cap="flat" cmpd="sng" algn="ctr">
          <a:solidFill>
            <a:srgbClr val="00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53340</xdr:colOff>
      <xdr:row>14</xdr:row>
      <xdr:rowOff>99060</xdr:rowOff>
    </xdr:from>
    <xdr:to>
      <xdr:col>4</xdr:col>
      <xdr:colOff>541020</xdr:colOff>
      <xdr:row>14</xdr:row>
      <xdr:rowOff>99060</xdr:rowOff>
    </xdr:to>
    <xdr:cxnSp macro="">
      <xdr:nvCxnSpPr>
        <xdr:cNvPr id="23" name="Conector de Seta Reta 22">
          <a:extLst>
            <a:ext uri="{FF2B5EF4-FFF2-40B4-BE49-F238E27FC236}">
              <a16:creationId xmlns:a16="http://schemas.microsoft.com/office/drawing/2014/main" id="{18D53C9E-5DA8-41E0-B5E6-F2992962C8CA}"/>
            </a:ext>
          </a:extLst>
        </xdr:cNvPr>
        <xdr:cNvCxnSpPr/>
      </xdr:nvCxnSpPr>
      <xdr:spPr bwMode="auto">
        <a:xfrm flipH="1">
          <a:off x="6560820" y="3870960"/>
          <a:ext cx="487680" cy="0"/>
        </a:xfrm>
        <a:prstGeom prst="straightConnector1">
          <a:avLst/>
        </a:prstGeom>
        <a:solidFill>
          <a:srgbClr val="FFFFFF"/>
        </a:solidFill>
        <a:ln w="9525" cap="flat" cmpd="sng" algn="ctr">
          <a:solidFill>
            <a:srgbClr val="000000"/>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uy\_01%20Reequil&#237;brio%20-%20arquivos%20revisados\Realinamento%20SET%202017-INCC-mensal%20ANP-DNIT%20201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X:\Urbanismo\URB.%202024\2024%20-%20AVENIDA%20OSCAR%20GEYER\OR&#199;AMENTO%20AVENIDA%20OSCAR%20GEYER.xlsx" TargetMode="External"/><Relationship Id="rId1" Type="http://schemas.openxmlformats.org/officeDocument/2006/relationships/externalLinkPath" Target="/Urbanismo/URB.%202024/2024%20-%20AVENIDA%20OSCAR%20GEYER/OR&#199;AMENTO%20AVENIDA%20OSCAR%20GEY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CC"/>
      <sheetName val="ANP após 2015"/>
      <sheetName val="percentuais por insumo"/>
      <sheetName val="TESTE"/>
      <sheetName val="proposta"/>
      <sheetName val="2017 SEM"/>
      <sheetName val="R1"/>
      <sheetName val="R2"/>
      <sheetName val="R3"/>
      <sheetName val="R4"/>
      <sheetName val="R5"/>
      <sheetName val="R6"/>
      <sheetName val="R7"/>
      <sheetName val="R8 saldo"/>
      <sheetName val="SOMA"/>
      <sheetName val="resumo"/>
      <sheetName val="Composição TCPOWe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se_cron_sfm"/>
      <sheetName val="_base_cron_fp"/>
      <sheetName val="BDI"/>
      <sheetName val="DMT"/>
      <sheetName val="ORÇAMENTO"/>
      <sheetName val="cronograma FP"/>
      <sheetName val="cronograma SFM"/>
      <sheetName val="_prazos"/>
      <sheetName val="_ligantes"/>
      <sheetName val="_dren_comp"/>
      <sheetName val="_viab"/>
      <sheetName val="_traços"/>
      <sheetName val="grandes itens - experiência"/>
    </sheetNames>
    <sheetDataSet>
      <sheetData sheetId="0"/>
      <sheetData sheetId="1"/>
      <sheetData sheetId="2"/>
      <sheetData sheetId="3"/>
      <sheetData sheetId="4"/>
      <sheetData sheetId="5"/>
      <sheetData sheetId="6"/>
      <sheetData sheetId="7"/>
      <sheetData sheetId="8"/>
      <sheetData sheetId="9">
        <row r="3">
          <cell r="C3" t="str">
            <v>B.L. Símples alvenaria H até 1,20 m</v>
          </cell>
          <cell r="D3"/>
          <cell r="E3">
            <v>0.87983999999999996</v>
          </cell>
          <cell r="F3">
            <v>0.11541040000000001</v>
          </cell>
          <cell r="G3">
            <v>0.62209000000000003</v>
          </cell>
          <cell r="H3">
            <v>0.20424000000000003</v>
          </cell>
          <cell r="I3"/>
          <cell r="J3">
            <v>1382.6843920000001</v>
          </cell>
          <cell r="K3"/>
          <cell r="L3">
            <v>2.9328E-2</v>
          </cell>
        </row>
        <row r="4">
          <cell r="C4" t="str">
            <v>B.L. Símples alvenaria H até 1,50 m</v>
          </cell>
          <cell r="D4"/>
          <cell r="E4">
            <v>1.0998000000000001</v>
          </cell>
          <cell r="F4">
            <v>0.132608</v>
          </cell>
          <cell r="G4">
            <v>0.73198000000000008</v>
          </cell>
          <cell r="H4">
            <v>0.20424000000000003</v>
          </cell>
          <cell r="I4"/>
          <cell r="J4">
            <v>1534.9440399999999</v>
          </cell>
          <cell r="K4"/>
          <cell r="L4">
            <v>3.6659999999999998E-2</v>
          </cell>
        </row>
        <row r="5">
          <cell r="C5" t="str">
            <v>B.L. Símples alvenaria H até 2,00 m</v>
          </cell>
          <cell r="D5"/>
          <cell r="E5">
            <v>1.4635799999999999</v>
          </cell>
          <cell r="F5">
            <v>0.1610819</v>
          </cell>
          <cell r="G5">
            <v>0.91383625000000013</v>
          </cell>
          <cell r="H5">
            <v>0.20424000000000003</v>
          </cell>
          <cell r="I5"/>
          <cell r="J5">
            <v>1786.7909519999998</v>
          </cell>
          <cell r="K5"/>
          <cell r="L5">
            <v>4.8785999999999996E-2</v>
          </cell>
        </row>
        <row r="6">
          <cell r="C6" t="str">
            <v>B.L. Símples alvenaria H até 2,50 m</v>
          </cell>
          <cell r="D6"/>
          <cell r="E6">
            <v>1.8358199999999998</v>
          </cell>
          <cell r="F6">
            <v>0.19012209999999999</v>
          </cell>
          <cell r="G6">
            <v>1.09957375</v>
          </cell>
          <cell r="H6">
            <v>0.20424000000000003</v>
          </cell>
          <cell r="I6"/>
          <cell r="J6">
            <v>2044.395368</v>
          </cell>
          <cell r="K6"/>
          <cell r="L6">
            <v>6.1193999999999998E-2</v>
          </cell>
        </row>
        <row r="7">
          <cell r="C7" t="str">
            <v>B.L. Símples pré-moldado H até 1,20 m</v>
          </cell>
          <cell r="D7"/>
          <cell r="E7">
            <v>0</v>
          </cell>
          <cell r="F7">
            <v>0.43266000000000004</v>
          </cell>
          <cell r="G7">
            <v>1.26997</v>
          </cell>
          <cell r="H7">
            <v>1.5118200000000002</v>
          </cell>
          <cell r="I7"/>
          <cell r="J7">
            <v>1094.7577000000001</v>
          </cell>
          <cell r="K7"/>
          <cell r="L7">
            <v>0</v>
          </cell>
        </row>
        <row r="8">
          <cell r="C8" t="str">
            <v>B.L. Símples pré-moldado H até 1,50 m</v>
          </cell>
          <cell r="D8"/>
          <cell r="E8">
            <v>0</v>
          </cell>
          <cell r="F8">
            <v>0.54156000000000004</v>
          </cell>
          <cell r="G8">
            <v>1.5739000000000001</v>
          </cell>
          <cell r="H8">
            <v>1.8781200000000002</v>
          </cell>
          <cell r="I8"/>
          <cell r="J8">
            <v>1275.7076000000002</v>
          </cell>
          <cell r="K8"/>
          <cell r="L8">
            <v>0</v>
          </cell>
        </row>
        <row r="9">
          <cell r="C9" t="str">
            <v>B.L. Símples pré-moldado H até 2,00 m</v>
          </cell>
          <cell r="D9"/>
          <cell r="E9">
            <v>0</v>
          </cell>
          <cell r="F9">
            <v>0.71976000000000007</v>
          </cell>
          <cell r="G9">
            <v>2.0712400000000004</v>
          </cell>
          <cell r="H9">
            <v>2.4775200000000002</v>
          </cell>
          <cell r="I9"/>
          <cell r="J9">
            <v>1572.3155999999999</v>
          </cell>
          <cell r="K9"/>
          <cell r="L9">
            <v>0</v>
          </cell>
        </row>
        <row r="10">
          <cell r="C10" t="str">
            <v>B.L. Símples pré-moldado H até 2,50 m</v>
          </cell>
          <cell r="D10"/>
          <cell r="E10">
            <v>0</v>
          </cell>
          <cell r="F10">
            <v>0.90125999999999995</v>
          </cell>
          <cell r="G10">
            <v>2.5777900000000002</v>
          </cell>
          <cell r="H10">
            <v>3.0880200000000002</v>
          </cell>
          <cell r="I10"/>
          <cell r="J10">
            <v>1873.8007000000002</v>
          </cell>
          <cell r="K10"/>
          <cell r="L10">
            <v>0</v>
          </cell>
        </row>
        <row r="11">
          <cell r="C11" t="str">
            <v>B.L. Símples concreto armado H até 1,20 m</v>
          </cell>
          <cell r="D11"/>
          <cell r="E11">
            <v>0</v>
          </cell>
          <cell r="F11">
            <v>0.20478000000000002</v>
          </cell>
          <cell r="G11">
            <v>0.60275000000000001</v>
          </cell>
          <cell r="H11">
            <v>0.71706000000000003</v>
          </cell>
          <cell r="I11"/>
          <cell r="J11">
            <v>1829.9006999999997</v>
          </cell>
          <cell r="K11"/>
          <cell r="L11">
            <v>0</v>
          </cell>
        </row>
        <row r="12">
          <cell r="C12" t="str">
            <v>B.L. Símples concreto armado H até 1,50 m</v>
          </cell>
          <cell r="D12"/>
          <cell r="E12">
            <v>0</v>
          </cell>
          <cell r="F12">
            <v>0.25757999999999998</v>
          </cell>
          <cell r="G12">
            <v>0.75010999999999994</v>
          </cell>
          <cell r="H12">
            <v>0.89466000000000001</v>
          </cell>
          <cell r="I12"/>
          <cell r="J12">
            <v>2209.8910999999998</v>
          </cell>
          <cell r="K12"/>
          <cell r="L12">
            <v>0</v>
          </cell>
        </row>
        <row r="13">
          <cell r="C13" t="str">
            <v>B.L. Símples concreto armado H até 2,00 m</v>
          </cell>
          <cell r="D13"/>
          <cell r="E13">
            <v>0</v>
          </cell>
          <cell r="F13">
            <v>0.34338000000000002</v>
          </cell>
          <cell r="G13">
            <v>0.98957000000000006</v>
          </cell>
          <cell r="H13">
            <v>1.1832600000000002</v>
          </cell>
          <cell r="I13"/>
          <cell r="J13">
            <v>2403.1848999999997</v>
          </cell>
          <cell r="K13"/>
          <cell r="L13">
            <v>0</v>
          </cell>
        </row>
        <row r="14">
          <cell r="C14" t="str">
            <v>B.L. Símples concreto armado H até 2,50 m</v>
          </cell>
          <cell r="D14"/>
          <cell r="E14">
            <v>0</v>
          </cell>
          <cell r="F14">
            <v>0.42918000000000001</v>
          </cell>
          <cell r="G14">
            <v>1.2290300000000001</v>
          </cell>
          <cell r="H14">
            <v>1.4718600000000002</v>
          </cell>
          <cell r="I14"/>
          <cell r="J14">
            <v>2920.9871999999996</v>
          </cell>
          <cell r="K14"/>
          <cell r="L14">
            <v>0</v>
          </cell>
        </row>
        <row r="15">
          <cell r="C15" t="str">
            <v>B.L. Dupla Alvenaria H até 1,20 m</v>
          </cell>
          <cell r="D15"/>
          <cell r="E15">
            <v>1.6716959999999998</v>
          </cell>
          <cell r="F15">
            <v>0.2047668</v>
          </cell>
          <cell r="G15">
            <v>1.1293030000000002</v>
          </cell>
          <cell r="H15">
            <v>0.38805600000000001</v>
          </cell>
          <cell r="I15"/>
          <cell r="J15">
            <v>2648.3670199999997</v>
          </cell>
          <cell r="K15"/>
          <cell r="L15">
            <v>5.5723200000000001E-2</v>
          </cell>
        </row>
        <row r="16">
          <cell r="C16" t="str">
            <v>B.L. Dupla Alvenaria H até 1,50 m</v>
          </cell>
          <cell r="D16"/>
          <cell r="E16">
            <v>2.0896199999999996</v>
          </cell>
          <cell r="F16">
            <v>0.23381399999999999</v>
          </cell>
          <cell r="G16">
            <v>1.324927</v>
          </cell>
          <cell r="H16">
            <v>0.38805600000000001</v>
          </cell>
          <cell r="I16"/>
          <cell r="J16">
            <v>2933.8990199999998</v>
          </cell>
          <cell r="K16"/>
          <cell r="L16">
            <v>6.9653999999999994E-2</v>
          </cell>
        </row>
        <row r="17">
          <cell r="C17" t="str">
            <v>B.L. Dupla Alvenaria H até 2,00 m</v>
          </cell>
          <cell r="D17"/>
          <cell r="E17">
            <v>2.780802</v>
          </cell>
          <cell r="F17">
            <v>0.28185359999999998</v>
          </cell>
          <cell r="G17">
            <v>1.6484590000000001</v>
          </cell>
          <cell r="H17">
            <v>0.38805600000000001</v>
          </cell>
          <cell r="I17"/>
          <cell r="J17">
            <v>3406.1250199999995</v>
          </cell>
          <cell r="K17"/>
          <cell r="L17">
            <v>9.2693399999999995E-2</v>
          </cell>
        </row>
        <row r="18">
          <cell r="C18" t="str">
            <v>B.L. Dupla Alvenaria H até 2,50 m</v>
          </cell>
          <cell r="D18"/>
          <cell r="E18">
            <v>3.4880579999999992</v>
          </cell>
          <cell r="F18">
            <v>0.33101039999999993</v>
          </cell>
          <cell r="G18">
            <v>1.9795149999999999</v>
          </cell>
          <cell r="H18">
            <v>0.38805600000000001</v>
          </cell>
          <cell r="I18"/>
          <cell r="J18">
            <v>3889.3330199999991</v>
          </cell>
          <cell r="K18"/>
          <cell r="L18">
            <v>0.11626859999999997</v>
          </cell>
        </row>
        <row r="19">
          <cell r="C19" t="str">
            <v>B.L. Dupla Pré-moldado H até 1,20 m</v>
          </cell>
          <cell r="D19"/>
          <cell r="E19">
            <v>0</v>
          </cell>
          <cell r="F19">
            <v>0.82205400000000006</v>
          </cell>
          <cell r="G19">
            <v>2.4129430000000003</v>
          </cell>
          <cell r="H19">
            <v>2.8724580000000004</v>
          </cell>
          <cell r="I19"/>
          <cell r="J19">
            <v>2116.3516300000001</v>
          </cell>
          <cell r="K19"/>
          <cell r="L19">
            <v>0</v>
          </cell>
        </row>
        <row r="20">
          <cell r="C20" t="str">
            <v>B.L. Dupla Pré-moldado H até 1,50 m</v>
          </cell>
          <cell r="D20"/>
          <cell r="E20">
            <v>0</v>
          </cell>
          <cell r="F20">
            <v>1.028964</v>
          </cell>
          <cell r="G20">
            <v>2.9904099999999998</v>
          </cell>
          <cell r="H20">
            <v>3.5684279999999999</v>
          </cell>
          <cell r="I20"/>
          <cell r="J20">
            <v>2460.1564399999997</v>
          </cell>
          <cell r="K20"/>
          <cell r="L20">
            <v>0</v>
          </cell>
        </row>
        <row r="21">
          <cell r="C21" t="str">
            <v>B.L. Dupla Pré-moldado H até 2,00 m</v>
          </cell>
          <cell r="D21"/>
          <cell r="E21">
            <v>0</v>
          </cell>
          <cell r="F21">
            <v>1.3675439999999999</v>
          </cell>
          <cell r="G21">
            <v>3.9353559999999996</v>
          </cell>
          <cell r="H21">
            <v>4.7072880000000001</v>
          </cell>
          <cell r="I21"/>
          <cell r="J21">
            <v>3023.7116399999995</v>
          </cell>
          <cell r="K21"/>
          <cell r="L21">
            <v>0</v>
          </cell>
        </row>
        <row r="22">
          <cell r="C22" t="str">
            <v>B.L. Dupla Pré-moldado H até 2,50 m</v>
          </cell>
          <cell r="D22"/>
          <cell r="E22">
            <v>0</v>
          </cell>
          <cell r="F22">
            <v>1.7123939999999997</v>
          </cell>
          <cell r="G22">
            <v>4.8978009999999994</v>
          </cell>
          <cell r="H22">
            <v>5.8672380000000004</v>
          </cell>
          <cell r="I22"/>
          <cell r="J22">
            <v>3596.5333299999993</v>
          </cell>
          <cell r="K22"/>
          <cell r="L22">
            <v>0</v>
          </cell>
        </row>
        <row r="23">
          <cell r="C23" t="str">
            <v>B.L. Dupla Concreto armado H até 1,20 m</v>
          </cell>
          <cell r="D23"/>
          <cell r="E23">
            <v>0</v>
          </cell>
          <cell r="F23">
            <v>0.38908200000000004</v>
          </cell>
          <cell r="G23">
            <v>1.1452249999999999</v>
          </cell>
          <cell r="H23">
            <v>1.362414</v>
          </cell>
          <cell r="I23"/>
          <cell r="J23">
            <v>3513.1233299999994</v>
          </cell>
          <cell r="K23"/>
          <cell r="L23">
            <v>0</v>
          </cell>
        </row>
        <row r="24">
          <cell r="C24" t="str">
            <v>B.L. Dupla Concreto armado H até 1,50 m</v>
          </cell>
          <cell r="D24"/>
          <cell r="E24">
            <v>0</v>
          </cell>
          <cell r="F24">
            <v>0.48940199999999995</v>
          </cell>
          <cell r="G24">
            <v>1.4252089999999999</v>
          </cell>
          <cell r="H24">
            <v>1.699854</v>
          </cell>
          <cell r="I24"/>
          <cell r="J24">
            <v>4235.10509</v>
          </cell>
          <cell r="K24"/>
          <cell r="L24">
            <v>0</v>
          </cell>
        </row>
        <row r="25">
          <cell r="C25" t="str">
            <v>B.L. Dupla Concreto armado H até 2,00 m</v>
          </cell>
          <cell r="D25"/>
          <cell r="E25">
            <v>0</v>
          </cell>
          <cell r="F25">
            <v>0.65242199999999995</v>
          </cell>
          <cell r="G25">
            <v>1.8801829999999999</v>
          </cell>
          <cell r="H25">
            <v>2.2481940000000002</v>
          </cell>
          <cell r="I25"/>
          <cell r="J25">
            <v>4602.3633099999997</v>
          </cell>
          <cell r="K25"/>
          <cell r="L25">
            <v>0</v>
          </cell>
        </row>
        <row r="26">
          <cell r="C26" t="str">
            <v>B.L. Dupla Concreto armado H até 2,50 m</v>
          </cell>
          <cell r="D26"/>
          <cell r="E26">
            <v>0</v>
          </cell>
          <cell r="F26">
            <v>0.81544199999999989</v>
          </cell>
          <cell r="G26">
            <v>2.3351569999999997</v>
          </cell>
          <cell r="H26">
            <v>2.7965340000000003</v>
          </cell>
          <cell r="I26"/>
          <cell r="J26">
            <v>5586.1876799999991</v>
          </cell>
          <cell r="K26"/>
          <cell r="L26">
            <v>0</v>
          </cell>
        </row>
        <row r="27">
          <cell r="C27" t="str">
            <v>C.L. Alvenaria Tubo até 0,40</v>
          </cell>
          <cell r="D27"/>
          <cell r="E27">
            <v>0.17055359999999997</v>
          </cell>
          <cell r="F27">
            <v>9.9453823999999996E-2</v>
          </cell>
          <cell r="G27">
            <v>0.3618486528</v>
          </cell>
          <cell r="H27">
            <v>0.308576448</v>
          </cell>
          <cell r="I27"/>
          <cell r="J27">
            <v>441.20676012799993</v>
          </cell>
          <cell r="K27"/>
          <cell r="L27">
            <v>5.6851199999999992E-3</v>
          </cell>
        </row>
        <row r="28">
          <cell r="C28" t="str">
            <v>C.L. Alvenaria Tubo até 0,60</v>
          </cell>
          <cell r="D28"/>
          <cell r="E28">
            <v>0.28019519999999998</v>
          </cell>
          <cell r="F28">
            <v>0.14735024000000002</v>
          </cell>
          <cell r="G28">
            <v>0.52819569600000005</v>
          </cell>
          <cell r="H28">
            <v>0.43353936000000004</v>
          </cell>
          <cell r="I28"/>
          <cell r="J28">
            <v>672.43252495999991</v>
          </cell>
          <cell r="K28"/>
          <cell r="L28">
            <v>9.3398400000000003E-3</v>
          </cell>
        </row>
        <row r="29">
          <cell r="C29" t="str">
            <v>C.L. Alvenaria Tubo até 0,80</v>
          </cell>
          <cell r="D29"/>
          <cell r="E29">
            <v>0.6822144</v>
          </cell>
          <cell r="F29">
            <v>0.25613760000000002</v>
          </cell>
          <cell r="G29">
            <v>0.95694329600000005</v>
          </cell>
          <cell r="H29">
            <v>0.70038336000000012</v>
          </cell>
          <cell r="I29"/>
          <cell r="J29">
            <v>1254.8365582933334</v>
          </cell>
          <cell r="K29"/>
          <cell r="L29">
            <v>2.274048E-2</v>
          </cell>
        </row>
        <row r="30">
          <cell r="C30" t="str">
            <v>C.L. Alvenaria Tubo até 1,00</v>
          </cell>
          <cell r="D30"/>
          <cell r="E30">
            <v>0.92856959999999988</v>
          </cell>
          <cell r="F30">
            <v>0.33109503999999995</v>
          </cell>
          <cell r="G30">
            <v>1.2541824319999999</v>
          </cell>
          <cell r="H30">
            <v>0.89487311999999997</v>
          </cell>
          <cell r="I30"/>
          <cell r="J30">
            <v>1636.8346789866664</v>
          </cell>
          <cell r="K30"/>
          <cell r="L30">
            <v>3.0952319999999998E-2</v>
          </cell>
        </row>
        <row r="31">
          <cell r="C31" t="str">
            <v>C.L. Alvenaria Tubo até 1,20</v>
          </cell>
          <cell r="D31"/>
          <cell r="E31">
            <v>1.3189478400000001</v>
          </cell>
          <cell r="F31">
            <v>0.45250179200000007</v>
          </cell>
          <cell r="G31">
            <v>1.7334338080000002</v>
          </cell>
          <cell r="H31">
            <v>1.2150148800000002</v>
          </cell>
          <cell r="I31"/>
          <cell r="J31">
            <v>2254.8232410133337</v>
          </cell>
          <cell r="K31"/>
          <cell r="L31">
            <v>4.3964928000000007E-2</v>
          </cell>
        </row>
        <row r="32">
          <cell r="C32" t="str">
            <v>C.L. pré-moldado Tubo até 0,40</v>
          </cell>
          <cell r="D32"/>
          <cell r="E32">
            <v>0</v>
          </cell>
          <cell r="F32">
            <v>0.1320288</v>
          </cell>
          <cell r="G32">
            <v>0.40193856</v>
          </cell>
          <cell r="H32">
            <v>0.47436960000000006</v>
          </cell>
          <cell r="I32"/>
          <cell r="J32">
            <v>429.51122421333332</v>
          </cell>
          <cell r="K32"/>
          <cell r="L32">
            <v>0</v>
          </cell>
        </row>
        <row r="33">
          <cell r="C33" t="str">
            <v>C.L. pré-moldado Tubo até 0,60</v>
          </cell>
          <cell r="D33"/>
          <cell r="E33">
            <v>0</v>
          </cell>
          <cell r="F33">
            <v>0.20444730000000003</v>
          </cell>
          <cell r="G33">
            <v>0.60405201000000008</v>
          </cell>
          <cell r="H33">
            <v>0.71795910000000007</v>
          </cell>
          <cell r="I33"/>
          <cell r="J33">
            <v>657.68880203333333</v>
          </cell>
          <cell r="K33"/>
          <cell r="L33">
            <v>0</v>
          </cell>
        </row>
        <row r="34">
          <cell r="C34" t="str">
            <v>C.L. pré-moldado Tubo até 0,80</v>
          </cell>
          <cell r="D34"/>
          <cell r="E34">
            <v>0</v>
          </cell>
          <cell r="F34">
            <v>0.38327894999999995</v>
          </cell>
          <cell r="G34">
            <v>1.1143076149999998</v>
          </cell>
          <cell r="H34">
            <v>1.3295746499999999</v>
          </cell>
          <cell r="I34"/>
          <cell r="J34">
            <v>1151.1882539166666</v>
          </cell>
          <cell r="K34"/>
          <cell r="L34">
            <v>0</v>
          </cell>
        </row>
        <row r="35">
          <cell r="C35" t="str">
            <v>C.L. pré-moldado Tubo até 1,00</v>
          </cell>
          <cell r="D35"/>
          <cell r="E35">
            <v>0</v>
          </cell>
          <cell r="F35">
            <v>0.56408220000000009</v>
          </cell>
          <cell r="G35">
            <v>1.6356421400000001</v>
          </cell>
          <cell r="H35">
            <v>1.9528674000000004</v>
          </cell>
          <cell r="I35"/>
          <cell r="J35">
            <v>1584.5382719333334</v>
          </cell>
          <cell r="K35"/>
          <cell r="L35">
            <v>0</v>
          </cell>
        </row>
        <row r="36">
          <cell r="C36" t="str">
            <v>C.L. pré-moldado Tubo até 1,20</v>
          </cell>
          <cell r="D36"/>
          <cell r="E36">
            <v>0</v>
          </cell>
          <cell r="F36">
            <v>0.77929919999999997</v>
          </cell>
          <cell r="G36">
            <v>2.26417504</v>
          </cell>
          <cell r="H36">
            <v>2.7020064000000001</v>
          </cell>
          <cell r="I36"/>
          <cell r="J36">
            <v>2167.3900512</v>
          </cell>
          <cell r="K36"/>
          <cell r="L36">
            <v>0</v>
          </cell>
        </row>
        <row r="37">
          <cell r="C37" t="str">
            <v>C.L. concreto armado Tubo até 0,40</v>
          </cell>
          <cell r="D37"/>
          <cell r="E37">
            <v>0</v>
          </cell>
          <cell r="F37">
            <v>0.13625280000000003</v>
          </cell>
          <cell r="G37">
            <v>0.41372736000000004</v>
          </cell>
          <cell r="H37">
            <v>0.48857760000000011</v>
          </cell>
          <cell r="I37"/>
          <cell r="J37">
            <v>877.32228026666667</v>
          </cell>
          <cell r="K37"/>
          <cell r="L37">
            <v>0</v>
          </cell>
        </row>
        <row r="38">
          <cell r="C38" t="str">
            <v>C.L. concreto armado Tubo até 0,60</v>
          </cell>
          <cell r="D38"/>
          <cell r="E38">
            <v>0</v>
          </cell>
          <cell r="F38">
            <v>0.21117996</v>
          </cell>
          <cell r="G38">
            <v>0.62284225199999999</v>
          </cell>
          <cell r="H38">
            <v>0.74060532000000001</v>
          </cell>
          <cell r="I38"/>
          <cell r="J38">
            <v>1386.7382591866667</v>
          </cell>
          <cell r="K38"/>
          <cell r="L38">
            <v>0</v>
          </cell>
        </row>
        <row r="39">
          <cell r="C39" t="str">
            <v>C.L. concreto armado Tubo até 0,80</v>
          </cell>
          <cell r="D39"/>
          <cell r="E39">
            <v>0</v>
          </cell>
          <cell r="F39">
            <v>0.38327894999999995</v>
          </cell>
          <cell r="G39">
            <v>1.1143076149999998</v>
          </cell>
          <cell r="H39">
            <v>1.3295746499999999</v>
          </cell>
          <cell r="I39"/>
          <cell r="J39">
            <v>2390.501674983333</v>
          </cell>
          <cell r="K39"/>
          <cell r="L39">
            <v>0</v>
          </cell>
        </row>
        <row r="40">
          <cell r="C40" t="str">
            <v>C.L. concreto armado Tubo até 1,00</v>
          </cell>
          <cell r="D40"/>
          <cell r="E40">
            <v>0</v>
          </cell>
          <cell r="F40">
            <v>0.56408220000000009</v>
          </cell>
          <cell r="G40">
            <v>1.6356421400000001</v>
          </cell>
          <cell r="H40">
            <v>1.9528674000000004</v>
          </cell>
          <cell r="I40"/>
          <cell r="J40">
            <v>3484.3103660666666</v>
          </cell>
          <cell r="K40"/>
          <cell r="L40">
            <v>0</v>
          </cell>
        </row>
        <row r="41">
          <cell r="C41" t="str">
            <v>C.L. concreto armado Tubo até 1,20</v>
          </cell>
          <cell r="D41"/>
          <cell r="E41">
            <v>0</v>
          </cell>
          <cell r="F41">
            <v>0.77929919999999997</v>
          </cell>
          <cell r="G41">
            <v>2.26417504</v>
          </cell>
          <cell r="H41">
            <v>2.7020064000000001</v>
          </cell>
          <cell r="I41"/>
          <cell r="J41">
            <v>4805.7457183999995</v>
          </cell>
          <cell r="K41"/>
          <cell r="L41">
            <v>0</v>
          </cell>
        </row>
        <row r="42">
          <cell r="C42" t="str">
            <v>C.L. concreto armado Tubo até 1,50</v>
          </cell>
          <cell r="D42"/>
          <cell r="E42">
            <v>0</v>
          </cell>
          <cell r="F42">
            <v>1.2096229499999998</v>
          </cell>
          <cell r="G42">
            <v>3.5097804149999998</v>
          </cell>
          <cell r="H42">
            <v>4.18982265</v>
          </cell>
          <cell r="I42"/>
          <cell r="J42">
            <v>7260.3459926499991</v>
          </cell>
          <cell r="K42"/>
          <cell r="L42">
            <v>0</v>
          </cell>
        </row>
        <row r="43">
          <cell r="C43" t="str">
            <v>C.L. concreto armado Tubo até 2,00</v>
          </cell>
          <cell r="D43"/>
          <cell r="E43">
            <v>0</v>
          </cell>
          <cell r="F43">
            <v>1.9087789500000001</v>
          </cell>
          <cell r="G43">
            <v>5.5279776150000002</v>
          </cell>
          <cell r="H43">
            <v>6.6020746500000005</v>
          </cell>
          <cell r="I43"/>
          <cell r="J43">
            <v>11469.066144649998</v>
          </cell>
          <cell r="K43"/>
          <cell r="L43">
            <v>0</v>
          </cell>
        </row>
        <row r="44">
          <cell r="C44" t="str">
            <v>P.V. Alvenaria H até 0,80 m Tubo até 0,40 + chaminé 1,00 m</v>
          </cell>
          <cell r="D44"/>
          <cell r="E44">
            <v>0.54144000000000003</v>
          </cell>
          <cell r="F44">
            <v>0.35276220000000008</v>
          </cell>
          <cell r="G44">
            <v>1.1888125000000003</v>
          </cell>
          <cell r="H44">
            <v>1.1100000000000001</v>
          </cell>
          <cell r="I44">
            <v>1</v>
          </cell>
          <cell r="J44">
            <v>2164.1967759999998</v>
          </cell>
          <cell r="K44">
            <v>1</v>
          </cell>
          <cell r="L44">
            <v>1.8048000000000002E-2</v>
          </cell>
        </row>
        <row r="45">
          <cell r="C45" t="str">
            <v>P.V. Alvenaria H até 1,00 m Tubo até 0,60 + chaminé 1,00 m</v>
          </cell>
          <cell r="D45"/>
          <cell r="E45">
            <v>0.76139999999999997</v>
          </cell>
          <cell r="F45">
            <v>0.38489359999999995</v>
          </cell>
          <cell r="G45">
            <v>1.3499699999999999</v>
          </cell>
          <cell r="H45">
            <v>1.1766000000000001</v>
          </cell>
          <cell r="I45">
            <v>1</v>
          </cell>
          <cell r="J45">
            <v>2380.2442679999999</v>
          </cell>
          <cell r="K45">
            <v>1</v>
          </cell>
          <cell r="L45">
            <v>2.538E-2</v>
          </cell>
        </row>
        <row r="46">
          <cell r="C46" t="str">
            <v>P.V. Alvenaria H até 1,30 m Tubo até 0,80 + chaminé 1,00 m</v>
          </cell>
          <cell r="D46"/>
          <cell r="E46">
            <v>1.09134</v>
          </cell>
          <cell r="F46">
            <v>0.43281240000000004</v>
          </cell>
          <cell r="G46">
            <v>1.5797950000000001</v>
          </cell>
          <cell r="H46">
            <v>1.2654000000000003</v>
          </cell>
          <cell r="I46">
            <v>1</v>
          </cell>
          <cell r="J46">
            <v>2700.9386520000003</v>
          </cell>
          <cell r="K46">
            <v>1</v>
          </cell>
          <cell r="L46">
            <v>3.6378000000000001E-2</v>
          </cell>
        </row>
        <row r="47">
          <cell r="C47" t="str">
            <v>P.V. Alvenaria H até 1,50 m Tubo até 1,00 + chaminé 1,00 m</v>
          </cell>
          <cell r="D47"/>
          <cell r="E47">
            <v>1.30284</v>
          </cell>
          <cell r="F47">
            <v>0.46255580000000002</v>
          </cell>
          <cell r="G47">
            <v>1.7263925000000002</v>
          </cell>
          <cell r="H47">
            <v>1.3209000000000002</v>
          </cell>
          <cell r="I47">
            <v>1</v>
          </cell>
          <cell r="J47">
            <v>2907.1166439999997</v>
          </cell>
          <cell r="K47">
            <v>1</v>
          </cell>
          <cell r="L47">
            <v>4.3428000000000001E-2</v>
          </cell>
        </row>
        <row r="48">
          <cell r="C48" t="str">
            <v>P.V. Alvenaria H até 1,80 m Tubo até 1,20 + chaminé 1,00 m</v>
          </cell>
          <cell r="D48"/>
          <cell r="E48">
            <v>1.6327799999999999</v>
          </cell>
          <cell r="F48">
            <v>0.50537460000000012</v>
          </cell>
          <cell r="G48">
            <v>1.9364075000000001</v>
          </cell>
          <cell r="H48">
            <v>1.3875000000000002</v>
          </cell>
          <cell r="I48">
            <v>1</v>
          </cell>
          <cell r="J48">
            <v>3218.8444279999999</v>
          </cell>
          <cell r="K48">
            <v>1</v>
          </cell>
          <cell r="L48">
            <v>5.4425999999999995E-2</v>
          </cell>
        </row>
        <row r="49">
          <cell r="C49" t="str">
            <v>P.V. Pré-moldado H até 0,80 m Tubo até 0,40 + chaminé 1,00 m</v>
          </cell>
          <cell r="D49"/>
          <cell r="E49">
            <v>0</v>
          </cell>
          <cell r="F49">
            <v>0.38250000000000006</v>
          </cell>
          <cell r="G49">
            <v>1.1483800000000002</v>
          </cell>
          <cell r="H49">
            <v>1.35975</v>
          </cell>
          <cell r="I49">
            <v>1</v>
          </cell>
          <cell r="J49">
            <v>1400.2775500000002</v>
          </cell>
          <cell r="K49">
            <v>1</v>
          </cell>
          <cell r="L49">
            <v>0</v>
          </cell>
        </row>
        <row r="50">
          <cell r="C50" t="str">
            <v>P.V. Pré-moldado H até 1,00 m Tubo até 0,60 + chaminé 1,00 m</v>
          </cell>
          <cell r="D50"/>
          <cell r="E50">
            <v>0</v>
          </cell>
          <cell r="F50">
            <v>0.43200000000000005</v>
          </cell>
          <cell r="G50">
            <v>1.28653</v>
          </cell>
          <cell r="H50">
            <v>1.5262500000000001</v>
          </cell>
          <cell r="I50">
            <v>1</v>
          </cell>
          <cell r="J50">
            <v>1488.1440499999999</v>
          </cell>
          <cell r="K50">
            <v>1</v>
          </cell>
          <cell r="L50">
            <v>0</v>
          </cell>
        </row>
        <row r="51">
          <cell r="C51" t="str">
            <v>P.V. Pré-moldado H até 1,30 m Tubo até 0,80 + chaminé 1,00 m</v>
          </cell>
          <cell r="D51"/>
          <cell r="E51">
            <v>0</v>
          </cell>
          <cell r="F51">
            <v>0.50459999999999994</v>
          </cell>
          <cell r="G51">
            <v>1.48915</v>
          </cell>
          <cell r="H51">
            <v>1.7704500000000001</v>
          </cell>
          <cell r="I51">
            <v>1</v>
          </cell>
          <cell r="J51">
            <v>1617.5052500000002</v>
          </cell>
          <cell r="K51">
            <v>1</v>
          </cell>
          <cell r="L51">
            <v>0</v>
          </cell>
        </row>
        <row r="52">
          <cell r="C52" t="str">
            <v>P.V. Pré-moldado H até 1,50 m Tubo até 1,00 + chaminé 1,00 m</v>
          </cell>
          <cell r="D52"/>
          <cell r="E52">
            <v>0</v>
          </cell>
          <cell r="F52">
            <v>0.6411</v>
          </cell>
          <cell r="G52">
            <v>1.8840500000000002</v>
          </cell>
          <cell r="H52">
            <v>2.2422</v>
          </cell>
          <cell r="I52">
            <v>1</v>
          </cell>
          <cell r="J52">
            <v>1834.5810000000001</v>
          </cell>
          <cell r="K52">
            <v>1</v>
          </cell>
          <cell r="L52">
            <v>0</v>
          </cell>
        </row>
        <row r="53">
          <cell r="C53" t="str">
            <v>P.V. Pré-moldado H até 1,80 m Tubo até 1,20 + chaminé 1,00 m</v>
          </cell>
          <cell r="D53"/>
          <cell r="E53">
            <v>0</v>
          </cell>
          <cell r="F53">
            <v>0.80657999999999996</v>
          </cell>
          <cell r="G53">
            <v>2.3575999999999997</v>
          </cell>
          <cell r="H53">
            <v>2.8094099999999997</v>
          </cell>
          <cell r="I53">
            <v>1</v>
          </cell>
          <cell r="J53">
            <v>2093.32645</v>
          </cell>
          <cell r="K53">
            <v>1</v>
          </cell>
          <cell r="L53">
            <v>0</v>
          </cell>
        </row>
        <row r="54">
          <cell r="C54" t="str">
            <v>P.V. Concreto armado H até 0,80 m Tubo até 0,40 + chaminé 1,00 m</v>
          </cell>
          <cell r="D54"/>
          <cell r="E54">
            <v>0</v>
          </cell>
          <cell r="F54">
            <v>0.38250000000000006</v>
          </cell>
          <cell r="G54">
            <v>1.1483800000000002</v>
          </cell>
          <cell r="H54">
            <v>1.35975</v>
          </cell>
          <cell r="I54">
            <v>1</v>
          </cell>
          <cell r="J54">
            <v>3091.6861699999999</v>
          </cell>
          <cell r="K54">
            <v>1</v>
          </cell>
          <cell r="L54">
            <v>0</v>
          </cell>
        </row>
        <row r="55">
          <cell r="C55" t="str">
            <v>P.V. Concreto armado H até 1,00 m Tubo até 0,60 + chaminé 1,00 m</v>
          </cell>
          <cell r="D55"/>
          <cell r="E55">
            <v>0</v>
          </cell>
          <cell r="F55">
            <v>0.43200000000000005</v>
          </cell>
          <cell r="G55">
            <v>1.28653</v>
          </cell>
          <cell r="H55">
            <v>1.5262500000000001</v>
          </cell>
          <cell r="I55">
            <v>1</v>
          </cell>
          <cell r="J55">
            <v>3420.3953949999996</v>
          </cell>
          <cell r="K55">
            <v>1</v>
          </cell>
          <cell r="L55">
            <v>0</v>
          </cell>
        </row>
        <row r="56">
          <cell r="C56" t="str">
            <v>P.V. Concreto armado H até 1,30 m Tubo até 0,80 + chaminé 1,00 m</v>
          </cell>
          <cell r="D56"/>
          <cell r="E56">
            <v>0</v>
          </cell>
          <cell r="F56">
            <v>0.50459999999999994</v>
          </cell>
          <cell r="G56">
            <v>1.48915</v>
          </cell>
          <cell r="H56">
            <v>1.7704500000000001</v>
          </cell>
          <cell r="I56">
            <v>1</v>
          </cell>
          <cell r="J56">
            <v>3903.4829249999993</v>
          </cell>
          <cell r="K56">
            <v>1</v>
          </cell>
          <cell r="L56">
            <v>0</v>
          </cell>
        </row>
        <row r="57">
          <cell r="C57" t="str">
            <v>P.V. Concreto armado H até 1,50 m Tubo até 1,00 + chaminé 1,00 m</v>
          </cell>
          <cell r="D57"/>
          <cell r="E57">
            <v>0</v>
          </cell>
          <cell r="F57">
            <v>0.6411</v>
          </cell>
          <cell r="G57">
            <v>1.8840500000000002</v>
          </cell>
          <cell r="H57">
            <v>2.2422</v>
          </cell>
          <cell r="I57">
            <v>1</v>
          </cell>
          <cell r="J57">
            <v>4735.3472749999992</v>
          </cell>
          <cell r="K57">
            <v>1</v>
          </cell>
          <cell r="L57">
            <v>0</v>
          </cell>
        </row>
        <row r="58">
          <cell r="C58" t="str">
            <v>P.V. Concreto armado H até 1,80 m Tubo até 1,20 + chaminé 1,00 m</v>
          </cell>
          <cell r="D58"/>
          <cell r="E58">
            <v>0</v>
          </cell>
          <cell r="F58">
            <v>0.80657999999999996</v>
          </cell>
          <cell r="G58">
            <v>2.3575999999999997</v>
          </cell>
          <cell r="H58">
            <v>2.8094099999999997</v>
          </cell>
          <cell r="I58">
            <v>1</v>
          </cell>
          <cell r="J58">
            <v>5743.9725599999983</v>
          </cell>
          <cell r="K58">
            <v>1</v>
          </cell>
          <cell r="L58">
            <v>0</v>
          </cell>
        </row>
        <row r="59">
          <cell r="C59" t="str">
            <v>P.V. Concreto armado H até 2,00 m Tubo até 1,50 + chaminé 1,00 m</v>
          </cell>
          <cell r="D59"/>
          <cell r="E59">
            <v>0</v>
          </cell>
          <cell r="F59">
            <v>0.89753699999999992</v>
          </cell>
          <cell r="G59">
            <v>2.6274289999999998</v>
          </cell>
          <cell r="H59">
            <v>3.1298114999999997</v>
          </cell>
          <cell r="I59">
            <v>1</v>
          </cell>
          <cell r="J59">
            <v>6301.7848786111099</v>
          </cell>
          <cell r="K59">
            <v>1</v>
          </cell>
          <cell r="L59">
            <v>0</v>
          </cell>
        </row>
        <row r="60">
          <cell r="C60" t="str">
            <v>P.V. Concreto armado H até 2,50 m Tubo até 2,00 + chaminé 1,00 m</v>
          </cell>
          <cell r="D60"/>
          <cell r="E60">
            <v>0</v>
          </cell>
          <cell r="F60">
            <v>1.1179675499999999</v>
          </cell>
          <cell r="G60">
            <v>3.2610033499999997</v>
          </cell>
          <cell r="H60">
            <v>3.8878832249999999</v>
          </cell>
          <cell r="I60">
            <v>1</v>
          </cell>
          <cell r="J60">
            <v>7680.4985115138879</v>
          </cell>
          <cell r="K60">
            <v>1</v>
          </cell>
          <cell r="L60">
            <v>0</v>
          </cell>
        </row>
        <row r="61">
          <cell r="C61" t="str">
            <v>Viga de Apoio em concreto marmado Tubo 0,80</v>
          </cell>
          <cell r="D61"/>
          <cell r="E61">
            <v>0</v>
          </cell>
          <cell r="F61">
            <v>0.11253000000000002</v>
          </cell>
          <cell r="G61">
            <v>0.31406100000000003</v>
          </cell>
          <cell r="H61">
            <v>0.37851000000000007</v>
          </cell>
          <cell r="I61"/>
          <cell r="J61">
            <v>707.76571000000001</v>
          </cell>
          <cell r="K61"/>
          <cell r="L61">
            <v>0</v>
          </cell>
        </row>
        <row r="62">
          <cell r="C62" t="str">
            <v>Viga de Apoio em concreto marmado Tubo 1,00</v>
          </cell>
          <cell r="D62"/>
          <cell r="E62">
            <v>0</v>
          </cell>
          <cell r="F62">
            <v>0.12243000000000002</v>
          </cell>
          <cell r="G62">
            <v>0.34169100000000008</v>
          </cell>
          <cell r="H62">
            <v>0.41181000000000012</v>
          </cell>
          <cell r="I62"/>
          <cell r="J62">
            <v>802.57491000000005</v>
          </cell>
          <cell r="K62"/>
          <cell r="L62">
            <v>0</v>
          </cell>
        </row>
        <row r="63">
          <cell r="C63" t="str">
            <v>Viga de Apoio em concreto marmado Tubo 1,20</v>
          </cell>
          <cell r="D63"/>
          <cell r="E63">
            <v>0</v>
          </cell>
          <cell r="F63">
            <v>0.13233</v>
          </cell>
          <cell r="G63">
            <v>0.36932100000000001</v>
          </cell>
          <cell r="H63">
            <v>0.44511000000000006</v>
          </cell>
          <cell r="I63"/>
          <cell r="J63">
            <v>915.5098099999999</v>
          </cell>
          <cell r="K63"/>
          <cell r="L63">
            <v>0</v>
          </cell>
        </row>
        <row r="64">
          <cell r="C64" t="str">
            <v>Dissipador de Energia c/Pedra de Mão tubo ø 0, 40</v>
          </cell>
          <cell r="D64"/>
          <cell r="E64">
            <v>0</v>
          </cell>
          <cell r="F64">
            <v>0.38417000000000001</v>
          </cell>
          <cell r="G64">
            <v>1.55436</v>
          </cell>
          <cell r="H64">
            <v>2.9078100000000004</v>
          </cell>
          <cell r="I64"/>
          <cell r="J64">
            <v>911.90959999999995</v>
          </cell>
          <cell r="K64"/>
          <cell r="L64">
            <v>0</v>
          </cell>
        </row>
        <row r="65">
          <cell r="C65" t="str">
            <v>Dissipador de Energia c/Pedra de Mão tubo ø 0, 60</v>
          </cell>
          <cell r="D65"/>
          <cell r="E65">
            <v>0</v>
          </cell>
          <cell r="F65">
            <v>0.47295000000000004</v>
          </cell>
          <cell r="G65">
            <v>1.9178999999999999</v>
          </cell>
          <cell r="H65">
            <v>3.6103500000000004</v>
          </cell>
          <cell r="I65"/>
          <cell r="J65">
            <v>1106.2313666666669</v>
          </cell>
          <cell r="K65"/>
          <cell r="L65">
            <v>0</v>
          </cell>
        </row>
        <row r="66">
          <cell r="C66" t="str">
            <v>Dissipador de Energia c/Pedra de Mão tubo ø 0, 80</v>
          </cell>
          <cell r="D66"/>
          <cell r="E66">
            <v>0</v>
          </cell>
          <cell r="F66">
            <v>0.75196000000000007</v>
          </cell>
          <cell r="G66">
            <v>3.0643799999999999</v>
          </cell>
          <cell r="H66">
            <v>5.8462800000000001</v>
          </cell>
          <cell r="I66"/>
          <cell r="J66">
            <v>1730.68758</v>
          </cell>
          <cell r="K66"/>
          <cell r="L66">
            <v>0</v>
          </cell>
        </row>
        <row r="67">
          <cell r="C67" t="str">
            <v>Dissipador de Energia c/Pedra de Mão tubo ø 1,00</v>
          </cell>
          <cell r="D67"/>
          <cell r="E67">
            <v>0</v>
          </cell>
          <cell r="F67">
            <v>1.08901</v>
          </cell>
          <cell r="G67">
            <v>4.4434800000000001</v>
          </cell>
          <cell r="H67">
            <v>8.5059300000000011</v>
          </cell>
          <cell r="I67"/>
          <cell r="J67">
            <v>2471.9100133333332</v>
          </cell>
          <cell r="K67"/>
          <cell r="L67">
            <v>0</v>
          </cell>
        </row>
        <row r="68">
          <cell r="C68" t="str">
            <v>Dissipador de Energia c/Pedra de Mão tubo ø 1,20</v>
          </cell>
          <cell r="D68"/>
          <cell r="E68">
            <v>0</v>
          </cell>
          <cell r="F68">
            <v>1.4740100000000003</v>
          </cell>
          <cell r="G68">
            <v>6.0316799999999997</v>
          </cell>
          <cell r="H68">
            <v>11.634930000000001</v>
          </cell>
          <cell r="I68"/>
          <cell r="J68">
            <v>3327.3276800000003</v>
          </cell>
          <cell r="K68"/>
          <cell r="L68">
            <v>0</v>
          </cell>
        </row>
        <row r="69">
          <cell r="C69" t="str">
            <v>Dissipador de Energia c/Pedra de Mão tubo ø 1,50</v>
          </cell>
          <cell r="D69"/>
          <cell r="E69">
            <v>0</v>
          </cell>
          <cell r="F69">
            <v>2.41967</v>
          </cell>
          <cell r="G69">
            <v>9.9546600000000005</v>
          </cell>
          <cell r="H69">
            <v>19.47531</v>
          </cell>
          <cell r="I69"/>
          <cell r="J69">
            <v>5392.3903933333331</v>
          </cell>
          <cell r="K69"/>
          <cell r="L69">
            <v>0</v>
          </cell>
        </row>
        <row r="70">
          <cell r="C70" t="str">
            <v>ENSAIO DE ORÇAMENTO 1</v>
          </cell>
          <cell r="D70"/>
          <cell r="E70">
            <v>0</v>
          </cell>
          <cell r="F70">
            <v>0</v>
          </cell>
          <cell r="G70">
            <v>0</v>
          </cell>
          <cell r="H70">
            <v>0</v>
          </cell>
          <cell r="I70"/>
          <cell r="J70">
            <v>0</v>
          </cell>
          <cell r="K70"/>
          <cell r="L70">
            <v>0</v>
          </cell>
        </row>
        <row r="71">
          <cell r="C71" t="str">
            <v>ENSAIO DE ORÇAMENTO 2</v>
          </cell>
          <cell r="D71"/>
          <cell r="E71">
            <v>0</v>
          </cell>
          <cell r="F71">
            <v>0</v>
          </cell>
          <cell r="G71">
            <v>0</v>
          </cell>
          <cell r="H71">
            <v>0</v>
          </cell>
          <cell r="I71"/>
          <cell r="J71">
            <v>0</v>
          </cell>
          <cell r="K71"/>
          <cell r="L71">
            <v>0</v>
          </cell>
        </row>
        <row r="72">
          <cell r="C72" t="str">
            <v>ENSAIO DE ORÇAMENTO 3</v>
          </cell>
          <cell r="D72"/>
          <cell r="E72">
            <v>0</v>
          </cell>
          <cell r="F72">
            <v>0</v>
          </cell>
          <cell r="G72">
            <v>0</v>
          </cell>
          <cell r="H72">
            <v>0</v>
          </cell>
          <cell r="I72"/>
          <cell r="J72">
            <v>0</v>
          </cell>
          <cell r="K72"/>
          <cell r="L72">
            <v>0</v>
          </cell>
        </row>
        <row r="73">
          <cell r="C73" t="str">
            <v>ENSAIO DE ORÇAMENTO 4</v>
          </cell>
          <cell r="D73"/>
          <cell r="E73">
            <v>0</v>
          </cell>
          <cell r="F73">
            <v>0</v>
          </cell>
          <cell r="G73">
            <v>0</v>
          </cell>
          <cell r="H73">
            <v>0</v>
          </cell>
          <cell r="I73"/>
          <cell r="J73">
            <v>0</v>
          </cell>
          <cell r="K73"/>
          <cell r="L73">
            <v>0</v>
          </cell>
        </row>
        <row r="74">
          <cell r="C74" t="str">
            <v>ENSAIO DE ORÇAMENTO 5</v>
          </cell>
          <cell r="D74"/>
          <cell r="E74">
            <v>0</v>
          </cell>
          <cell r="F74">
            <v>0</v>
          </cell>
          <cell r="G74">
            <v>0</v>
          </cell>
          <cell r="H74">
            <v>0</v>
          </cell>
          <cell r="I74"/>
          <cell r="J74">
            <v>0</v>
          </cell>
          <cell r="K74"/>
          <cell r="L74">
            <v>0</v>
          </cell>
        </row>
        <row r="75">
          <cell r="C75" t="str">
            <v>ENSAIO DE ORÇAMENTO 6</v>
          </cell>
          <cell r="D75"/>
          <cell r="E75">
            <v>0</v>
          </cell>
          <cell r="F75">
            <v>0</v>
          </cell>
          <cell r="G75">
            <v>0</v>
          </cell>
          <cell r="H75">
            <v>0</v>
          </cell>
          <cell r="I75"/>
          <cell r="J75">
            <v>0</v>
          </cell>
          <cell r="K75"/>
          <cell r="L75">
            <v>0</v>
          </cell>
        </row>
        <row r="76">
          <cell r="C76" t="str">
            <v>ENSAIO DE ORÇAMENTO 7</v>
          </cell>
          <cell r="D76"/>
          <cell r="E76">
            <v>0</v>
          </cell>
          <cell r="F76">
            <v>0</v>
          </cell>
          <cell r="G76">
            <v>0</v>
          </cell>
          <cell r="H76">
            <v>0</v>
          </cell>
          <cell r="I76"/>
          <cell r="J76">
            <v>0</v>
          </cell>
          <cell r="K76"/>
          <cell r="L76">
            <v>0</v>
          </cell>
        </row>
        <row r="77">
          <cell r="C77" t="str">
            <v>ENSAIO DE ORÇAMENTO 8</v>
          </cell>
          <cell r="D77"/>
          <cell r="E77">
            <v>0</v>
          </cell>
          <cell r="F77">
            <v>0</v>
          </cell>
          <cell r="G77">
            <v>0</v>
          </cell>
          <cell r="H77">
            <v>0</v>
          </cell>
          <cell r="I77"/>
          <cell r="J77">
            <v>0</v>
          </cell>
          <cell r="K77"/>
          <cell r="L77">
            <v>0</v>
          </cell>
        </row>
        <row r="78">
          <cell r="C78" t="str">
            <v>ENSAIO DE ORÇAMENTO 9</v>
          </cell>
          <cell r="D78"/>
          <cell r="E78">
            <v>0</v>
          </cell>
          <cell r="F78">
            <v>0</v>
          </cell>
          <cell r="G78">
            <v>0</v>
          </cell>
          <cell r="H78">
            <v>0</v>
          </cell>
          <cell r="I78"/>
          <cell r="J78">
            <v>0</v>
          </cell>
          <cell r="K78"/>
          <cell r="L78">
            <v>0</v>
          </cell>
        </row>
        <row r="79">
          <cell r="C79" t="str">
            <v>ENSAIO DE ORÇAMENTO 10</v>
          </cell>
          <cell r="D79"/>
          <cell r="E79">
            <v>0</v>
          </cell>
          <cell r="F79">
            <v>0</v>
          </cell>
          <cell r="G79">
            <v>0</v>
          </cell>
          <cell r="H79">
            <v>0</v>
          </cell>
          <cell r="I79"/>
          <cell r="J79">
            <v>0</v>
          </cell>
          <cell r="K79"/>
          <cell r="L79">
            <v>0</v>
          </cell>
        </row>
      </sheetData>
      <sheetData sheetId="10"/>
      <sheetData sheetId="11"/>
      <sheetData sheetId="12"/>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8C46C-9993-4EE8-8CD8-943CF6425345}">
  <sheetPr codeName="Planilha1">
    <pageSetUpPr fitToPage="1"/>
  </sheetPr>
  <dimension ref="A1:S131"/>
  <sheetViews>
    <sheetView showZeros="0" topLeftCell="D112" zoomScale="112" zoomScaleNormal="112" workbookViewId="0">
      <selection activeCell="I143" sqref="I143"/>
    </sheetView>
  </sheetViews>
  <sheetFormatPr defaultColWidth="10.6640625" defaultRowHeight="12.75" x14ac:dyDescent="0.2"/>
  <cols>
    <col min="1" max="1" width="10.6640625" style="2" customWidth="1"/>
    <col min="2" max="2" width="13.1640625" style="2" customWidth="1"/>
    <col min="3" max="3" width="38" style="2" customWidth="1"/>
    <col min="4" max="4" width="3.83203125" style="2" customWidth="1"/>
    <col min="5" max="16" width="10" style="2" customWidth="1"/>
    <col min="17" max="17" width="10.6640625" style="2" customWidth="1"/>
    <col min="18" max="255" width="10.6640625" style="2"/>
    <col min="256" max="256" width="13.1640625" style="2" customWidth="1"/>
    <col min="257" max="257" width="79" style="2" customWidth="1"/>
    <col min="258" max="258" width="3.83203125" style="2" customWidth="1"/>
    <col min="259" max="271" width="12.5" style="2" customWidth="1"/>
    <col min="272" max="272" width="8.5" style="2" customWidth="1"/>
    <col min="273" max="511" width="10.6640625" style="2"/>
    <col min="512" max="512" width="13.1640625" style="2" customWidth="1"/>
    <col min="513" max="513" width="79" style="2" customWidth="1"/>
    <col min="514" max="514" width="3.83203125" style="2" customWidth="1"/>
    <col min="515" max="527" width="12.5" style="2" customWidth="1"/>
    <col min="528" max="528" width="8.5" style="2" customWidth="1"/>
    <col min="529" max="767" width="10.6640625" style="2"/>
    <col min="768" max="768" width="13.1640625" style="2" customWidth="1"/>
    <col min="769" max="769" width="79" style="2" customWidth="1"/>
    <col min="770" max="770" width="3.83203125" style="2" customWidth="1"/>
    <col min="771" max="783" width="12.5" style="2" customWidth="1"/>
    <col min="784" max="784" width="8.5" style="2" customWidth="1"/>
    <col min="785" max="1023" width="10.6640625" style="2"/>
    <col min="1024" max="1024" width="13.1640625" style="2" customWidth="1"/>
    <col min="1025" max="1025" width="79" style="2" customWidth="1"/>
    <col min="1026" max="1026" width="3.83203125" style="2" customWidth="1"/>
    <col min="1027" max="1039" width="12.5" style="2" customWidth="1"/>
    <col min="1040" max="1040" width="8.5" style="2" customWidth="1"/>
    <col min="1041" max="1279" width="10.6640625" style="2"/>
    <col min="1280" max="1280" width="13.1640625" style="2" customWidth="1"/>
    <col min="1281" max="1281" width="79" style="2" customWidth="1"/>
    <col min="1282" max="1282" width="3.83203125" style="2" customWidth="1"/>
    <col min="1283" max="1295" width="12.5" style="2" customWidth="1"/>
    <col min="1296" max="1296" width="8.5" style="2" customWidth="1"/>
    <col min="1297" max="1535" width="10.6640625" style="2"/>
    <col min="1536" max="1536" width="13.1640625" style="2" customWidth="1"/>
    <col min="1537" max="1537" width="79" style="2" customWidth="1"/>
    <col min="1538" max="1538" width="3.83203125" style="2" customWidth="1"/>
    <col min="1539" max="1551" width="12.5" style="2" customWidth="1"/>
    <col min="1552" max="1552" width="8.5" style="2" customWidth="1"/>
    <col min="1553" max="1791" width="10.6640625" style="2"/>
    <col min="1792" max="1792" width="13.1640625" style="2" customWidth="1"/>
    <col min="1793" max="1793" width="79" style="2" customWidth="1"/>
    <col min="1794" max="1794" width="3.83203125" style="2" customWidth="1"/>
    <col min="1795" max="1807" width="12.5" style="2" customWidth="1"/>
    <col min="1808" max="1808" width="8.5" style="2" customWidth="1"/>
    <col min="1809" max="2047" width="10.6640625" style="2"/>
    <col min="2048" max="2048" width="13.1640625" style="2" customWidth="1"/>
    <col min="2049" max="2049" width="79" style="2" customWidth="1"/>
    <col min="2050" max="2050" width="3.83203125" style="2" customWidth="1"/>
    <col min="2051" max="2063" width="12.5" style="2" customWidth="1"/>
    <col min="2064" max="2064" width="8.5" style="2" customWidth="1"/>
    <col min="2065" max="2303" width="10.6640625" style="2"/>
    <col min="2304" max="2304" width="13.1640625" style="2" customWidth="1"/>
    <col min="2305" max="2305" width="79" style="2" customWidth="1"/>
    <col min="2306" max="2306" width="3.83203125" style="2" customWidth="1"/>
    <col min="2307" max="2319" width="12.5" style="2" customWidth="1"/>
    <col min="2320" max="2320" width="8.5" style="2" customWidth="1"/>
    <col min="2321" max="2559" width="10.6640625" style="2"/>
    <col min="2560" max="2560" width="13.1640625" style="2" customWidth="1"/>
    <col min="2561" max="2561" width="79" style="2" customWidth="1"/>
    <col min="2562" max="2562" width="3.83203125" style="2" customWidth="1"/>
    <col min="2563" max="2575" width="12.5" style="2" customWidth="1"/>
    <col min="2576" max="2576" width="8.5" style="2" customWidth="1"/>
    <col min="2577" max="2815" width="10.6640625" style="2"/>
    <col min="2816" max="2816" width="13.1640625" style="2" customWidth="1"/>
    <col min="2817" max="2817" width="79" style="2" customWidth="1"/>
    <col min="2818" max="2818" width="3.83203125" style="2" customWidth="1"/>
    <col min="2819" max="2831" width="12.5" style="2" customWidth="1"/>
    <col min="2832" max="2832" width="8.5" style="2" customWidth="1"/>
    <col min="2833" max="3071" width="10.6640625" style="2"/>
    <col min="3072" max="3072" width="13.1640625" style="2" customWidth="1"/>
    <col min="3073" max="3073" width="79" style="2" customWidth="1"/>
    <col min="3074" max="3074" width="3.83203125" style="2" customWidth="1"/>
    <col min="3075" max="3087" width="12.5" style="2" customWidth="1"/>
    <col min="3088" max="3088" width="8.5" style="2" customWidth="1"/>
    <col min="3089" max="3327" width="10.6640625" style="2"/>
    <col min="3328" max="3328" width="13.1640625" style="2" customWidth="1"/>
    <col min="3329" max="3329" width="79" style="2" customWidth="1"/>
    <col min="3330" max="3330" width="3.83203125" style="2" customWidth="1"/>
    <col min="3331" max="3343" width="12.5" style="2" customWidth="1"/>
    <col min="3344" max="3344" width="8.5" style="2" customWidth="1"/>
    <col min="3345" max="3583" width="10.6640625" style="2"/>
    <col min="3584" max="3584" width="13.1640625" style="2" customWidth="1"/>
    <col min="3585" max="3585" width="79" style="2" customWidth="1"/>
    <col min="3586" max="3586" width="3.83203125" style="2" customWidth="1"/>
    <col min="3587" max="3599" width="12.5" style="2" customWidth="1"/>
    <col min="3600" max="3600" width="8.5" style="2" customWidth="1"/>
    <col min="3601" max="3839" width="10.6640625" style="2"/>
    <col min="3840" max="3840" width="13.1640625" style="2" customWidth="1"/>
    <col min="3841" max="3841" width="79" style="2" customWidth="1"/>
    <col min="3842" max="3842" width="3.83203125" style="2" customWidth="1"/>
    <col min="3843" max="3855" width="12.5" style="2" customWidth="1"/>
    <col min="3856" max="3856" width="8.5" style="2" customWidth="1"/>
    <col min="3857" max="4095" width="10.6640625" style="2"/>
    <col min="4096" max="4096" width="13.1640625" style="2" customWidth="1"/>
    <col min="4097" max="4097" width="79" style="2" customWidth="1"/>
    <col min="4098" max="4098" width="3.83203125" style="2" customWidth="1"/>
    <col min="4099" max="4111" width="12.5" style="2" customWidth="1"/>
    <col min="4112" max="4112" width="8.5" style="2" customWidth="1"/>
    <col min="4113" max="4351" width="10.6640625" style="2"/>
    <col min="4352" max="4352" width="13.1640625" style="2" customWidth="1"/>
    <col min="4353" max="4353" width="79" style="2" customWidth="1"/>
    <col min="4354" max="4354" width="3.83203125" style="2" customWidth="1"/>
    <col min="4355" max="4367" width="12.5" style="2" customWidth="1"/>
    <col min="4368" max="4368" width="8.5" style="2" customWidth="1"/>
    <col min="4369" max="4607" width="10.6640625" style="2"/>
    <col min="4608" max="4608" width="13.1640625" style="2" customWidth="1"/>
    <col min="4609" max="4609" width="79" style="2" customWidth="1"/>
    <col min="4610" max="4610" width="3.83203125" style="2" customWidth="1"/>
    <col min="4611" max="4623" width="12.5" style="2" customWidth="1"/>
    <col min="4624" max="4624" width="8.5" style="2" customWidth="1"/>
    <col min="4625" max="4863" width="10.6640625" style="2"/>
    <col min="4864" max="4864" width="13.1640625" style="2" customWidth="1"/>
    <col min="4865" max="4865" width="79" style="2" customWidth="1"/>
    <col min="4866" max="4866" width="3.83203125" style="2" customWidth="1"/>
    <col min="4867" max="4879" width="12.5" style="2" customWidth="1"/>
    <col min="4880" max="4880" width="8.5" style="2" customWidth="1"/>
    <col min="4881" max="5119" width="10.6640625" style="2"/>
    <col min="5120" max="5120" width="13.1640625" style="2" customWidth="1"/>
    <col min="5121" max="5121" width="79" style="2" customWidth="1"/>
    <col min="5122" max="5122" width="3.83203125" style="2" customWidth="1"/>
    <col min="5123" max="5135" width="12.5" style="2" customWidth="1"/>
    <col min="5136" max="5136" width="8.5" style="2" customWidth="1"/>
    <col min="5137" max="5375" width="10.6640625" style="2"/>
    <col min="5376" max="5376" width="13.1640625" style="2" customWidth="1"/>
    <col min="5377" max="5377" width="79" style="2" customWidth="1"/>
    <col min="5378" max="5378" width="3.83203125" style="2" customWidth="1"/>
    <col min="5379" max="5391" width="12.5" style="2" customWidth="1"/>
    <col min="5392" max="5392" width="8.5" style="2" customWidth="1"/>
    <col min="5393" max="5631" width="10.6640625" style="2"/>
    <col min="5632" max="5632" width="13.1640625" style="2" customWidth="1"/>
    <col min="5633" max="5633" width="79" style="2" customWidth="1"/>
    <col min="5634" max="5634" width="3.83203125" style="2" customWidth="1"/>
    <col min="5635" max="5647" width="12.5" style="2" customWidth="1"/>
    <col min="5648" max="5648" width="8.5" style="2" customWidth="1"/>
    <col min="5649" max="5887" width="10.6640625" style="2"/>
    <col min="5888" max="5888" width="13.1640625" style="2" customWidth="1"/>
    <col min="5889" max="5889" width="79" style="2" customWidth="1"/>
    <col min="5890" max="5890" width="3.83203125" style="2" customWidth="1"/>
    <col min="5891" max="5903" width="12.5" style="2" customWidth="1"/>
    <col min="5904" max="5904" width="8.5" style="2" customWidth="1"/>
    <col min="5905" max="6143" width="10.6640625" style="2"/>
    <col min="6144" max="6144" width="13.1640625" style="2" customWidth="1"/>
    <col min="6145" max="6145" width="79" style="2" customWidth="1"/>
    <col min="6146" max="6146" width="3.83203125" style="2" customWidth="1"/>
    <col min="6147" max="6159" width="12.5" style="2" customWidth="1"/>
    <col min="6160" max="6160" width="8.5" style="2" customWidth="1"/>
    <col min="6161" max="6399" width="10.6640625" style="2"/>
    <col min="6400" max="6400" width="13.1640625" style="2" customWidth="1"/>
    <col min="6401" max="6401" width="79" style="2" customWidth="1"/>
    <col min="6402" max="6402" width="3.83203125" style="2" customWidth="1"/>
    <col min="6403" max="6415" width="12.5" style="2" customWidth="1"/>
    <col min="6416" max="6416" width="8.5" style="2" customWidth="1"/>
    <col min="6417" max="6655" width="10.6640625" style="2"/>
    <col min="6656" max="6656" width="13.1640625" style="2" customWidth="1"/>
    <col min="6657" max="6657" width="79" style="2" customWidth="1"/>
    <col min="6658" max="6658" width="3.83203125" style="2" customWidth="1"/>
    <col min="6659" max="6671" width="12.5" style="2" customWidth="1"/>
    <col min="6672" max="6672" width="8.5" style="2" customWidth="1"/>
    <col min="6673" max="6911" width="10.6640625" style="2"/>
    <col min="6912" max="6912" width="13.1640625" style="2" customWidth="1"/>
    <col min="6913" max="6913" width="79" style="2" customWidth="1"/>
    <col min="6914" max="6914" width="3.83203125" style="2" customWidth="1"/>
    <col min="6915" max="6927" width="12.5" style="2" customWidth="1"/>
    <col min="6928" max="6928" width="8.5" style="2" customWidth="1"/>
    <col min="6929" max="7167" width="10.6640625" style="2"/>
    <col min="7168" max="7168" width="13.1640625" style="2" customWidth="1"/>
    <col min="7169" max="7169" width="79" style="2" customWidth="1"/>
    <col min="7170" max="7170" width="3.83203125" style="2" customWidth="1"/>
    <col min="7171" max="7183" width="12.5" style="2" customWidth="1"/>
    <col min="7184" max="7184" width="8.5" style="2" customWidth="1"/>
    <col min="7185" max="7423" width="10.6640625" style="2"/>
    <col min="7424" max="7424" width="13.1640625" style="2" customWidth="1"/>
    <col min="7425" max="7425" width="79" style="2" customWidth="1"/>
    <col min="7426" max="7426" width="3.83203125" style="2" customWidth="1"/>
    <col min="7427" max="7439" width="12.5" style="2" customWidth="1"/>
    <col min="7440" max="7440" width="8.5" style="2" customWidth="1"/>
    <col min="7441" max="7679" width="10.6640625" style="2"/>
    <col min="7680" max="7680" width="13.1640625" style="2" customWidth="1"/>
    <col min="7681" max="7681" width="79" style="2" customWidth="1"/>
    <col min="7682" max="7682" width="3.83203125" style="2" customWidth="1"/>
    <col min="7683" max="7695" width="12.5" style="2" customWidth="1"/>
    <col min="7696" max="7696" width="8.5" style="2" customWidth="1"/>
    <col min="7697" max="7935" width="10.6640625" style="2"/>
    <col min="7936" max="7936" width="13.1640625" style="2" customWidth="1"/>
    <col min="7937" max="7937" width="79" style="2" customWidth="1"/>
    <col min="7938" max="7938" width="3.83203125" style="2" customWidth="1"/>
    <col min="7939" max="7951" width="12.5" style="2" customWidth="1"/>
    <col min="7952" max="7952" width="8.5" style="2" customWidth="1"/>
    <col min="7953" max="8191" width="10.6640625" style="2"/>
    <col min="8192" max="8192" width="13.1640625" style="2" customWidth="1"/>
    <col min="8193" max="8193" width="79" style="2" customWidth="1"/>
    <col min="8194" max="8194" width="3.83203125" style="2" customWidth="1"/>
    <col min="8195" max="8207" width="12.5" style="2" customWidth="1"/>
    <col min="8208" max="8208" width="8.5" style="2" customWidth="1"/>
    <col min="8209" max="8447" width="10.6640625" style="2"/>
    <col min="8448" max="8448" width="13.1640625" style="2" customWidth="1"/>
    <col min="8449" max="8449" width="79" style="2" customWidth="1"/>
    <col min="8450" max="8450" width="3.83203125" style="2" customWidth="1"/>
    <col min="8451" max="8463" width="12.5" style="2" customWidth="1"/>
    <col min="8464" max="8464" width="8.5" style="2" customWidth="1"/>
    <col min="8465" max="8703" width="10.6640625" style="2"/>
    <col min="8704" max="8704" width="13.1640625" style="2" customWidth="1"/>
    <col min="8705" max="8705" width="79" style="2" customWidth="1"/>
    <col min="8706" max="8706" width="3.83203125" style="2" customWidth="1"/>
    <col min="8707" max="8719" width="12.5" style="2" customWidth="1"/>
    <col min="8720" max="8720" width="8.5" style="2" customWidth="1"/>
    <col min="8721" max="8959" width="10.6640625" style="2"/>
    <col min="8960" max="8960" width="13.1640625" style="2" customWidth="1"/>
    <col min="8961" max="8961" width="79" style="2" customWidth="1"/>
    <col min="8962" max="8962" width="3.83203125" style="2" customWidth="1"/>
    <col min="8963" max="8975" width="12.5" style="2" customWidth="1"/>
    <col min="8976" max="8976" width="8.5" style="2" customWidth="1"/>
    <col min="8977" max="9215" width="10.6640625" style="2"/>
    <col min="9216" max="9216" width="13.1640625" style="2" customWidth="1"/>
    <col min="9217" max="9217" width="79" style="2" customWidth="1"/>
    <col min="9218" max="9218" width="3.83203125" style="2" customWidth="1"/>
    <col min="9219" max="9231" width="12.5" style="2" customWidth="1"/>
    <col min="9232" max="9232" width="8.5" style="2" customWidth="1"/>
    <col min="9233" max="9471" width="10.6640625" style="2"/>
    <col min="9472" max="9472" width="13.1640625" style="2" customWidth="1"/>
    <col min="9473" max="9473" width="79" style="2" customWidth="1"/>
    <col min="9474" max="9474" width="3.83203125" style="2" customWidth="1"/>
    <col min="9475" max="9487" width="12.5" style="2" customWidth="1"/>
    <col min="9488" max="9488" width="8.5" style="2" customWidth="1"/>
    <col min="9489" max="9727" width="10.6640625" style="2"/>
    <col min="9728" max="9728" width="13.1640625" style="2" customWidth="1"/>
    <col min="9729" max="9729" width="79" style="2" customWidth="1"/>
    <col min="9730" max="9730" width="3.83203125" style="2" customWidth="1"/>
    <col min="9731" max="9743" width="12.5" style="2" customWidth="1"/>
    <col min="9744" max="9744" width="8.5" style="2" customWidth="1"/>
    <col min="9745" max="9983" width="10.6640625" style="2"/>
    <col min="9984" max="9984" width="13.1640625" style="2" customWidth="1"/>
    <col min="9985" max="9985" width="79" style="2" customWidth="1"/>
    <col min="9986" max="9986" width="3.83203125" style="2" customWidth="1"/>
    <col min="9987" max="9999" width="12.5" style="2" customWidth="1"/>
    <col min="10000" max="10000" width="8.5" style="2" customWidth="1"/>
    <col min="10001" max="10239" width="10.6640625" style="2"/>
    <col min="10240" max="10240" width="13.1640625" style="2" customWidth="1"/>
    <col min="10241" max="10241" width="79" style="2" customWidth="1"/>
    <col min="10242" max="10242" width="3.83203125" style="2" customWidth="1"/>
    <col min="10243" max="10255" width="12.5" style="2" customWidth="1"/>
    <col min="10256" max="10256" width="8.5" style="2" customWidth="1"/>
    <col min="10257" max="10495" width="10.6640625" style="2"/>
    <col min="10496" max="10496" width="13.1640625" style="2" customWidth="1"/>
    <col min="10497" max="10497" width="79" style="2" customWidth="1"/>
    <col min="10498" max="10498" width="3.83203125" style="2" customWidth="1"/>
    <col min="10499" max="10511" width="12.5" style="2" customWidth="1"/>
    <col min="10512" max="10512" width="8.5" style="2" customWidth="1"/>
    <col min="10513" max="10751" width="10.6640625" style="2"/>
    <col min="10752" max="10752" width="13.1640625" style="2" customWidth="1"/>
    <col min="10753" max="10753" width="79" style="2" customWidth="1"/>
    <col min="10754" max="10754" width="3.83203125" style="2" customWidth="1"/>
    <col min="10755" max="10767" width="12.5" style="2" customWidth="1"/>
    <col min="10768" max="10768" width="8.5" style="2" customWidth="1"/>
    <col min="10769" max="11007" width="10.6640625" style="2"/>
    <col min="11008" max="11008" width="13.1640625" style="2" customWidth="1"/>
    <col min="11009" max="11009" width="79" style="2" customWidth="1"/>
    <col min="11010" max="11010" width="3.83203125" style="2" customWidth="1"/>
    <col min="11011" max="11023" width="12.5" style="2" customWidth="1"/>
    <col min="11024" max="11024" width="8.5" style="2" customWidth="1"/>
    <col min="11025" max="11263" width="10.6640625" style="2"/>
    <col min="11264" max="11264" width="13.1640625" style="2" customWidth="1"/>
    <col min="11265" max="11265" width="79" style="2" customWidth="1"/>
    <col min="11266" max="11266" width="3.83203125" style="2" customWidth="1"/>
    <col min="11267" max="11279" width="12.5" style="2" customWidth="1"/>
    <col min="11280" max="11280" width="8.5" style="2" customWidth="1"/>
    <col min="11281" max="11519" width="10.6640625" style="2"/>
    <col min="11520" max="11520" width="13.1640625" style="2" customWidth="1"/>
    <col min="11521" max="11521" width="79" style="2" customWidth="1"/>
    <col min="11522" max="11522" width="3.83203125" style="2" customWidth="1"/>
    <col min="11523" max="11535" width="12.5" style="2" customWidth="1"/>
    <col min="11536" max="11536" width="8.5" style="2" customWidth="1"/>
    <col min="11537" max="11775" width="10.6640625" style="2"/>
    <col min="11776" max="11776" width="13.1640625" style="2" customWidth="1"/>
    <col min="11777" max="11777" width="79" style="2" customWidth="1"/>
    <col min="11778" max="11778" width="3.83203125" style="2" customWidth="1"/>
    <col min="11779" max="11791" width="12.5" style="2" customWidth="1"/>
    <col min="11792" max="11792" width="8.5" style="2" customWidth="1"/>
    <col min="11793" max="12031" width="10.6640625" style="2"/>
    <col min="12032" max="12032" width="13.1640625" style="2" customWidth="1"/>
    <col min="12033" max="12033" width="79" style="2" customWidth="1"/>
    <col min="12034" max="12034" width="3.83203125" style="2" customWidth="1"/>
    <col min="12035" max="12047" width="12.5" style="2" customWidth="1"/>
    <col min="12048" max="12048" width="8.5" style="2" customWidth="1"/>
    <col min="12049" max="12287" width="10.6640625" style="2"/>
    <col min="12288" max="12288" width="13.1640625" style="2" customWidth="1"/>
    <col min="12289" max="12289" width="79" style="2" customWidth="1"/>
    <col min="12290" max="12290" width="3.83203125" style="2" customWidth="1"/>
    <col min="12291" max="12303" width="12.5" style="2" customWidth="1"/>
    <col min="12304" max="12304" width="8.5" style="2" customWidth="1"/>
    <col min="12305" max="12543" width="10.6640625" style="2"/>
    <col min="12544" max="12544" width="13.1640625" style="2" customWidth="1"/>
    <col min="12545" max="12545" width="79" style="2" customWidth="1"/>
    <col min="12546" max="12546" width="3.83203125" style="2" customWidth="1"/>
    <col min="12547" max="12559" width="12.5" style="2" customWidth="1"/>
    <col min="12560" max="12560" width="8.5" style="2" customWidth="1"/>
    <col min="12561" max="12799" width="10.6640625" style="2"/>
    <col min="12800" max="12800" width="13.1640625" style="2" customWidth="1"/>
    <col min="12801" max="12801" width="79" style="2" customWidth="1"/>
    <col min="12802" max="12802" width="3.83203125" style="2" customWidth="1"/>
    <col min="12803" max="12815" width="12.5" style="2" customWidth="1"/>
    <col min="12816" max="12816" width="8.5" style="2" customWidth="1"/>
    <col min="12817" max="13055" width="10.6640625" style="2"/>
    <col min="13056" max="13056" width="13.1640625" style="2" customWidth="1"/>
    <col min="13057" max="13057" width="79" style="2" customWidth="1"/>
    <col min="13058" max="13058" width="3.83203125" style="2" customWidth="1"/>
    <col min="13059" max="13071" width="12.5" style="2" customWidth="1"/>
    <col min="13072" max="13072" width="8.5" style="2" customWidth="1"/>
    <col min="13073" max="13311" width="10.6640625" style="2"/>
    <col min="13312" max="13312" width="13.1640625" style="2" customWidth="1"/>
    <col min="13313" max="13313" width="79" style="2" customWidth="1"/>
    <col min="13314" max="13314" width="3.83203125" style="2" customWidth="1"/>
    <col min="13315" max="13327" width="12.5" style="2" customWidth="1"/>
    <col min="13328" max="13328" width="8.5" style="2" customWidth="1"/>
    <col min="13329" max="13567" width="10.6640625" style="2"/>
    <col min="13568" max="13568" width="13.1640625" style="2" customWidth="1"/>
    <col min="13569" max="13569" width="79" style="2" customWidth="1"/>
    <col min="13570" max="13570" width="3.83203125" style="2" customWidth="1"/>
    <col min="13571" max="13583" width="12.5" style="2" customWidth="1"/>
    <col min="13584" max="13584" width="8.5" style="2" customWidth="1"/>
    <col min="13585" max="13823" width="10.6640625" style="2"/>
    <col min="13824" max="13824" width="13.1640625" style="2" customWidth="1"/>
    <col min="13825" max="13825" width="79" style="2" customWidth="1"/>
    <col min="13826" max="13826" width="3.83203125" style="2" customWidth="1"/>
    <col min="13827" max="13839" width="12.5" style="2" customWidth="1"/>
    <col min="13840" max="13840" width="8.5" style="2" customWidth="1"/>
    <col min="13841" max="14079" width="10.6640625" style="2"/>
    <col min="14080" max="14080" width="13.1640625" style="2" customWidth="1"/>
    <col min="14081" max="14081" width="79" style="2" customWidth="1"/>
    <col min="14082" max="14082" width="3.83203125" style="2" customWidth="1"/>
    <col min="14083" max="14095" width="12.5" style="2" customWidth="1"/>
    <col min="14096" max="14096" width="8.5" style="2" customWidth="1"/>
    <col min="14097" max="14335" width="10.6640625" style="2"/>
    <col min="14336" max="14336" width="13.1640625" style="2" customWidth="1"/>
    <col min="14337" max="14337" width="79" style="2" customWidth="1"/>
    <col min="14338" max="14338" width="3.83203125" style="2" customWidth="1"/>
    <col min="14339" max="14351" width="12.5" style="2" customWidth="1"/>
    <col min="14352" max="14352" width="8.5" style="2" customWidth="1"/>
    <col min="14353" max="14591" width="10.6640625" style="2"/>
    <col min="14592" max="14592" width="13.1640625" style="2" customWidth="1"/>
    <col min="14593" max="14593" width="79" style="2" customWidth="1"/>
    <col min="14594" max="14594" width="3.83203125" style="2" customWidth="1"/>
    <col min="14595" max="14607" width="12.5" style="2" customWidth="1"/>
    <col min="14608" max="14608" width="8.5" style="2" customWidth="1"/>
    <col min="14609" max="14847" width="10.6640625" style="2"/>
    <col min="14848" max="14848" width="13.1640625" style="2" customWidth="1"/>
    <col min="14849" max="14849" width="79" style="2" customWidth="1"/>
    <col min="14850" max="14850" width="3.83203125" style="2" customWidth="1"/>
    <col min="14851" max="14863" width="12.5" style="2" customWidth="1"/>
    <col min="14864" max="14864" width="8.5" style="2" customWidth="1"/>
    <col min="14865" max="15103" width="10.6640625" style="2"/>
    <col min="15104" max="15104" width="13.1640625" style="2" customWidth="1"/>
    <col min="15105" max="15105" width="79" style="2" customWidth="1"/>
    <col min="15106" max="15106" width="3.83203125" style="2" customWidth="1"/>
    <col min="15107" max="15119" width="12.5" style="2" customWidth="1"/>
    <col min="15120" max="15120" width="8.5" style="2" customWidth="1"/>
    <col min="15121" max="15359" width="10.6640625" style="2"/>
    <col min="15360" max="15360" width="13.1640625" style="2" customWidth="1"/>
    <col min="15361" max="15361" width="79" style="2" customWidth="1"/>
    <col min="15362" max="15362" width="3.83203125" style="2" customWidth="1"/>
    <col min="15363" max="15375" width="12.5" style="2" customWidth="1"/>
    <col min="15376" max="15376" width="8.5" style="2" customWidth="1"/>
    <col min="15377" max="15615" width="10.6640625" style="2"/>
    <col min="15616" max="15616" width="13.1640625" style="2" customWidth="1"/>
    <col min="15617" max="15617" width="79" style="2" customWidth="1"/>
    <col min="15618" max="15618" width="3.83203125" style="2" customWidth="1"/>
    <col min="15619" max="15631" width="12.5" style="2" customWidth="1"/>
    <col min="15632" max="15632" width="8.5" style="2" customWidth="1"/>
    <col min="15633" max="15871" width="10.6640625" style="2"/>
    <col min="15872" max="15872" width="13.1640625" style="2" customWidth="1"/>
    <col min="15873" max="15873" width="79" style="2" customWidth="1"/>
    <col min="15874" max="15874" width="3.83203125" style="2" customWidth="1"/>
    <col min="15875" max="15887" width="12.5" style="2" customWidth="1"/>
    <col min="15888" max="15888" width="8.5" style="2" customWidth="1"/>
    <col min="15889" max="16127" width="10.6640625" style="2"/>
    <col min="16128" max="16128" width="13.1640625" style="2" customWidth="1"/>
    <col min="16129" max="16129" width="79" style="2" customWidth="1"/>
    <col min="16130" max="16130" width="3.83203125" style="2" customWidth="1"/>
    <col min="16131" max="16143" width="12.5" style="2" customWidth="1"/>
    <col min="16144" max="16144" width="8.5" style="2" customWidth="1"/>
    <col min="16145" max="16384" width="10.6640625" style="2"/>
  </cols>
  <sheetData>
    <row r="1" spans="1:19" ht="13.5" thickBot="1" x14ac:dyDescent="0.25">
      <c r="A1" s="338" t="s">
        <v>25</v>
      </c>
      <c r="B1" s="337">
        <v>3</v>
      </c>
      <c r="C1" s="336"/>
      <c r="D1" s="335"/>
      <c r="E1" s="328"/>
      <c r="F1" s="328"/>
      <c r="G1" s="328"/>
      <c r="H1" s="328"/>
      <c r="I1" s="328"/>
      <c r="J1" s="328"/>
      <c r="K1" s="328"/>
      <c r="L1" s="328"/>
      <c r="M1" s="328"/>
      <c r="N1" s="328"/>
      <c r="O1" s="328"/>
      <c r="P1" s="328"/>
    </row>
    <row r="2" spans="1:19" ht="13.5" thickTop="1" x14ac:dyDescent="0.2">
      <c r="A2" s="334" t="str">
        <f t="shared" ref="A2:A12" si="0">CONCATENATE($B$1,"|",B2)</f>
        <v>3|1</v>
      </c>
      <c r="B2" s="326">
        <v>1</v>
      </c>
      <c r="C2" s="321" t="s">
        <v>87</v>
      </c>
      <c r="D2" s="320">
        <v>1</v>
      </c>
      <c r="E2" s="324">
        <v>50</v>
      </c>
      <c r="F2" s="324">
        <v>50</v>
      </c>
      <c r="G2" s="324"/>
      <c r="H2" s="324"/>
      <c r="I2" s="324"/>
      <c r="J2" s="325"/>
      <c r="K2" s="325"/>
      <c r="L2" s="325"/>
      <c r="M2" s="325"/>
      <c r="N2" s="325"/>
      <c r="O2" s="325"/>
      <c r="P2" s="325"/>
      <c r="S2" s="2">
        <f t="shared" ref="S2:S12" si="1">SUM(E2:P2)</f>
        <v>100</v>
      </c>
    </row>
    <row r="3" spans="1:19" x14ac:dyDescent="0.2">
      <c r="A3" s="323" t="str">
        <f t="shared" si="0"/>
        <v>3|2</v>
      </c>
      <c r="B3" s="322" t="s">
        <v>44</v>
      </c>
      <c r="C3" s="321" t="s">
        <v>83</v>
      </c>
      <c r="D3" s="320">
        <v>2</v>
      </c>
      <c r="E3" s="324">
        <v>50</v>
      </c>
      <c r="F3" s="324">
        <v>50</v>
      </c>
      <c r="G3" s="324"/>
      <c r="H3" s="324"/>
      <c r="I3" s="324"/>
      <c r="J3" s="318"/>
      <c r="K3" s="318"/>
      <c r="L3" s="318"/>
      <c r="M3" s="318"/>
      <c r="N3" s="318"/>
      <c r="O3" s="318"/>
      <c r="P3" s="318"/>
      <c r="S3" s="2">
        <f t="shared" si="1"/>
        <v>100</v>
      </c>
    </row>
    <row r="4" spans="1:19" x14ac:dyDescent="0.2">
      <c r="A4" s="323" t="str">
        <f t="shared" si="0"/>
        <v>3|3</v>
      </c>
      <c r="B4" s="322" t="s">
        <v>48</v>
      </c>
      <c r="C4" s="321" t="s">
        <v>88</v>
      </c>
      <c r="D4" s="320">
        <v>3</v>
      </c>
      <c r="E4" s="319">
        <v>25</v>
      </c>
      <c r="F4" s="319">
        <v>60</v>
      </c>
      <c r="G4" s="319">
        <v>15</v>
      </c>
      <c r="H4" s="319"/>
      <c r="I4" s="319"/>
      <c r="J4" s="318"/>
      <c r="K4" s="318"/>
      <c r="L4" s="318"/>
      <c r="M4" s="318"/>
      <c r="N4" s="318"/>
      <c r="O4" s="318"/>
      <c r="P4" s="318"/>
      <c r="S4" s="2">
        <f t="shared" si="1"/>
        <v>100</v>
      </c>
    </row>
    <row r="5" spans="1:19" x14ac:dyDescent="0.2">
      <c r="A5" s="323" t="str">
        <f t="shared" si="0"/>
        <v>3|4</v>
      </c>
      <c r="B5" s="322" t="s">
        <v>50</v>
      </c>
      <c r="C5" s="321" t="s">
        <v>84</v>
      </c>
      <c r="D5" s="320">
        <v>4</v>
      </c>
      <c r="E5" s="319"/>
      <c r="F5" s="319">
        <v>50</v>
      </c>
      <c r="G5" s="319">
        <v>50</v>
      </c>
      <c r="H5" s="319"/>
      <c r="I5" s="319"/>
      <c r="J5" s="318"/>
      <c r="K5" s="318"/>
      <c r="L5" s="318"/>
      <c r="M5" s="318"/>
      <c r="N5" s="318"/>
      <c r="O5" s="318"/>
      <c r="P5" s="318"/>
      <c r="S5" s="2">
        <f t="shared" si="1"/>
        <v>100</v>
      </c>
    </row>
    <row r="6" spans="1:19" x14ac:dyDescent="0.2">
      <c r="A6" s="323" t="str">
        <f t="shared" si="0"/>
        <v>3|5</v>
      </c>
      <c r="B6" s="322" t="s">
        <v>43</v>
      </c>
      <c r="C6" s="321" t="s">
        <v>85</v>
      </c>
      <c r="D6" s="320">
        <v>5</v>
      </c>
      <c r="E6" s="319">
        <v>20</v>
      </c>
      <c r="F6" s="319">
        <v>50</v>
      </c>
      <c r="G6" s="319">
        <v>30</v>
      </c>
      <c r="H6" s="319"/>
      <c r="I6" s="319"/>
      <c r="J6" s="318"/>
      <c r="K6" s="318"/>
      <c r="L6" s="318"/>
      <c r="M6" s="318"/>
      <c r="N6" s="318"/>
      <c r="O6" s="318"/>
      <c r="P6" s="318"/>
      <c r="S6" s="2">
        <f t="shared" si="1"/>
        <v>100</v>
      </c>
    </row>
    <row r="7" spans="1:19" x14ac:dyDescent="0.2">
      <c r="A7" s="323" t="str">
        <f t="shared" si="0"/>
        <v>3|6</v>
      </c>
      <c r="B7" s="322" t="s">
        <v>51</v>
      </c>
      <c r="C7" s="321" t="s">
        <v>89</v>
      </c>
      <c r="D7" s="320">
        <v>3</v>
      </c>
      <c r="E7" s="319"/>
      <c r="F7" s="319">
        <v>50</v>
      </c>
      <c r="G7" s="319">
        <v>50</v>
      </c>
      <c r="H7" s="319"/>
      <c r="I7" s="319"/>
      <c r="J7" s="318"/>
      <c r="K7" s="318"/>
      <c r="L7" s="318"/>
      <c r="M7" s="318"/>
      <c r="N7" s="318"/>
      <c r="O7" s="318"/>
      <c r="P7" s="318"/>
      <c r="S7" s="2">
        <f t="shared" si="1"/>
        <v>100</v>
      </c>
    </row>
    <row r="8" spans="1:19" x14ac:dyDescent="0.2">
      <c r="A8" s="323" t="str">
        <f t="shared" si="0"/>
        <v>3|7</v>
      </c>
      <c r="B8" s="322" t="s">
        <v>78</v>
      </c>
      <c r="C8" s="321" t="s">
        <v>90</v>
      </c>
      <c r="D8" s="320">
        <v>5</v>
      </c>
      <c r="E8" s="319"/>
      <c r="F8" s="319">
        <v>20</v>
      </c>
      <c r="G8" s="319">
        <v>80</v>
      </c>
      <c r="H8" s="319"/>
      <c r="I8" s="319"/>
      <c r="J8" s="318"/>
      <c r="K8" s="318"/>
      <c r="L8" s="318"/>
      <c r="M8" s="318"/>
      <c r="N8" s="318"/>
      <c r="O8" s="318"/>
      <c r="P8" s="318"/>
      <c r="S8" s="2">
        <f t="shared" si="1"/>
        <v>100</v>
      </c>
    </row>
    <row r="9" spans="1:19" x14ac:dyDescent="0.2">
      <c r="A9" s="323" t="str">
        <f t="shared" si="0"/>
        <v>3|8</v>
      </c>
      <c r="B9" s="322" t="s">
        <v>64</v>
      </c>
      <c r="C9" s="321" t="s">
        <v>91</v>
      </c>
      <c r="D9" s="320">
        <v>6</v>
      </c>
      <c r="E9" s="319"/>
      <c r="F9" s="319">
        <v>50</v>
      </c>
      <c r="G9" s="319">
        <v>50</v>
      </c>
      <c r="H9" s="319"/>
      <c r="I9" s="319"/>
      <c r="J9" s="318"/>
      <c r="K9" s="318"/>
      <c r="L9" s="318"/>
      <c r="M9" s="318"/>
      <c r="N9" s="318"/>
      <c r="O9" s="318"/>
      <c r="P9" s="318"/>
      <c r="S9" s="2">
        <f t="shared" si="1"/>
        <v>100</v>
      </c>
    </row>
    <row r="10" spans="1:19" x14ac:dyDescent="0.2">
      <c r="A10" s="323" t="str">
        <f t="shared" si="0"/>
        <v>3|9</v>
      </c>
      <c r="B10" s="322" t="s">
        <v>92</v>
      </c>
      <c r="C10" s="321" t="s">
        <v>93</v>
      </c>
      <c r="D10" s="320">
        <v>6</v>
      </c>
      <c r="E10" s="319">
        <v>30</v>
      </c>
      <c r="F10" s="319">
        <v>40</v>
      </c>
      <c r="G10" s="319">
        <v>30</v>
      </c>
      <c r="H10" s="319"/>
      <c r="I10" s="319"/>
      <c r="J10" s="318"/>
      <c r="K10" s="318"/>
      <c r="L10" s="318"/>
      <c r="M10" s="318"/>
      <c r="N10" s="318"/>
      <c r="O10" s="318"/>
      <c r="P10" s="318"/>
      <c r="S10" s="2">
        <f t="shared" si="1"/>
        <v>100</v>
      </c>
    </row>
    <row r="11" spans="1:19" x14ac:dyDescent="0.2">
      <c r="A11" s="323" t="str">
        <f t="shared" si="0"/>
        <v>3|10</v>
      </c>
      <c r="B11" s="322" t="s">
        <v>94</v>
      </c>
      <c r="C11" s="321" t="s">
        <v>86</v>
      </c>
      <c r="D11" s="320"/>
      <c r="E11" s="319">
        <v>60</v>
      </c>
      <c r="F11" s="319">
        <v>40</v>
      </c>
      <c r="G11" s="319"/>
      <c r="H11" s="319"/>
      <c r="I11" s="319"/>
      <c r="J11" s="318"/>
      <c r="K11" s="318"/>
      <c r="L11" s="318"/>
      <c r="M11" s="318"/>
      <c r="N11" s="318"/>
      <c r="O11" s="318"/>
      <c r="P11" s="318"/>
      <c r="S11" s="2">
        <f t="shared" si="1"/>
        <v>100</v>
      </c>
    </row>
    <row r="12" spans="1:19" x14ac:dyDescent="0.2">
      <c r="A12" s="323" t="str">
        <f t="shared" si="0"/>
        <v>3|11</v>
      </c>
      <c r="B12" s="322" t="s">
        <v>103</v>
      </c>
      <c r="C12" s="321" t="s">
        <v>120</v>
      </c>
      <c r="D12" s="320"/>
      <c r="E12" s="319">
        <v>15</v>
      </c>
      <c r="F12" s="319">
        <v>60</v>
      </c>
      <c r="G12" s="319">
        <v>25</v>
      </c>
      <c r="H12" s="319"/>
      <c r="I12" s="319"/>
      <c r="J12" s="318"/>
      <c r="K12" s="318"/>
      <c r="L12" s="318"/>
      <c r="M12" s="318"/>
      <c r="N12" s="318"/>
      <c r="O12" s="318"/>
      <c r="P12" s="318"/>
      <c r="S12" s="2">
        <f t="shared" si="1"/>
        <v>100</v>
      </c>
    </row>
    <row r="13" spans="1:19" ht="5.45" customHeight="1" x14ac:dyDescent="0.2"/>
    <row r="14" spans="1:19" ht="13.5" thickBot="1" x14ac:dyDescent="0.25">
      <c r="A14" s="332" t="s">
        <v>25</v>
      </c>
      <c r="B14" s="331">
        <v>4</v>
      </c>
      <c r="C14" s="330"/>
      <c r="D14" s="329"/>
      <c r="E14" s="328"/>
      <c r="F14" s="328"/>
      <c r="G14" s="328"/>
      <c r="H14" s="328"/>
      <c r="I14" s="328"/>
      <c r="J14" s="328"/>
      <c r="K14" s="328"/>
      <c r="L14" s="328"/>
      <c r="M14" s="328"/>
      <c r="N14" s="328"/>
      <c r="O14" s="328"/>
      <c r="P14" s="328"/>
    </row>
    <row r="15" spans="1:19" ht="13.5" thickTop="1" x14ac:dyDescent="0.2">
      <c r="A15" s="327" t="str">
        <f t="shared" ref="A15:A25" si="2">CONCATENATE($B$14,"|",B15)</f>
        <v>4|1</v>
      </c>
      <c r="B15" s="326">
        <v>1</v>
      </c>
      <c r="C15" s="321" t="s">
        <v>87</v>
      </c>
      <c r="D15" s="320">
        <v>1</v>
      </c>
      <c r="E15" s="324">
        <v>45</v>
      </c>
      <c r="F15" s="324">
        <v>45</v>
      </c>
      <c r="G15" s="324">
        <v>10</v>
      </c>
      <c r="H15" s="324"/>
      <c r="I15" s="324"/>
      <c r="J15" s="325"/>
      <c r="K15" s="325"/>
      <c r="L15" s="325"/>
      <c r="M15" s="325"/>
      <c r="N15" s="325"/>
      <c r="O15" s="325"/>
      <c r="P15" s="325"/>
      <c r="S15" s="2">
        <f t="shared" ref="S15:S25" si="3">SUM(E15:P15)</f>
        <v>100</v>
      </c>
    </row>
    <row r="16" spans="1:19" x14ac:dyDescent="0.2">
      <c r="A16" s="323" t="str">
        <f t="shared" si="2"/>
        <v>4|2</v>
      </c>
      <c r="B16" s="322" t="s">
        <v>44</v>
      </c>
      <c r="C16" s="321" t="s">
        <v>83</v>
      </c>
      <c r="D16" s="320">
        <v>2</v>
      </c>
      <c r="E16" s="324">
        <v>40</v>
      </c>
      <c r="F16" s="324">
        <v>40</v>
      </c>
      <c r="G16" s="324">
        <v>20</v>
      </c>
      <c r="H16" s="324"/>
      <c r="I16" s="324"/>
      <c r="J16" s="318"/>
      <c r="K16" s="318"/>
      <c r="L16" s="318"/>
      <c r="M16" s="318"/>
      <c r="N16" s="318"/>
      <c r="O16" s="318"/>
      <c r="P16" s="318"/>
      <c r="S16" s="2">
        <f t="shared" si="3"/>
        <v>100</v>
      </c>
    </row>
    <row r="17" spans="1:19" x14ac:dyDescent="0.2">
      <c r="A17" s="323" t="str">
        <f t="shared" si="2"/>
        <v>4|3</v>
      </c>
      <c r="B17" s="322" t="s">
        <v>48</v>
      </c>
      <c r="C17" s="321" t="s">
        <v>88</v>
      </c>
      <c r="D17" s="320">
        <v>3</v>
      </c>
      <c r="E17" s="319">
        <v>20</v>
      </c>
      <c r="F17" s="319">
        <v>35</v>
      </c>
      <c r="G17" s="319">
        <v>35</v>
      </c>
      <c r="H17" s="319">
        <v>10</v>
      </c>
      <c r="I17" s="319"/>
      <c r="J17" s="318"/>
      <c r="K17" s="318"/>
      <c r="L17" s="318"/>
      <c r="M17" s="318"/>
      <c r="N17" s="318"/>
      <c r="O17" s="318"/>
      <c r="P17" s="318"/>
      <c r="S17" s="2">
        <f t="shared" si="3"/>
        <v>100</v>
      </c>
    </row>
    <row r="18" spans="1:19" x14ac:dyDescent="0.2">
      <c r="A18" s="323" t="str">
        <f t="shared" si="2"/>
        <v>4|4</v>
      </c>
      <c r="B18" s="322" t="s">
        <v>50</v>
      </c>
      <c r="C18" s="321" t="s">
        <v>84</v>
      </c>
      <c r="D18" s="320">
        <v>4</v>
      </c>
      <c r="E18" s="319"/>
      <c r="F18" s="319">
        <v>35</v>
      </c>
      <c r="G18" s="319">
        <v>35</v>
      </c>
      <c r="H18" s="319">
        <v>30</v>
      </c>
      <c r="I18" s="319"/>
      <c r="J18" s="318"/>
      <c r="K18" s="318"/>
      <c r="L18" s="318"/>
      <c r="M18" s="318"/>
      <c r="N18" s="318"/>
      <c r="O18" s="318"/>
      <c r="P18" s="318"/>
      <c r="S18" s="2">
        <f t="shared" si="3"/>
        <v>100</v>
      </c>
    </row>
    <row r="19" spans="1:19" x14ac:dyDescent="0.2">
      <c r="A19" s="323" t="str">
        <f t="shared" si="2"/>
        <v>4|5</v>
      </c>
      <c r="B19" s="322" t="s">
        <v>43</v>
      </c>
      <c r="C19" s="321" t="s">
        <v>85</v>
      </c>
      <c r="D19" s="320">
        <v>5</v>
      </c>
      <c r="E19" s="319">
        <v>10</v>
      </c>
      <c r="F19" s="319">
        <v>35</v>
      </c>
      <c r="G19" s="319">
        <v>35</v>
      </c>
      <c r="H19" s="319">
        <v>20</v>
      </c>
      <c r="I19" s="319"/>
      <c r="J19" s="318"/>
      <c r="K19" s="318"/>
      <c r="L19" s="318"/>
      <c r="M19" s="318"/>
      <c r="N19" s="318"/>
      <c r="O19" s="318"/>
      <c r="P19" s="318"/>
      <c r="S19" s="2">
        <f t="shared" si="3"/>
        <v>100</v>
      </c>
    </row>
    <row r="20" spans="1:19" x14ac:dyDescent="0.2">
      <c r="A20" s="323" t="str">
        <f t="shared" si="2"/>
        <v>4|6</v>
      </c>
      <c r="B20" s="322" t="s">
        <v>51</v>
      </c>
      <c r="C20" s="321" t="s">
        <v>89</v>
      </c>
      <c r="D20" s="320">
        <v>3</v>
      </c>
      <c r="E20" s="319"/>
      <c r="F20" s="319">
        <v>35</v>
      </c>
      <c r="G20" s="319">
        <v>35</v>
      </c>
      <c r="H20" s="319">
        <v>30</v>
      </c>
      <c r="I20" s="319"/>
      <c r="J20" s="318"/>
      <c r="K20" s="318"/>
      <c r="L20" s="318"/>
      <c r="M20" s="318"/>
      <c r="N20" s="318"/>
      <c r="O20" s="318"/>
      <c r="P20" s="318"/>
      <c r="S20" s="2">
        <f t="shared" si="3"/>
        <v>100</v>
      </c>
    </row>
    <row r="21" spans="1:19" x14ac:dyDescent="0.2">
      <c r="A21" s="323" t="str">
        <f t="shared" si="2"/>
        <v>4|7</v>
      </c>
      <c r="B21" s="322" t="s">
        <v>78</v>
      </c>
      <c r="C21" s="321" t="s">
        <v>90</v>
      </c>
      <c r="D21" s="320">
        <v>5</v>
      </c>
      <c r="E21" s="319"/>
      <c r="F21" s="319">
        <v>15</v>
      </c>
      <c r="G21" s="319">
        <v>60</v>
      </c>
      <c r="H21" s="319">
        <v>25</v>
      </c>
      <c r="I21" s="319"/>
      <c r="J21" s="318"/>
      <c r="K21" s="318"/>
      <c r="L21" s="318"/>
      <c r="M21" s="318"/>
      <c r="N21" s="318"/>
      <c r="O21" s="318"/>
      <c r="P21" s="318"/>
      <c r="S21" s="2">
        <f t="shared" si="3"/>
        <v>100</v>
      </c>
    </row>
    <row r="22" spans="1:19" x14ac:dyDescent="0.2">
      <c r="A22" s="323" t="str">
        <f t="shared" si="2"/>
        <v>4|8</v>
      </c>
      <c r="B22" s="322" t="s">
        <v>64</v>
      </c>
      <c r="C22" s="321" t="s">
        <v>91</v>
      </c>
      <c r="D22" s="320">
        <v>6</v>
      </c>
      <c r="E22" s="319"/>
      <c r="F22" s="319">
        <v>30</v>
      </c>
      <c r="G22" s="319">
        <v>40</v>
      </c>
      <c r="H22" s="319">
        <v>30</v>
      </c>
      <c r="I22" s="319"/>
      <c r="J22" s="318"/>
      <c r="K22" s="318"/>
      <c r="L22" s="318"/>
      <c r="M22" s="318"/>
      <c r="N22" s="318"/>
      <c r="O22" s="318"/>
      <c r="P22" s="318"/>
      <c r="S22" s="2">
        <f t="shared" si="3"/>
        <v>100</v>
      </c>
    </row>
    <row r="23" spans="1:19" x14ac:dyDescent="0.2">
      <c r="A23" s="323" t="str">
        <f t="shared" si="2"/>
        <v>4|9</v>
      </c>
      <c r="B23" s="322" t="s">
        <v>92</v>
      </c>
      <c r="C23" s="321" t="s">
        <v>93</v>
      </c>
      <c r="D23" s="320">
        <v>6</v>
      </c>
      <c r="E23" s="319">
        <v>10</v>
      </c>
      <c r="F23" s="319">
        <v>35</v>
      </c>
      <c r="G23" s="319">
        <v>35</v>
      </c>
      <c r="H23" s="319">
        <v>20</v>
      </c>
      <c r="I23" s="319"/>
      <c r="J23" s="318"/>
      <c r="K23" s="318"/>
      <c r="L23" s="318"/>
      <c r="M23" s="318"/>
      <c r="N23" s="318"/>
      <c r="O23" s="318"/>
      <c r="P23" s="318"/>
      <c r="S23" s="2">
        <f t="shared" si="3"/>
        <v>100</v>
      </c>
    </row>
    <row r="24" spans="1:19" x14ac:dyDescent="0.2">
      <c r="A24" s="323" t="str">
        <f t="shared" si="2"/>
        <v>4|10</v>
      </c>
      <c r="B24" s="322" t="s">
        <v>94</v>
      </c>
      <c r="C24" s="321" t="s">
        <v>86</v>
      </c>
      <c r="D24" s="320"/>
      <c r="E24" s="319">
        <v>40</v>
      </c>
      <c r="F24" s="319">
        <v>40</v>
      </c>
      <c r="G24" s="319">
        <v>20</v>
      </c>
      <c r="H24" s="319"/>
      <c r="I24" s="319"/>
      <c r="J24" s="318"/>
      <c r="K24" s="318"/>
      <c r="L24" s="318"/>
      <c r="M24" s="318"/>
      <c r="N24" s="318"/>
      <c r="O24" s="318"/>
      <c r="P24" s="318"/>
      <c r="S24" s="2">
        <f t="shared" si="3"/>
        <v>100</v>
      </c>
    </row>
    <row r="25" spans="1:19" x14ac:dyDescent="0.2">
      <c r="A25" s="333" t="str">
        <f t="shared" si="2"/>
        <v>4|11</v>
      </c>
      <c r="B25" s="322" t="s">
        <v>103</v>
      </c>
      <c r="C25" s="321" t="s">
        <v>120</v>
      </c>
      <c r="D25" s="320"/>
      <c r="E25" s="319">
        <v>10</v>
      </c>
      <c r="F25" s="319">
        <v>35</v>
      </c>
      <c r="G25" s="319">
        <v>35</v>
      </c>
      <c r="H25" s="319">
        <v>20</v>
      </c>
      <c r="I25" s="319"/>
      <c r="J25" s="318"/>
      <c r="K25" s="318"/>
      <c r="L25" s="318"/>
      <c r="M25" s="318"/>
      <c r="N25" s="318"/>
      <c r="O25" s="318"/>
      <c r="P25" s="318"/>
      <c r="S25" s="2">
        <f t="shared" si="3"/>
        <v>100</v>
      </c>
    </row>
    <row r="26" spans="1:19" ht="5.45" customHeight="1" x14ac:dyDescent="0.2"/>
    <row r="27" spans="1:19" ht="13.5" thickBot="1" x14ac:dyDescent="0.25">
      <c r="A27" s="332" t="s">
        <v>25</v>
      </c>
      <c r="B27" s="331">
        <v>5</v>
      </c>
      <c r="C27" s="330"/>
      <c r="D27" s="329"/>
      <c r="E27" s="328"/>
      <c r="F27" s="328"/>
      <c r="G27" s="328"/>
      <c r="H27" s="328"/>
      <c r="I27" s="328"/>
      <c r="J27" s="328"/>
      <c r="K27" s="328"/>
      <c r="L27" s="328"/>
      <c r="M27" s="328"/>
      <c r="N27" s="328"/>
      <c r="O27" s="328"/>
      <c r="P27" s="328"/>
    </row>
    <row r="28" spans="1:19" ht="13.5" thickTop="1" x14ac:dyDescent="0.2">
      <c r="A28" s="327" t="str">
        <f t="shared" ref="A28:A38" si="4">CONCATENATE($B$27,"|",B28)</f>
        <v>5|1</v>
      </c>
      <c r="B28" s="326">
        <v>1</v>
      </c>
      <c r="C28" s="321" t="s">
        <v>87</v>
      </c>
      <c r="D28" s="320">
        <v>1</v>
      </c>
      <c r="E28" s="324">
        <v>40</v>
      </c>
      <c r="F28" s="324">
        <v>30</v>
      </c>
      <c r="G28" s="324">
        <v>25</v>
      </c>
      <c r="H28" s="324">
        <v>5</v>
      </c>
      <c r="I28" s="324"/>
      <c r="J28" s="325"/>
      <c r="K28" s="325"/>
      <c r="L28" s="325"/>
      <c r="M28" s="325"/>
      <c r="N28" s="325"/>
      <c r="O28" s="325"/>
      <c r="P28" s="325"/>
      <c r="S28" s="2">
        <f t="shared" ref="S28:S38" si="5">SUM(E28:P28)</f>
        <v>100</v>
      </c>
    </row>
    <row r="29" spans="1:19" x14ac:dyDescent="0.2">
      <c r="A29" s="323" t="str">
        <f t="shared" si="4"/>
        <v>5|2</v>
      </c>
      <c r="B29" s="322" t="s">
        <v>44</v>
      </c>
      <c r="C29" s="321" t="s">
        <v>83</v>
      </c>
      <c r="D29" s="320">
        <v>2</v>
      </c>
      <c r="E29" s="324">
        <v>30</v>
      </c>
      <c r="F29" s="324">
        <v>30</v>
      </c>
      <c r="G29" s="324">
        <v>30</v>
      </c>
      <c r="H29" s="324">
        <v>10</v>
      </c>
      <c r="I29" s="324"/>
      <c r="J29" s="318"/>
      <c r="K29" s="318"/>
      <c r="L29" s="318"/>
      <c r="M29" s="318"/>
      <c r="N29" s="318"/>
      <c r="O29" s="318"/>
      <c r="P29" s="318"/>
      <c r="S29" s="2">
        <f t="shared" si="5"/>
        <v>100</v>
      </c>
    </row>
    <row r="30" spans="1:19" x14ac:dyDescent="0.2">
      <c r="A30" s="323" t="str">
        <f t="shared" si="4"/>
        <v>5|3</v>
      </c>
      <c r="B30" s="322" t="s">
        <v>48</v>
      </c>
      <c r="C30" s="321" t="s">
        <v>88</v>
      </c>
      <c r="D30" s="320">
        <v>3</v>
      </c>
      <c r="E30" s="319">
        <v>10</v>
      </c>
      <c r="F30" s="319">
        <v>30</v>
      </c>
      <c r="G30" s="319">
        <v>30</v>
      </c>
      <c r="H30" s="319">
        <v>25</v>
      </c>
      <c r="I30" s="319">
        <v>5</v>
      </c>
      <c r="J30" s="318"/>
      <c r="K30" s="318"/>
      <c r="L30" s="318"/>
      <c r="M30" s="318"/>
      <c r="N30" s="318"/>
      <c r="O30" s="318"/>
      <c r="P30" s="318"/>
      <c r="S30" s="2">
        <f t="shared" si="5"/>
        <v>100</v>
      </c>
    </row>
    <row r="31" spans="1:19" x14ac:dyDescent="0.2">
      <c r="A31" s="323" t="str">
        <f t="shared" si="4"/>
        <v>5|4</v>
      </c>
      <c r="B31" s="322" t="s">
        <v>50</v>
      </c>
      <c r="C31" s="321" t="s">
        <v>84</v>
      </c>
      <c r="D31" s="320">
        <v>4</v>
      </c>
      <c r="E31" s="319"/>
      <c r="F31" s="319">
        <v>15</v>
      </c>
      <c r="G31" s="319">
        <v>30</v>
      </c>
      <c r="H31" s="319">
        <v>30</v>
      </c>
      <c r="I31" s="319">
        <v>25</v>
      </c>
      <c r="J31" s="318"/>
      <c r="K31" s="318"/>
      <c r="L31" s="318"/>
      <c r="M31" s="318"/>
      <c r="N31" s="318"/>
      <c r="O31" s="318"/>
      <c r="P31" s="318"/>
      <c r="S31" s="2">
        <f t="shared" si="5"/>
        <v>100</v>
      </c>
    </row>
    <row r="32" spans="1:19" x14ac:dyDescent="0.2">
      <c r="A32" s="323" t="str">
        <f t="shared" si="4"/>
        <v>5|5</v>
      </c>
      <c r="B32" s="322" t="s">
        <v>43</v>
      </c>
      <c r="C32" s="321" t="s">
        <v>85</v>
      </c>
      <c r="D32" s="320">
        <v>5</v>
      </c>
      <c r="E32" s="319"/>
      <c r="F32" s="319">
        <v>25</v>
      </c>
      <c r="G32" s="319">
        <v>35</v>
      </c>
      <c r="H32" s="319">
        <v>35</v>
      </c>
      <c r="I32" s="319">
        <v>5</v>
      </c>
      <c r="J32" s="318"/>
      <c r="K32" s="318"/>
      <c r="L32" s="318"/>
      <c r="M32" s="318"/>
      <c r="N32" s="318"/>
      <c r="O32" s="318"/>
      <c r="P32" s="318"/>
      <c r="S32" s="2">
        <f t="shared" si="5"/>
        <v>100</v>
      </c>
    </row>
    <row r="33" spans="1:19" x14ac:dyDescent="0.2">
      <c r="A33" s="323" t="str">
        <f t="shared" si="4"/>
        <v>5|6</v>
      </c>
      <c r="B33" s="322" t="s">
        <v>51</v>
      </c>
      <c r="C33" s="321" t="s">
        <v>89</v>
      </c>
      <c r="D33" s="320">
        <v>3</v>
      </c>
      <c r="E33" s="319"/>
      <c r="F33" s="319">
        <v>5</v>
      </c>
      <c r="G33" s="319">
        <v>40</v>
      </c>
      <c r="H33" s="319">
        <v>30</v>
      </c>
      <c r="I33" s="319">
        <v>25</v>
      </c>
      <c r="J33" s="318"/>
      <c r="K33" s="318"/>
      <c r="L33" s="318"/>
      <c r="M33" s="318"/>
      <c r="N33" s="318"/>
      <c r="O33" s="318"/>
      <c r="P33" s="318"/>
      <c r="S33" s="2">
        <f t="shared" si="5"/>
        <v>100</v>
      </c>
    </row>
    <row r="34" spans="1:19" x14ac:dyDescent="0.2">
      <c r="A34" s="323" t="str">
        <f t="shared" si="4"/>
        <v>5|7</v>
      </c>
      <c r="B34" s="322" t="s">
        <v>78</v>
      </c>
      <c r="C34" s="321" t="s">
        <v>90</v>
      </c>
      <c r="D34" s="320">
        <v>5</v>
      </c>
      <c r="E34" s="319"/>
      <c r="F34" s="319">
        <v>10</v>
      </c>
      <c r="G34" s="319">
        <v>35</v>
      </c>
      <c r="H34" s="319">
        <v>35</v>
      </c>
      <c r="I34" s="319">
        <v>20</v>
      </c>
      <c r="J34" s="318"/>
      <c r="K34" s="318"/>
      <c r="L34" s="318"/>
      <c r="M34" s="318"/>
      <c r="N34" s="318"/>
      <c r="O34" s="318"/>
      <c r="P34" s="318"/>
      <c r="S34" s="2">
        <f t="shared" si="5"/>
        <v>100</v>
      </c>
    </row>
    <row r="35" spans="1:19" x14ac:dyDescent="0.2">
      <c r="A35" s="323" t="str">
        <f t="shared" si="4"/>
        <v>5|8</v>
      </c>
      <c r="B35" s="322" t="s">
        <v>64</v>
      </c>
      <c r="C35" s="321" t="s">
        <v>91</v>
      </c>
      <c r="D35" s="320">
        <v>6</v>
      </c>
      <c r="E35" s="319"/>
      <c r="F35" s="319">
        <v>10</v>
      </c>
      <c r="G35" s="319">
        <v>35</v>
      </c>
      <c r="H35" s="319">
        <v>35</v>
      </c>
      <c r="I35" s="319">
        <v>20</v>
      </c>
      <c r="J35" s="318"/>
      <c r="K35" s="318"/>
      <c r="L35" s="318"/>
      <c r="M35" s="318"/>
      <c r="N35" s="318"/>
      <c r="O35" s="318"/>
      <c r="P35" s="318"/>
      <c r="S35" s="2">
        <f t="shared" si="5"/>
        <v>100</v>
      </c>
    </row>
    <row r="36" spans="1:19" x14ac:dyDescent="0.2">
      <c r="A36" s="323" t="str">
        <f t="shared" si="4"/>
        <v>5|9</v>
      </c>
      <c r="B36" s="322" t="s">
        <v>92</v>
      </c>
      <c r="C36" s="321" t="s">
        <v>93</v>
      </c>
      <c r="D36" s="320">
        <v>6</v>
      </c>
      <c r="E36" s="319">
        <v>5</v>
      </c>
      <c r="F36" s="319">
        <v>25</v>
      </c>
      <c r="G36" s="319">
        <v>25</v>
      </c>
      <c r="H36" s="319">
        <v>25</v>
      </c>
      <c r="I36" s="319">
        <v>20</v>
      </c>
      <c r="J36" s="318"/>
      <c r="K36" s="318"/>
      <c r="L36" s="318"/>
      <c r="M36" s="318"/>
      <c r="N36" s="318"/>
      <c r="O36" s="318"/>
      <c r="P36" s="318"/>
      <c r="S36" s="2">
        <f t="shared" si="5"/>
        <v>100</v>
      </c>
    </row>
    <row r="37" spans="1:19" x14ac:dyDescent="0.2">
      <c r="A37" s="323" t="str">
        <f t="shared" si="4"/>
        <v>5|10</v>
      </c>
      <c r="B37" s="322" t="s">
        <v>94</v>
      </c>
      <c r="C37" s="321" t="s">
        <v>86</v>
      </c>
      <c r="D37" s="320"/>
      <c r="E37" s="319">
        <v>25</v>
      </c>
      <c r="F37" s="319">
        <v>30</v>
      </c>
      <c r="G37" s="319">
        <v>30</v>
      </c>
      <c r="H37" s="319">
        <v>15</v>
      </c>
      <c r="I37" s="319"/>
      <c r="J37" s="318"/>
      <c r="K37" s="318"/>
      <c r="L37" s="318"/>
      <c r="M37" s="318"/>
      <c r="N37" s="318"/>
      <c r="O37" s="318"/>
      <c r="P37" s="318"/>
      <c r="S37" s="2">
        <f t="shared" si="5"/>
        <v>100</v>
      </c>
    </row>
    <row r="38" spans="1:19" x14ac:dyDescent="0.2">
      <c r="A38" s="323" t="str">
        <f t="shared" si="4"/>
        <v>5|11</v>
      </c>
      <c r="B38" s="322" t="s">
        <v>103</v>
      </c>
      <c r="C38" s="321" t="s">
        <v>120</v>
      </c>
      <c r="D38" s="320"/>
      <c r="E38" s="319">
        <v>7</v>
      </c>
      <c r="F38" s="319">
        <v>21</v>
      </c>
      <c r="G38" s="319">
        <v>27</v>
      </c>
      <c r="H38" s="319">
        <v>28</v>
      </c>
      <c r="I38" s="319">
        <v>17</v>
      </c>
      <c r="J38" s="318"/>
      <c r="K38" s="318"/>
      <c r="L38" s="318"/>
      <c r="M38" s="318"/>
      <c r="N38" s="318"/>
      <c r="O38" s="318"/>
      <c r="P38" s="318"/>
      <c r="S38" s="2">
        <f t="shared" si="5"/>
        <v>100</v>
      </c>
    </row>
    <row r="39" spans="1:19" ht="5.45" customHeight="1" x14ac:dyDescent="0.2"/>
    <row r="40" spans="1:19" ht="13.5" thickBot="1" x14ac:dyDescent="0.25">
      <c r="A40" s="332" t="s">
        <v>25</v>
      </c>
      <c r="B40" s="331">
        <v>6</v>
      </c>
      <c r="C40" s="330"/>
      <c r="D40" s="329"/>
      <c r="E40" s="328"/>
      <c r="F40" s="328"/>
      <c r="G40" s="328"/>
      <c r="H40" s="328"/>
      <c r="I40" s="328"/>
      <c r="J40" s="328"/>
      <c r="K40" s="328"/>
      <c r="L40" s="328"/>
      <c r="M40" s="328"/>
      <c r="N40" s="328"/>
      <c r="O40" s="328"/>
      <c r="P40" s="328"/>
    </row>
    <row r="41" spans="1:19" ht="13.5" thickTop="1" x14ac:dyDescent="0.2">
      <c r="A41" s="327" t="str">
        <f t="shared" ref="A41:A51" si="6">CONCATENATE($B$40,"|",B41)</f>
        <v>6|1</v>
      </c>
      <c r="B41" s="326">
        <v>1</v>
      </c>
      <c r="C41" s="321" t="s">
        <v>87</v>
      </c>
      <c r="D41" s="320">
        <v>1</v>
      </c>
      <c r="E41" s="324">
        <v>20</v>
      </c>
      <c r="F41" s="324">
        <v>30</v>
      </c>
      <c r="G41" s="324">
        <v>30</v>
      </c>
      <c r="H41" s="324">
        <v>20</v>
      </c>
      <c r="I41" s="324"/>
      <c r="J41" s="325"/>
      <c r="K41" s="325"/>
      <c r="L41" s="325"/>
      <c r="M41" s="325"/>
      <c r="N41" s="325"/>
      <c r="O41" s="325"/>
      <c r="P41" s="325"/>
      <c r="S41" s="2">
        <f t="shared" ref="S41:S51" si="7">SUM(E41:P41)</f>
        <v>100</v>
      </c>
    </row>
    <row r="42" spans="1:19" x14ac:dyDescent="0.2">
      <c r="A42" s="323" t="str">
        <f t="shared" si="6"/>
        <v>6|2</v>
      </c>
      <c r="B42" s="322" t="s">
        <v>44</v>
      </c>
      <c r="C42" s="321" t="s">
        <v>83</v>
      </c>
      <c r="D42" s="320">
        <v>2</v>
      </c>
      <c r="E42" s="324">
        <v>15</v>
      </c>
      <c r="F42" s="324">
        <v>25</v>
      </c>
      <c r="G42" s="324">
        <v>30</v>
      </c>
      <c r="H42" s="324">
        <v>25</v>
      </c>
      <c r="I42" s="324">
        <v>5</v>
      </c>
      <c r="J42" s="318"/>
      <c r="K42" s="318"/>
      <c r="L42" s="318"/>
      <c r="M42" s="318"/>
      <c r="N42" s="318"/>
      <c r="O42" s="318"/>
      <c r="P42" s="318"/>
      <c r="S42" s="2">
        <f t="shared" si="7"/>
        <v>100</v>
      </c>
    </row>
    <row r="43" spans="1:19" x14ac:dyDescent="0.2">
      <c r="A43" s="323" t="str">
        <f t="shared" si="6"/>
        <v>6|3</v>
      </c>
      <c r="B43" s="322" t="s">
        <v>48</v>
      </c>
      <c r="C43" s="321" t="s">
        <v>88</v>
      </c>
      <c r="D43" s="320">
        <v>3</v>
      </c>
      <c r="E43" s="319">
        <v>5</v>
      </c>
      <c r="F43" s="319">
        <v>20</v>
      </c>
      <c r="G43" s="319">
        <v>30</v>
      </c>
      <c r="H43" s="319">
        <v>25</v>
      </c>
      <c r="I43" s="319">
        <v>20</v>
      </c>
      <c r="J43" s="318"/>
      <c r="K43" s="318"/>
      <c r="L43" s="318"/>
      <c r="M43" s="318"/>
      <c r="N43" s="318"/>
      <c r="O43" s="318"/>
      <c r="P43" s="318"/>
      <c r="S43" s="2">
        <f t="shared" si="7"/>
        <v>100</v>
      </c>
    </row>
    <row r="44" spans="1:19" x14ac:dyDescent="0.2">
      <c r="A44" s="323" t="str">
        <f t="shared" si="6"/>
        <v>6|4</v>
      </c>
      <c r="B44" s="322" t="s">
        <v>50</v>
      </c>
      <c r="C44" s="321" t="s">
        <v>84</v>
      </c>
      <c r="D44" s="320">
        <v>4</v>
      </c>
      <c r="E44" s="319"/>
      <c r="F44" s="319">
        <v>5</v>
      </c>
      <c r="G44" s="319">
        <v>20</v>
      </c>
      <c r="H44" s="319">
        <v>30</v>
      </c>
      <c r="I44" s="319">
        <v>25</v>
      </c>
      <c r="J44" s="318">
        <v>20</v>
      </c>
      <c r="K44" s="318"/>
      <c r="L44" s="318"/>
      <c r="M44" s="318"/>
      <c r="N44" s="318"/>
      <c r="O44" s="318"/>
      <c r="P44" s="318"/>
      <c r="S44" s="2">
        <f t="shared" si="7"/>
        <v>100</v>
      </c>
    </row>
    <row r="45" spans="1:19" x14ac:dyDescent="0.2">
      <c r="A45" s="323" t="str">
        <f t="shared" si="6"/>
        <v>6|5</v>
      </c>
      <c r="B45" s="322" t="s">
        <v>43</v>
      </c>
      <c r="C45" s="321" t="s">
        <v>85</v>
      </c>
      <c r="D45" s="320">
        <v>5</v>
      </c>
      <c r="E45" s="319"/>
      <c r="F45" s="319">
        <v>15</v>
      </c>
      <c r="G45" s="319">
        <v>30</v>
      </c>
      <c r="H45" s="319">
        <v>30</v>
      </c>
      <c r="I45" s="319">
        <v>25</v>
      </c>
      <c r="J45" s="318"/>
      <c r="K45" s="318"/>
      <c r="L45" s="318"/>
      <c r="M45" s="318"/>
      <c r="N45" s="318"/>
      <c r="O45" s="318"/>
      <c r="P45" s="318"/>
      <c r="S45" s="2">
        <f t="shared" si="7"/>
        <v>100</v>
      </c>
    </row>
    <row r="46" spans="1:19" x14ac:dyDescent="0.2">
      <c r="A46" s="323" t="str">
        <f t="shared" si="6"/>
        <v>6|6</v>
      </c>
      <c r="B46" s="322" t="s">
        <v>51</v>
      </c>
      <c r="C46" s="321" t="s">
        <v>89</v>
      </c>
      <c r="D46" s="320">
        <v>3</v>
      </c>
      <c r="E46" s="319"/>
      <c r="F46" s="319">
        <v>5</v>
      </c>
      <c r="G46" s="319">
        <v>10</v>
      </c>
      <c r="H46" s="319">
        <v>30</v>
      </c>
      <c r="I46" s="319">
        <v>30</v>
      </c>
      <c r="J46" s="318">
        <v>25</v>
      </c>
      <c r="K46" s="318"/>
      <c r="L46" s="318"/>
      <c r="M46" s="318"/>
      <c r="N46" s="318"/>
      <c r="O46" s="318"/>
      <c r="P46" s="318"/>
      <c r="S46" s="2">
        <f t="shared" si="7"/>
        <v>100</v>
      </c>
    </row>
    <row r="47" spans="1:19" x14ac:dyDescent="0.2">
      <c r="A47" s="323" t="str">
        <f t="shared" si="6"/>
        <v>6|7</v>
      </c>
      <c r="B47" s="322" t="s">
        <v>78</v>
      </c>
      <c r="C47" s="321" t="s">
        <v>90</v>
      </c>
      <c r="D47" s="320">
        <v>5</v>
      </c>
      <c r="E47" s="319"/>
      <c r="F47" s="319"/>
      <c r="G47" s="319">
        <v>20</v>
      </c>
      <c r="H47" s="319">
        <v>20</v>
      </c>
      <c r="I47" s="319">
        <v>30</v>
      </c>
      <c r="J47" s="318">
        <v>30</v>
      </c>
      <c r="K47" s="318"/>
      <c r="L47" s="318"/>
      <c r="M47" s="318"/>
      <c r="N47" s="318"/>
      <c r="O47" s="318"/>
      <c r="P47" s="318"/>
      <c r="S47" s="2">
        <f t="shared" si="7"/>
        <v>100</v>
      </c>
    </row>
    <row r="48" spans="1:19" x14ac:dyDescent="0.2">
      <c r="A48" s="323" t="str">
        <f t="shared" si="6"/>
        <v>6|8</v>
      </c>
      <c r="B48" s="322" t="s">
        <v>64</v>
      </c>
      <c r="C48" s="321" t="s">
        <v>91</v>
      </c>
      <c r="D48" s="320">
        <v>6</v>
      </c>
      <c r="E48" s="319"/>
      <c r="F48" s="319"/>
      <c r="G48" s="319">
        <v>20</v>
      </c>
      <c r="H48" s="319">
        <v>30</v>
      </c>
      <c r="I48" s="319">
        <v>30</v>
      </c>
      <c r="J48" s="318">
        <v>20</v>
      </c>
      <c r="K48" s="318"/>
      <c r="L48" s="318"/>
      <c r="M48" s="318"/>
      <c r="N48" s="318"/>
      <c r="O48" s="318"/>
      <c r="P48" s="318"/>
      <c r="S48" s="2">
        <f t="shared" si="7"/>
        <v>100</v>
      </c>
    </row>
    <row r="49" spans="1:19" x14ac:dyDescent="0.2">
      <c r="A49" s="323" t="str">
        <f t="shared" si="6"/>
        <v>6|9</v>
      </c>
      <c r="B49" s="322" t="s">
        <v>92</v>
      </c>
      <c r="C49" s="321" t="s">
        <v>93</v>
      </c>
      <c r="D49" s="320">
        <v>6</v>
      </c>
      <c r="E49" s="319">
        <v>5</v>
      </c>
      <c r="F49" s="319">
        <v>15</v>
      </c>
      <c r="G49" s="319">
        <v>25</v>
      </c>
      <c r="H49" s="319">
        <v>25</v>
      </c>
      <c r="I49" s="319">
        <v>20</v>
      </c>
      <c r="J49" s="318">
        <v>10</v>
      </c>
      <c r="K49" s="318"/>
      <c r="L49" s="318"/>
      <c r="M49" s="318"/>
      <c r="N49" s="318"/>
      <c r="O49" s="318"/>
      <c r="P49" s="318"/>
      <c r="S49" s="2">
        <f t="shared" si="7"/>
        <v>100</v>
      </c>
    </row>
    <row r="50" spans="1:19" x14ac:dyDescent="0.2">
      <c r="A50" s="323" t="str">
        <f t="shared" si="6"/>
        <v>6|10</v>
      </c>
      <c r="B50" s="322" t="s">
        <v>94</v>
      </c>
      <c r="C50" s="321" t="s">
        <v>86</v>
      </c>
      <c r="D50" s="320"/>
      <c r="E50" s="319">
        <v>20</v>
      </c>
      <c r="F50" s="319">
        <v>30</v>
      </c>
      <c r="G50" s="319">
        <v>30</v>
      </c>
      <c r="H50" s="319">
        <v>15</v>
      </c>
      <c r="I50" s="319">
        <v>5</v>
      </c>
      <c r="J50" s="318"/>
      <c r="K50" s="318"/>
      <c r="L50" s="318"/>
      <c r="M50" s="318"/>
      <c r="N50" s="318"/>
      <c r="O50" s="318"/>
      <c r="P50" s="318"/>
      <c r="S50" s="2">
        <f t="shared" si="7"/>
        <v>100</v>
      </c>
    </row>
    <row r="51" spans="1:19" x14ac:dyDescent="0.2">
      <c r="A51" s="323" t="str">
        <f t="shared" si="6"/>
        <v>6|11</v>
      </c>
      <c r="B51" s="322" t="s">
        <v>103</v>
      </c>
      <c r="C51" s="321" t="s">
        <v>120</v>
      </c>
      <c r="D51" s="320"/>
      <c r="E51" s="319">
        <v>3</v>
      </c>
      <c r="F51" s="319">
        <v>12</v>
      </c>
      <c r="G51" s="319">
        <v>25</v>
      </c>
      <c r="H51" s="319">
        <v>28</v>
      </c>
      <c r="I51" s="319">
        <v>21</v>
      </c>
      <c r="J51" s="318">
        <v>11</v>
      </c>
      <c r="K51" s="318"/>
      <c r="L51" s="318"/>
      <c r="M51" s="318"/>
      <c r="N51" s="318"/>
      <c r="O51" s="318"/>
      <c r="P51" s="318"/>
      <c r="S51" s="2">
        <f t="shared" si="7"/>
        <v>100</v>
      </c>
    </row>
    <row r="52" spans="1:19" ht="5.45" customHeight="1" x14ac:dyDescent="0.2"/>
    <row r="53" spans="1:19" ht="13.5" thickBot="1" x14ac:dyDescent="0.25">
      <c r="A53" s="332" t="s">
        <v>25</v>
      </c>
      <c r="B53" s="331">
        <v>7</v>
      </c>
      <c r="C53" s="330"/>
      <c r="D53" s="329"/>
      <c r="E53" s="328"/>
      <c r="F53" s="328"/>
      <c r="G53" s="328"/>
      <c r="H53" s="328"/>
      <c r="I53" s="328"/>
      <c r="J53" s="328"/>
      <c r="K53" s="328"/>
      <c r="L53" s="328"/>
      <c r="M53" s="328"/>
      <c r="N53" s="328"/>
      <c r="O53" s="328"/>
      <c r="P53" s="328"/>
    </row>
    <row r="54" spans="1:19" ht="13.5" thickTop="1" x14ac:dyDescent="0.2">
      <c r="A54" s="327" t="str">
        <f t="shared" ref="A54:A64" si="8">CONCATENATE($B$53,"|",B54)</f>
        <v>7|1</v>
      </c>
      <c r="B54" s="326">
        <v>1</v>
      </c>
      <c r="C54" s="321" t="s">
        <v>87</v>
      </c>
      <c r="D54" s="320">
        <v>1</v>
      </c>
      <c r="E54" s="324">
        <v>15</v>
      </c>
      <c r="F54" s="324">
        <v>30</v>
      </c>
      <c r="G54" s="324">
        <v>30</v>
      </c>
      <c r="H54" s="324">
        <v>20</v>
      </c>
      <c r="I54" s="324">
        <v>5</v>
      </c>
      <c r="J54" s="325"/>
      <c r="K54" s="325"/>
      <c r="L54" s="325"/>
      <c r="M54" s="325"/>
      <c r="N54" s="325"/>
      <c r="O54" s="325"/>
      <c r="P54" s="325"/>
      <c r="S54" s="2">
        <f t="shared" ref="S54:S64" si="9">SUM(E54:P54)</f>
        <v>100</v>
      </c>
    </row>
    <row r="55" spans="1:19" x14ac:dyDescent="0.2">
      <c r="A55" s="323" t="str">
        <f t="shared" si="8"/>
        <v>7|2</v>
      </c>
      <c r="B55" s="322" t="s">
        <v>44</v>
      </c>
      <c r="C55" s="321" t="s">
        <v>83</v>
      </c>
      <c r="D55" s="320">
        <v>2</v>
      </c>
      <c r="E55" s="324">
        <v>15</v>
      </c>
      <c r="F55" s="324">
        <v>20</v>
      </c>
      <c r="G55" s="324">
        <v>25</v>
      </c>
      <c r="H55" s="324">
        <v>25</v>
      </c>
      <c r="I55" s="324">
        <v>15</v>
      </c>
      <c r="J55" s="318"/>
      <c r="K55" s="318"/>
      <c r="L55" s="318"/>
      <c r="M55" s="318"/>
      <c r="N55" s="318"/>
      <c r="O55" s="318"/>
      <c r="P55" s="318"/>
      <c r="S55" s="2">
        <f t="shared" si="9"/>
        <v>100</v>
      </c>
    </row>
    <row r="56" spans="1:19" x14ac:dyDescent="0.2">
      <c r="A56" s="323" t="str">
        <f t="shared" si="8"/>
        <v>7|3</v>
      </c>
      <c r="B56" s="322" t="s">
        <v>48</v>
      </c>
      <c r="C56" s="321" t="s">
        <v>88</v>
      </c>
      <c r="D56" s="320">
        <v>3</v>
      </c>
      <c r="E56" s="319">
        <v>5</v>
      </c>
      <c r="F56" s="319">
        <v>15</v>
      </c>
      <c r="G56" s="319">
        <v>20</v>
      </c>
      <c r="H56" s="319">
        <v>25</v>
      </c>
      <c r="I56" s="319">
        <v>20</v>
      </c>
      <c r="J56" s="318">
        <v>15</v>
      </c>
      <c r="K56" s="318"/>
      <c r="L56" s="318"/>
      <c r="M56" s="318"/>
      <c r="N56" s="318"/>
      <c r="O56" s="318"/>
      <c r="P56" s="318"/>
      <c r="S56" s="2">
        <f t="shared" si="9"/>
        <v>100</v>
      </c>
    </row>
    <row r="57" spans="1:19" x14ac:dyDescent="0.2">
      <c r="A57" s="323" t="str">
        <f t="shared" si="8"/>
        <v>7|4</v>
      </c>
      <c r="B57" s="322" t="s">
        <v>50</v>
      </c>
      <c r="C57" s="321" t="s">
        <v>84</v>
      </c>
      <c r="D57" s="320">
        <v>4</v>
      </c>
      <c r="E57" s="319"/>
      <c r="F57" s="319"/>
      <c r="G57" s="319">
        <v>15</v>
      </c>
      <c r="H57" s="319">
        <v>25</v>
      </c>
      <c r="I57" s="319">
        <v>25</v>
      </c>
      <c r="J57" s="318">
        <v>25</v>
      </c>
      <c r="K57" s="318">
        <v>10</v>
      </c>
      <c r="L57" s="318"/>
      <c r="M57" s="318"/>
      <c r="N57" s="318"/>
      <c r="O57" s="318"/>
      <c r="P57" s="318"/>
      <c r="S57" s="2">
        <f t="shared" si="9"/>
        <v>100</v>
      </c>
    </row>
    <row r="58" spans="1:19" x14ac:dyDescent="0.2">
      <c r="A58" s="323" t="str">
        <f t="shared" si="8"/>
        <v>7|5</v>
      </c>
      <c r="B58" s="322" t="s">
        <v>43</v>
      </c>
      <c r="C58" s="321" t="s">
        <v>85</v>
      </c>
      <c r="D58" s="320">
        <v>5</v>
      </c>
      <c r="E58" s="319"/>
      <c r="F58" s="319">
        <v>10</v>
      </c>
      <c r="G58" s="319">
        <v>15</v>
      </c>
      <c r="H58" s="319">
        <v>30</v>
      </c>
      <c r="I58" s="319">
        <v>30</v>
      </c>
      <c r="J58" s="318">
        <v>15</v>
      </c>
      <c r="K58" s="318"/>
      <c r="L58" s="318"/>
      <c r="M58" s="318"/>
      <c r="N58" s="318"/>
      <c r="O58" s="318"/>
      <c r="P58" s="318"/>
      <c r="S58" s="2">
        <f t="shared" si="9"/>
        <v>100</v>
      </c>
    </row>
    <row r="59" spans="1:19" x14ac:dyDescent="0.2">
      <c r="A59" s="323" t="str">
        <f t="shared" si="8"/>
        <v>7|6</v>
      </c>
      <c r="B59" s="322" t="s">
        <v>51</v>
      </c>
      <c r="C59" s="321" t="s">
        <v>89</v>
      </c>
      <c r="D59" s="320">
        <v>3</v>
      </c>
      <c r="E59" s="319"/>
      <c r="F59" s="319">
        <v>5</v>
      </c>
      <c r="G59" s="319">
        <v>10</v>
      </c>
      <c r="H59" s="319">
        <v>25</v>
      </c>
      <c r="I59" s="319">
        <v>25</v>
      </c>
      <c r="J59" s="318">
        <v>20</v>
      </c>
      <c r="K59" s="318">
        <v>15</v>
      </c>
      <c r="L59" s="318"/>
      <c r="M59" s="318"/>
      <c r="N59" s="318"/>
      <c r="O59" s="318"/>
      <c r="P59" s="318"/>
      <c r="S59" s="2">
        <f t="shared" si="9"/>
        <v>100</v>
      </c>
    </row>
    <row r="60" spans="1:19" x14ac:dyDescent="0.2">
      <c r="A60" s="323" t="str">
        <f t="shared" si="8"/>
        <v>7|7</v>
      </c>
      <c r="B60" s="322" t="s">
        <v>78</v>
      </c>
      <c r="C60" s="321" t="s">
        <v>90</v>
      </c>
      <c r="D60" s="320">
        <v>5</v>
      </c>
      <c r="E60" s="319"/>
      <c r="F60" s="319"/>
      <c r="G60" s="319">
        <v>15</v>
      </c>
      <c r="H60" s="319">
        <v>15</v>
      </c>
      <c r="I60" s="319">
        <v>25</v>
      </c>
      <c r="J60" s="319">
        <v>25</v>
      </c>
      <c r="K60" s="318">
        <v>20</v>
      </c>
      <c r="L60" s="318"/>
      <c r="M60" s="318"/>
      <c r="N60" s="318"/>
      <c r="O60" s="318"/>
      <c r="P60" s="318"/>
      <c r="S60" s="2">
        <f t="shared" si="9"/>
        <v>100</v>
      </c>
    </row>
    <row r="61" spans="1:19" x14ac:dyDescent="0.2">
      <c r="A61" s="323" t="str">
        <f t="shared" si="8"/>
        <v>7|8</v>
      </c>
      <c r="B61" s="322" t="s">
        <v>64</v>
      </c>
      <c r="C61" s="321" t="s">
        <v>91</v>
      </c>
      <c r="D61" s="320">
        <v>6</v>
      </c>
      <c r="E61" s="319"/>
      <c r="F61" s="319"/>
      <c r="G61" s="319">
        <v>10</v>
      </c>
      <c r="H61" s="319">
        <v>20</v>
      </c>
      <c r="I61" s="319">
        <v>20</v>
      </c>
      <c r="J61" s="318">
        <v>30</v>
      </c>
      <c r="K61" s="318">
        <v>20</v>
      </c>
      <c r="L61" s="318"/>
      <c r="M61" s="318"/>
      <c r="N61" s="318"/>
      <c r="O61" s="318"/>
      <c r="P61" s="318"/>
      <c r="S61" s="2">
        <f t="shared" si="9"/>
        <v>100</v>
      </c>
    </row>
    <row r="62" spans="1:19" x14ac:dyDescent="0.2">
      <c r="A62" s="323" t="str">
        <f t="shared" si="8"/>
        <v>7|9</v>
      </c>
      <c r="B62" s="322" t="s">
        <v>92</v>
      </c>
      <c r="C62" s="321" t="s">
        <v>93</v>
      </c>
      <c r="D62" s="320">
        <v>6</v>
      </c>
      <c r="E62" s="319">
        <v>5</v>
      </c>
      <c r="F62" s="319">
        <v>10</v>
      </c>
      <c r="G62" s="319">
        <v>20</v>
      </c>
      <c r="H62" s="319">
        <v>20</v>
      </c>
      <c r="I62" s="319">
        <v>20</v>
      </c>
      <c r="J62" s="318">
        <v>15</v>
      </c>
      <c r="K62" s="318">
        <v>10</v>
      </c>
      <c r="L62" s="318"/>
      <c r="M62" s="318"/>
      <c r="N62" s="318"/>
      <c r="O62" s="318"/>
      <c r="P62" s="318"/>
      <c r="S62" s="2">
        <f t="shared" si="9"/>
        <v>100</v>
      </c>
    </row>
    <row r="63" spans="1:19" x14ac:dyDescent="0.2">
      <c r="A63" s="323" t="str">
        <f t="shared" si="8"/>
        <v>7|10</v>
      </c>
      <c r="B63" s="322" t="s">
        <v>94</v>
      </c>
      <c r="C63" s="321" t="s">
        <v>86</v>
      </c>
      <c r="D63" s="320"/>
      <c r="E63" s="319">
        <v>15</v>
      </c>
      <c r="F63" s="319">
        <v>25</v>
      </c>
      <c r="G63" s="319">
        <v>25</v>
      </c>
      <c r="H63" s="319">
        <v>20</v>
      </c>
      <c r="I63" s="319">
        <v>10</v>
      </c>
      <c r="J63" s="318">
        <v>5</v>
      </c>
      <c r="K63" s="318"/>
      <c r="L63" s="318"/>
      <c r="M63" s="318"/>
      <c r="N63" s="318"/>
      <c r="O63" s="318"/>
      <c r="P63" s="318"/>
      <c r="S63" s="2">
        <f t="shared" si="9"/>
        <v>100</v>
      </c>
    </row>
    <row r="64" spans="1:19" x14ac:dyDescent="0.2">
      <c r="A64" s="323" t="str">
        <f t="shared" si="8"/>
        <v>7|11</v>
      </c>
      <c r="B64" s="322" t="s">
        <v>103</v>
      </c>
      <c r="C64" s="321" t="s">
        <v>120</v>
      </c>
      <c r="D64" s="320"/>
      <c r="E64" s="319">
        <v>2</v>
      </c>
      <c r="F64" s="319">
        <v>8</v>
      </c>
      <c r="G64" s="319">
        <v>18</v>
      </c>
      <c r="H64" s="319">
        <v>20</v>
      </c>
      <c r="I64" s="319">
        <v>20</v>
      </c>
      <c r="J64" s="318">
        <v>20</v>
      </c>
      <c r="K64" s="318">
        <v>12</v>
      </c>
      <c r="L64" s="318"/>
      <c r="M64" s="318"/>
      <c r="N64" s="318"/>
      <c r="O64" s="318"/>
      <c r="P64" s="318"/>
      <c r="S64" s="2">
        <f t="shared" si="9"/>
        <v>100</v>
      </c>
    </row>
    <row r="65" spans="1:19" ht="5.45" customHeight="1" x14ac:dyDescent="0.2"/>
    <row r="66" spans="1:19" ht="13.5" thickBot="1" x14ac:dyDescent="0.25">
      <c r="A66" s="332" t="s">
        <v>25</v>
      </c>
      <c r="B66" s="331">
        <v>8</v>
      </c>
      <c r="C66" s="330"/>
      <c r="D66" s="329"/>
      <c r="E66" s="328"/>
      <c r="F66" s="328"/>
      <c r="G66" s="328"/>
      <c r="H66" s="328"/>
      <c r="I66" s="328"/>
      <c r="J66" s="328"/>
      <c r="K66" s="328"/>
      <c r="L66" s="328"/>
      <c r="M66" s="328"/>
      <c r="N66" s="328"/>
      <c r="O66" s="328"/>
      <c r="P66" s="328"/>
    </row>
    <row r="67" spans="1:19" ht="13.5" thickTop="1" x14ac:dyDescent="0.2">
      <c r="A67" s="327" t="str">
        <f t="shared" ref="A67:A77" si="10">CONCATENATE($B$66,"|",B67)</f>
        <v>8|1</v>
      </c>
      <c r="B67" s="326">
        <v>1</v>
      </c>
      <c r="C67" s="321" t="s">
        <v>87</v>
      </c>
      <c r="D67" s="320">
        <v>1</v>
      </c>
      <c r="E67" s="324">
        <v>15</v>
      </c>
      <c r="F67" s="324">
        <v>20</v>
      </c>
      <c r="G67" s="324">
        <v>25</v>
      </c>
      <c r="H67" s="324">
        <v>25</v>
      </c>
      <c r="I67" s="324">
        <v>10</v>
      </c>
      <c r="J67" s="325">
        <v>5</v>
      </c>
      <c r="K67" s="325"/>
      <c r="L67" s="325"/>
      <c r="M67" s="325"/>
      <c r="N67" s="325"/>
      <c r="O67" s="325"/>
      <c r="P67" s="325"/>
      <c r="S67" s="2">
        <f t="shared" ref="S67:S77" si="11">SUM(E67:P67)</f>
        <v>100</v>
      </c>
    </row>
    <row r="68" spans="1:19" x14ac:dyDescent="0.2">
      <c r="A68" s="323" t="str">
        <f t="shared" si="10"/>
        <v>8|2</v>
      </c>
      <c r="B68" s="322" t="s">
        <v>44</v>
      </c>
      <c r="C68" s="321" t="s">
        <v>83</v>
      </c>
      <c r="D68" s="320">
        <v>2</v>
      </c>
      <c r="E68" s="324">
        <v>15</v>
      </c>
      <c r="F68" s="324">
        <v>20</v>
      </c>
      <c r="G68" s="324">
        <v>25</v>
      </c>
      <c r="H68" s="324">
        <v>25</v>
      </c>
      <c r="I68" s="324">
        <v>10</v>
      </c>
      <c r="J68" s="318">
        <v>5</v>
      </c>
      <c r="K68" s="318"/>
      <c r="L68" s="318"/>
      <c r="M68" s="318"/>
      <c r="N68" s="318"/>
      <c r="O68" s="318"/>
      <c r="P68" s="318"/>
      <c r="S68" s="2">
        <f t="shared" si="11"/>
        <v>100</v>
      </c>
    </row>
    <row r="69" spans="1:19" x14ac:dyDescent="0.2">
      <c r="A69" s="323" t="str">
        <f t="shared" si="10"/>
        <v>8|3</v>
      </c>
      <c r="B69" s="322" t="s">
        <v>48</v>
      </c>
      <c r="C69" s="321" t="s">
        <v>88</v>
      </c>
      <c r="D69" s="320">
        <v>3</v>
      </c>
      <c r="E69" s="319">
        <v>5</v>
      </c>
      <c r="F69" s="319">
        <v>10</v>
      </c>
      <c r="G69" s="319">
        <v>15</v>
      </c>
      <c r="H69" s="319">
        <v>20</v>
      </c>
      <c r="I69" s="319">
        <v>20</v>
      </c>
      <c r="J69" s="318">
        <v>20</v>
      </c>
      <c r="K69" s="318">
        <v>10</v>
      </c>
      <c r="L69" s="318"/>
      <c r="M69" s="318"/>
      <c r="N69" s="318"/>
      <c r="O69" s="318"/>
      <c r="P69" s="318"/>
      <c r="S69" s="2">
        <f t="shared" si="11"/>
        <v>100</v>
      </c>
    </row>
    <row r="70" spans="1:19" x14ac:dyDescent="0.2">
      <c r="A70" s="323" t="str">
        <f t="shared" si="10"/>
        <v>8|4</v>
      </c>
      <c r="B70" s="322" t="s">
        <v>50</v>
      </c>
      <c r="C70" s="321" t="s">
        <v>84</v>
      </c>
      <c r="D70" s="320">
        <v>4</v>
      </c>
      <c r="E70" s="319"/>
      <c r="F70" s="319"/>
      <c r="G70" s="319">
        <v>10</v>
      </c>
      <c r="H70" s="319">
        <v>25</v>
      </c>
      <c r="I70" s="319">
        <v>25</v>
      </c>
      <c r="J70" s="318">
        <v>20</v>
      </c>
      <c r="K70" s="318">
        <v>10</v>
      </c>
      <c r="L70" s="318">
        <v>10</v>
      </c>
      <c r="M70" s="318"/>
      <c r="N70" s="318"/>
      <c r="O70" s="318"/>
      <c r="P70" s="318"/>
      <c r="S70" s="2">
        <f t="shared" si="11"/>
        <v>100</v>
      </c>
    </row>
    <row r="71" spans="1:19" x14ac:dyDescent="0.2">
      <c r="A71" s="323" t="str">
        <f t="shared" si="10"/>
        <v>8|5</v>
      </c>
      <c r="B71" s="322" t="s">
        <v>43</v>
      </c>
      <c r="C71" s="321" t="s">
        <v>85</v>
      </c>
      <c r="D71" s="320">
        <v>5</v>
      </c>
      <c r="E71" s="319"/>
      <c r="F71" s="319">
        <v>5</v>
      </c>
      <c r="G71" s="319">
        <v>15</v>
      </c>
      <c r="H71" s="319">
        <v>25</v>
      </c>
      <c r="I71" s="319">
        <v>25</v>
      </c>
      <c r="J71" s="318">
        <v>15</v>
      </c>
      <c r="K71" s="318">
        <v>15</v>
      </c>
      <c r="L71" s="318"/>
      <c r="M71" s="318"/>
      <c r="N71" s="318"/>
      <c r="O71" s="318"/>
      <c r="P71" s="318"/>
      <c r="S71" s="2">
        <f t="shared" si="11"/>
        <v>100</v>
      </c>
    </row>
    <row r="72" spans="1:19" x14ac:dyDescent="0.2">
      <c r="A72" s="323" t="str">
        <f t="shared" si="10"/>
        <v>8|6</v>
      </c>
      <c r="B72" s="322" t="s">
        <v>51</v>
      </c>
      <c r="C72" s="321" t="s">
        <v>89</v>
      </c>
      <c r="D72" s="320">
        <v>3</v>
      </c>
      <c r="E72" s="319"/>
      <c r="F72" s="319"/>
      <c r="G72" s="319">
        <v>5</v>
      </c>
      <c r="H72" s="319">
        <v>20</v>
      </c>
      <c r="I72" s="319">
        <v>20</v>
      </c>
      <c r="J72" s="318">
        <v>25</v>
      </c>
      <c r="K72" s="318">
        <v>20</v>
      </c>
      <c r="L72" s="318">
        <v>10</v>
      </c>
      <c r="M72" s="318"/>
      <c r="N72" s="318"/>
      <c r="O72" s="318"/>
      <c r="P72" s="318"/>
      <c r="S72" s="2">
        <f t="shared" si="11"/>
        <v>100</v>
      </c>
    </row>
    <row r="73" spans="1:19" x14ac:dyDescent="0.2">
      <c r="A73" s="323" t="str">
        <f t="shared" si="10"/>
        <v>8|7</v>
      </c>
      <c r="B73" s="322" t="s">
        <v>78</v>
      </c>
      <c r="C73" s="321" t="s">
        <v>90</v>
      </c>
      <c r="D73" s="320">
        <v>5</v>
      </c>
      <c r="E73" s="319"/>
      <c r="F73" s="319"/>
      <c r="G73" s="319">
        <v>5</v>
      </c>
      <c r="H73" s="319">
        <v>15</v>
      </c>
      <c r="I73" s="319">
        <v>20</v>
      </c>
      <c r="J73" s="319">
        <v>25</v>
      </c>
      <c r="K73" s="319">
        <v>25</v>
      </c>
      <c r="L73" s="319">
        <v>10</v>
      </c>
      <c r="M73" s="318"/>
      <c r="N73" s="318"/>
      <c r="O73" s="318"/>
      <c r="P73" s="318"/>
      <c r="S73" s="2">
        <f t="shared" si="11"/>
        <v>100</v>
      </c>
    </row>
    <row r="74" spans="1:19" x14ac:dyDescent="0.2">
      <c r="A74" s="323" t="str">
        <f t="shared" si="10"/>
        <v>8|8</v>
      </c>
      <c r="B74" s="322" t="s">
        <v>64</v>
      </c>
      <c r="C74" s="321" t="s">
        <v>91</v>
      </c>
      <c r="D74" s="320">
        <v>6</v>
      </c>
      <c r="E74" s="319"/>
      <c r="F74" s="319"/>
      <c r="G74" s="319"/>
      <c r="H74" s="319">
        <v>20</v>
      </c>
      <c r="I74" s="319">
        <v>20</v>
      </c>
      <c r="J74" s="318">
        <v>30</v>
      </c>
      <c r="K74" s="318">
        <v>20</v>
      </c>
      <c r="L74" s="318">
        <v>10</v>
      </c>
      <c r="M74" s="318"/>
      <c r="N74" s="318"/>
      <c r="O74" s="318"/>
      <c r="P74" s="318"/>
      <c r="S74" s="2">
        <f t="shared" si="11"/>
        <v>100</v>
      </c>
    </row>
    <row r="75" spans="1:19" x14ac:dyDescent="0.2">
      <c r="A75" s="323" t="str">
        <f t="shared" si="10"/>
        <v>8|9</v>
      </c>
      <c r="B75" s="322" t="s">
        <v>92</v>
      </c>
      <c r="C75" s="321" t="s">
        <v>93</v>
      </c>
      <c r="D75" s="320">
        <v>6</v>
      </c>
      <c r="E75" s="319">
        <v>5</v>
      </c>
      <c r="F75" s="319">
        <v>5</v>
      </c>
      <c r="G75" s="319">
        <v>10</v>
      </c>
      <c r="H75" s="319">
        <v>15</v>
      </c>
      <c r="I75" s="319">
        <v>20</v>
      </c>
      <c r="J75" s="318">
        <v>20</v>
      </c>
      <c r="K75" s="318">
        <v>15</v>
      </c>
      <c r="L75" s="318">
        <v>10</v>
      </c>
      <c r="M75" s="318"/>
      <c r="N75" s="318"/>
      <c r="O75" s="318"/>
      <c r="P75" s="318"/>
      <c r="S75" s="2">
        <f t="shared" si="11"/>
        <v>100</v>
      </c>
    </row>
    <row r="76" spans="1:19" x14ac:dyDescent="0.2">
      <c r="A76" s="323" t="str">
        <f t="shared" si="10"/>
        <v>8|10</v>
      </c>
      <c r="B76" s="322" t="s">
        <v>94</v>
      </c>
      <c r="C76" s="321" t="s">
        <v>86</v>
      </c>
      <c r="D76" s="320"/>
      <c r="E76" s="319">
        <v>15</v>
      </c>
      <c r="F76" s="319">
        <v>20</v>
      </c>
      <c r="G76" s="319">
        <v>20</v>
      </c>
      <c r="H76" s="319">
        <v>20</v>
      </c>
      <c r="I76" s="319">
        <v>15</v>
      </c>
      <c r="J76" s="318">
        <v>10</v>
      </c>
      <c r="K76" s="318"/>
      <c r="L76" s="318"/>
      <c r="M76" s="318"/>
      <c r="N76" s="318"/>
      <c r="O76" s="318"/>
      <c r="P76" s="318"/>
      <c r="S76" s="2">
        <f t="shared" si="11"/>
        <v>100</v>
      </c>
    </row>
    <row r="77" spans="1:19" x14ac:dyDescent="0.2">
      <c r="A77" s="323" t="str">
        <f t="shared" si="10"/>
        <v>8|11</v>
      </c>
      <c r="B77" s="322" t="s">
        <v>103</v>
      </c>
      <c r="C77" s="321" t="s">
        <v>120</v>
      </c>
      <c r="D77" s="320"/>
      <c r="E77" s="319">
        <v>2</v>
      </c>
      <c r="F77" s="319">
        <v>2</v>
      </c>
      <c r="G77" s="319">
        <v>13</v>
      </c>
      <c r="H77" s="319">
        <v>15</v>
      </c>
      <c r="I77" s="319">
        <v>15</v>
      </c>
      <c r="J77" s="318">
        <v>22</v>
      </c>
      <c r="K77" s="318">
        <v>23</v>
      </c>
      <c r="L77" s="318">
        <v>8</v>
      </c>
      <c r="M77" s="318"/>
      <c r="N77" s="318"/>
      <c r="O77" s="318"/>
      <c r="P77" s="318"/>
      <c r="S77" s="2">
        <f t="shared" si="11"/>
        <v>100</v>
      </c>
    </row>
    <row r="78" spans="1:19" ht="5.45" customHeight="1" x14ac:dyDescent="0.2"/>
    <row r="79" spans="1:19" ht="13.5" thickBot="1" x14ac:dyDescent="0.25">
      <c r="A79" s="332" t="s">
        <v>25</v>
      </c>
      <c r="B79" s="331">
        <v>9</v>
      </c>
      <c r="C79" s="330"/>
      <c r="D79" s="329"/>
      <c r="E79" s="328"/>
      <c r="F79" s="328"/>
      <c r="G79" s="328"/>
      <c r="H79" s="328"/>
      <c r="I79" s="328"/>
      <c r="J79" s="328"/>
      <c r="K79" s="328"/>
      <c r="L79" s="328"/>
      <c r="M79" s="328"/>
      <c r="N79" s="328"/>
      <c r="O79" s="328"/>
      <c r="P79" s="328"/>
    </row>
    <row r="80" spans="1:19" ht="13.5" thickTop="1" x14ac:dyDescent="0.2">
      <c r="A80" s="327" t="str">
        <f t="shared" ref="A80:A90" si="12">CONCATENATE($B$79,"|",B80)</f>
        <v>9|1</v>
      </c>
      <c r="B80" s="326">
        <v>1</v>
      </c>
      <c r="C80" s="321" t="s">
        <v>87</v>
      </c>
      <c r="D80" s="320">
        <v>1</v>
      </c>
      <c r="E80" s="324">
        <v>15</v>
      </c>
      <c r="F80" s="324">
        <v>15</v>
      </c>
      <c r="G80" s="324">
        <v>20</v>
      </c>
      <c r="H80" s="324">
        <v>20</v>
      </c>
      <c r="I80" s="324">
        <v>20</v>
      </c>
      <c r="J80" s="325">
        <v>10</v>
      </c>
      <c r="K80" s="325"/>
      <c r="L80" s="325"/>
      <c r="M80" s="325"/>
      <c r="N80" s="325"/>
      <c r="O80" s="325"/>
      <c r="P80" s="325"/>
      <c r="S80" s="2">
        <f t="shared" ref="S80:S90" si="13">SUM(E80:P80)</f>
        <v>100</v>
      </c>
    </row>
    <row r="81" spans="1:19" x14ac:dyDescent="0.2">
      <c r="A81" s="323" t="str">
        <f t="shared" si="12"/>
        <v>9|2</v>
      </c>
      <c r="B81" s="322" t="s">
        <v>44</v>
      </c>
      <c r="C81" s="321" t="s">
        <v>83</v>
      </c>
      <c r="D81" s="320">
        <v>2</v>
      </c>
      <c r="E81" s="324">
        <v>10</v>
      </c>
      <c r="F81" s="324">
        <v>15</v>
      </c>
      <c r="G81" s="324">
        <v>20</v>
      </c>
      <c r="H81" s="324">
        <v>20</v>
      </c>
      <c r="I81" s="324">
        <v>15</v>
      </c>
      <c r="J81" s="318">
        <v>15</v>
      </c>
      <c r="K81" s="318">
        <v>5</v>
      </c>
      <c r="L81" s="318"/>
      <c r="M81" s="318"/>
      <c r="N81" s="318"/>
      <c r="O81" s="318"/>
      <c r="P81" s="318"/>
      <c r="S81" s="2">
        <f t="shared" si="13"/>
        <v>100</v>
      </c>
    </row>
    <row r="82" spans="1:19" x14ac:dyDescent="0.2">
      <c r="A82" s="323" t="str">
        <f t="shared" si="12"/>
        <v>9|3</v>
      </c>
      <c r="B82" s="322" t="s">
        <v>48</v>
      </c>
      <c r="C82" s="321" t="s">
        <v>88</v>
      </c>
      <c r="D82" s="320">
        <v>3</v>
      </c>
      <c r="E82" s="319">
        <v>5</v>
      </c>
      <c r="F82" s="319">
        <v>10</v>
      </c>
      <c r="G82" s="319">
        <v>15</v>
      </c>
      <c r="H82" s="319">
        <v>20</v>
      </c>
      <c r="I82" s="319">
        <v>20</v>
      </c>
      <c r="J82" s="318">
        <v>10</v>
      </c>
      <c r="K82" s="318">
        <v>10</v>
      </c>
      <c r="L82" s="318">
        <v>10</v>
      </c>
      <c r="M82" s="318"/>
      <c r="N82" s="318"/>
      <c r="O82" s="318"/>
      <c r="P82" s="318"/>
      <c r="S82" s="2">
        <f t="shared" si="13"/>
        <v>100</v>
      </c>
    </row>
    <row r="83" spans="1:19" x14ac:dyDescent="0.2">
      <c r="A83" s="323" t="str">
        <f t="shared" si="12"/>
        <v>9|4</v>
      </c>
      <c r="B83" s="322" t="s">
        <v>50</v>
      </c>
      <c r="C83" s="321" t="s">
        <v>84</v>
      </c>
      <c r="D83" s="320">
        <v>4</v>
      </c>
      <c r="E83" s="319"/>
      <c r="F83" s="319"/>
      <c r="G83" s="319">
        <v>5</v>
      </c>
      <c r="H83" s="319">
        <v>15</v>
      </c>
      <c r="I83" s="319">
        <v>20</v>
      </c>
      <c r="J83" s="318">
        <v>20</v>
      </c>
      <c r="K83" s="318">
        <v>20</v>
      </c>
      <c r="L83" s="318">
        <v>15</v>
      </c>
      <c r="M83" s="318">
        <v>5</v>
      </c>
      <c r="N83" s="318"/>
      <c r="O83" s="318"/>
      <c r="P83" s="318"/>
      <c r="S83" s="2">
        <f t="shared" si="13"/>
        <v>100</v>
      </c>
    </row>
    <row r="84" spans="1:19" x14ac:dyDescent="0.2">
      <c r="A84" s="323" t="str">
        <f t="shared" si="12"/>
        <v>9|5</v>
      </c>
      <c r="B84" s="322" t="s">
        <v>43</v>
      </c>
      <c r="C84" s="321" t="s">
        <v>85</v>
      </c>
      <c r="D84" s="320">
        <v>5</v>
      </c>
      <c r="E84" s="319"/>
      <c r="F84" s="319">
        <v>5</v>
      </c>
      <c r="G84" s="319">
        <v>10</v>
      </c>
      <c r="H84" s="319">
        <v>15</v>
      </c>
      <c r="I84" s="319">
        <v>20</v>
      </c>
      <c r="J84" s="318">
        <v>20</v>
      </c>
      <c r="K84" s="318">
        <v>20</v>
      </c>
      <c r="L84" s="318">
        <v>10</v>
      </c>
      <c r="M84" s="318"/>
      <c r="N84" s="318"/>
      <c r="O84" s="318"/>
      <c r="P84" s="318"/>
      <c r="S84" s="2">
        <f t="shared" si="13"/>
        <v>100</v>
      </c>
    </row>
    <row r="85" spans="1:19" x14ac:dyDescent="0.2">
      <c r="A85" s="323" t="str">
        <f t="shared" si="12"/>
        <v>9|6</v>
      </c>
      <c r="B85" s="322" t="s">
        <v>51</v>
      </c>
      <c r="C85" s="321" t="s">
        <v>89</v>
      </c>
      <c r="D85" s="320">
        <v>3</v>
      </c>
      <c r="E85" s="319"/>
      <c r="F85" s="319"/>
      <c r="G85" s="319">
        <v>5</v>
      </c>
      <c r="H85" s="319">
        <v>10</v>
      </c>
      <c r="I85" s="319">
        <v>20</v>
      </c>
      <c r="J85" s="318">
        <v>20</v>
      </c>
      <c r="K85" s="318">
        <v>20</v>
      </c>
      <c r="L85" s="318">
        <v>15</v>
      </c>
      <c r="M85" s="318">
        <v>10</v>
      </c>
      <c r="N85" s="318"/>
      <c r="O85" s="318"/>
      <c r="P85" s="318"/>
      <c r="S85" s="2">
        <f t="shared" si="13"/>
        <v>100</v>
      </c>
    </row>
    <row r="86" spans="1:19" x14ac:dyDescent="0.2">
      <c r="A86" s="323" t="str">
        <f t="shared" si="12"/>
        <v>9|7</v>
      </c>
      <c r="B86" s="322" t="s">
        <v>78</v>
      </c>
      <c r="C86" s="321" t="s">
        <v>90</v>
      </c>
      <c r="D86" s="320">
        <v>5</v>
      </c>
      <c r="E86" s="319"/>
      <c r="F86" s="319"/>
      <c r="G86" s="319"/>
      <c r="H86" s="319">
        <v>15</v>
      </c>
      <c r="I86" s="319">
        <v>15</v>
      </c>
      <c r="J86" s="318">
        <v>15</v>
      </c>
      <c r="K86" s="318">
        <v>20</v>
      </c>
      <c r="L86" s="318">
        <v>20</v>
      </c>
      <c r="M86" s="318">
        <v>15</v>
      </c>
      <c r="N86" s="318"/>
      <c r="O86" s="318"/>
      <c r="P86" s="318"/>
      <c r="S86" s="2">
        <f t="shared" si="13"/>
        <v>100</v>
      </c>
    </row>
    <row r="87" spans="1:19" x14ac:dyDescent="0.2">
      <c r="A87" s="323" t="str">
        <f t="shared" si="12"/>
        <v>9|8</v>
      </c>
      <c r="B87" s="322" t="s">
        <v>64</v>
      </c>
      <c r="C87" s="321" t="s">
        <v>91</v>
      </c>
      <c r="D87" s="320">
        <v>6</v>
      </c>
      <c r="E87" s="319"/>
      <c r="F87" s="319"/>
      <c r="G87" s="319"/>
      <c r="H87" s="319">
        <v>10</v>
      </c>
      <c r="I87" s="319">
        <v>20</v>
      </c>
      <c r="J87" s="318">
        <v>30</v>
      </c>
      <c r="K87" s="318">
        <v>20</v>
      </c>
      <c r="L87" s="318">
        <v>10</v>
      </c>
      <c r="M87" s="318">
        <v>10</v>
      </c>
      <c r="N87" s="318"/>
      <c r="O87" s="318"/>
      <c r="P87" s="318"/>
      <c r="S87" s="2">
        <f t="shared" si="13"/>
        <v>100</v>
      </c>
    </row>
    <row r="88" spans="1:19" x14ac:dyDescent="0.2">
      <c r="A88" s="323" t="str">
        <f t="shared" si="12"/>
        <v>9|9</v>
      </c>
      <c r="B88" s="322" t="s">
        <v>92</v>
      </c>
      <c r="C88" s="321" t="s">
        <v>93</v>
      </c>
      <c r="D88" s="320">
        <v>6</v>
      </c>
      <c r="E88" s="319">
        <v>5</v>
      </c>
      <c r="F88" s="319">
        <v>5</v>
      </c>
      <c r="G88" s="319">
        <v>10</v>
      </c>
      <c r="H88" s="319">
        <v>15</v>
      </c>
      <c r="I88" s="319">
        <v>20</v>
      </c>
      <c r="J88" s="318">
        <v>15</v>
      </c>
      <c r="K88" s="318">
        <v>15</v>
      </c>
      <c r="L88" s="318">
        <v>15</v>
      </c>
      <c r="M88" s="318"/>
      <c r="N88" s="318"/>
      <c r="O88" s="318"/>
      <c r="P88" s="318"/>
      <c r="S88" s="2">
        <f t="shared" si="13"/>
        <v>100</v>
      </c>
    </row>
    <row r="89" spans="1:19" x14ac:dyDescent="0.2">
      <c r="A89" s="323" t="str">
        <f t="shared" si="12"/>
        <v>9|10</v>
      </c>
      <c r="B89" s="322" t="s">
        <v>94</v>
      </c>
      <c r="C89" s="321" t="s">
        <v>86</v>
      </c>
      <c r="D89" s="320"/>
      <c r="E89" s="319">
        <v>10</v>
      </c>
      <c r="F89" s="319">
        <v>15</v>
      </c>
      <c r="G89" s="319">
        <v>20</v>
      </c>
      <c r="H89" s="319">
        <v>20</v>
      </c>
      <c r="I89" s="319">
        <v>20</v>
      </c>
      <c r="J89" s="318">
        <v>10</v>
      </c>
      <c r="K89" s="318">
        <v>5</v>
      </c>
      <c r="L89" s="318"/>
      <c r="M89" s="318"/>
      <c r="N89" s="318"/>
      <c r="O89" s="318"/>
      <c r="P89" s="318"/>
      <c r="S89" s="2">
        <f t="shared" si="13"/>
        <v>100</v>
      </c>
    </row>
    <row r="90" spans="1:19" x14ac:dyDescent="0.2">
      <c r="A90" s="323" t="str">
        <f t="shared" si="12"/>
        <v>9|11</v>
      </c>
      <c r="B90" s="322" t="s">
        <v>103</v>
      </c>
      <c r="C90" s="321" t="s">
        <v>120</v>
      </c>
      <c r="D90" s="320"/>
      <c r="E90" s="319">
        <v>3</v>
      </c>
      <c r="F90" s="319">
        <v>5</v>
      </c>
      <c r="G90" s="319">
        <v>11</v>
      </c>
      <c r="H90" s="319">
        <v>15</v>
      </c>
      <c r="I90" s="319">
        <v>20</v>
      </c>
      <c r="J90" s="318">
        <v>16</v>
      </c>
      <c r="K90" s="318">
        <v>14</v>
      </c>
      <c r="L90" s="318">
        <v>10</v>
      </c>
      <c r="M90" s="318">
        <v>6</v>
      </c>
      <c r="N90" s="318"/>
      <c r="O90" s="318"/>
      <c r="P90" s="318"/>
      <c r="S90" s="2">
        <f t="shared" si="13"/>
        <v>100</v>
      </c>
    </row>
    <row r="91" spans="1:19" ht="5.45" customHeight="1" x14ac:dyDescent="0.2"/>
    <row r="92" spans="1:19" ht="13.5" thickBot="1" x14ac:dyDescent="0.25">
      <c r="A92" s="332" t="s">
        <v>25</v>
      </c>
      <c r="B92" s="331">
        <v>10</v>
      </c>
      <c r="C92" s="330"/>
      <c r="D92" s="329"/>
      <c r="E92" s="328"/>
      <c r="F92" s="328"/>
      <c r="G92" s="328"/>
      <c r="H92" s="328"/>
      <c r="I92" s="328"/>
      <c r="J92" s="328"/>
      <c r="K92" s="328"/>
      <c r="L92" s="328"/>
      <c r="M92" s="328"/>
      <c r="N92" s="328"/>
      <c r="O92" s="328"/>
      <c r="P92" s="328"/>
    </row>
    <row r="93" spans="1:19" ht="13.5" thickTop="1" x14ac:dyDescent="0.2">
      <c r="A93" s="327" t="str">
        <f t="shared" ref="A93:A103" si="14">CONCATENATE($B$92,"|",B93)</f>
        <v>10|1</v>
      </c>
      <c r="B93" s="326">
        <v>1</v>
      </c>
      <c r="C93" s="321" t="s">
        <v>87</v>
      </c>
      <c r="D93" s="320">
        <v>1</v>
      </c>
      <c r="E93" s="324">
        <v>20</v>
      </c>
      <c r="F93" s="324">
        <v>20</v>
      </c>
      <c r="G93" s="324">
        <v>20</v>
      </c>
      <c r="H93" s="324">
        <v>10</v>
      </c>
      <c r="I93" s="324">
        <v>10</v>
      </c>
      <c r="J93" s="325">
        <v>10</v>
      </c>
      <c r="K93" s="325">
        <v>10</v>
      </c>
      <c r="L93" s="325"/>
      <c r="M93" s="325"/>
      <c r="N93" s="325"/>
      <c r="O93" s="325"/>
      <c r="P93" s="325"/>
      <c r="S93" s="2">
        <f t="shared" ref="S93:S103" si="15">SUM(E93:P93)</f>
        <v>100</v>
      </c>
    </row>
    <row r="94" spans="1:19" x14ac:dyDescent="0.2">
      <c r="A94" s="323" t="str">
        <f t="shared" si="14"/>
        <v>10|2</v>
      </c>
      <c r="B94" s="322" t="s">
        <v>44</v>
      </c>
      <c r="C94" s="321" t="s">
        <v>83</v>
      </c>
      <c r="D94" s="320">
        <v>2</v>
      </c>
      <c r="E94" s="324">
        <v>5</v>
      </c>
      <c r="F94" s="324">
        <v>10</v>
      </c>
      <c r="G94" s="324">
        <v>15</v>
      </c>
      <c r="H94" s="324">
        <v>20</v>
      </c>
      <c r="I94" s="324">
        <v>20</v>
      </c>
      <c r="J94" s="318">
        <v>15</v>
      </c>
      <c r="K94" s="318">
        <v>10</v>
      </c>
      <c r="L94" s="318">
        <v>5</v>
      </c>
      <c r="M94" s="318"/>
      <c r="N94" s="318"/>
      <c r="O94" s="318"/>
      <c r="P94" s="318"/>
      <c r="S94" s="2">
        <f t="shared" si="15"/>
        <v>100</v>
      </c>
    </row>
    <row r="95" spans="1:19" x14ac:dyDescent="0.2">
      <c r="A95" s="323" t="str">
        <f t="shared" si="14"/>
        <v>10|3</v>
      </c>
      <c r="B95" s="322" t="s">
        <v>48</v>
      </c>
      <c r="C95" s="321" t="s">
        <v>88</v>
      </c>
      <c r="D95" s="320">
        <v>3</v>
      </c>
      <c r="E95" s="319"/>
      <c r="F95" s="319">
        <v>5</v>
      </c>
      <c r="G95" s="319">
        <v>10</v>
      </c>
      <c r="H95" s="319">
        <v>15</v>
      </c>
      <c r="I95" s="319">
        <v>15</v>
      </c>
      <c r="J95" s="318">
        <v>15</v>
      </c>
      <c r="K95" s="318">
        <v>15</v>
      </c>
      <c r="L95" s="318">
        <v>15</v>
      </c>
      <c r="M95" s="318">
        <v>10</v>
      </c>
      <c r="N95" s="318"/>
      <c r="O95" s="318"/>
      <c r="P95" s="318"/>
      <c r="S95" s="2">
        <f t="shared" si="15"/>
        <v>100</v>
      </c>
    </row>
    <row r="96" spans="1:19" x14ac:dyDescent="0.2">
      <c r="A96" s="323" t="str">
        <f t="shared" si="14"/>
        <v>10|4</v>
      </c>
      <c r="B96" s="322" t="s">
        <v>50</v>
      </c>
      <c r="C96" s="321" t="s">
        <v>84</v>
      </c>
      <c r="D96" s="320">
        <v>4</v>
      </c>
      <c r="E96" s="319"/>
      <c r="F96" s="319"/>
      <c r="G96" s="319">
        <v>5</v>
      </c>
      <c r="H96" s="319">
        <v>5</v>
      </c>
      <c r="I96" s="319">
        <v>15</v>
      </c>
      <c r="J96" s="318">
        <v>20</v>
      </c>
      <c r="K96" s="318">
        <v>20</v>
      </c>
      <c r="L96" s="318">
        <v>15</v>
      </c>
      <c r="M96" s="318">
        <v>10</v>
      </c>
      <c r="N96" s="318">
        <v>10</v>
      </c>
      <c r="O96" s="318"/>
      <c r="P96" s="318"/>
      <c r="S96" s="2">
        <f t="shared" si="15"/>
        <v>100</v>
      </c>
    </row>
    <row r="97" spans="1:19" x14ac:dyDescent="0.2">
      <c r="A97" s="323" t="str">
        <f t="shared" si="14"/>
        <v>10|5</v>
      </c>
      <c r="B97" s="322" t="s">
        <v>43</v>
      </c>
      <c r="C97" s="321" t="s">
        <v>85</v>
      </c>
      <c r="D97" s="320">
        <v>5</v>
      </c>
      <c r="E97" s="319"/>
      <c r="F97" s="319"/>
      <c r="G97" s="319">
        <v>10</v>
      </c>
      <c r="H97" s="319">
        <v>10</v>
      </c>
      <c r="I97" s="319">
        <v>10</v>
      </c>
      <c r="J97" s="318">
        <v>20</v>
      </c>
      <c r="K97" s="318">
        <v>20</v>
      </c>
      <c r="L97" s="318">
        <v>20</v>
      </c>
      <c r="M97" s="318">
        <v>10</v>
      </c>
      <c r="N97" s="318"/>
      <c r="O97" s="318"/>
      <c r="P97" s="318"/>
      <c r="S97" s="2">
        <f t="shared" si="15"/>
        <v>100</v>
      </c>
    </row>
    <row r="98" spans="1:19" x14ac:dyDescent="0.2">
      <c r="A98" s="323" t="str">
        <f t="shared" si="14"/>
        <v>10|6</v>
      </c>
      <c r="B98" s="322" t="s">
        <v>51</v>
      </c>
      <c r="C98" s="321" t="s">
        <v>89</v>
      </c>
      <c r="D98" s="320">
        <v>3</v>
      </c>
      <c r="E98" s="319"/>
      <c r="F98" s="319"/>
      <c r="G98" s="319"/>
      <c r="H98" s="319">
        <v>5</v>
      </c>
      <c r="I98" s="319">
        <v>10</v>
      </c>
      <c r="J98" s="319">
        <v>15</v>
      </c>
      <c r="K98" s="318">
        <v>20</v>
      </c>
      <c r="L98" s="318">
        <v>20</v>
      </c>
      <c r="M98" s="318">
        <v>15</v>
      </c>
      <c r="N98" s="318">
        <v>15</v>
      </c>
      <c r="O98" s="318"/>
      <c r="P98" s="318"/>
      <c r="S98" s="2">
        <f t="shared" si="15"/>
        <v>100</v>
      </c>
    </row>
    <row r="99" spans="1:19" x14ac:dyDescent="0.2">
      <c r="A99" s="323" t="str">
        <f t="shared" si="14"/>
        <v>10|7</v>
      </c>
      <c r="B99" s="322" t="s">
        <v>78</v>
      </c>
      <c r="C99" s="321" t="s">
        <v>90</v>
      </c>
      <c r="D99" s="320">
        <v>5</v>
      </c>
      <c r="E99" s="319"/>
      <c r="F99" s="319"/>
      <c r="G99" s="319"/>
      <c r="H99" s="319">
        <v>15</v>
      </c>
      <c r="I99" s="319">
        <v>15</v>
      </c>
      <c r="J99" s="318">
        <v>15</v>
      </c>
      <c r="K99" s="318">
        <v>20</v>
      </c>
      <c r="L99" s="318">
        <v>15</v>
      </c>
      <c r="M99" s="318">
        <v>10</v>
      </c>
      <c r="N99" s="318">
        <v>10</v>
      </c>
      <c r="O99" s="318"/>
      <c r="P99" s="318"/>
      <c r="S99" s="2">
        <f t="shared" si="15"/>
        <v>100</v>
      </c>
    </row>
    <row r="100" spans="1:19" x14ac:dyDescent="0.2">
      <c r="A100" s="323" t="str">
        <f t="shared" si="14"/>
        <v>10|8</v>
      </c>
      <c r="B100" s="322" t="s">
        <v>64</v>
      </c>
      <c r="C100" s="321" t="s">
        <v>91</v>
      </c>
      <c r="D100" s="320">
        <v>6</v>
      </c>
      <c r="E100" s="319"/>
      <c r="F100" s="319"/>
      <c r="G100" s="319"/>
      <c r="H100" s="319">
        <v>10</v>
      </c>
      <c r="I100" s="319">
        <v>20</v>
      </c>
      <c r="J100" s="318">
        <v>20</v>
      </c>
      <c r="K100" s="318">
        <v>20</v>
      </c>
      <c r="L100" s="318">
        <v>10</v>
      </c>
      <c r="M100" s="318">
        <v>10</v>
      </c>
      <c r="N100" s="318">
        <v>10</v>
      </c>
      <c r="O100" s="318"/>
      <c r="P100" s="318"/>
      <c r="S100" s="2">
        <f t="shared" si="15"/>
        <v>100</v>
      </c>
    </row>
    <row r="101" spans="1:19" x14ac:dyDescent="0.2">
      <c r="A101" s="323" t="str">
        <f t="shared" si="14"/>
        <v>10|9</v>
      </c>
      <c r="B101" s="322" t="s">
        <v>92</v>
      </c>
      <c r="C101" s="321" t="s">
        <v>93</v>
      </c>
      <c r="D101" s="320">
        <v>6</v>
      </c>
      <c r="E101" s="319">
        <v>5</v>
      </c>
      <c r="F101" s="319">
        <v>5</v>
      </c>
      <c r="G101" s="319">
        <v>10</v>
      </c>
      <c r="H101" s="319">
        <v>10</v>
      </c>
      <c r="I101" s="319">
        <v>10</v>
      </c>
      <c r="J101" s="318">
        <v>15</v>
      </c>
      <c r="K101" s="318">
        <v>15</v>
      </c>
      <c r="L101" s="318">
        <v>10</v>
      </c>
      <c r="M101" s="318">
        <v>10</v>
      </c>
      <c r="N101" s="318">
        <v>10</v>
      </c>
      <c r="O101" s="318"/>
      <c r="P101" s="318"/>
      <c r="S101" s="2">
        <f t="shared" si="15"/>
        <v>100</v>
      </c>
    </row>
    <row r="102" spans="1:19" x14ac:dyDescent="0.2">
      <c r="A102" s="323" t="str">
        <f t="shared" si="14"/>
        <v>10|10</v>
      </c>
      <c r="B102" s="322" t="s">
        <v>94</v>
      </c>
      <c r="C102" s="321" t="s">
        <v>86</v>
      </c>
      <c r="D102" s="320"/>
      <c r="E102" s="319">
        <v>10</v>
      </c>
      <c r="F102" s="319">
        <v>15</v>
      </c>
      <c r="G102" s="319">
        <v>15</v>
      </c>
      <c r="H102" s="319">
        <v>15</v>
      </c>
      <c r="I102" s="319">
        <v>15</v>
      </c>
      <c r="J102" s="318">
        <v>15</v>
      </c>
      <c r="K102" s="318">
        <v>10</v>
      </c>
      <c r="L102" s="318">
        <v>5</v>
      </c>
      <c r="M102" s="318"/>
      <c r="N102" s="318"/>
      <c r="O102" s="318"/>
      <c r="P102" s="318"/>
      <c r="S102" s="2">
        <f t="shared" si="15"/>
        <v>100</v>
      </c>
    </row>
    <row r="103" spans="1:19" x14ac:dyDescent="0.2">
      <c r="A103" s="323" t="str">
        <f t="shared" si="14"/>
        <v>10|11</v>
      </c>
      <c r="B103" s="322" t="s">
        <v>103</v>
      </c>
      <c r="C103" s="321" t="s">
        <v>120</v>
      </c>
      <c r="D103" s="320"/>
      <c r="E103" s="319">
        <v>2</v>
      </c>
      <c r="F103" s="319">
        <v>2</v>
      </c>
      <c r="G103" s="319">
        <v>14</v>
      </c>
      <c r="H103" s="319">
        <v>14</v>
      </c>
      <c r="I103" s="319">
        <v>15</v>
      </c>
      <c r="J103" s="318">
        <v>15</v>
      </c>
      <c r="K103" s="318">
        <v>15</v>
      </c>
      <c r="L103" s="318">
        <v>15</v>
      </c>
      <c r="M103" s="318">
        <v>5</v>
      </c>
      <c r="N103" s="318">
        <v>3</v>
      </c>
      <c r="O103" s="318"/>
      <c r="P103" s="318"/>
      <c r="S103" s="2">
        <f t="shared" si="15"/>
        <v>100</v>
      </c>
    </row>
    <row r="104" spans="1:19" ht="5.45" customHeight="1" x14ac:dyDescent="0.2"/>
    <row r="105" spans="1:19" ht="13.5" thickBot="1" x14ac:dyDescent="0.25">
      <c r="A105" s="332" t="s">
        <v>25</v>
      </c>
      <c r="B105" s="331">
        <v>11</v>
      </c>
      <c r="C105" s="330"/>
      <c r="D105" s="329"/>
      <c r="E105" s="328"/>
      <c r="F105" s="328"/>
      <c r="G105" s="328"/>
      <c r="H105" s="328"/>
      <c r="I105" s="328"/>
      <c r="J105" s="328"/>
      <c r="K105" s="328"/>
      <c r="L105" s="328"/>
      <c r="M105" s="328"/>
      <c r="N105" s="328"/>
      <c r="O105" s="328"/>
      <c r="P105" s="328"/>
    </row>
    <row r="106" spans="1:19" ht="13.5" thickTop="1" x14ac:dyDescent="0.2">
      <c r="A106" s="327" t="str">
        <f t="shared" ref="A106:A116" si="16">CONCATENATE($B$105,"|",B106)</f>
        <v>11|1</v>
      </c>
      <c r="B106" s="326">
        <v>1</v>
      </c>
      <c r="C106" s="321" t="s">
        <v>87</v>
      </c>
      <c r="D106" s="320">
        <v>1</v>
      </c>
      <c r="E106" s="324">
        <v>10</v>
      </c>
      <c r="F106" s="324">
        <v>20</v>
      </c>
      <c r="G106" s="324">
        <v>20</v>
      </c>
      <c r="H106" s="324">
        <v>20</v>
      </c>
      <c r="I106" s="324">
        <v>10</v>
      </c>
      <c r="J106" s="325">
        <v>10</v>
      </c>
      <c r="K106" s="325">
        <v>10</v>
      </c>
      <c r="L106" s="325"/>
      <c r="M106" s="325"/>
      <c r="N106" s="325"/>
      <c r="O106" s="325"/>
      <c r="P106" s="325"/>
      <c r="S106" s="2">
        <f t="shared" ref="S106:S116" si="17">SUM(E106:P106)</f>
        <v>100</v>
      </c>
    </row>
    <row r="107" spans="1:19" x14ac:dyDescent="0.2">
      <c r="A107" s="323" t="str">
        <f t="shared" si="16"/>
        <v>11|2</v>
      </c>
      <c r="B107" s="322" t="s">
        <v>44</v>
      </c>
      <c r="C107" s="321" t="s">
        <v>83</v>
      </c>
      <c r="D107" s="320">
        <v>2</v>
      </c>
      <c r="E107" s="324">
        <v>5</v>
      </c>
      <c r="F107" s="324">
        <v>10</v>
      </c>
      <c r="G107" s="324">
        <v>10</v>
      </c>
      <c r="H107" s="324">
        <v>15</v>
      </c>
      <c r="I107" s="324">
        <v>15</v>
      </c>
      <c r="J107" s="318">
        <v>15</v>
      </c>
      <c r="K107" s="318">
        <v>15</v>
      </c>
      <c r="L107" s="318">
        <v>10</v>
      </c>
      <c r="M107" s="318">
        <v>5</v>
      </c>
      <c r="N107" s="318"/>
      <c r="O107" s="318"/>
      <c r="P107" s="318"/>
      <c r="S107" s="2">
        <f t="shared" si="17"/>
        <v>100</v>
      </c>
    </row>
    <row r="108" spans="1:19" x14ac:dyDescent="0.2">
      <c r="A108" s="323" t="str">
        <f t="shared" si="16"/>
        <v>11|3</v>
      </c>
      <c r="B108" s="322" t="s">
        <v>48</v>
      </c>
      <c r="C108" s="321" t="s">
        <v>88</v>
      </c>
      <c r="D108" s="320">
        <v>3</v>
      </c>
      <c r="E108" s="319"/>
      <c r="F108" s="319">
        <v>5</v>
      </c>
      <c r="G108" s="319">
        <v>10</v>
      </c>
      <c r="H108" s="319">
        <v>10</v>
      </c>
      <c r="I108" s="319">
        <v>15</v>
      </c>
      <c r="J108" s="318">
        <v>15</v>
      </c>
      <c r="K108" s="318">
        <v>15</v>
      </c>
      <c r="L108" s="318">
        <v>10</v>
      </c>
      <c r="M108" s="318">
        <v>10</v>
      </c>
      <c r="N108" s="318">
        <v>10</v>
      </c>
      <c r="O108" s="318"/>
      <c r="P108" s="318"/>
      <c r="S108" s="2">
        <f t="shared" si="17"/>
        <v>100</v>
      </c>
    </row>
    <row r="109" spans="1:19" x14ac:dyDescent="0.2">
      <c r="A109" s="323" t="str">
        <f t="shared" si="16"/>
        <v>11|4</v>
      </c>
      <c r="B109" s="322" t="s">
        <v>50</v>
      </c>
      <c r="C109" s="321" t="s">
        <v>84</v>
      </c>
      <c r="D109" s="320">
        <v>4</v>
      </c>
      <c r="E109" s="319"/>
      <c r="F109" s="319"/>
      <c r="G109" s="319">
        <v>5</v>
      </c>
      <c r="H109" s="319">
        <v>10</v>
      </c>
      <c r="I109" s="319">
        <v>10</v>
      </c>
      <c r="J109" s="318">
        <v>15</v>
      </c>
      <c r="K109" s="318">
        <v>15</v>
      </c>
      <c r="L109" s="318">
        <v>15</v>
      </c>
      <c r="M109" s="318">
        <v>10</v>
      </c>
      <c r="N109" s="318">
        <v>10</v>
      </c>
      <c r="O109" s="318">
        <v>10</v>
      </c>
      <c r="P109" s="318"/>
      <c r="S109" s="2">
        <f t="shared" si="17"/>
        <v>100</v>
      </c>
    </row>
    <row r="110" spans="1:19" x14ac:dyDescent="0.2">
      <c r="A110" s="323" t="str">
        <f t="shared" si="16"/>
        <v>11|5</v>
      </c>
      <c r="B110" s="322" t="s">
        <v>43</v>
      </c>
      <c r="C110" s="321" t="s">
        <v>85</v>
      </c>
      <c r="D110" s="320">
        <v>5</v>
      </c>
      <c r="E110" s="319"/>
      <c r="F110" s="319"/>
      <c r="G110" s="319">
        <v>10</v>
      </c>
      <c r="H110" s="319">
        <v>10</v>
      </c>
      <c r="I110" s="319">
        <v>10</v>
      </c>
      <c r="J110" s="318">
        <v>15</v>
      </c>
      <c r="K110" s="318">
        <v>15</v>
      </c>
      <c r="L110" s="318">
        <v>15</v>
      </c>
      <c r="M110" s="318">
        <v>15</v>
      </c>
      <c r="N110" s="318">
        <v>10</v>
      </c>
      <c r="O110" s="318"/>
      <c r="P110" s="318"/>
      <c r="S110" s="2">
        <f t="shared" si="17"/>
        <v>100</v>
      </c>
    </row>
    <row r="111" spans="1:19" x14ac:dyDescent="0.2">
      <c r="A111" s="323" t="str">
        <f t="shared" si="16"/>
        <v>11|6</v>
      </c>
      <c r="B111" s="322" t="s">
        <v>51</v>
      </c>
      <c r="C111" s="321" t="s">
        <v>89</v>
      </c>
      <c r="D111" s="320">
        <v>3</v>
      </c>
      <c r="E111" s="319"/>
      <c r="F111" s="319"/>
      <c r="G111" s="319"/>
      <c r="H111" s="319">
        <v>5</v>
      </c>
      <c r="I111" s="319">
        <v>10</v>
      </c>
      <c r="J111" s="319">
        <v>15</v>
      </c>
      <c r="K111" s="318">
        <v>15</v>
      </c>
      <c r="L111" s="318">
        <v>15</v>
      </c>
      <c r="M111" s="318">
        <v>15</v>
      </c>
      <c r="N111" s="318">
        <v>15</v>
      </c>
      <c r="O111" s="318">
        <v>10</v>
      </c>
      <c r="P111" s="318"/>
      <c r="S111" s="2">
        <f t="shared" si="17"/>
        <v>100</v>
      </c>
    </row>
    <row r="112" spans="1:19" x14ac:dyDescent="0.2">
      <c r="A112" s="323" t="str">
        <f t="shared" si="16"/>
        <v>11|7</v>
      </c>
      <c r="B112" s="322" t="s">
        <v>78</v>
      </c>
      <c r="C112" s="321" t="s">
        <v>90</v>
      </c>
      <c r="D112" s="320">
        <v>5</v>
      </c>
      <c r="E112" s="319"/>
      <c r="F112" s="319"/>
      <c r="G112" s="319"/>
      <c r="H112" s="319">
        <v>10</v>
      </c>
      <c r="I112" s="319">
        <v>10</v>
      </c>
      <c r="J112" s="318">
        <v>15</v>
      </c>
      <c r="K112" s="318">
        <v>20</v>
      </c>
      <c r="L112" s="318">
        <v>15</v>
      </c>
      <c r="M112" s="318">
        <v>10</v>
      </c>
      <c r="N112" s="318">
        <v>10</v>
      </c>
      <c r="O112" s="318">
        <v>10</v>
      </c>
      <c r="P112" s="318"/>
      <c r="S112" s="2">
        <f t="shared" si="17"/>
        <v>100</v>
      </c>
    </row>
    <row r="113" spans="1:19" x14ac:dyDescent="0.2">
      <c r="A113" s="323" t="str">
        <f t="shared" si="16"/>
        <v>11|8</v>
      </c>
      <c r="B113" s="322" t="s">
        <v>64</v>
      </c>
      <c r="C113" s="321" t="s">
        <v>91</v>
      </c>
      <c r="D113" s="320">
        <v>6</v>
      </c>
      <c r="E113" s="319"/>
      <c r="F113" s="319"/>
      <c r="G113" s="319"/>
      <c r="H113" s="319">
        <v>10</v>
      </c>
      <c r="I113" s="319">
        <v>10</v>
      </c>
      <c r="J113" s="318">
        <v>20</v>
      </c>
      <c r="K113" s="318">
        <v>20</v>
      </c>
      <c r="L113" s="318">
        <v>10</v>
      </c>
      <c r="M113" s="318">
        <v>10</v>
      </c>
      <c r="N113" s="318">
        <v>10</v>
      </c>
      <c r="O113" s="318">
        <v>10</v>
      </c>
      <c r="P113" s="318"/>
      <c r="S113" s="2">
        <f t="shared" si="17"/>
        <v>100</v>
      </c>
    </row>
    <row r="114" spans="1:19" x14ac:dyDescent="0.2">
      <c r="A114" s="323" t="str">
        <f t="shared" si="16"/>
        <v>11|9</v>
      </c>
      <c r="B114" s="322" t="s">
        <v>92</v>
      </c>
      <c r="C114" s="321" t="s">
        <v>93</v>
      </c>
      <c r="D114" s="320">
        <v>6</v>
      </c>
      <c r="E114" s="319">
        <v>5</v>
      </c>
      <c r="F114" s="319">
        <v>5</v>
      </c>
      <c r="G114" s="319">
        <v>10</v>
      </c>
      <c r="H114" s="319">
        <v>10</v>
      </c>
      <c r="I114" s="319">
        <v>10</v>
      </c>
      <c r="J114" s="318">
        <v>10</v>
      </c>
      <c r="K114" s="318">
        <v>10</v>
      </c>
      <c r="L114" s="318">
        <v>10</v>
      </c>
      <c r="M114" s="318">
        <v>10</v>
      </c>
      <c r="N114" s="318">
        <v>10</v>
      </c>
      <c r="O114" s="318">
        <v>10</v>
      </c>
      <c r="P114" s="318"/>
      <c r="S114" s="2">
        <f t="shared" si="17"/>
        <v>100</v>
      </c>
    </row>
    <row r="115" spans="1:19" x14ac:dyDescent="0.2">
      <c r="A115" s="323" t="str">
        <f t="shared" si="16"/>
        <v>11|10</v>
      </c>
      <c r="B115" s="322" t="s">
        <v>94</v>
      </c>
      <c r="C115" s="321" t="s">
        <v>86</v>
      </c>
      <c r="D115" s="320"/>
      <c r="E115" s="319">
        <v>10</v>
      </c>
      <c r="F115" s="319">
        <v>10</v>
      </c>
      <c r="G115" s="319">
        <v>15</v>
      </c>
      <c r="H115" s="319">
        <v>15</v>
      </c>
      <c r="I115" s="319">
        <v>15</v>
      </c>
      <c r="J115" s="318">
        <v>10</v>
      </c>
      <c r="K115" s="318">
        <v>10</v>
      </c>
      <c r="L115" s="318">
        <v>10</v>
      </c>
      <c r="M115" s="318">
        <v>5</v>
      </c>
      <c r="N115" s="318"/>
      <c r="O115" s="318"/>
      <c r="P115" s="318"/>
      <c r="S115" s="2">
        <f t="shared" si="17"/>
        <v>100</v>
      </c>
    </row>
    <row r="116" spans="1:19" x14ac:dyDescent="0.2">
      <c r="A116" s="323" t="str">
        <f t="shared" si="16"/>
        <v>11|11</v>
      </c>
      <c r="B116" s="322" t="s">
        <v>103</v>
      </c>
      <c r="C116" s="321" t="s">
        <v>120</v>
      </c>
      <c r="D116" s="320"/>
      <c r="E116" s="319">
        <v>1</v>
      </c>
      <c r="F116" s="319">
        <v>1</v>
      </c>
      <c r="G116" s="319">
        <v>10</v>
      </c>
      <c r="H116" s="319">
        <v>15</v>
      </c>
      <c r="I116" s="319">
        <v>15</v>
      </c>
      <c r="J116" s="318">
        <v>15</v>
      </c>
      <c r="K116" s="318">
        <v>15</v>
      </c>
      <c r="L116" s="318">
        <v>15</v>
      </c>
      <c r="M116" s="318">
        <v>5</v>
      </c>
      <c r="N116" s="318">
        <v>3</v>
      </c>
      <c r="O116" s="318">
        <v>5</v>
      </c>
      <c r="P116" s="318"/>
      <c r="S116" s="2">
        <f t="shared" si="17"/>
        <v>100</v>
      </c>
    </row>
    <row r="117" spans="1:19" ht="5.45" customHeight="1" x14ac:dyDescent="0.2"/>
    <row r="118" spans="1:19" ht="13.5" thickBot="1" x14ac:dyDescent="0.25">
      <c r="A118" s="332" t="s">
        <v>25</v>
      </c>
      <c r="B118" s="331">
        <v>12</v>
      </c>
      <c r="C118" s="330"/>
      <c r="D118" s="329"/>
      <c r="E118" s="328"/>
      <c r="F118" s="328"/>
      <c r="G118" s="328"/>
      <c r="H118" s="328"/>
      <c r="I118" s="328"/>
      <c r="J118" s="328"/>
      <c r="K118" s="328"/>
      <c r="L118" s="328"/>
      <c r="M118" s="328"/>
      <c r="N118" s="328"/>
      <c r="O118" s="328"/>
      <c r="P118" s="328"/>
    </row>
    <row r="119" spans="1:19" ht="13.5" thickTop="1" x14ac:dyDescent="0.2">
      <c r="A119" s="327" t="str">
        <f t="shared" ref="A119:A129" si="18">CONCATENATE($B$118,"|",B119)</f>
        <v>12|1</v>
      </c>
      <c r="B119" s="326">
        <v>1</v>
      </c>
      <c r="C119" s="321" t="s">
        <v>87</v>
      </c>
      <c r="D119" s="320">
        <v>1</v>
      </c>
      <c r="E119" s="324">
        <v>10</v>
      </c>
      <c r="F119" s="324">
        <v>20</v>
      </c>
      <c r="G119" s="324">
        <v>20</v>
      </c>
      <c r="H119" s="324">
        <v>20</v>
      </c>
      <c r="I119" s="324">
        <v>10</v>
      </c>
      <c r="J119" s="325">
        <v>10</v>
      </c>
      <c r="K119" s="325">
        <v>10</v>
      </c>
      <c r="L119" s="325"/>
      <c r="M119" s="325"/>
      <c r="N119" s="325"/>
      <c r="O119" s="325"/>
      <c r="P119" s="325"/>
      <c r="S119" s="2">
        <f t="shared" ref="S119:S129" si="19">SUM(E119:P119)</f>
        <v>100</v>
      </c>
    </row>
    <row r="120" spans="1:19" x14ac:dyDescent="0.2">
      <c r="A120" s="323" t="str">
        <f t="shared" si="18"/>
        <v>12|2</v>
      </c>
      <c r="B120" s="322" t="s">
        <v>44</v>
      </c>
      <c r="C120" s="321" t="s">
        <v>83</v>
      </c>
      <c r="D120" s="320">
        <v>2</v>
      </c>
      <c r="E120" s="324">
        <v>5</v>
      </c>
      <c r="F120" s="324">
        <v>10</v>
      </c>
      <c r="G120" s="324">
        <v>10</v>
      </c>
      <c r="H120" s="324">
        <v>15</v>
      </c>
      <c r="I120" s="324">
        <v>15</v>
      </c>
      <c r="J120" s="318">
        <v>15</v>
      </c>
      <c r="K120" s="318">
        <v>10</v>
      </c>
      <c r="L120" s="318">
        <v>10</v>
      </c>
      <c r="M120" s="318">
        <v>10</v>
      </c>
      <c r="N120" s="318"/>
      <c r="O120" s="318"/>
      <c r="P120" s="318"/>
      <c r="S120" s="2">
        <f t="shared" si="19"/>
        <v>100</v>
      </c>
    </row>
    <row r="121" spans="1:19" x14ac:dyDescent="0.2">
      <c r="A121" s="323" t="str">
        <f t="shared" si="18"/>
        <v>12|3</v>
      </c>
      <c r="B121" s="322" t="s">
        <v>48</v>
      </c>
      <c r="C121" s="321" t="s">
        <v>88</v>
      </c>
      <c r="D121" s="320">
        <v>3</v>
      </c>
      <c r="E121" s="319"/>
      <c r="F121" s="319">
        <v>5</v>
      </c>
      <c r="G121" s="319">
        <v>10</v>
      </c>
      <c r="H121" s="319">
        <v>10</v>
      </c>
      <c r="I121" s="319">
        <v>10</v>
      </c>
      <c r="J121" s="318">
        <v>15</v>
      </c>
      <c r="K121" s="318">
        <v>15</v>
      </c>
      <c r="L121" s="318">
        <v>10</v>
      </c>
      <c r="M121" s="318">
        <v>10</v>
      </c>
      <c r="N121" s="318">
        <v>10</v>
      </c>
      <c r="O121" s="318">
        <v>5</v>
      </c>
      <c r="P121" s="318"/>
      <c r="S121" s="2">
        <f t="shared" si="19"/>
        <v>100</v>
      </c>
    </row>
    <row r="122" spans="1:19" x14ac:dyDescent="0.2">
      <c r="A122" s="323" t="str">
        <f t="shared" si="18"/>
        <v>12|4</v>
      </c>
      <c r="B122" s="322" t="s">
        <v>50</v>
      </c>
      <c r="C122" s="321" t="s">
        <v>84</v>
      </c>
      <c r="D122" s="320">
        <v>4</v>
      </c>
      <c r="E122" s="319"/>
      <c r="F122" s="319"/>
      <c r="G122" s="319">
        <v>5</v>
      </c>
      <c r="H122" s="319">
        <v>10</v>
      </c>
      <c r="I122" s="319">
        <v>10</v>
      </c>
      <c r="J122" s="318">
        <v>10</v>
      </c>
      <c r="K122" s="318">
        <v>10</v>
      </c>
      <c r="L122" s="318">
        <v>15</v>
      </c>
      <c r="M122" s="318">
        <v>10</v>
      </c>
      <c r="N122" s="318">
        <v>15</v>
      </c>
      <c r="O122" s="318">
        <v>10</v>
      </c>
      <c r="P122" s="318">
        <v>5</v>
      </c>
      <c r="S122" s="2">
        <f t="shared" si="19"/>
        <v>100</v>
      </c>
    </row>
    <row r="123" spans="1:19" x14ac:dyDescent="0.2">
      <c r="A123" s="323" t="str">
        <f t="shared" si="18"/>
        <v>12|5</v>
      </c>
      <c r="B123" s="322" t="s">
        <v>43</v>
      </c>
      <c r="C123" s="321" t="s">
        <v>85</v>
      </c>
      <c r="D123" s="320">
        <v>5</v>
      </c>
      <c r="E123" s="319"/>
      <c r="F123" s="319"/>
      <c r="G123" s="319">
        <v>10</v>
      </c>
      <c r="H123" s="319">
        <v>10</v>
      </c>
      <c r="I123" s="319">
        <v>10</v>
      </c>
      <c r="J123" s="318">
        <v>10</v>
      </c>
      <c r="K123" s="318">
        <v>10</v>
      </c>
      <c r="L123" s="318">
        <v>15</v>
      </c>
      <c r="M123" s="318">
        <v>15</v>
      </c>
      <c r="N123" s="318">
        <v>10</v>
      </c>
      <c r="O123" s="318">
        <v>10</v>
      </c>
      <c r="P123" s="318"/>
      <c r="S123" s="2">
        <f t="shared" si="19"/>
        <v>100</v>
      </c>
    </row>
    <row r="124" spans="1:19" x14ac:dyDescent="0.2">
      <c r="A124" s="323" t="str">
        <f t="shared" si="18"/>
        <v>12|6</v>
      </c>
      <c r="B124" s="322" t="s">
        <v>51</v>
      </c>
      <c r="C124" s="321" t="s">
        <v>89</v>
      </c>
      <c r="D124" s="320">
        <v>3</v>
      </c>
      <c r="E124" s="319"/>
      <c r="F124" s="319"/>
      <c r="G124" s="319"/>
      <c r="H124" s="319">
        <v>5</v>
      </c>
      <c r="I124" s="319">
        <v>10</v>
      </c>
      <c r="J124" s="319">
        <v>10</v>
      </c>
      <c r="K124" s="318">
        <v>10</v>
      </c>
      <c r="L124" s="318">
        <v>15</v>
      </c>
      <c r="M124" s="318">
        <v>15</v>
      </c>
      <c r="N124" s="318">
        <v>15</v>
      </c>
      <c r="O124" s="318">
        <v>10</v>
      </c>
      <c r="P124" s="318">
        <v>10</v>
      </c>
      <c r="S124" s="2">
        <f t="shared" si="19"/>
        <v>100</v>
      </c>
    </row>
    <row r="125" spans="1:19" x14ac:dyDescent="0.2">
      <c r="A125" s="323" t="str">
        <f t="shared" si="18"/>
        <v>12|7</v>
      </c>
      <c r="B125" s="322" t="s">
        <v>78</v>
      </c>
      <c r="C125" s="321" t="s">
        <v>90</v>
      </c>
      <c r="D125" s="320">
        <v>5</v>
      </c>
      <c r="E125" s="319"/>
      <c r="F125" s="319"/>
      <c r="G125" s="319"/>
      <c r="H125" s="319">
        <v>5</v>
      </c>
      <c r="I125" s="319">
        <v>10</v>
      </c>
      <c r="J125" s="318">
        <v>10</v>
      </c>
      <c r="K125" s="318">
        <v>15</v>
      </c>
      <c r="L125" s="318">
        <v>15</v>
      </c>
      <c r="M125" s="318">
        <v>15</v>
      </c>
      <c r="N125" s="318">
        <v>10</v>
      </c>
      <c r="O125" s="318">
        <v>10</v>
      </c>
      <c r="P125" s="318">
        <v>10</v>
      </c>
      <c r="S125" s="2">
        <f t="shared" si="19"/>
        <v>100</v>
      </c>
    </row>
    <row r="126" spans="1:19" x14ac:dyDescent="0.2">
      <c r="A126" s="323" t="str">
        <f t="shared" si="18"/>
        <v>12|8</v>
      </c>
      <c r="B126" s="322" t="s">
        <v>64</v>
      </c>
      <c r="C126" s="321" t="s">
        <v>91</v>
      </c>
      <c r="D126" s="320">
        <v>6</v>
      </c>
      <c r="E126" s="319"/>
      <c r="F126" s="319"/>
      <c r="G126" s="319"/>
      <c r="H126" s="319">
        <v>10</v>
      </c>
      <c r="I126" s="319">
        <v>10</v>
      </c>
      <c r="J126" s="318">
        <v>10</v>
      </c>
      <c r="K126" s="318">
        <v>20</v>
      </c>
      <c r="L126" s="318">
        <v>10</v>
      </c>
      <c r="M126" s="318">
        <v>10</v>
      </c>
      <c r="N126" s="318">
        <v>10</v>
      </c>
      <c r="O126" s="318">
        <v>10</v>
      </c>
      <c r="P126" s="318">
        <v>10</v>
      </c>
      <c r="S126" s="2">
        <f t="shared" si="19"/>
        <v>100</v>
      </c>
    </row>
    <row r="127" spans="1:19" x14ac:dyDescent="0.2">
      <c r="A127" s="323" t="str">
        <f t="shared" si="18"/>
        <v>12|9</v>
      </c>
      <c r="B127" s="322" t="s">
        <v>92</v>
      </c>
      <c r="C127" s="321" t="s">
        <v>93</v>
      </c>
      <c r="D127" s="320">
        <v>6</v>
      </c>
      <c r="E127" s="319">
        <v>5</v>
      </c>
      <c r="F127" s="319">
        <v>5</v>
      </c>
      <c r="G127" s="319">
        <v>5</v>
      </c>
      <c r="H127" s="319">
        <v>5</v>
      </c>
      <c r="I127" s="319">
        <v>10</v>
      </c>
      <c r="J127" s="318">
        <v>10</v>
      </c>
      <c r="K127" s="318">
        <v>10</v>
      </c>
      <c r="L127" s="318">
        <v>10</v>
      </c>
      <c r="M127" s="318">
        <v>10</v>
      </c>
      <c r="N127" s="318">
        <v>10</v>
      </c>
      <c r="O127" s="318">
        <v>10</v>
      </c>
      <c r="P127" s="318">
        <v>10</v>
      </c>
      <c r="S127" s="2">
        <f t="shared" si="19"/>
        <v>100</v>
      </c>
    </row>
    <row r="128" spans="1:19" x14ac:dyDescent="0.2">
      <c r="A128" s="323" t="str">
        <f t="shared" si="18"/>
        <v>12|10</v>
      </c>
      <c r="B128" s="322" t="s">
        <v>94</v>
      </c>
      <c r="C128" s="321" t="s">
        <v>86</v>
      </c>
      <c r="D128" s="320"/>
      <c r="E128" s="319">
        <v>10</v>
      </c>
      <c r="F128" s="319">
        <v>15</v>
      </c>
      <c r="G128" s="319">
        <v>10</v>
      </c>
      <c r="H128" s="319">
        <v>10</v>
      </c>
      <c r="I128" s="319">
        <v>10</v>
      </c>
      <c r="J128" s="318">
        <v>10</v>
      </c>
      <c r="K128" s="318">
        <v>10</v>
      </c>
      <c r="L128" s="318">
        <v>10</v>
      </c>
      <c r="M128" s="318">
        <v>10</v>
      </c>
      <c r="N128" s="318">
        <v>5</v>
      </c>
      <c r="O128" s="318"/>
      <c r="P128" s="318"/>
      <c r="S128" s="2">
        <f t="shared" si="19"/>
        <v>100</v>
      </c>
    </row>
    <row r="129" spans="1:19" x14ac:dyDescent="0.2">
      <c r="A129" s="323" t="str">
        <f t="shared" si="18"/>
        <v>12|11</v>
      </c>
      <c r="B129" s="322" t="s">
        <v>103</v>
      </c>
      <c r="C129" s="321" t="s">
        <v>120</v>
      </c>
      <c r="D129" s="320"/>
      <c r="E129" s="319">
        <v>1</v>
      </c>
      <c r="F129" s="319">
        <v>1</v>
      </c>
      <c r="G129" s="319">
        <v>10</v>
      </c>
      <c r="H129" s="319">
        <v>10</v>
      </c>
      <c r="I129" s="319">
        <v>15</v>
      </c>
      <c r="J129" s="318">
        <v>15</v>
      </c>
      <c r="K129" s="318">
        <v>15</v>
      </c>
      <c r="L129" s="318">
        <v>15</v>
      </c>
      <c r="M129" s="318">
        <v>5</v>
      </c>
      <c r="N129" s="318">
        <v>3</v>
      </c>
      <c r="O129" s="318">
        <v>5</v>
      </c>
      <c r="P129" s="318">
        <v>5</v>
      </c>
      <c r="S129" s="2">
        <f t="shared" si="19"/>
        <v>100</v>
      </c>
    </row>
    <row r="131" spans="1:19" x14ac:dyDescent="0.2">
      <c r="S131" s="2">
        <f>SUM(S2:S129)</f>
        <v>11000</v>
      </c>
    </row>
  </sheetData>
  <sheetProtection sheet="1" objects="1" scenarios="1"/>
  <printOptions horizontalCentered="1" verticalCentered="1"/>
  <pageMargins left="0.78740157480314965" right="0.78740157480314965" top="0.98425196850393704" bottom="0.59055118110236227" header="0.51181102362204722" footer="0.51181102362204722"/>
  <pageSetup paperSize="8" scale="94"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39144-F195-4572-BB96-1DB14FD207CC}">
  <sheetPr codeName="Planilha2">
    <pageSetUpPr fitToPage="1"/>
  </sheetPr>
  <dimension ref="A1:S131"/>
  <sheetViews>
    <sheetView showZeros="0" topLeftCell="D112" zoomScale="112" zoomScaleNormal="112" workbookViewId="0">
      <selection activeCell="I143" sqref="I143"/>
    </sheetView>
  </sheetViews>
  <sheetFormatPr defaultColWidth="10.6640625" defaultRowHeight="12.75" x14ac:dyDescent="0.2"/>
  <cols>
    <col min="1" max="1" width="10.6640625" style="2" customWidth="1"/>
    <col min="2" max="2" width="13.1640625" style="2" customWidth="1"/>
    <col min="3" max="3" width="38" style="2" customWidth="1"/>
    <col min="4" max="4" width="3.83203125" style="2" customWidth="1"/>
    <col min="5" max="16" width="10" style="2" customWidth="1"/>
    <col min="17" max="17" width="10.6640625" style="2" customWidth="1"/>
    <col min="18" max="255" width="10.6640625" style="2"/>
    <col min="256" max="256" width="13.1640625" style="2" customWidth="1"/>
    <col min="257" max="257" width="79" style="2" customWidth="1"/>
    <col min="258" max="258" width="3.83203125" style="2" customWidth="1"/>
    <col min="259" max="271" width="12.5" style="2" customWidth="1"/>
    <col min="272" max="272" width="8.5" style="2" customWidth="1"/>
    <col min="273" max="511" width="10.6640625" style="2"/>
    <col min="512" max="512" width="13.1640625" style="2" customWidth="1"/>
    <col min="513" max="513" width="79" style="2" customWidth="1"/>
    <col min="514" max="514" width="3.83203125" style="2" customWidth="1"/>
    <col min="515" max="527" width="12.5" style="2" customWidth="1"/>
    <col min="528" max="528" width="8.5" style="2" customWidth="1"/>
    <col min="529" max="767" width="10.6640625" style="2"/>
    <col min="768" max="768" width="13.1640625" style="2" customWidth="1"/>
    <col min="769" max="769" width="79" style="2" customWidth="1"/>
    <col min="770" max="770" width="3.83203125" style="2" customWidth="1"/>
    <col min="771" max="783" width="12.5" style="2" customWidth="1"/>
    <col min="784" max="784" width="8.5" style="2" customWidth="1"/>
    <col min="785" max="1023" width="10.6640625" style="2"/>
    <col min="1024" max="1024" width="13.1640625" style="2" customWidth="1"/>
    <col min="1025" max="1025" width="79" style="2" customWidth="1"/>
    <col min="1026" max="1026" width="3.83203125" style="2" customWidth="1"/>
    <col min="1027" max="1039" width="12.5" style="2" customWidth="1"/>
    <col min="1040" max="1040" width="8.5" style="2" customWidth="1"/>
    <col min="1041" max="1279" width="10.6640625" style="2"/>
    <col min="1280" max="1280" width="13.1640625" style="2" customWidth="1"/>
    <col min="1281" max="1281" width="79" style="2" customWidth="1"/>
    <col min="1282" max="1282" width="3.83203125" style="2" customWidth="1"/>
    <col min="1283" max="1295" width="12.5" style="2" customWidth="1"/>
    <col min="1296" max="1296" width="8.5" style="2" customWidth="1"/>
    <col min="1297" max="1535" width="10.6640625" style="2"/>
    <col min="1536" max="1536" width="13.1640625" style="2" customWidth="1"/>
    <col min="1537" max="1537" width="79" style="2" customWidth="1"/>
    <col min="1538" max="1538" width="3.83203125" style="2" customWidth="1"/>
    <col min="1539" max="1551" width="12.5" style="2" customWidth="1"/>
    <col min="1552" max="1552" width="8.5" style="2" customWidth="1"/>
    <col min="1553" max="1791" width="10.6640625" style="2"/>
    <col min="1792" max="1792" width="13.1640625" style="2" customWidth="1"/>
    <col min="1793" max="1793" width="79" style="2" customWidth="1"/>
    <col min="1794" max="1794" width="3.83203125" style="2" customWidth="1"/>
    <col min="1795" max="1807" width="12.5" style="2" customWidth="1"/>
    <col min="1808" max="1808" width="8.5" style="2" customWidth="1"/>
    <col min="1809" max="2047" width="10.6640625" style="2"/>
    <col min="2048" max="2048" width="13.1640625" style="2" customWidth="1"/>
    <col min="2049" max="2049" width="79" style="2" customWidth="1"/>
    <col min="2050" max="2050" width="3.83203125" style="2" customWidth="1"/>
    <col min="2051" max="2063" width="12.5" style="2" customWidth="1"/>
    <col min="2064" max="2064" width="8.5" style="2" customWidth="1"/>
    <col min="2065" max="2303" width="10.6640625" style="2"/>
    <col min="2304" max="2304" width="13.1640625" style="2" customWidth="1"/>
    <col min="2305" max="2305" width="79" style="2" customWidth="1"/>
    <col min="2306" max="2306" width="3.83203125" style="2" customWidth="1"/>
    <col min="2307" max="2319" width="12.5" style="2" customWidth="1"/>
    <col min="2320" max="2320" width="8.5" style="2" customWidth="1"/>
    <col min="2321" max="2559" width="10.6640625" style="2"/>
    <col min="2560" max="2560" width="13.1640625" style="2" customWidth="1"/>
    <col min="2561" max="2561" width="79" style="2" customWidth="1"/>
    <col min="2562" max="2562" width="3.83203125" style="2" customWidth="1"/>
    <col min="2563" max="2575" width="12.5" style="2" customWidth="1"/>
    <col min="2576" max="2576" width="8.5" style="2" customWidth="1"/>
    <col min="2577" max="2815" width="10.6640625" style="2"/>
    <col min="2816" max="2816" width="13.1640625" style="2" customWidth="1"/>
    <col min="2817" max="2817" width="79" style="2" customWidth="1"/>
    <col min="2818" max="2818" width="3.83203125" style="2" customWidth="1"/>
    <col min="2819" max="2831" width="12.5" style="2" customWidth="1"/>
    <col min="2832" max="2832" width="8.5" style="2" customWidth="1"/>
    <col min="2833" max="3071" width="10.6640625" style="2"/>
    <col min="3072" max="3072" width="13.1640625" style="2" customWidth="1"/>
    <col min="3073" max="3073" width="79" style="2" customWidth="1"/>
    <col min="3074" max="3074" width="3.83203125" style="2" customWidth="1"/>
    <col min="3075" max="3087" width="12.5" style="2" customWidth="1"/>
    <col min="3088" max="3088" width="8.5" style="2" customWidth="1"/>
    <col min="3089" max="3327" width="10.6640625" style="2"/>
    <col min="3328" max="3328" width="13.1640625" style="2" customWidth="1"/>
    <col min="3329" max="3329" width="79" style="2" customWidth="1"/>
    <col min="3330" max="3330" width="3.83203125" style="2" customWidth="1"/>
    <col min="3331" max="3343" width="12.5" style="2" customWidth="1"/>
    <col min="3344" max="3344" width="8.5" style="2" customWidth="1"/>
    <col min="3345" max="3583" width="10.6640625" style="2"/>
    <col min="3584" max="3584" width="13.1640625" style="2" customWidth="1"/>
    <col min="3585" max="3585" width="79" style="2" customWidth="1"/>
    <col min="3586" max="3586" width="3.83203125" style="2" customWidth="1"/>
    <col min="3587" max="3599" width="12.5" style="2" customWidth="1"/>
    <col min="3600" max="3600" width="8.5" style="2" customWidth="1"/>
    <col min="3601" max="3839" width="10.6640625" style="2"/>
    <col min="3840" max="3840" width="13.1640625" style="2" customWidth="1"/>
    <col min="3841" max="3841" width="79" style="2" customWidth="1"/>
    <col min="3842" max="3842" width="3.83203125" style="2" customWidth="1"/>
    <col min="3843" max="3855" width="12.5" style="2" customWidth="1"/>
    <col min="3856" max="3856" width="8.5" style="2" customWidth="1"/>
    <col min="3857" max="4095" width="10.6640625" style="2"/>
    <col min="4096" max="4096" width="13.1640625" style="2" customWidth="1"/>
    <col min="4097" max="4097" width="79" style="2" customWidth="1"/>
    <col min="4098" max="4098" width="3.83203125" style="2" customWidth="1"/>
    <col min="4099" max="4111" width="12.5" style="2" customWidth="1"/>
    <col min="4112" max="4112" width="8.5" style="2" customWidth="1"/>
    <col min="4113" max="4351" width="10.6640625" style="2"/>
    <col min="4352" max="4352" width="13.1640625" style="2" customWidth="1"/>
    <col min="4353" max="4353" width="79" style="2" customWidth="1"/>
    <col min="4354" max="4354" width="3.83203125" style="2" customWidth="1"/>
    <col min="4355" max="4367" width="12.5" style="2" customWidth="1"/>
    <col min="4368" max="4368" width="8.5" style="2" customWidth="1"/>
    <col min="4369" max="4607" width="10.6640625" style="2"/>
    <col min="4608" max="4608" width="13.1640625" style="2" customWidth="1"/>
    <col min="4609" max="4609" width="79" style="2" customWidth="1"/>
    <col min="4610" max="4610" width="3.83203125" style="2" customWidth="1"/>
    <col min="4611" max="4623" width="12.5" style="2" customWidth="1"/>
    <col min="4624" max="4624" width="8.5" style="2" customWidth="1"/>
    <col min="4625" max="4863" width="10.6640625" style="2"/>
    <col min="4864" max="4864" width="13.1640625" style="2" customWidth="1"/>
    <col min="4865" max="4865" width="79" style="2" customWidth="1"/>
    <col min="4866" max="4866" width="3.83203125" style="2" customWidth="1"/>
    <col min="4867" max="4879" width="12.5" style="2" customWidth="1"/>
    <col min="4880" max="4880" width="8.5" style="2" customWidth="1"/>
    <col min="4881" max="5119" width="10.6640625" style="2"/>
    <col min="5120" max="5120" width="13.1640625" style="2" customWidth="1"/>
    <col min="5121" max="5121" width="79" style="2" customWidth="1"/>
    <col min="5122" max="5122" width="3.83203125" style="2" customWidth="1"/>
    <col min="5123" max="5135" width="12.5" style="2" customWidth="1"/>
    <col min="5136" max="5136" width="8.5" style="2" customWidth="1"/>
    <col min="5137" max="5375" width="10.6640625" style="2"/>
    <col min="5376" max="5376" width="13.1640625" style="2" customWidth="1"/>
    <col min="5377" max="5377" width="79" style="2" customWidth="1"/>
    <col min="5378" max="5378" width="3.83203125" style="2" customWidth="1"/>
    <col min="5379" max="5391" width="12.5" style="2" customWidth="1"/>
    <col min="5392" max="5392" width="8.5" style="2" customWidth="1"/>
    <col min="5393" max="5631" width="10.6640625" style="2"/>
    <col min="5632" max="5632" width="13.1640625" style="2" customWidth="1"/>
    <col min="5633" max="5633" width="79" style="2" customWidth="1"/>
    <col min="5634" max="5634" width="3.83203125" style="2" customWidth="1"/>
    <col min="5635" max="5647" width="12.5" style="2" customWidth="1"/>
    <col min="5648" max="5648" width="8.5" style="2" customWidth="1"/>
    <col min="5649" max="5887" width="10.6640625" style="2"/>
    <col min="5888" max="5888" width="13.1640625" style="2" customWidth="1"/>
    <col min="5889" max="5889" width="79" style="2" customWidth="1"/>
    <col min="5890" max="5890" width="3.83203125" style="2" customWidth="1"/>
    <col min="5891" max="5903" width="12.5" style="2" customWidth="1"/>
    <col min="5904" max="5904" width="8.5" style="2" customWidth="1"/>
    <col min="5905" max="6143" width="10.6640625" style="2"/>
    <col min="6144" max="6144" width="13.1640625" style="2" customWidth="1"/>
    <col min="6145" max="6145" width="79" style="2" customWidth="1"/>
    <col min="6146" max="6146" width="3.83203125" style="2" customWidth="1"/>
    <col min="6147" max="6159" width="12.5" style="2" customWidth="1"/>
    <col min="6160" max="6160" width="8.5" style="2" customWidth="1"/>
    <col min="6161" max="6399" width="10.6640625" style="2"/>
    <col min="6400" max="6400" width="13.1640625" style="2" customWidth="1"/>
    <col min="6401" max="6401" width="79" style="2" customWidth="1"/>
    <col min="6402" max="6402" width="3.83203125" style="2" customWidth="1"/>
    <col min="6403" max="6415" width="12.5" style="2" customWidth="1"/>
    <col min="6416" max="6416" width="8.5" style="2" customWidth="1"/>
    <col min="6417" max="6655" width="10.6640625" style="2"/>
    <col min="6656" max="6656" width="13.1640625" style="2" customWidth="1"/>
    <col min="6657" max="6657" width="79" style="2" customWidth="1"/>
    <col min="6658" max="6658" width="3.83203125" style="2" customWidth="1"/>
    <col min="6659" max="6671" width="12.5" style="2" customWidth="1"/>
    <col min="6672" max="6672" width="8.5" style="2" customWidth="1"/>
    <col min="6673" max="6911" width="10.6640625" style="2"/>
    <col min="6912" max="6912" width="13.1640625" style="2" customWidth="1"/>
    <col min="6913" max="6913" width="79" style="2" customWidth="1"/>
    <col min="6914" max="6914" width="3.83203125" style="2" customWidth="1"/>
    <col min="6915" max="6927" width="12.5" style="2" customWidth="1"/>
    <col min="6928" max="6928" width="8.5" style="2" customWidth="1"/>
    <col min="6929" max="7167" width="10.6640625" style="2"/>
    <col min="7168" max="7168" width="13.1640625" style="2" customWidth="1"/>
    <col min="7169" max="7169" width="79" style="2" customWidth="1"/>
    <col min="7170" max="7170" width="3.83203125" style="2" customWidth="1"/>
    <col min="7171" max="7183" width="12.5" style="2" customWidth="1"/>
    <col min="7184" max="7184" width="8.5" style="2" customWidth="1"/>
    <col min="7185" max="7423" width="10.6640625" style="2"/>
    <col min="7424" max="7424" width="13.1640625" style="2" customWidth="1"/>
    <col min="7425" max="7425" width="79" style="2" customWidth="1"/>
    <col min="7426" max="7426" width="3.83203125" style="2" customWidth="1"/>
    <col min="7427" max="7439" width="12.5" style="2" customWidth="1"/>
    <col min="7440" max="7440" width="8.5" style="2" customWidth="1"/>
    <col min="7441" max="7679" width="10.6640625" style="2"/>
    <col min="7680" max="7680" width="13.1640625" style="2" customWidth="1"/>
    <col min="7681" max="7681" width="79" style="2" customWidth="1"/>
    <col min="7682" max="7682" width="3.83203125" style="2" customWidth="1"/>
    <col min="7683" max="7695" width="12.5" style="2" customWidth="1"/>
    <col min="7696" max="7696" width="8.5" style="2" customWidth="1"/>
    <col min="7697" max="7935" width="10.6640625" style="2"/>
    <col min="7936" max="7936" width="13.1640625" style="2" customWidth="1"/>
    <col min="7937" max="7937" width="79" style="2" customWidth="1"/>
    <col min="7938" max="7938" width="3.83203125" style="2" customWidth="1"/>
    <col min="7939" max="7951" width="12.5" style="2" customWidth="1"/>
    <col min="7952" max="7952" width="8.5" style="2" customWidth="1"/>
    <col min="7953" max="8191" width="10.6640625" style="2"/>
    <col min="8192" max="8192" width="13.1640625" style="2" customWidth="1"/>
    <col min="8193" max="8193" width="79" style="2" customWidth="1"/>
    <col min="8194" max="8194" width="3.83203125" style="2" customWidth="1"/>
    <col min="8195" max="8207" width="12.5" style="2" customWidth="1"/>
    <col min="8208" max="8208" width="8.5" style="2" customWidth="1"/>
    <col min="8209" max="8447" width="10.6640625" style="2"/>
    <col min="8448" max="8448" width="13.1640625" style="2" customWidth="1"/>
    <col min="8449" max="8449" width="79" style="2" customWidth="1"/>
    <col min="8450" max="8450" width="3.83203125" style="2" customWidth="1"/>
    <col min="8451" max="8463" width="12.5" style="2" customWidth="1"/>
    <col min="8464" max="8464" width="8.5" style="2" customWidth="1"/>
    <col min="8465" max="8703" width="10.6640625" style="2"/>
    <col min="8704" max="8704" width="13.1640625" style="2" customWidth="1"/>
    <col min="8705" max="8705" width="79" style="2" customWidth="1"/>
    <col min="8706" max="8706" width="3.83203125" style="2" customWidth="1"/>
    <col min="8707" max="8719" width="12.5" style="2" customWidth="1"/>
    <col min="8720" max="8720" width="8.5" style="2" customWidth="1"/>
    <col min="8721" max="8959" width="10.6640625" style="2"/>
    <col min="8960" max="8960" width="13.1640625" style="2" customWidth="1"/>
    <col min="8961" max="8961" width="79" style="2" customWidth="1"/>
    <col min="8962" max="8962" width="3.83203125" style="2" customWidth="1"/>
    <col min="8963" max="8975" width="12.5" style="2" customWidth="1"/>
    <col min="8976" max="8976" width="8.5" style="2" customWidth="1"/>
    <col min="8977" max="9215" width="10.6640625" style="2"/>
    <col min="9216" max="9216" width="13.1640625" style="2" customWidth="1"/>
    <col min="9217" max="9217" width="79" style="2" customWidth="1"/>
    <col min="9218" max="9218" width="3.83203125" style="2" customWidth="1"/>
    <col min="9219" max="9231" width="12.5" style="2" customWidth="1"/>
    <col min="9232" max="9232" width="8.5" style="2" customWidth="1"/>
    <col min="9233" max="9471" width="10.6640625" style="2"/>
    <col min="9472" max="9472" width="13.1640625" style="2" customWidth="1"/>
    <col min="9473" max="9473" width="79" style="2" customWidth="1"/>
    <col min="9474" max="9474" width="3.83203125" style="2" customWidth="1"/>
    <col min="9475" max="9487" width="12.5" style="2" customWidth="1"/>
    <col min="9488" max="9488" width="8.5" style="2" customWidth="1"/>
    <col min="9489" max="9727" width="10.6640625" style="2"/>
    <col min="9728" max="9728" width="13.1640625" style="2" customWidth="1"/>
    <col min="9729" max="9729" width="79" style="2" customWidth="1"/>
    <col min="9730" max="9730" width="3.83203125" style="2" customWidth="1"/>
    <col min="9731" max="9743" width="12.5" style="2" customWidth="1"/>
    <col min="9744" max="9744" width="8.5" style="2" customWidth="1"/>
    <col min="9745" max="9983" width="10.6640625" style="2"/>
    <col min="9984" max="9984" width="13.1640625" style="2" customWidth="1"/>
    <col min="9985" max="9985" width="79" style="2" customWidth="1"/>
    <col min="9986" max="9986" width="3.83203125" style="2" customWidth="1"/>
    <col min="9987" max="9999" width="12.5" style="2" customWidth="1"/>
    <col min="10000" max="10000" width="8.5" style="2" customWidth="1"/>
    <col min="10001" max="10239" width="10.6640625" style="2"/>
    <col min="10240" max="10240" width="13.1640625" style="2" customWidth="1"/>
    <col min="10241" max="10241" width="79" style="2" customWidth="1"/>
    <col min="10242" max="10242" width="3.83203125" style="2" customWidth="1"/>
    <col min="10243" max="10255" width="12.5" style="2" customWidth="1"/>
    <col min="10256" max="10256" width="8.5" style="2" customWidth="1"/>
    <col min="10257" max="10495" width="10.6640625" style="2"/>
    <col min="10496" max="10496" width="13.1640625" style="2" customWidth="1"/>
    <col min="10497" max="10497" width="79" style="2" customWidth="1"/>
    <col min="10498" max="10498" width="3.83203125" style="2" customWidth="1"/>
    <col min="10499" max="10511" width="12.5" style="2" customWidth="1"/>
    <col min="10512" max="10512" width="8.5" style="2" customWidth="1"/>
    <col min="10513" max="10751" width="10.6640625" style="2"/>
    <col min="10752" max="10752" width="13.1640625" style="2" customWidth="1"/>
    <col min="10753" max="10753" width="79" style="2" customWidth="1"/>
    <col min="10754" max="10754" width="3.83203125" style="2" customWidth="1"/>
    <col min="10755" max="10767" width="12.5" style="2" customWidth="1"/>
    <col min="10768" max="10768" width="8.5" style="2" customWidth="1"/>
    <col min="10769" max="11007" width="10.6640625" style="2"/>
    <col min="11008" max="11008" width="13.1640625" style="2" customWidth="1"/>
    <col min="11009" max="11009" width="79" style="2" customWidth="1"/>
    <col min="11010" max="11010" width="3.83203125" style="2" customWidth="1"/>
    <col min="11011" max="11023" width="12.5" style="2" customWidth="1"/>
    <col min="11024" max="11024" width="8.5" style="2" customWidth="1"/>
    <col min="11025" max="11263" width="10.6640625" style="2"/>
    <col min="11264" max="11264" width="13.1640625" style="2" customWidth="1"/>
    <col min="11265" max="11265" width="79" style="2" customWidth="1"/>
    <col min="11266" max="11266" width="3.83203125" style="2" customWidth="1"/>
    <col min="11267" max="11279" width="12.5" style="2" customWidth="1"/>
    <col min="11280" max="11280" width="8.5" style="2" customWidth="1"/>
    <col min="11281" max="11519" width="10.6640625" style="2"/>
    <col min="11520" max="11520" width="13.1640625" style="2" customWidth="1"/>
    <col min="11521" max="11521" width="79" style="2" customWidth="1"/>
    <col min="11522" max="11522" width="3.83203125" style="2" customWidth="1"/>
    <col min="11523" max="11535" width="12.5" style="2" customWidth="1"/>
    <col min="11536" max="11536" width="8.5" style="2" customWidth="1"/>
    <col min="11537" max="11775" width="10.6640625" style="2"/>
    <col min="11776" max="11776" width="13.1640625" style="2" customWidth="1"/>
    <col min="11777" max="11777" width="79" style="2" customWidth="1"/>
    <col min="11778" max="11778" width="3.83203125" style="2" customWidth="1"/>
    <col min="11779" max="11791" width="12.5" style="2" customWidth="1"/>
    <col min="11792" max="11792" width="8.5" style="2" customWidth="1"/>
    <col min="11793" max="12031" width="10.6640625" style="2"/>
    <col min="12032" max="12032" width="13.1640625" style="2" customWidth="1"/>
    <col min="12033" max="12033" width="79" style="2" customWidth="1"/>
    <col min="12034" max="12034" width="3.83203125" style="2" customWidth="1"/>
    <col min="12035" max="12047" width="12.5" style="2" customWidth="1"/>
    <col min="12048" max="12048" width="8.5" style="2" customWidth="1"/>
    <col min="12049" max="12287" width="10.6640625" style="2"/>
    <col min="12288" max="12288" width="13.1640625" style="2" customWidth="1"/>
    <col min="12289" max="12289" width="79" style="2" customWidth="1"/>
    <col min="12290" max="12290" width="3.83203125" style="2" customWidth="1"/>
    <col min="12291" max="12303" width="12.5" style="2" customWidth="1"/>
    <col min="12304" max="12304" width="8.5" style="2" customWidth="1"/>
    <col min="12305" max="12543" width="10.6640625" style="2"/>
    <col min="12544" max="12544" width="13.1640625" style="2" customWidth="1"/>
    <col min="12545" max="12545" width="79" style="2" customWidth="1"/>
    <col min="12546" max="12546" width="3.83203125" style="2" customWidth="1"/>
    <col min="12547" max="12559" width="12.5" style="2" customWidth="1"/>
    <col min="12560" max="12560" width="8.5" style="2" customWidth="1"/>
    <col min="12561" max="12799" width="10.6640625" style="2"/>
    <col min="12800" max="12800" width="13.1640625" style="2" customWidth="1"/>
    <col min="12801" max="12801" width="79" style="2" customWidth="1"/>
    <col min="12802" max="12802" width="3.83203125" style="2" customWidth="1"/>
    <col min="12803" max="12815" width="12.5" style="2" customWidth="1"/>
    <col min="12816" max="12816" width="8.5" style="2" customWidth="1"/>
    <col min="12817" max="13055" width="10.6640625" style="2"/>
    <col min="13056" max="13056" width="13.1640625" style="2" customWidth="1"/>
    <col min="13057" max="13057" width="79" style="2" customWidth="1"/>
    <col min="13058" max="13058" width="3.83203125" style="2" customWidth="1"/>
    <col min="13059" max="13071" width="12.5" style="2" customWidth="1"/>
    <col min="13072" max="13072" width="8.5" style="2" customWidth="1"/>
    <col min="13073" max="13311" width="10.6640625" style="2"/>
    <col min="13312" max="13312" width="13.1640625" style="2" customWidth="1"/>
    <col min="13313" max="13313" width="79" style="2" customWidth="1"/>
    <col min="13314" max="13314" width="3.83203125" style="2" customWidth="1"/>
    <col min="13315" max="13327" width="12.5" style="2" customWidth="1"/>
    <col min="13328" max="13328" width="8.5" style="2" customWidth="1"/>
    <col min="13329" max="13567" width="10.6640625" style="2"/>
    <col min="13568" max="13568" width="13.1640625" style="2" customWidth="1"/>
    <col min="13569" max="13569" width="79" style="2" customWidth="1"/>
    <col min="13570" max="13570" width="3.83203125" style="2" customWidth="1"/>
    <col min="13571" max="13583" width="12.5" style="2" customWidth="1"/>
    <col min="13584" max="13584" width="8.5" style="2" customWidth="1"/>
    <col min="13585" max="13823" width="10.6640625" style="2"/>
    <col min="13824" max="13824" width="13.1640625" style="2" customWidth="1"/>
    <col min="13825" max="13825" width="79" style="2" customWidth="1"/>
    <col min="13826" max="13826" width="3.83203125" style="2" customWidth="1"/>
    <col min="13827" max="13839" width="12.5" style="2" customWidth="1"/>
    <col min="13840" max="13840" width="8.5" style="2" customWidth="1"/>
    <col min="13841" max="14079" width="10.6640625" style="2"/>
    <col min="14080" max="14080" width="13.1640625" style="2" customWidth="1"/>
    <col min="14081" max="14081" width="79" style="2" customWidth="1"/>
    <col min="14082" max="14082" width="3.83203125" style="2" customWidth="1"/>
    <col min="14083" max="14095" width="12.5" style="2" customWidth="1"/>
    <col min="14096" max="14096" width="8.5" style="2" customWidth="1"/>
    <col min="14097" max="14335" width="10.6640625" style="2"/>
    <col min="14336" max="14336" width="13.1640625" style="2" customWidth="1"/>
    <col min="14337" max="14337" width="79" style="2" customWidth="1"/>
    <col min="14338" max="14338" width="3.83203125" style="2" customWidth="1"/>
    <col min="14339" max="14351" width="12.5" style="2" customWidth="1"/>
    <col min="14352" max="14352" width="8.5" style="2" customWidth="1"/>
    <col min="14353" max="14591" width="10.6640625" style="2"/>
    <col min="14592" max="14592" width="13.1640625" style="2" customWidth="1"/>
    <col min="14593" max="14593" width="79" style="2" customWidth="1"/>
    <col min="14594" max="14594" width="3.83203125" style="2" customWidth="1"/>
    <col min="14595" max="14607" width="12.5" style="2" customWidth="1"/>
    <col min="14608" max="14608" width="8.5" style="2" customWidth="1"/>
    <col min="14609" max="14847" width="10.6640625" style="2"/>
    <col min="14848" max="14848" width="13.1640625" style="2" customWidth="1"/>
    <col min="14849" max="14849" width="79" style="2" customWidth="1"/>
    <col min="14850" max="14850" width="3.83203125" style="2" customWidth="1"/>
    <col min="14851" max="14863" width="12.5" style="2" customWidth="1"/>
    <col min="14864" max="14864" width="8.5" style="2" customWidth="1"/>
    <col min="14865" max="15103" width="10.6640625" style="2"/>
    <col min="15104" max="15104" width="13.1640625" style="2" customWidth="1"/>
    <col min="15105" max="15105" width="79" style="2" customWidth="1"/>
    <col min="15106" max="15106" width="3.83203125" style="2" customWidth="1"/>
    <col min="15107" max="15119" width="12.5" style="2" customWidth="1"/>
    <col min="15120" max="15120" width="8.5" style="2" customWidth="1"/>
    <col min="15121" max="15359" width="10.6640625" style="2"/>
    <col min="15360" max="15360" width="13.1640625" style="2" customWidth="1"/>
    <col min="15361" max="15361" width="79" style="2" customWidth="1"/>
    <col min="15362" max="15362" width="3.83203125" style="2" customWidth="1"/>
    <col min="15363" max="15375" width="12.5" style="2" customWidth="1"/>
    <col min="15376" max="15376" width="8.5" style="2" customWidth="1"/>
    <col min="15377" max="15615" width="10.6640625" style="2"/>
    <col min="15616" max="15616" width="13.1640625" style="2" customWidth="1"/>
    <col min="15617" max="15617" width="79" style="2" customWidth="1"/>
    <col min="15618" max="15618" width="3.83203125" style="2" customWidth="1"/>
    <col min="15619" max="15631" width="12.5" style="2" customWidth="1"/>
    <col min="15632" max="15632" width="8.5" style="2" customWidth="1"/>
    <col min="15633" max="15871" width="10.6640625" style="2"/>
    <col min="15872" max="15872" width="13.1640625" style="2" customWidth="1"/>
    <col min="15873" max="15873" width="79" style="2" customWidth="1"/>
    <col min="15874" max="15874" width="3.83203125" style="2" customWidth="1"/>
    <col min="15875" max="15887" width="12.5" style="2" customWidth="1"/>
    <col min="15888" max="15888" width="8.5" style="2" customWidth="1"/>
    <col min="15889" max="16127" width="10.6640625" style="2"/>
    <col min="16128" max="16128" width="13.1640625" style="2" customWidth="1"/>
    <col min="16129" max="16129" width="79" style="2" customWidth="1"/>
    <col min="16130" max="16130" width="3.83203125" style="2" customWidth="1"/>
    <col min="16131" max="16143" width="12.5" style="2" customWidth="1"/>
    <col min="16144" max="16144" width="8.5" style="2" customWidth="1"/>
    <col min="16145" max="16384" width="10.6640625" style="2"/>
  </cols>
  <sheetData>
    <row r="1" spans="1:19" ht="13.5" thickBot="1" x14ac:dyDescent="0.25">
      <c r="A1" s="338" t="s">
        <v>25</v>
      </c>
      <c r="B1" s="337">
        <v>3</v>
      </c>
      <c r="C1" s="336"/>
      <c r="D1" s="335"/>
      <c r="E1" s="328"/>
      <c r="F1" s="328"/>
      <c r="G1" s="328"/>
      <c r="H1" s="328"/>
      <c r="I1" s="328"/>
      <c r="J1" s="328"/>
      <c r="K1" s="328"/>
      <c r="L1" s="328"/>
      <c r="M1" s="328"/>
      <c r="N1" s="328"/>
      <c r="O1" s="328"/>
      <c r="P1" s="328"/>
    </row>
    <row r="2" spans="1:19" ht="13.5" thickTop="1" x14ac:dyDescent="0.2">
      <c r="A2" s="334" t="str">
        <f t="shared" ref="A2:A12" si="0">CONCATENATE($B$1,"|",B2)</f>
        <v>3|1</v>
      </c>
      <c r="B2" s="326">
        <v>1</v>
      </c>
      <c r="C2" s="321" t="s">
        <v>87</v>
      </c>
      <c r="D2" s="320">
        <v>1</v>
      </c>
      <c r="E2" s="324">
        <v>50</v>
      </c>
      <c r="F2" s="324">
        <v>50</v>
      </c>
      <c r="G2" s="324"/>
      <c r="H2" s="324"/>
      <c r="I2" s="324"/>
      <c r="J2" s="325"/>
      <c r="K2" s="325"/>
      <c r="L2" s="325"/>
      <c r="M2" s="325"/>
      <c r="N2" s="325"/>
      <c r="O2" s="325"/>
      <c r="P2" s="325"/>
      <c r="S2" s="2">
        <f t="shared" ref="S2:S12" si="1">SUM(E2:P2)</f>
        <v>100</v>
      </c>
    </row>
    <row r="3" spans="1:19" x14ac:dyDescent="0.2">
      <c r="A3" s="323" t="str">
        <f t="shared" si="0"/>
        <v>3|2</v>
      </c>
      <c r="B3" s="322" t="s">
        <v>44</v>
      </c>
      <c r="C3" s="321" t="s">
        <v>83</v>
      </c>
      <c r="D3" s="320">
        <v>2</v>
      </c>
      <c r="E3" s="324">
        <v>50</v>
      </c>
      <c r="F3" s="324">
        <v>50</v>
      </c>
      <c r="G3" s="324"/>
      <c r="H3" s="324"/>
      <c r="I3" s="324"/>
      <c r="J3" s="318"/>
      <c r="K3" s="318"/>
      <c r="L3" s="318"/>
      <c r="M3" s="318"/>
      <c r="N3" s="318"/>
      <c r="O3" s="318"/>
      <c r="P3" s="318"/>
      <c r="S3" s="2">
        <f t="shared" si="1"/>
        <v>100</v>
      </c>
    </row>
    <row r="4" spans="1:19" x14ac:dyDescent="0.2">
      <c r="A4" s="323" t="str">
        <f t="shared" si="0"/>
        <v>3|3</v>
      </c>
      <c r="B4" s="322" t="s">
        <v>48</v>
      </c>
      <c r="C4" s="321" t="s">
        <v>88</v>
      </c>
      <c r="D4" s="320">
        <v>3</v>
      </c>
      <c r="E4" s="319">
        <v>25</v>
      </c>
      <c r="F4" s="319">
        <v>60</v>
      </c>
      <c r="G4" s="319">
        <v>15</v>
      </c>
      <c r="H4" s="319"/>
      <c r="I4" s="319"/>
      <c r="J4" s="318"/>
      <c r="K4" s="318"/>
      <c r="L4" s="318"/>
      <c r="M4" s="318"/>
      <c r="N4" s="318"/>
      <c r="O4" s="318"/>
      <c r="P4" s="318"/>
      <c r="S4" s="2">
        <f t="shared" si="1"/>
        <v>100</v>
      </c>
    </row>
    <row r="5" spans="1:19" x14ac:dyDescent="0.2">
      <c r="A5" s="323" t="str">
        <f t="shared" si="0"/>
        <v>3|4</v>
      </c>
      <c r="B5" s="322" t="s">
        <v>50</v>
      </c>
      <c r="C5" s="321" t="s">
        <v>84</v>
      </c>
      <c r="D5" s="320">
        <v>4</v>
      </c>
      <c r="E5" s="319"/>
      <c r="F5" s="319">
        <v>50</v>
      </c>
      <c r="G5" s="319">
        <v>50</v>
      </c>
      <c r="H5" s="319"/>
      <c r="I5" s="319"/>
      <c r="J5" s="318"/>
      <c r="K5" s="318"/>
      <c r="L5" s="318"/>
      <c r="M5" s="318"/>
      <c r="N5" s="318"/>
      <c r="O5" s="318"/>
      <c r="P5" s="318"/>
      <c r="S5" s="2">
        <f t="shared" si="1"/>
        <v>100</v>
      </c>
    </row>
    <row r="6" spans="1:19" x14ac:dyDescent="0.2">
      <c r="A6" s="323" t="str">
        <f t="shared" si="0"/>
        <v>3|5</v>
      </c>
      <c r="B6" s="322" t="s">
        <v>43</v>
      </c>
      <c r="C6" s="321" t="s">
        <v>85</v>
      </c>
      <c r="D6" s="320">
        <v>5</v>
      </c>
      <c r="E6" s="319">
        <v>20</v>
      </c>
      <c r="F6" s="319">
        <v>50</v>
      </c>
      <c r="G6" s="319">
        <v>30</v>
      </c>
      <c r="H6" s="319"/>
      <c r="I6" s="319"/>
      <c r="J6" s="318"/>
      <c r="K6" s="318"/>
      <c r="L6" s="318"/>
      <c r="M6" s="318"/>
      <c r="N6" s="318"/>
      <c r="O6" s="318"/>
      <c r="P6" s="318"/>
      <c r="S6" s="2">
        <f t="shared" si="1"/>
        <v>100</v>
      </c>
    </row>
    <row r="7" spans="1:19" x14ac:dyDescent="0.2">
      <c r="A7" s="323" t="str">
        <f t="shared" si="0"/>
        <v>3|6</v>
      </c>
      <c r="B7" s="322" t="s">
        <v>51</v>
      </c>
      <c r="C7" s="321" t="s">
        <v>89</v>
      </c>
      <c r="D7" s="320">
        <v>3</v>
      </c>
      <c r="E7" s="319"/>
      <c r="F7" s="319">
        <v>50</v>
      </c>
      <c r="G7" s="319">
        <v>50</v>
      </c>
      <c r="H7" s="319"/>
      <c r="I7" s="319"/>
      <c r="J7" s="318"/>
      <c r="K7" s="318"/>
      <c r="L7" s="318"/>
      <c r="M7" s="318"/>
      <c r="N7" s="318"/>
      <c r="O7" s="318"/>
      <c r="P7" s="318"/>
      <c r="S7" s="2">
        <f t="shared" si="1"/>
        <v>100</v>
      </c>
    </row>
    <row r="8" spans="1:19" x14ac:dyDescent="0.2">
      <c r="A8" s="323" t="str">
        <f t="shared" si="0"/>
        <v>3|7</v>
      </c>
      <c r="B8" s="322" t="s">
        <v>78</v>
      </c>
      <c r="C8" s="321" t="s">
        <v>90</v>
      </c>
      <c r="D8" s="320">
        <v>5</v>
      </c>
      <c r="E8" s="319"/>
      <c r="F8" s="319">
        <v>20</v>
      </c>
      <c r="G8" s="319">
        <v>80</v>
      </c>
      <c r="H8" s="319"/>
      <c r="I8" s="319"/>
      <c r="J8" s="318"/>
      <c r="K8" s="318"/>
      <c r="L8" s="318"/>
      <c r="M8" s="318"/>
      <c r="N8" s="318"/>
      <c r="O8" s="318"/>
      <c r="P8" s="318"/>
      <c r="S8" s="2">
        <f t="shared" si="1"/>
        <v>100</v>
      </c>
    </row>
    <row r="9" spans="1:19" x14ac:dyDescent="0.2">
      <c r="A9" s="323" t="str">
        <f t="shared" si="0"/>
        <v>3|8</v>
      </c>
      <c r="B9" s="322" t="s">
        <v>64</v>
      </c>
      <c r="C9" s="321" t="s">
        <v>91</v>
      </c>
      <c r="D9" s="320">
        <v>6</v>
      </c>
      <c r="E9" s="319"/>
      <c r="F9" s="319">
        <v>50</v>
      </c>
      <c r="G9" s="319">
        <v>50</v>
      </c>
      <c r="H9" s="319"/>
      <c r="I9" s="319"/>
      <c r="J9" s="318"/>
      <c r="K9" s="318"/>
      <c r="L9" s="318"/>
      <c r="M9" s="318"/>
      <c r="N9" s="318"/>
      <c r="O9" s="318"/>
      <c r="P9" s="318"/>
      <c r="S9" s="2">
        <f t="shared" si="1"/>
        <v>100</v>
      </c>
    </row>
    <row r="10" spans="1:19" x14ac:dyDescent="0.2">
      <c r="A10" s="323" t="str">
        <f t="shared" si="0"/>
        <v>3|9</v>
      </c>
      <c r="B10" s="322" t="s">
        <v>92</v>
      </c>
      <c r="C10" s="321" t="s">
        <v>93</v>
      </c>
      <c r="D10" s="320">
        <v>6</v>
      </c>
      <c r="E10" s="319">
        <v>30</v>
      </c>
      <c r="F10" s="319">
        <v>40</v>
      </c>
      <c r="G10" s="319">
        <v>30</v>
      </c>
      <c r="H10" s="319"/>
      <c r="I10" s="319"/>
      <c r="J10" s="318"/>
      <c r="K10" s="318"/>
      <c r="L10" s="318"/>
      <c r="M10" s="318"/>
      <c r="N10" s="318"/>
      <c r="O10" s="318"/>
      <c r="P10" s="318"/>
      <c r="S10" s="2">
        <f t="shared" si="1"/>
        <v>100</v>
      </c>
    </row>
    <row r="11" spans="1:19" x14ac:dyDescent="0.2">
      <c r="A11" s="323" t="str">
        <f t="shared" si="0"/>
        <v>3|10</v>
      </c>
      <c r="B11" s="322" t="s">
        <v>94</v>
      </c>
      <c r="C11" s="321" t="s">
        <v>86</v>
      </c>
      <c r="D11" s="320"/>
      <c r="E11" s="319">
        <v>60</v>
      </c>
      <c r="F11" s="319">
        <v>40</v>
      </c>
      <c r="G11" s="319"/>
      <c r="H11" s="319"/>
      <c r="I11" s="319"/>
      <c r="J11" s="318"/>
      <c r="K11" s="318"/>
      <c r="L11" s="318"/>
      <c r="M11" s="318"/>
      <c r="N11" s="318"/>
      <c r="O11" s="318"/>
      <c r="P11" s="318"/>
      <c r="S11" s="2">
        <f t="shared" si="1"/>
        <v>100</v>
      </c>
    </row>
    <row r="12" spans="1:19" x14ac:dyDescent="0.2">
      <c r="A12" s="323" t="str">
        <f t="shared" si="0"/>
        <v>3|11</v>
      </c>
      <c r="B12" s="322" t="s">
        <v>103</v>
      </c>
      <c r="C12" s="321" t="s">
        <v>120</v>
      </c>
      <c r="D12" s="320"/>
      <c r="E12" s="319">
        <v>15</v>
      </c>
      <c r="F12" s="319">
        <v>60</v>
      </c>
      <c r="G12" s="319">
        <v>25</v>
      </c>
      <c r="H12" s="319"/>
      <c r="I12" s="319"/>
      <c r="J12" s="318"/>
      <c r="K12" s="318"/>
      <c r="L12" s="318"/>
      <c r="M12" s="318"/>
      <c r="N12" s="318"/>
      <c r="O12" s="318"/>
      <c r="P12" s="318"/>
      <c r="S12" s="2">
        <f t="shared" si="1"/>
        <v>100</v>
      </c>
    </row>
    <row r="13" spans="1:19" ht="5.45" customHeight="1" x14ac:dyDescent="0.2"/>
    <row r="14" spans="1:19" ht="13.5" thickBot="1" x14ac:dyDescent="0.25">
      <c r="A14" s="332" t="s">
        <v>25</v>
      </c>
      <c r="B14" s="331">
        <v>4</v>
      </c>
      <c r="C14" s="330"/>
      <c r="D14" s="329"/>
      <c r="E14" s="328"/>
      <c r="F14" s="328"/>
      <c r="G14" s="328"/>
      <c r="H14" s="328"/>
      <c r="I14" s="328"/>
      <c r="J14" s="328"/>
      <c r="K14" s="328"/>
      <c r="L14" s="328"/>
      <c r="M14" s="328"/>
      <c r="N14" s="328"/>
      <c r="O14" s="328"/>
      <c r="P14" s="328"/>
    </row>
    <row r="15" spans="1:19" ht="13.5" thickTop="1" x14ac:dyDescent="0.2">
      <c r="A15" s="327" t="str">
        <f t="shared" ref="A15:A25" si="2">CONCATENATE($B$14,"|",B15)</f>
        <v>4|1</v>
      </c>
      <c r="B15" s="326">
        <v>1</v>
      </c>
      <c r="C15" s="321" t="s">
        <v>87</v>
      </c>
      <c r="D15" s="320">
        <v>1</v>
      </c>
      <c r="E15" s="324">
        <v>45</v>
      </c>
      <c r="F15" s="324">
        <v>45</v>
      </c>
      <c r="G15" s="324">
        <v>10</v>
      </c>
      <c r="H15" s="324"/>
      <c r="I15" s="324"/>
      <c r="J15" s="325"/>
      <c r="K15" s="325"/>
      <c r="L15" s="325"/>
      <c r="M15" s="325"/>
      <c r="N15" s="325"/>
      <c r="O15" s="325"/>
      <c r="P15" s="325"/>
      <c r="S15" s="2">
        <f t="shared" ref="S15:S25" si="3">SUM(E15:P15)</f>
        <v>100</v>
      </c>
    </row>
    <row r="16" spans="1:19" x14ac:dyDescent="0.2">
      <c r="A16" s="323" t="str">
        <f t="shared" si="2"/>
        <v>4|2</v>
      </c>
      <c r="B16" s="322" t="s">
        <v>44</v>
      </c>
      <c r="C16" s="321" t="s">
        <v>83</v>
      </c>
      <c r="D16" s="320">
        <v>2</v>
      </c>
      <c r="E16" s="324">
        <v>40</v>
      </c>
      <c r="F16" s="324">
        <v>40</v>
      </c>
      <c r="G16" s="324">
        <v>20</v>
      </c>
      <c r="H16" s="324"/>
      <c r="I16" s="324"/>
      <c r="J16" s="318"/>
      <c r="K16" s="318"/>
      <c r="L16" s="318"/>
      <c r="M16" s="318"/>
      <c r="N16" s="318"/>
      <c r="O16" s="318"/>
      <c r="P16" s="318"/>
      <c r="S16" s="2">
        <f t="shared" si="3"/>
        <v>100</v>
      </c>
    </row>
    <row r="17" spans="1:19" x14ac:dyDescent="0.2">
      <c r="A17" s="323" t="str">
        <f t="shared" si="2"/>
        <v>4|3</v>
      </c>
      <c r="B17" s="322" t="s">
        <v>48</v>
      </c>
      <c r="C17" s="321" t="s">
        <v>88</v>
      </c>
      <c r="D17" s="320">
        <v>3</v>
      </c>
      <c r="E17" s="319">
        <v>20</v>
      </c>
      <c r="F17" s="319">
        <v>35</v>
      </c>
      <c r="G17" s="319">
        <v>35</v>
      </c>
      <c r="H17" s="319">
        <v>10</v>
      </c>
      <c r="I17" s="319"/>
      <c r="J17" s="318"/>
      <c r="K17" s="318"/>
      <c r="L17" s="318"/>
      <c r="M17" s="318"/>
      <c r="N17" s="318"/>
      <c r="O17" s="318"/>
      <c r="P17" s="318"/>
      <c r="S17" s="2">
        <f t="shared" si="3"/>
        <v>100</v>
      </c>
    </row>
    <row r="18" spans="1:19" x14ac:dyDescent="0.2">
      <c r="A18" s="323" t="str">
        <f t="shared" si="2"/>
        <v>4|4</v>
      </c>
      <c r="B18" s="322" t="s">
        <v>50</v>
      </c>
      <c r="C18" s="321" t="s">
        <v>84</v>
      </c>
      <c r="D18" s="320">
        <v>4</v>
      </c>
      <c r="E18" s="319"/>
      <c r="F18" s="319">
        <v>35</v>
      </c>
      <c r="G18" s="319">
        <v>35</v>
      </c>
      <c r="H18" s="319">
        <v>30</v>
      </c>
      <c r="I18" s="319"/>
      <c r="J18" s="318"/>
      <c r="K18" s="318"/>
      <c r="L18" s="318"/>
      <c r="M18" s="318"/>
      <c r="N18" s="318"/>
      <c r="O18" s="318"/>
      <c r="P18" s="318"/>
      <c r="S18" s="2">
        <f t="shared" si="3"/>
        <v>100</v>
      </c>
    </row>
    <row r="19" spans="1:19" x14ac:dyDescent="0.2">
      <c r="A19" s="323" t="str">
        <f t="shared" si="2"/>
        <v>4|5</v>
      </c>
      <c r="B19" s="322" t="s">
        <v>43</v>
      </c>
      <c r="C19" s="321" t="s">
        <v>85</v>
      </c>
      <c r="D19" s="320">
        <v>5</v>
      </c>
      <c r="E19" s="319">
        <v>10</v>
      </c>
      <c r="F19" s="319">
        <v>35</v>
      </c>
      <c r="G19" s="319">
        <v>35</v>
      </c>
      <c r="H19" s="319">
        <v>20</v>
      </c>
      <c r="I19" s="319"/>
      <c r="J19" s="318"/>
      <c r="K19" s="318"/>
      <c r="L19" s="318"/>
      <c r="M19" s="318"/>
      <c r="N19" s="318"/>
      <c r="O19" s="318"/>
      <c r="P19" s="318"/>
      <c r="S19" s="2">
        <f t="shared" si="3"/>
        <v>100</v>
      </c>
    </row>
    <row r="20" spans="1:19" x14ac:dyDescent="0.2">
      <c r="A20" s="323" t="str">
        <f t="shared" si="2"/>
        <v>4|6</v>
      </c>
      <c r="B20" s="322" t="s">
        <v>51</v>
      </c>
      <c r="C20" s="321" t="s">
        <v>89</v>
      </c>
      <c r="D20" s="320">
        <v>3</v>
      </c>
      <c r="E20" s="319"/>
      <c r="F20" s="319">
        <v>35</v>
      </c>
      <c r="G20" s="319">
        <v>35</v>
      </c>
      <c r="H20" s="319">
        <v>30</v>
      </c>
      <c r="I20" s="319"/>
      <c r="J20" s="318"/>
      <c r="K20" s="318"/>
      <c r="L20" s="318"/>
      <c r="M20" s="318"/>
      <c r="N20" s="318"/>
      <c r="O20" s="318"/>
      <c r="P20" s="318"/>
      <c r="S20" s="2">
        <f t="shared" si="3"/>
        <v>100</v>
      </c>
    </row>
    <row r="21" spans="1:19" x14ac:dyDescent="0.2">
      <c r="A21" s="323" t="str">
        <f t="shared" si="2"/>
        <v>4|7</v>
      </c>
      <c r="B21" s="322" t="s">
        <v>78</v>
      </c>
      <c r="C21" s="321" t="s">
        <v>90</v>
      </c>
      <c r="D21" s="320">
        <v>5</v>
      </c>
      <c r="E21" s="319"/>
      <c r="F21" s="319">
        <v>15</v>
      </c>
      <c r="G21" s="319">
        <v>60</v>
      </c>
      <c r="H21" s="319">
        <v>25</v>
      </c>
      <c r="I21" s="319"/>
      <c r="J21" s="318"/>
      <c r="K21" s="318"/>
      <c r="L21" s="318"/>
      <c r="M21" s="318"/>
      <c r="N21" s="318"/>
      <c r="O21" s="318"/>
      <c r="P21" s="318"/>
      <c r="S21" s="2">
        <f t="shared" si="3"/>
        <v>100</v>
      </c>
    </row>
    <row r="22" spans="1:19" x14ac:dyDescent="0.2">
      <c r="A22" s="323" t="str">
        <f t="shared" si="2"/>
        <v>4|8</v>
      </c>
      <c r="B22" s="322" t="s">
        <v>64</v>
      </c>
      <c r="C22" s="321" t="s">
        <v>91</v>
      </c>
      <c r="D22" s="320">
        <v>6</v>
      </c>
      <c r="E22" s="319"/>
      <c r="F22" s="319">
        <v>30</v>
      </c>
      <c r="G22" s="319">
        <v>40</v>
      </c>
      <c r="H22" s="319">
        <v>30</v>
      </c>
      <c r="I22" s="319"/>
      <c r="J22" s="318"/>
      <c r="K22" s="318"/>
      <c r="L22" s="318"/>
      <c r="M22" s="318"/>
      <c r="N22" s="318"/>
      <c r="O22" s="318"/>
      <c r="P22" s="318"/>
      <c r="S22" s="2">
        <f t="shared" si="3"/>
        <v>100</v>
      </c>
    </row>
    <row r="23" spans="1:19" x14ac:dyDescent="0.2">
      <c r="A23" s="323" t="str">
        <f t="shared" si="2"/>
        <v>4|9</v>
      </c>
      <c r="B23" s="322" t="s">
        <v>92</v>
      </c>
      <c r="C23" s="321" t="s">
        <v>93</v>
      </c>
      <c r="D23" s="320">
        <v>6</v>
      </c>
      <c r="E23" s="319">
        <v>10</v>
      </c>
      <c r="F23" s="319">
        <v>35</v>
      </c>
      <c r="G23" s="319">
        <v>35</v>
      </c>
      <c r="H23" s="319">
        <v>20</v>
      </c>
      <c r="I23" s="319"/>
      <c r="J23" s="318"/>
      <c r="K23" s="318"/>
      <c r="L23" s="318"/>
      <c r="M23" s="318"/>
      <c r="N23" s="318"/>
      <c r="O23" s="318"/>
      <c r="P23" s="318"/>
      <c r="S23" s="2">
        <f t="shared" si="3"/>
        <v>100</v>
      </c>
    </row>
    <row r="24" spans="1:19" x14ac:dyDescent="0.2">
      <c r="A24" s="323" t="str">
        <f t="shared" si="2"/>
        <v>4|10</v>
      </c>
      <c r="B24" s="322" t="s">
        <v>94</v>
      </c>
      <c r="C24" s="321" t="s">
        <v>86</v>
      </c>
      <c r="D24" s="320"/>
      <c r="E24" s="319">
        <v>40</v>
      </c>
      <c r="F24" s="319">
        <v>40</v>
      </c>
      <c r="G24" s="319">
        <v>20</v>
      </c>
      <c r="H24" s="319"/>
      <c r="I24" s="319"/>
      <c r="J24" s="318"/>
      <c r="K24" s="318"/>
      <c r="L24" s="318"/>
      <c r="M24" s="318"/>
      <c r="N24" s="318"/>
      <c r="O24" s="318"/>
      <c r="P24" s="318"/>
      <c r="S24" s="2">
        <f t="shared" si="3"/>
        <v>100</v>
      </c>
    </row>
    <row r="25" spans="1:19" x14ac:dyDescent="0.2">
      <c r="A25" s="333" t="str">
        <f t="shared" si="2"/>
        <v>4|11</v>
      </c>
      <c r="B25" s="322" t="s">
        <v>103</v>
      </c>
      <c r="C25" s="321" t="s">
        <v>120</v>
      </c>
      <c r="D25" s="320"/>
      <c r="E25" s="319">
        <v>10</v>
      </c>
      <c r="F25" s="319">
        <v>35</v>
      </c>
      <c r="G25" s="319">
        <v>35</v>
      </c>
      <c r="H25" s="319">
        <v>20</v>
      </c>
      <c r="I25" s="319"/>
      <c r="J25" s="318"/>
      <c r="K25" s="318"/>
      <c r="L25" s="318"/>
      <c r="M25" s="318"/>
      <c r="N25" s="318"/>
      <c r="O25" s="318"/>
      <c r="P25" s="318"/>
      <c r="S25" s="2">
        <f t="shared" si="3"/>
        <v>100</v>
      </c>
    </row>
    <row r="26" spans="1:19" ht="5.45" customHeight="1" x14ac:dyDescent="0.2"/>
    <row r="27" spans="1:19" ht="13.5" thickBot="1" x14ac:dyDescent="0.25">
      <c r="A27" s="332" t="s">
        <v>25</v>
      </c>
      <c r="B27" s="331">
        <v>5</v>
      </c>
      <c r="C27" s="330"/>
      <c r="D27" s="329"/>
      <c r="E27" s="328"/>
      <c r="F27" s="328"/>
      <c r="G27" s="328"/>
      <c r="H27" s="328"/>
      <c r="I27" s="328"/>
      <c r="J27" s="328"/>
      <c r="K27" s="328"/>
      <c r="L27" s="328"/>
      <c r="M27" s="328"/>
      <c r="N27" s="328"/>
      <c r="O27" s="328"/>
      <c r="P27" s="328"/>
    </row>
    <row r="28" spans="1:19" ht="13.5" thickTop="1" x14ac:dyDescent="0.2">
      <c r="A28" s="327" t="str">
        <f t="shared" ref="A28:A38" si="4">CONCATENATE($B$27,"|",B28)</f>
        <v>5|1</v>
      </c>
      <c r="B28" s="326">
        <v>1</v>
      </c>
      <c r="C28" s="321" t="s">
        <v>87</v>
      </c>
      <c r="D28" s="320">
        <v>1</v>
      </c>
      <c r="E28" s="324">
        <v>40</v>
      </c>
      <c r="F28" s="324">
        <v>30</v>
      </c>
      <c r="G28" s="324">
        <v>25</v>
      </c>
      <c r="H28" s="324">
        <v>5</v>
      </c>
      <c r="I28" s="324"/>
      <c r="J28" s="325"/>
      <c r="K28" s="325"/>
      <c r="L28" s="325"/>
      <c r="M28" s="325"/>
      <c r="N28" s="325"/>
      <c r="O28" s="325"/>
      <c r="P28" s="325"/>
      <c r="S28" s="2">
        <f t="shared" ref="S28:S38" si="5">SUM(E28:P28)</f>
        <v>100</v>
      </c>
    </row>
    <row r="29" spans="1:19" x14ac:dyDescent="0.2">
      <c r="A29" s="323" t="str">
        <f t="shared" si="4"/>
        <v>5|2</v>
      </c>
      <c r="B29" s="322" t="s">
        <v>44</v>
      </c>
      <c r="C29" s="321" t="s">
        <v>83</v>
      </c>
      <c r="D29" s="320">
        <v>2</v>
      </c>
      <c r="E29" s="324">
        <v>30</v>
      </c>
      <c r="F29" s="324">
        <v>30</v>
      </c>
      <c r="G29" s="324">
        <v>30</v>
      </c>
      <c r="H29" s="324">
        <v>10</v>
      </c>
      <c r="I29" s="324"/>
      <c r="J29" s="318"/>
      <c r="K29" s="318"/>
      <c r="L29" s="318"/>
      <c r="M29" s="318"/>
      <c r="N29" s="318"/>
      <c r="O29" s="318"/>
      <c r="P29" s="318"/>
      <c r="S29" s="2">
        <f t="shared" si="5"/>
        <v>100</v>
      </c>
    </row>
    <row r="30" spans="1:19" x14ac:dyDescent="0.2">
      <c r="A30" s="323" t="str">
        <f t="shared" si="4"/>
        <v>5|3</v>
      </c>
      <c r="B30" s="322" t="s">
        <v>48</v>
      </c>
      <c r="C30" s="321" t="s">
        <v>88</v>
      </c>
      <c r="D30" s="320">
        <v>3</v>
      </c>
      <c r="E30" s="319">
        <v>10</v>
      </c>
      <c r="F30" s="319">
        <v>30</v>
      </c>
      <c r="G30" s="319">
        <v>30</v>
      </c>
      <c r="H30" s="319">
        <v>25</v>
      </c>
      <c r="I30" s="319">
        <v>5</v>
      </c>
      <c r="J30" s="318"/>
      <c r="K30" s="318"/>
      <c r="L30" s="318"/>
      <c r="M30" s="318"/>
      <c r="N30" s="318"/>
      <c r="O30" s="318"/>
      <c r="P30" s="318"/>
      <c r="S30" s="2">
        <f t="shared" si="5"/>
        <v>100</v>
      </c>
    </row>
    <row r="31" spans="1:19" x14ac:dyDescent="0.2">
      <c r="A31" s="323" t="str">
        <f t="shared" si="4"/>
        <v>5|4</v>
      </c>
      <c r="B31" s="322" t="s">
        <v>50</v>
      </c>
      <c r="C31" s="321" t="s">
        <v>84</v>
      </c>
      <c r="D31" s="320">
        <v>4</v>
      </c>
      <c r="E31" s="319"/>
      <c r="F31" s="319">
        <v>15</v>
      </c>
      <c r="G31" s="319">
        <v>30</v>
      </c>
      <c r="H31" s="319">
        <v>30</v>
      </c>
      <c r="I31" s="319">
        <v>25</v>
      </c>
      <c r="J31" s="318"/>
      <c r="K31" s="318"/>
      <c r="L31" s="318"/>
      <c r="M31" s="318"/>
      <c r="N31" s="318"/>
      <c r="O31" s="318"/>
      <c r="P31" s="318"/>
      <c r="S31" s="2">
        <f t="shared" si="5"/>
        <v>100</v>
      </c>
    </row>
    <row r="32" spans="1:19" x14ac:dyDescent="0.2">
      <c r="A32" s="323" t="str">
        <f t="shared" si="4"/>
        <v>5|5</v>
      </c>
      <c r="B32" s="322" t="s">
        <v>43</v>
      </c>
      <c r="C32" s="321" t="s">
        <v>85</v>
      </c>
      <c r="D32" s="320">
        <v>5</v>
      </c>
      <c r="E32" s="319"/>
      <c r="F32" s="319">
        <v>25</v>
      </c>
      <c r="G32" s="319">
        <v>35</v>
      </c>
      <c r="H32" s="319">
        <v>35</v>
      </c>
      <c r="I32" s="319">
        <v>5</v>
      </c>
      <c r="J32" s="318"/>
      <c r="K32" s="318"/>
      <c r="L32" s="318"/>
      <c r="M32" s="318"/>
      <c r="N32" s="318"/>
      <c r="O32" s="318"/>
      <c r="P32" s="318"/>
      <c r="S32" s="2">
        <f t="shared" si="5"/>
        <v>100</v>
      </c>
    </row>
    <row r="33" spans="1:19" x14ac:dyDescent="0.2">
      <c r="A33" s="323" t="str">
        <f t="shared" si="4"/>
        <v>5|6</v>
      </c>
      <c r="B33" s="322" t="s">
        <v>51</v>
      </c>
      <c r="C33" s="321" t="s">
        <v>89</v>
      </c>
      <c r="D33" s="320">
        <v>3</v>
      </c>
      <c r="E33" s="319"/>
      <c r="F33" s="319">
        <v>5</v>
      </c>
      <c r="G33" s="319">
        <v>40</v>
      </c>
      <c r="H33" s="319">
        <v>30</v>
      </c>
      <c r="I33" s="319">
        <v>25</v>
      </c>
      <c r="J33" s="318"/>
      <c r="K33" s="318"/>
      <c r="L33" s="318"/>
      <c r="M33" s="318"/>
      <c r="N33" s="318"/>
      <c r="O33" s="318"/>
      <c r="P33" s="318"/>
      <c r="S33" s="2">
        <f t="shared" si="5"/>
        <v>100</v>
      </c>
    </row>
    <row r="34" spans="1:19" x14ac:dyDescent="0.2">
      <c r="A34" s="323" t="str">
        <f t="shared" si="4"/>
        <v>5|7</v>
      </c>
      <c r="B34" s="322" t="s">
        <v>78</v>
      </c>
      <c r="C34" s="321" t="s">
        <v>90</v>
      </c>
      <c r="D34" s="320">
        <v>5</v>
      </c>
      <c r="E34" s="319"/>
      <c r="F34" s="319">
        <v>10</v>
      </c>
      <c r="G34" s="319">
        <v>35</v>
      </c>
      <c r="H34" s="319">
        <v>35</v>
      </c>
      <c r="I34" s="319">
        <v>20</v>
      </c>
      <c r="J34" s="318"/>
      <c r="K34" s="318"/>
      <c r="L34" s="318"/>
      <c r="M34" s="318"/>
      <c r="N34" s="318"/>
      <c r="O34" s="318"/>
      <c r="P34" s="318"/>
      <c r="S34" s="2">
        <f t="shared" si="5"/>
        <v>100</v>
      </c>
    </row>
    <row r="35" spans="1:19" x14ac:dyDescent="0.2">
      <c r="A35" s="323" t="str">
        <f t="shared" si="4"/>
        <v>5|8</v>
      </c>
      <c r="B35" s="322" t="s">
        <v>64</v>
      </c>
      <c r="C35" s="321" t="s">
        <v>91</v>
      </c>
      <c r="D35" s="320">
        <v>6</v>
      </c>
      <c r="E35" s="319"/>
      <c r="F35" s="319">
        <v>10</v>
      </c>
      <c r="G35" s="319">
        <v>35</v>
      </c>
      <c r="H35" s="319">
        <v>35</v>
      </c>
      <c r="I35" s="319">
        <v>20</v>
      </c>
      <c r="J35" s="318"/>
      <c r="K35" s="318"/>
      <c r="L35" s="318"/>
      <c r="M35" s="318"/>
      <c r="N35" s="318"/>
      <c r="O35" s="318"/>
      <c r="P35" s="318"/>
      <c r="S35" s="2">
        <f t="shared" si="5"/>
        <v>100</v>
      </c>
    </row>
    <row r="36" spans="1:19" x14ac:dyDescent="0.2">
      <c r="A36" s="323" t="str">
        <f t="shared" si="4"/>
        <v>5|9</v>
      </c>
      <c r="B36" s="322" t="s">
        <v>92</v>
      </c>
      <c r="C36" s="321" t="s">
        <v>93</v>
      </c>
      <c r="D36" s="320">
        <v>6</v>
      </c>
      <c r="E36" s="319">
        <v>5</v>
      </c>
      <c r="F36" s="319">
        <v>25</v>
      </c>
      <c r="G36" s="319">
        <v>25</v>
      </c>
      <c r="H36" s="319">
        <v>25</v>
      </c>
      <c r="I36" s="319">
        <v>20</v>
      </c>
      <c r="J36" s="318"/>
      <c r="K36" s="318"/>
      <c r="L36" s="318"/>
      <c r="M36" s="318"/>
      <c r="N36" s="318"/>
      <c r="O36" s="318"/>
      <c r="P36" s="318"/>
      <c r="S36" s="2">
        <f t="shared" si="5"/>
        <v>100</v>
      </c>
    </row>
    <row r="37" spans="1:19" x14ac:dyDescent="0.2">
      <c r="A37" s="323" t="str">
        <f t="shared" si="4"/>
        <v>5|10</v>
      </c>
      <c r="B37" s="322" t="s">
        <v>94</v>
      </c>
      <c r="C37" s="321" t="s">
        <v>86</v>
      </c>
      <c r="D37" s="320"/>
      <c r="E37" s="319">
        <v>25</v>
      </c>
      <c r="F37" s="319">
        <v>30</v>
      </c>
      <c r="G37" s="319">
        <v>30</v>
      </c>
      <c r="H37" s="319">
        <v>15</v>
      </c>
      <c r="I37" s="319"/>
      <c r="J37" s="318"/>
      <c r="K37" s="318"/>
      <c r="L37" s="318"/>
      <c r="M37" s="318"/>
      <c r="N37" s="318"/>
      <c r="O37" s="318"/>
      <c r="P37" s="318"/>
      <c r="S37" s="2">
        <f t="shared" si="5"/>
        <v>100</v>
      </c>
    </row>
    <row r="38" spans="1:19" x14ac:dyDescent="0.2">
      <c r="A38" s="323" t="str">
        <f t="shared" si="4"/>
        <v>5|11</v>
      </c>
      <c r="B38" s="322" t="s">
        <v>103</v>
      </c>
      <c r="C38" s="321" t="s">
        <v>120</v>
      </c>
      <c r="D38" s="320"/>
      <c r="E38" s="319">
        <v>7</v>
      </c>
      <c r="F38" s="319">
        <v>21</v>
      </c>
      <c r="G38" s="319">
        <v>27</v>
      </c>
      <c r="H38" s="319">
        <v>28</v>
      </c>
      <c r="I38" s="319">
        <v>17</v>
      </c>
      <c r="J38" s="318"/>
      <c r="K38" s="318"/>
      <c r="L38" s="318"/>
      <c r="M38" s="318"/>
      <c r="N38" s="318"/>
      <c r="O38" s="318"/>
      <c r="P38" s="318"/>
      <c r="S38" s="2">
        <f t="shared" si="5"/>
        <v>100</v>
      </c>
    </row>
    <row r="39" spans="1:19" ht="5.45" customHeight="1" x14ac:dyDescent="0.2"/>
    <row r="40" spans="1:19" ht="13.5" thickBot="1" x14ac:dyDescent="0.25">
      <c r="A40" s="332" t="s">
        <v>25</v>
      </c>
      <c r="B40" s="331">
        <v>6</v>
      </c>
      <c r="C40" s="330"/>
      <c r="D40" s="329"/>
      <c r="E40" s="328"/>
      <c r="F40" s="328"/>
      <c r="G40" s="328"/>
      <c r="H40" s="328"/>
      <c r="I40" s="328"/>
      <c r="J40" s="328"/>
      <c r="K40" s="328"/>
      <c r="L40" s="328"/>
      <c r="M40" s="328"/>
      <c r="N40" s="328"/>
      <c r="O40" s="328"/>
      <c r="P40" s="328"/>
    </row>
    <row r="41" spans="1:19" ht="13.5" thickTop="1" x14ac:dyDescent="0.2">
      <c r="A41" s="327" t="str">
        <f t="shared" ref="A41:A51" si="6">CONCATENATE($B$40,"|",B41)</f>
        <v>6|1</v>
      </c>
      <c r="B41" s="326">
        <v>1</v>
      </c>
      <c r="C41" s="321" t="s">
        <v>87</v>
      </c>
      <c r="D41" s="320">
        <v>1</v>
      </c>
      <c r="E41" s="324">
        <v>20</v>
      </c>
      <c r="F41" s="324">
        <v>30</v>
      </c>
      <c r="G41" s="324">
        <v>30</v>
      </c>
      <c r="H41" s="324">
        <v>20</v>
      </c>
      <c r="I41" s="324"/>
      <c r="J41" s="325"/>
      <c r="K41" s="325"/>
      <c r="L41" s="325"/>
      <c r="M41" s="325"/>
      <c r="N41" s="325"/>
      <c r="O41" s="325"/>
      <c r="P41" s="325"/>
      <c r="S41" s="2">
        <f t="shared" ref="S41:S51" si="7">SUM(E41:P41)</f>
        <v>100</v>
      </c>
    </row>
    <row r="42" spans="1:19" x14ac:dyDescent="0.2">
      <c r="A42" s="323" t="str">
        <f t="shared" si="6"/>
        <v>6|2</v>
      </c>
      <c r="B42" s="322" t="s">
        <v>44</v>
      </c>
      <c r="C42" s="321" t="s">
        <v>83</v>
      </c>
      <c r="D42" s="320">
        <v>2</v>
      </c>
      <c r="E42" s="324">
        <v>15</v>
      </c>
      <c r="F42" s="324">
        <v>25</v>
      </c>
      <c r="G42" s="324">
        <v>30</v>
      </c>
      <c r="H42" s="324">
        <v>25</v>
      </c>
      <c r="I42" s="324">
        <v>5</v>
      </c>
      <c r="J42" s="318"/>
      <c r="K42" s="318"/>
      <c r="L42" s="318"/>
      <c r="M42" s="318"/>
      <c r="N42" s="318"/>
      <c r="O42" s="318"/>
      <c r="P42" s="318"/>
      <c r="S42" s="2">
        <f t="shared" si="7"/>
        <v>100</v>
      </c>
    </row>
    <row r="43" spans="1:19" x14ac:dyDescent="0.2">
      <c r="A43" s="323" t="str">
        <f t="shared" si="6"/>
        <v>6|3</v>
      </c>
      <c r="B43" s="322" t="s">
        <v>48</v>
      </c>
      <c r="C43" s="321" t="s">
        <v>88</v>
      </c>
      <c r="D43" s="320">
        <v>3</v>
      </c>
      <c r="E43" s="319">
        <v>5</v>
      </c>
      <c r="F43" s="319">
        <v>20</v>
      </c>
      <c r="G43" s="319">
        <v>30</v>
      </c>
      <c r="H43" s="319">
        <v>25</v>
      </c>
      <c r="I43" s="319">
        <v>20</v>
      </c>
      <c r="J43" s="318"/>
      <c r="K43" s="318"/>
      <c r="L43" s="318"/>
      <c r="M43" s="318"/>
      <c r="N43" s="318"/>
      <c r="O43" s="318"/>
      <c r="P43" s="318"/>
      <c r="S43" s="2">
        <f t="shared" si="7"/>
        <v>100</v>
      </c>
    </row>
    <row r="44" spans="1:19" x14ac:dyDescent="0.2">
      <c r="A44" s="323" t="str">
        <f t="shared" si="6"/>
        <v>6|4</v>
      </c>
      <c r="B44" s="322" t="s">
        <v>50</v>
      </c>
      <c r="C44" s="321" t="s">
        <v>84</v>
      </c>
      <c r="D44" s="320">
        <v>4</v>
      </c>
      <c r="E44" s="319"/>
      <c r="F44" s="319">
        <v>5</v>
      </c>
      <c r="G44" s="319">
        <v>20</v>
      </c>
      <c r="H44" s="319">
        <v>30</v>
      </c>
      <c r="I44" s="319">
        <v>25</v>
      </c>
      <c r="J44" s="318">
        <v>20</v>
      </c>
      <c r="K44" s="318"/>
      <c r="L44" s="318"/>
      <c r="M44" s="318"/>
      <c r="N44" s="318"/>
      <c r="O44" s="318"/>
      <c r="P44" s="318"/>
      <c r="S44" s="2">
        <f t="shared" si="7"/>
        <v>100</v>
      </c>
    </row>
    <row r="45" spans="1:19" x14ac:dyDescent="0.2">
      <c r="A45" s="323" t="str">
        <f t="shared" si="6"/>
        <v>6|5</v>
      </c>
      <c r="B45" s="322" t="s">
        <v>43</v>
      </c>
      <c r="C45" s="321" t="s">
        <v>85</v>
      </c>
      <c r="D45" s="320">
        <v>5</v>
      </c>
      <c r="E45" s="319"/>
      <c r="F45" s="319">
        <v>15</v>
      </c>
      <c r="G45" s="319">
        <v>30</v>
      </c>
      <c r="H45" s="319">
        <v>30</v>
      </c>
      <c r="I45" s="319">
        <v>25</v>
      </c>
      <c r="J45" s="318"/>
      <c r="K45" s="318"/>
      <c r="L45" s="318"/>
      <c r="M45" s="318"/>
      <c r="N45" s="318"/>
      <c r="O45" s="318"/>
      <c r="P45" s="318"/>
      <c r="S45" s="2">
        <f t="shared" si="7"/>
        <v>100</v>
      </c>
    </row>
    <row r="46" spans="1:19" x14ac:dyDescent="0.2">
      <c r="A46" s="323" t="str">
        <f t="shared" si="6"/>
        <v>6|6</v>
      </c>
      <c r="B46" s="322" t="s">
        <v>51</v>
      </c>
      <c r="C46" s="321" t="s">
        <v>89</v>
      </c>
      <c r="D46" s="320">
        <v>3</v>
      </c>
      <c r="E46" s="319"/>
      <c r="F46" s="319">
        <v>5</v>
      </c>
      <c r="G46" s="319">
        <v>10</v>
      </c>
      <c r="H46" s="319">
        <v>30</v>
      </c>
      <c r="I46" s="319">
        <v>30</v>
      </c>
      <c r="J46" s="318">
        <v>25</v>
      </c>
      <c r="K46" s="318"/>
      <c r="L46" s="318"/>
      <c r="M46" s="318"/>
      <c r="N46" s="318"/>
      <c r="O46" s="318"/>
      <c r="P46" s="318"/>
      <c r="S46" s="2">
        <f t="shared" si="7"/>
        <v>100</v>
      </c>
    </row>
    <row r="47" spans="1:19" x14ac:dyDescent="0.2">
      <c r="A47" s="323" t="str">
        <f t="shared" si="6"/>
        <v>6|7</v>
      </c>
      <c r="B47" s="322" t="s">
        <v>78</v>
      </c>
      <c r="C47" s="321" t="s">
        <v>90</v>
      </c>
      <c r="D47" s="320">
        <v>5</v>
      </c>
      <c r="E47" s="319"/>
      <c r="F47" s="319"/>
      <c r="G47" s="319">
        <v>20</v>
      </c>
      <c r="H47" s="319">
        <v>20</v>
      </c>
      <c r="I47" s="319">
        <v>30</v>
      </c>
      <c r="J47" s="318">
        <v>30</v>
      </c>
      <c r="K47" s="318"/>
      <c r="L47" s="318"/>
      <c r="M47" s="318"/>
      <c r="N47" s="318"/>
      <c r="O47" s="318"/>
      <c r="P47" s="318"/>
      <c r="S47" s="2">
        <f t="shared" si="7"/>
        <v>100</v>
      </c>
    </row>
    <row r="48" spans="1:19" x14ac:dyDescent="0.2">
      <c r="A48" s="323" t="str">
        <f t="shared" si="6"/>
        <v>6|8</v>
      </c>
      <c r="B48" s="322" t="s">
        <v>64</v>
      </c>
      <c r="C48" s="321" t="s">
        <v>91</v>
      </c>
      <c r="D48" s="320">
        <v>6</v>
      </c>
      <c r="E48" s="319"/>
      <c r="F48" s="319"/>
      <c r="G48" s="319">
        <v>20</v>
      </c>
      <c r="H48" s="319">
        <v>30</v>
      </c>
      <c r="I48" s="319">
        <v>30</v>
      </c>
      <c r="J48" s="318">
        <v>20</v>
      </c>
      <c r="K48" s="318"/>
      <c r="L48" s="318"/>
      <c r="M48" s="318"/>
      <c r="N48" s="318"/>
      <c r="O48" s="318"/>
      <c r="P48" s="318"/>
      <c r="S48" s="2">
        <f t="shared" si="7"/>
        <v>100</v>
      </c>
    </row>
    <row r="49" spans="1:19" x14ac:dyDescent="0.2">
      <c r="A49" s="323" t="str">
        <f t="shared" si="6"/>
        <v>6|9</v>
      </c>
      <c r="B49" s="322" t="s">
        <v>92</v>
      </c>
      <c r="C49" s="321" t="s">
        <v>93</v>
      </c>
      <c r="D49" s="320">
        <v>6</v>
      </c>
      <c r="E49" s="319">
        <v>5</v>
      </c>
      <c r="F49" s="319">
        <v>15</v>
      </c>
      <c r="G49" s="319">
        <v>25</v>
      </c>
      <c r="H49" s="319">
        <v>25</v>
      </c>
      <c r="I49" s="319">
        <v>20</v>
      </c>
      <c r="J49" s="318">
        <v>10</v>
      </c>
      <c r="K49" s="318"/>
      <c r="L49" s="318"/>
      <c r="M49" s="318"/>
      <c r="N49" s="318"/>
      <c r="O49" s="318"/>
      <c r="P49" s="318"/>
      <c r="S49" s="2">
        <f t="shared" si="7"/>
        <v>100</v>
      </c>
    </row>
    <row r="50" spans="1:19" x14ac:dyDescent="0.2">
      <c r="A50" s="323" t="str">
        <f t="shared" si="6"/>
        <v>6|10</v>
      </c>
      <c r="B50" s="322" t="s">
        <v>94</v>
      </c>
      <c r="C50" s="321" t="s">
        <v>86</v>
      </c>
      <c r="D50" s="320"/>
      <c r="E50" s="319">
        <v>20</v>
      </c>
      <c r="F50" s="319">
        <v>30</v>
      </c>
      <c r="G50" s="319">
        <v>30</v>
      </c>
      <c r="H50" s="319">
        <v>15</v>
      </c>
      <c r="I50" s="319">
        <v>5</v>
      </c>
      <c r="J50" s="318"/>
      <c r="K50" s="318"/>
      <c r="L50" s="318"/>
      <c r="M50" s="318"/>
      <c r="N50" s="318"/>
      <c r="O50" s="318"/>
      <c r="P50" s="318"/>
      <c r="S50" s="2">
        <f t="shared" si="7"/>
        <v>100</v>
      </c>
    </row>
    <row r="51" spans="1:19" x14ac:dyDescent="0.2">
      <c r="A51" s="323" t="str">
        <f t="shared" si="6"/>
        <v>6|11</v>
      </c>
      <c r="B51" s="322" t="s">
        <v>103</v>
      </c>
      <c r="C51" s="321" t="s">
        <v>120</v>
      </c>
      <c r="D51" s="320"/>
      <c r="E51" s="319">
        <v>3</v>
      </c>
      <c r="F51" s="319">
        <v>12</v>
      </c>
      <c r="G51" s="319">
        <v>25</v>
      </c>
      <c r="H51" s="319">
        <v>28</v>
      </c>
      <c r="I51" s="319">
        <v>21</v>
      </c>
      <c r="J51" s="318">
        <v>11</v>
      </c>
      <c r="K51" s="318"/>
      <c r="L51" s="318"/>
      <c r="M51" s="318"/>
      <c r="N51" s="318"/>
      <c r="O51" s="318"/>
      <c r="P51" s="318"/>
      <c r="S51" s="2">
        <f t="shared" si="7"/>
        <v>100</v>
      </c>
    </row>
    <row r="52" spans="1:19" ht="5.45" customHeight="1" x14ac:dyDescent="0.2"/>
    <row r="53" spans="1:19" ht="13.5" thickBot="1" x14ac:dyDescent="0.25">
      <c r="A53" s="332" t="s">
        <v>25</v>
      </c>
      <c r="B53" s="331">
        <v>7</v>
      </c>
      <c r="C53" s="330"/>
      <c r="D53" s="329"/>
      <c r="E53" s="328"/>
      <c r="F53" s="328"/>
      <c r="G53" s="328"/>
      <c r="H53" s="328"/>
      <c r="I53" s="328"/>
      <c r="J53" s="328"/>
      <c r="K53" s="328"/>
      <c r="L53" s="328"/>
      <c r="M53" s="328"/>
      <c r="N53" s="328"/>
      <c r="O53" s="328"/>
      <c r="P53" s="328"/>
    </row>
    <row r="54" spans="1:19" ht="13.5" thickTop="1" x14ac:dyDescent="0.2">
      <c r="A54" s="327" t="str">
        <f t="shared" ref="A54:A64" si="8">CONCATENATE($B$53,"|",B54)</f>
        <v>7|1</v>
      </c>
      <c r="B54" s="326">
        <v>1</v>
      </c>
      <c r="C54" s="321" t="s">
        <v>87</v>
      </c>
      <c r="D54" s="320">
        <v>1</v>
      </c>
      <c r="E54" s="324">
        <v>15</v>
      </c>
      <c r="F54" s="324">
        <v>30</v>
      </c>
      <c r="G54" s="324">
        <v>30</v>
      </c>
      <c r="H54" s="324">
        <v>20</v>
      </c>
      <c r="I54" s="324">
        <v>5</v>
      </c>
      <c r="J54" s="325"/>
      <c r="K54" s="325"/>
      <c r="L54" s="325"/>
      <c r="M54" s="325"/>
      <c r="N54" s="325"/>
      <c r="O54" s="325"/>
      <c r="P54" s="325"/>
      <c r="S54" s="2">
        <f t="shared" ref="S54:S64" si="9">SUM(E54:P54)</f>
        <v>100</v>
      </c>
    </row>
    <row r="55" spans="1:19" x14ac:dyDescent="0.2">
      <c r="A55" s="323" t="str">
        <f t="shared" si="8"/>
        <v>7|2</v>
      </c>
      <c r="B55" s="322" t="s">
        <v>44</v>
      </c>
      <c r="C55" s="321" t="s">
        <v>83</v>
      </c>
      <c r="D55" s="320">
        <v>2</v>
      </c>
      <c r="E55" s="324">
        <v>15</v>
      </c>
      <c r="F55" s="324">
        <v>20</v>
      </c>
      <c r="G55" s="324">
        <v>25</v>
      </c>
      <c r="H55" s="324">
        <v>25</v>
      </c>
      <c r="I55" s="324">
        <v>15</v>
      </c>
      <c r="J55" s="318"/>
      <c r="K55" s="318"/>
      <c r="L55" s="318"/>
      <c r="M55" s="318"/>
      <c r="N55" s="318"/>
      <c r="O55" s="318"/>
      <c r="P55" s="318"/>
      <c r="S55" s="2">
        <f t="shared" si="9"/>
        <v>100</v>
      </c>
    </row>
    <row r="56" spans="1:19" x14ac:dyDescent="0.2">
      <c r="A56" s="323" t="str">
        <f t="shared" si="8"/>
        <v>7|3</v>
      </c>
      <c r="B56" s="322" t="s">
        <v>48</v>
      </c>
      <c r="C56" s="321" t="s">
        <v>88</v>
      </c>
      <c r="D56" s="320">
        <v>3</v>
      </c>
      <c r="E56" s="319">
        <v>5</v>
      </c>
      <c r="F56" s="319">
        <v>15</v>
      </c>
      <c r="G56" s="319">
        <v>20</v>
      </c>
      <c r="H56" s="319">
        <v>25</v>
      </c>
      <c r="I56" s="319">
        <v>20</v>
      </c>
      <c r="J56" s="318">
        <v>15</v>
      </c>
      <c r="K56" s="318"/>
      <c r="L56" s="318"/>
      <c r="M56" s="318"/>
      <c r="N56" s="318"/>
      <c r="O56" s="318"/>
      <c r="P56" s="318"/>
      <c r="S56" s="2">
        <f t="shared" si="9"/>
        <v>100</v>
      </c>
    </row>
    <row r="57" spans="1:19" x14ac:dyDescent="0.2">
      <c r="A57" s="323" t="str">
        <f t="shared" si="8"/>
        <v>7|4</v>
      </c>
      <c r="B57" s="322" t="s">
        <v>50</v>
      </c>
      <c r="C57" s="321" t="s">
        <v>84</v>
      </c>
      <c r="D57" s="320">
        <v>4</v>
      </c>
      <c r="E57" s="319"/>
      <c r="F57" s="319"/>
      <c r="G57" s="319">
        <v>15</v>
      </c>
      <c r="H57" s="319">
        <v>25</v>
      </c>
      <c r="I57" s="319">
        <v>25</v>
      </c>
      <c r="J57" s="318">
        <v>25</v>
      </c>
      <c r="K57" s="318">
        <v>10</v>
      </c>
      <c r="L57" s="318"/>
      <c r="M57" s="318"/>
      <c r="N57" s="318"/>
      <c r="O57" s="318"/>
      <c r="P57" s="318"/>
      <c r="S57" s="2">
        <f t="shared" si="9"/>
        <v>100</v>
      </c>
    </row>
    <row r="58" spans="1:19" x14ac:dyDescent="0.2">
      <c r="A58" s="323" t="str">
        <f t="shared" si="8"/>
        <v>7|5</v>
      </c>
      <c r="B58" s="322" t="s">
        <v>43</v>
      </c>
      <c r="C58" s="321" t="s">
        <v>85</v>
      </c>
      <c r="D58" s="320">
        <v>5</v>
      </c>
      <c r="E58" s="319"/>
      <c r="F58" s="319">
        <v>10</v>
      </c>
      <c r="G58" s="319">
        <v>15</v>
      </c>
      <c r="H58" s="319">
        <v>30</v>
      </c>
      <c r="I58" s="319">
        <v>30</v>
      </c>
      <c r="J58" s="318">
        <v>15</v>
      </c>
      <c r="K58" s="318"/>
      <c r="L58" s="318"/>
      <c r="M58" s="318"/>
      <c r="N58" s="318"/>
      <c r="O58" s="318"/>
      <c r="P58" s="318"/>
      <c r="S58" s="2">
        <f t="shared" si="9"/>
        <v>100</v>
      </c>
    </row>
    <row r="59" spans="1:19" x14ac:dyDescent="0.2">
      <c r="A59" s="323" t="str">
        <f t="shared" si="8"/>
        <v>7|6</v>
      </c>
      <c r="B59" s="322" t="s">
        <v>51</v>
      </c>
      <c r="C59" s="321" t="s">
        <v>89</v>
      </c>
      <c r="D59" s="320">
        <v>3</v>
      </c>
      <c r="E59" s="319"/>
      <c r="F59" s="319">
        <v>5</v>
      </c>
      <c r="G59" s="319">
        <v>10</v>
      </c>
      <c r="H59" s="319">
        <v>25</v>
      </c>
      <c r="I59" s="319">
        <v>25</v>
      </c>
      <c r="J59" s="318">
        <v>20</v>
      </c>
      <c r="K59" s="318">
        <v>15</v>
      </c>
      <c r="L59" s="318"/>
      <c r="M59" s="318"/>
      <c r="N59" s="318"/>
      <c r="O59" s="318"/>
      <c r="P59" s="318"/>
      <c r="S59" s="2">
        <f t="shared" si="9"/>
        <v>100</v>
      </c>
    </row>
    <row r="60" spans="1:19" x14ac:dyDescent="0.2">
      <c r="A60" s="323" t="str">
        <f t="shared" si="8"/>
        <v>7|7</v>
      </c>
      <c r="B60" s="322" t="s">
        <v>78</v>
      </c>
      <c r="C60" s="321" t="s">
        <v>90</v>
      </c>
      <c r="D60" s="320">
        <v>5</v>
      </c>
      <c r="E60" s="319"/>
      <c r="F60" s="319"/>
      <c r="G60" s="319">
        <v>15</v>
      </c>
      <c r="H60" s="319">
        <v>15</v>
      </c>
      <c r="I60" s="319">
        <v>25</v>
      </c>
      <c r="J60" s="319">
        <v>25</v>
      </c>
      <c r="K60" s="318">
        <v>20</v>
      </c>
      <c r="L60" s="318"/>
      <c r="M60" s="318"/>
      <c r="N60" s="318"/>
      <c r="O60" s="318"/>
      <c r="P60" s="318"/>
      <c r="S60" s="2">
        <f t="shared" si="9"/>
        <v>100</v>
      </c>
    </row>
    <row r="61" spans="1:19" x14ac:dyDescent="0.2">
      <c r="A61" s="323" t="str">
        <f t="shared" si="8"/>
        <v>7|8</v>
      </c>
      <c r="B61" s="322" t="s">
        <v>64</v>
      </c>
      <c r="C61" s="321" t="s">
        <v>91</v>
      </c>
      <c r="D61" s="320">
        <v>6</v>
      </c>
      <c r="E61" s="319"/>
      <c r="F61" s="319"/>
      <c r="G61" s="319">
        <v>10</v>
      </c>
      <c r="H61" s="319">
        <v>20</v>
      </c>
      <c r="I61" s="319">
        <v>20</v>
      </c>
      <c r="J61" s="318">
        <v>30</v>
      </c>
      <c r="K61" s="318">
        <v>20</v>
      </c>
      <c r="L61" s="318"/>
      <c r="M61" s="318"/>
      <c r="N61" s="318"/>
      <c r="O61" s="318"/>
      <c r="P61" s="318"/>
      <c r="S61" s="2">
        <f t="shared" si="9"/>
        <v>100</v>
      </c>
    </row>
    <row r="62" spans="1:19" x14ac:dyDescent="0.2">
      <c r="A62" s="323" t="str">
        <f t="shared" si="8"/>
        <v>7|9</v>
      </c>
      <c r="B62" s="322" t="s">
        <v>92</v>
      </c>
      <c r="C62" s="321" t="s">
        <v>93</v>
      </c>
      <c r="D62" s="320">
        <v>6</v>
      </c>
      <c r="E62" s="319">
        <v>5</v>
      </c>
      <c r="F62" s="319">
        <v>10</v>
      </c>
      <c r="G62" s="319">
        <v>20</v>
      </c>
      <c r="H62" s="319">
        <v>20</v>
      </c>
      <c r="I62" s="319">
        <v>20</v>
      </c>
      <c r="J62" s="318">
        <v>15</v>
      </c>
      <c r="K62" s="318">
        <v>10</v>
      </c>
      <c r="L62" s="318"/>
      <c r="M62" s="318"/>
      <c r="N62" s="318"/>
      <c r="O62" s="318"/>
      <c r="P62" s="318"/>
      <c r="S62" s="2">
        <f t="shared" si="9"/>
        <v>100</v>
      </c>
    </row>
    <row r="63" spans="1:19" x14ac:dyDescent="0.2">
      <c r="A63" s="323" t="str">
        <f t="shared" si="8"/>
        <v>7|10</v>
      </c>
      <c r="B63" s="322" t="s">
        <v>94</v>
      </c>
      <c r="C63" s="321" t="s">
        <v>86</v>
      </c>
      <c r="D63" s="320"/>
      <c r="E63" s="319">
        <v>15</v>
      </c>
      <c r="F63" s="319">
        <v>25</v>
      </c>
      <c r="G63" s="319">
        <v>25</v>
      </c>
      <c r="H63" s="319">
        <v>20</v>
      </c>
      <c r="I63" s="319">
        <v>10</v>
      </c>
      <c r="J63" s="318">
        <v>5</v>
      </c>
      <c r="K63" s="318"/>
      <c r="L63" s="318"/>
      <c r="M63" s="318"/>
      <c r="N63" s="318"/>
      <c r="O63" s="318"/>
      <c r="P63" s="318"/>
      <c r="S63" s="2">
        <f t="shared" si="9"/>
        <v>100</v>
      </c>
    </row>
    <row r="64" spans="1:19" x14ac:dyDescent="0.2">
      <c r="A64" s="323" t="str">
        <f t="shared" si="8"/>
        <v>7|11</v>
      </c>
      <c r="B64" s="322" t="s">
        <v>103</v>
      </c>
      <c r="C64" s="321" t="s">
        <v>120</v>
      </c>
      <c r="D64" s="320"/>
      <c r="E64" s="319">
        <v>2</v>
      </c>
      <c r="F64" s="319">
        <v>8</v>
      </c>
      <c r="G64" s="319">
        <v>18</v>
      </c>
      <c r="H64" s="319">
        <v>20</v>
      </c>
      <c r="I64" s="319">
        <v>20</v>
      </c>
      <c r="J64" s="318">
        <v>20</v>
      </c>
      <c r="K64" s="318">
        <v>12</v>
      </c>
      <c r="L64" s="318"/>
      <c r="M64" s="318"/>
      <c r="N64" s="318"/>
      <c r="O64" s="318"/>
      <c r="P64" s="318"/>
      <c r="S64" s="2">
        <f t="shared" si="9"/>
        <v>100</v>
      </c>
    </row>
    <row r="65" spans="1:19" ht="5.45" customHeight="1" x14ac:dyDescent="0.2"/>
    <row r="66" spans="1:19" ht="13.5" thickBot="1" x14ac:dyDescent="0.25">
      <c r="A66" s="332" t="s">
        <v>25</v>
      </c>
      <c r="B66" s="331">
        <v>8</v>
      </c>
      <c r="C66" s="330"/>
      <c r="D66" s="329"/>
      <c r="E66" s="328"/>
      <c r="F66" s="328"/>
      <c r="G66" s="328"/>
      <c r="H66" s="328"/>
      <c r="I66" s="328"/>
      <c r="J66" s="328"/>
      <c r="K66" s="328"/>
      <c r="L66" s="328"/>
      <c r="M66" s="328"/>
      <c r="N66" s="328"/>
      <c r="O66" s="328"/>
      <c r="P66" s="328"/>
    </row>
    <row r="67" spans="1:19" ht="13.5" thickTop="1" x14ac:dyDescent="0.2">
      <c r="A67" s="327" t="str">
        <f t="shared" ref="A67:A77" si="10">CONCATENATE($B$66,"|",B67)</f>
        <v>8|1</v>
      </c>
      <c r="B67" s="326">
        <v>1</v>
      </c>
      <c r="C67" s="321" t="s">
        <v>87</v>
      </c>
      <c r="D67" s="320">
        <v>1</v>
      </c>
      <c r="E67" s="324">
        <v>15</v>
      </c>
      <c r="F67" s="324">
        <v>20</v>
      </c>
      <c r="G67" s="324">
        <v>25</v>
      </c>
      <c r="H67" s="324">
        <v>25</v>
      </c>
      <c r="I67" s="324">
        <v>10</v>
      </c>
      <c r="J67" s="325">
        <v>5</v>
      </c>
      <c r="K67" s="325"/>
      <c r="L67" s="325"/>
      <c r="M67" s="325"/>
      <c r="N67" s="325"/>
      <c r="O67" s="325"/>
      <c r="P67" s="325"/>
      <c r="S67" s="2">
        <f t="shared" ref="S67:S77" si="11">SUM(E67:P67)</f>
        <v>100</v>
      </c>
    </row>
    <row r="68" spans="1:19" x14ac:dyDescent="0.2">
      <c r="A68" s="323" t="str">
        <f t="shared" si="10"/>
        <v>8|2</v>
      </c>
      <c r="B68" s="322" t="s">
        <v>44</v>
      </c>
      <c r="C68" s="321" t="s">
        <v>83</v>
      </c>
      <c r="D68" s="320">
        <v>2</v>
      </c>
      <c r="E68" s="324">
        <v>15</v>
      </c>
      <c r="F68" s="324">
        <v>20</v>
      </c>
      <c r="G68" s="324">
        <v>25</v>
      </c>
      <c r="H68" s="324">
        <v>25</v>
      </c>
      <c r="I68" s="324">
        <v>10</v>
      </c>
      <c r="J68" s="318">
        <v>5</v>
      </c>
      <c r="K68" s="318"/>
      <c r="L68" s="318"/>
      <c r="M68" s="318"/>
      <c r="N68" s="318"/>
      <c r="O68" s="318"/>
      <c r="P68" s="318"/>
      <c r="S68" s="2">
        <f t="shared" si="11"/>
        <v>100</v>
      </c>
    </row>
    <row r="69" spans="1:19" x14ac:dyDescent="0.2">
      <c r="A69" s="323" t="str">
        <f t="shared" si="10"/>
        <v>8|3</v>
      </c>
      <c r="B69" s="322" t="s">
        <v>48</v>
      </c>
      <c r="C69" s="321" t="s">
        <v>88</v>
      </c>
      <c r="D69" s="320">
        <v>3</v>
      </c>
      <c r="E69" s="319">
        <v>5</v>
      </c>
      <c r="F69" s="319">
        <v>10</v>
      </c>
      <c r="G69" s="319">
        <v>15</v>
      </c>
      <c r="H69" s="319">
        <v>20</v>
      </c>
      <c r="I69" s="319">
        <v>20</v>
      </c>
      <c r="J69" s="318">
        <v>20</v>
      </c>
      <c r="K69" s="318">
        <v>10</v>
      </c>
      <c r="L69" s="318"/>
      <c r="M69" s="318"/>
      <c r="N69" s="318"/>
      <c r="O69" s="318"/>
      <c r="P69" s="318"/>
      <c r="S69" s="2">
        <f t="shared" si="11"/>
        <v>100</v>
      </c>
    </row>
    <row r="70" spans="1:19" x14ac:dyDescent="0.2">
      <c r="A70" s="323" t="str">
        <f t="shared" si="10"/>
        <v>8|4</v>
      </c>
      <c r="B70" s="322" t="s">
        <v>50</v>
      </c>
      <c r="C70" s="321" t="s">
        <v>84</v>
      </c>
      <c r="D70" s="320">
        <v>4</v>
      </c>
      <c r="E70" s="319"/>
      <c r="F70" s="319"/>
      <c r="G70" s="319">
        <v>10</v>
      </c>
      <c r="H70" s="319">
        <v>25</v>
      </c>
      <c r="I70" s="319">
        <v>25</v>
      </c>
      <c r="J70" s="318">
        <v>20</v>
      </c>
      <c r="K70" s="318">
        <v>10</v>
      </c>
      <c r="L70" s="318">
        <v>10</v>
      </c>
      <c r="M70" s="318"/>
      <c r="N70" s="318"/>
      <c r="O70" s="318"/>
      <c r="P70" s="318"/>
      <c r="S70" s="2">
        <f t="shared" si="11"/>
        <v>100</v>
      </c>
    </row>
    <row r="71" spans="1:19" x14ac:dyDescent="0.2">
      <c r="A71" s="323" t="str">
        <f t="shared" si="10"/>
        <v>8|5</v>
      </c>
      <c r="B71" s="322" t="s">
        <v>43</v>
      </c>
      <c r="C71" s="321" t="s">
        <v>85</v>
      </c>
      <c r="D71" s="320">
        <v>5</v>
      </c>
      <c r="E71" s="319"/>
      <c r="F71" s="319">
        <v>5</v>
      </c>
      <c r="G71" s="319">
        <v>15</v>
      </c>
      <c r="H71" s="319">
        <v>25</v>
      </c>
      <c r="I71" s="319">
        <v>25</v>
      </c>
      <c r="J71" s="318">
        <v>15</v>
      </c>
      <c r="K71" s="318">
        <v>15</v>
      </c>
      <c r="L71" s="318"/>
      <c r="M71" s="318"/>
      <c r="N71" s="318"/>
      <c r="O71" s="318"/>
      <c r="P71" s="318"/>
      <c r="S71" s="2">
        <f t="shared" si="11"/>
        <v>100</v>
      </c>
    </row>
    <row r="72" spans="1:19" x14ac:dyDescent="0.2">
      <c r="A72" s="323" t="str">
        <f t="shared" si="10"/>
        <v>8|6</v>
      </c>
      <c r="B72" s="322" t="s">
        <v>51</v>
      </c>
      <c r="C72" s="321" t="s">
        <v>89</v>
      </c>
      <c r="D72" s="320">
        <v>3</v>
      </c>
      <c r="E72" s="319"/>
      <c r="F72" s="319"/>
      <c r="G72" s="319">
        <v>5</v>
      </c>
      <c r="H72" s="319">
        <v>20</v>
      </c>
      <c r="I72" s="319">
        <v>20</v>
      </c>
      <c r="J72" s="318">
        <v>25</v>
      </c>
      <c r="K72" s="318">
        <v>20</v>
      </c>
      <c r="L72" s="318">
        <v>10</v>
      </c>
      <c r="M72" s="318"/>
      <c r="N72" s="318"/>
      <c r="O72" s="318"/>
      <c r="P72" s="318"/>
      <c r="S72" s="2">
        <f t="shared" si="11"/>
        <v>100</v>
      </c>
    </row>
    <row r="73" spans="1:19" x14ac:dyDescent="0.2">
      <c r="A73" s="323" t="str">
        <f t="shared" si="10"/>
        <v>8|7</v>
      </c>
      <c r="B73" s="322" t="s">
        <v>78</v>
      </c>
      <c r="C73" s="321" t="s">
        <v>90</v>
      </c>
      <c r="D73" s="320">
        <v>5</v>
      </c>
      <c r="E73" s="319"/>
      <c r="F73" s="319"/>
      <c r="G73" s="319">
        <v>5</v>
      </c>
      <c r="H73" s="319">
        <v>15</v>
      </c>
      <c r="I73" s="319">
        <v>20</v>
      </c>
      <c r="J73" s="319">
        <v>25</v>
      </c>
      <c r="K73" s="319">
        <v>25</v>
      </c>
      <c r="L73" s="319">
        <v>10</v>
      </c>
      <c r="M73" s="318"/>
      <c r="N73" s="318"/>
      <c r="O73" s="318"/>
      <c r="P73" s="318"/>
      <c r="S73" s="2">
        <f t="shared" si="11"/>
        <v>100</v>
      </c>
    </row>
    <row r="74" spans="1:19" x14ac:dyDescent="0.2">
      <c r="A74" s="323" t="str">
        <f t="shared" si="10"/>
        <v>8|8</v>
      </c>
      <c r="B74" s="322" t="s">
        <v>64</v>
      </c>
      <c r="C74" s="321" t="s">
        <v>91</v>
      </c>
      <c r="D74" s="320">
        <v>6</v>
      </c>
      <c r="E74" s="319"/>
      <c r="F74" s="319"/>
      <c r="G74" s="319"/>
      <c r="H74" s="319">
        <v>20</v>
      </c>
      <c r="I74" s="319">
        <v>20</v>
      </c>
      <c r="J74" s="318">
        <v>30</v>
      </c>
      <c r="K74" s="318">
        <v>20</v>
      </c>
      <c r="L74" s="318">
        <v>10</v>
      </c>
      <c r="M74" s="318"/>
      <c r="N74" s="318"/>
      <c r="O74" s="318"/>
      <c r="P74" s="318"/>
      <c r="S74" s="2">
        <f t="shared" si="11"/>
        <v>100</v>
      </c>
    </row>
    <row r="75" spans="1:19" x14ac:dyDescent="0.2">
      <c r="A75" s="323" t="str">
        <f t="shared" si="10"/>
        <v>8|9</v>
      </c>
      <c r="B75" s="322" t="s">
        <v>92</v>
      </c>
      <c r="C75" s="321" t="s">
        <v>93</v>
      </c>
      <c r="D75" s="320">
        <v>6</v>
      </c>
      <c r="E75" s="319">
        <v>5</v>
      </c>
      <c r="F75" s="319">
        <v>5</v>
      </c>
      <c r="G75" s="319">
        <v>10</v>
      </c>
      <c r="H75" s="319">
        <v>15</v>
      </c>
      <c r="I75" s="319">
        <v>20</v>
      </c>
      <c r="J75" s="318">
        <v>20</v>
      </c>
      <c r="K75" s="318">
        <v>15</v>
      </c>
      <c r="L75" s="318">
        <v>10</v>
      </c>
      <c r="M75" s="318"/>
      <c r="N75" s="318"/>
      <c r="O75" s="318"/>
      <c r="P75" s="318"/>
      <c r="S75" s="2">
        <f t="shared" si="11"/>
        <v>100</v>
      </c>
    </row>
    <row r="76" spans="1:19" x14ac:dyDescent="0.2">
      <c r="A76" s="323" t="str">
        <f t="shared" si="10"/>
        <v>8|10</v>
      </c>
      <c r="B76" s="322" t="s">
        <v>94</v>
      </c>
      <c r="C76" s="321" t="s">
        <v>86</v>
      </c>
      <c r="D76" s="320"/>
      <c r="E76" s="319">
        <v>15</v>
      </c>
      <c r="F76" s="319">
        <v>20</v>
      </c>
      <c r="G76" s="319">
        <v>20</v>
      </c>
      <c r="H76" s="319">
        <v>20</v>
      </c>
      <c r="I76" s="319">
        <v>15</v>
      </c>
      <c r="J76" s="318">
        <v>10</v>
      </c>
      <c r="K76" s="318"/>
      <c r="L76" s="318"/>
      <c r="M76" s="318"/>
      <c r="N76" s="318"/>
      <c r="O76" s="318"/>
      <c r="P76" s="318"/>
      <c r="S76" s="2">
        <f t="shared" si="11"/>
        <v>100</v>
      </c>
    </row>
    <row r="77" spans="1:19" x14ac:dyDescent="0.2">
      <c r="A77" s="323" t="str">
        <f t="shared" si="10"/>
        <v>8|11</v>
      </c>
      <c r="B77" s="322" t="s">
        <v>103</v>
      </c>
      <c r="C77" s="321" t="s">
        <v>120</v>
      </c>
      <c r="D77" s="320"/>
      <c r="E77" s="319">
        <v>2</v>
      </c>
      <c r="F77" s="319">
        <v>2</v>
      </c>
      <c r="G77" s="319">
        <v>13</v>
      </c>
      <c r="H77" s="319">
        <v>15</v>
      </c>
      <c r="I77" s="319">
        <v>15</v>
      </c>
      <c r="J77" s="318">
        <v>22</v>
      </c>
      <c r="K77" s="318">
        <v>23</v>
      </c>
      <c r="L77" s="318">
        <v>8</v>
      </c>
      <c r="M77" s="318"/>
      <c r="N77" s="318"/>
      <c r="O77" s="318"/>
      <c r="P77" s="318"/>
      <c r="S77" s="2">
        <f t="shared" si="11"/>
        <v>100</v>
      </c>
    </row>
    <row r="78" spans="1:19" ht="5.45" customHeight="1" x14ac:dyDescent="0.2"/>
    <row r="79" spans="1:19" ht="13.5" thickBot="1" x14ac:dyDescent="0.25">
      <c r="A79" s="332" t="s">
        <v>25</v>
      </c>
      <c r="B79" s="331">
        <v>9</v>
      </c>
      <c r="C79" s="330"/>
      <c r="D79" s="329"/>
      <c r="E79" s="328"/>
      <c r="F79" s="328"/>
      <c r="G79" s="328"/>
      <c r="H79" s="328"/>
      <c r="I79" s="328"/>
      <c r="J79" s="328"/>
      <c r="K79" s="328"/>
      <c r="L79" s="328"/>
      <c r="M79" s="328"/>
      <c r="N79" s="328"/>
      <c r="O79" s="328"/>
      <c r="P79" s="328"/>
    </row>
    <row r="80" spans="1:19" ht="13.5" thickTop="1" x14ac:dyDescent="0.2">
      <c r="A80" s="327" t="str">
        <f t="shared" ref="A80:A90" si="12">CONCATENATE($B$79,"|",B80)</f>
        <v>9|1</v>
      </c>
      <c r="B80" s="326">
        <v>1</v>
      </c>
      <c r="C80" s="321" t="s">
        <v>87</v>
      </c>
      <c r="D80" s="320">
        <v>1</v>
      </c>
      <c r="E80" s="324">
        <v>15</v>
      </c>
      <c r="F80" s="324">
        <v>15</v>
      </c>
      <c r="G80" s="324">
        <v>20</v>
      </c>
      <c r="H80" s="324">
        <v>20</v>
      </c>
      <c r="I80" s="324">
        <v>20</v>
      </c>
      <c r="J80" s="325">
        <v>10</v>
      </c>
      <c r="K80" s="325"/>
      <c r="L80" s="325"/>
      <c r="M80" s="325"/>
      <c r="N80" s="325"/>
      <c r="O80" s="325"/>
      <c r="P80" s="325"/>
      <c r="S80" s="2">
        <f t="shared" ref="S80:S90" si="13">SUM(E80:P80)</f>
        <v>100</v>
      </c>
    </row>
    <row r="81" spans="1:19" x14ac:dyDescent="0.2">
      <c r="A81" s="323" t="str">
        <f t="shared" si="12"/>
        <v>9|2</v>
      </c>
      <c r="B81" s="322" t="s">
        <v>44</v>
      </c>
      <c r="C81" s="321" t="s">
        <v>83</v>
      </c>
      <c r="D81" s="320">
        <v>2</v>
      </c>
      <c r="E81" s="324">
        <v>10</v>
      </c>
      <c r="F81" s="324">
        <v>15</v>
      </c>
      <c r="G81" s="324">
        <v>20</v>
      </c>
      <c r="H81" s="324">
        <v>20</v>
      </c>
      <c r="I81" s="324">
        <v>15</v>
      </c>
      <c r="J81" s="318">
        <v>15</v>
      </c>
      <c r="K81" s="318">
        <v>5</v>
      </c>
      <c r="L81" s="318"/>
      <c r="M81" s="318"/>
      <c r="N81" s="318"/>
      <c r="O81" s="318"/>
      <c r="P81" s="318"/>
      <c r="S81" s="2">
        <f t="shared" si="13"/>
        <v>100</v>
      </c>
    </row>
    <row r="82" spans="1:19" x14ac:dyDescent="0.2">
      <c r="A82" s="323" t="str">
        <f t="shared" si="12"/>
        <v>9|3</v>
      </c>
      <c r="B82" s="322" t="s">
        <v>48</v>
      </c>
      <c r="C82" s="321" t="s">
        <v>88</v>
      </c>
      <c r="D82" s="320">
        <v>3</v>
      </c>
      <c r="E82" s="319">
        <v>5</v>
      </c>
      <c r="F82" s="319">
        <v>10</v>
      </c>
      <c r="G82" s="319">
        <v>15</v>
      </c>
      <c r="H82" s="319">
        <v>20</v>
      </c>
      <c r="I82" s="319">
        <v>20</v>
      </c>
      <c r="J82" s="318">
        <v>10</v>
      </c>
      <c r="K82" s="318">
        <v>10</v>
      </c>
      <c r="L82" s="318">
        <v>10</v>
      </c>
      <c r="M82" s="318"/>
      <c r="N82" s="318"/>
      <c r="O82" s="318"/>
      <c r="P82" s="318"/>
      <c r="S82" s="2">
        <f t="shared" si="13"/>
        <v>100</v>
      </c>
    </row>
    <row r="83" spans="1:19" x14ac:dyDescent="0.2">
      <c r="A83" s="323" t="str">
        <f t="shared" si="12"/>
        <v>9|4</v>
      </c>
      <c r="B83" s="322" t="s">
        <v>50</v>
      </c>
      <c r="C83" s="321" t="s">
        <v>84</v>
      </c>
      <c r="D83" s="320">
        <v>4</v>
      </c>
      <c r="E83" s="319"/>
      <c r="F83" s="319"/>
      <c r="G83" s="319">
        <v>5</v>
      </c>
      <c r="H83" s="319">
        <v>15</v>
      </c>
      <c r="I83" s="319">
        <v>20</v>
      </c>
      <c r="J83" s="318">
        <v>20</v>
      </c>
      <c r="K83" s="318">
        <v>20</v>
      </c>
      <c r="L83" s="318">
        <v>15</v>
      </c>
      <c r="M83" s="318">
        <v>5</v>
      </c>
      <c r="N83" s="318"/>
      <c r="O83" s="318"/>
      <c r="P83" s="318"/>
      <c r="S83" s="2">
        <f t="shared" si="13"/>
        <v>100</v>
      </c>
    </row>
    <row r="84" spans="1:19" x14ac:dyDescent="0.2">
      <c r="A84" s="323" t="str">
        <f t="shared" si="12"/>
        <v>9|5</v>
      </c>
      <c r="B84" s="322" t="s">
        <v>43</v>
      </c>
      <c r="C84" s="321" t="s">
        <v>85</v>
      </c>
      <c r="D84" s="320">
        <v>5</v>
      </c>
      <c r="E84" s="319"/>
      <c r="F84" s="319">
        <v>5</v>
      </c>
      <c r="G84" s="319">
        <v>10</v>
      </c>
      <c r="H84" s="319">
        <v>15</v>
      </c>
      <c r="I84" s="319">
        <v>20</v>
      </c>
      <c r="J84" s="318">
        <v>20</v>
      </c>
      <c r="K84" s="318">
        <v>20</v>
      </c>
      <c r="L84" s="318">
        <v>10</v>
      </c>
      <c r="M84" s="318"/>
      <c r="N84" s="318"/>
      <c r="O84" s="318"/>
      <c r="P84" s="318"/>
      <c r="S84" s="2">
        <f t="shared" si="13"/>
        <v>100</v>
      </c>
    </row>
    <row r="85" spans="1:19" x14ac:dyDescent="0.2">
      <c r="A85" s="323" t="str">
        <f t="shared" si="12"/>
        <v>9|6</v>
      </c>
      <c r="B85" s="322" t="s">
        <v>51</v>
      </c>
      <c r="C85" s="321" t="s">
        <v>89</v>
      </c>
      <c r="D85" s="320">
        <v>3</v>
      </c>
      <c r="E85" s="319"/>
      <c r="F85" s="319"/>
      <c r="G85" s="319">
        <v>5</v>
      </c>
      <c r="H85" s="319">
        <v>10</v>
      </c>
      <c r="I85" s="319">
        <v>20</v>
      </c>
      <c r="J85" s="318">
        <v>20</v>
      </c>
      <c r="K85" s="318">
        <v>20</v>
      </c>
      <c r="L85" s="318">
        <v>15</v>
      </c>
      <c r="M85" s="318">
        <v>10</v>
      </c>
      <c r="N85" s="318"/>
      <c r="O85" s="318"/>
      <c r="P85" s="318"/>
      <c r="S85" s="2">
        <f t="shared" si="13"/>
        <v>100</v>
      </c>
    </row>
    <row r="86" spans="1:19" x14ac:dyDescent="0.2">
      <c r="A86" s="323" t="str">
        <f t="shared" si="12"/>
        <v>9|7</v>
      </c>
      <c r="B86" s="322" t="s">
        <v>78</v>
      </c>
      <c r="C86" s="321" t="s">
        <v>90</v>
      </c>
      <c r="D86" s="320">
        <v>5</v>
      </c>
      <c r="E86" s="319"/>
      <c r="F86" s="319"/>
      <c r="G86" s="319"/>
      <c r="H86" s="319">
        <v>15</v>
      </c>
      <c r="I86" s="319">
        <v>15</v>
      </c>
      <c r="J86" s="318">
        <v>15</v>
      </c>
      <c r="K86" s="318">
        <v>20</v>
      </c>
      <c r="L86" s="318">
        <v>20</v>
      </c>
      <c r="M86" s="318">
        <v>15</v>
      </c>
      <c r="N86" s="318"/>
      <c r="O86" s="318"/>
      <c r="P86" s="318"/>
      <c r="S86" s="2">
        <f t="shared" si="13"/>
        <v>100</v>
      </c>
    </row>
    <row r="87" spans="1:19" x14ac:dyDescent="0.2">
      <c r="A87" s="323" t="str">
        <f t="shared" si="12"/>
        <v>9|8</v>
      </c>
      <c r="B87" s="322" t="s">
        <v>64</v>
      </c>
      <c r="C87" s="321" t="s">
        <v>91</v>
      </c>
      <c r="D87" s="320">
        <v>6</v>
      </c>
      <c r="E87" s="319"/>
      <c r="F87" s="319"/>
      <c r="G87" s="319"/>
      <c r="H87" s="319">
        <v>10</v>
      </c>
      <c r="I87" s="319">
        <v>20</v>
      </c>
      <c r="J87" s="318">
        <v>30</v>
      </c>
      <c r="K87" s="318">
        <v>20</v>
      </c>
      <c r="L87" s="318">
        <v>10</v>
      </c>
      <c r="M87" s="318">
        <v>10</v>
      </c>
      <c r="N87" s="318"/>
      <c r="O87" s="318"/>
      <c r="P87" s="318"/>
      <c r="S87" s="2">
        <f t="shared" si="13"/>
        <v>100</v>
      </c>
    </row>
    <row r="88" spans="1:19" x14ac:dyDescent="0.2">
      <c r="A88" s="323" t="str">
        <f t="shared" si="12"/>
        <v>9|9</v>
      </c>
      <c r="B88" s="322" t="s">
        <v>92</v>
      </c>
      <c r="C88" s="321" t="s">
        <v>93</v>
      </c>
      <c r="D88" s="320">
        <v>6</v>
      </c>
      <c r="E88" s="319">
        <v>5</v>
      </c>
      <c r="F88" s="319">
        <v>5</v>
      </c>
      <c r="G88" s="319">
        <v>10</v>
      </c>
      <c r="H88" s="319">
        <v>15</v>
      </c>
      <c r="I88" s="319">
        <v>20</v>
      </c>
      <c r="J88" s="318">
        <v>15</v>
      </c>
      <c r="K88" s="318">
        <v>15</v>
      </c>
      <c r="L88" s="318">
        <v>15</v>
      </c>
      <c r="M88" s="318"/>
      <c r="N88" s="318"/>
      <c r="O88" s="318"/>
      <c r="P88" s="318"/>
      <c r="S88" s="2">
        <f t="shared" si="13"/>
        <v>100</v>
      </c>
    </row>
    <row r="89" spans="1:19" x14ac:dyDescent="0.2">
      <c r="A89" s="323" t="str">
        <f t="shared" si="12"/>
        <v>9|10</v>
      </c>
      <c r="B89" s="322" t="s">
        <v>94</v>
      </c>
      <c r="C89" s="321" t="s">
        <v>86</v>
      </c>
      <c r="D89" s="320"/>
      <c r="E89" s="319">
        <v>10</v>
      </c>
      <c r="F89" s="319">
        <v>15</v>
      </c>
      <c r="G89" s="319">
        <v>20</v>
      </c>
      <c r="H89" s="319">
        <v>20</v>
      </c>
      <c r="I89" s="319">
        <v>20</v>
      </c>
      <c r="J89" s="318">
        <v>10</v>
      </c>
      <c r="K89" s="318">
        <v>5</v>
      </c>
      <c r="L89" s="318"/>
      <c r="M89" s="318"/>
      <c r="N89" s="318"/>
      <c r="O89" s="318"/>
      <c r="P89" s="318"/>
      <c r="S89" s="2">
        <f t="shared" si="13"/>
        <v>100</v>
      </c>
    </row>
    <row r="90" spans="1:19" x14ac:dyDescent="0.2">
      <c r="A90" s="323" t="str">
        <f t="shared" si="12"/>
        <v>9|11</v>
      </c>
      <c r="B90" s="322" t="s">
        <v>103</v>
      </c>
      <c r="C90" s="321" t="s">
        <v>120</v>
      </c>
      <c r="D90" s="320"/>
      <c r="E90" s="319">
        <v>3</v>
      </c>
      <c r="F90" s="319">
        <v>5</v>
      </c>
      <c r="G90" s="319">
        <v>11</v>
      </c>
      <c r="H90" s="319">
        <v>15</v>
      </c>
      <c r="I90" s="319">
        <v>20</v>
      </c>
      <c r="J90" s="318">
        <v>16</v>
      </c>
      <c r="K90" s="318">
        <v>14</v>
      </c>
      <c r="L90" s="318">
        <v>10</v>
      </c>
      <c r="M90" s="318">
        <v>6</v>
      </c>
      <c r="N90" s="318"/>
      <c r="O90" s="318"/>
      <c r="P90" s="318"/>
      <c r="S90" s="2">
        <f t="shared" si="13"/>
        <v>100</v>
      </c>
    </row>
    <row r="91" spans="1:19" ht="5.45" customHeight="1" x14ac:dyDescent="0.2"/>
    <row r="92" spans="1:19" ht="13.5" thickBot="1" x14ac:dyDescent="0.25">
      <c r="A92" s="332" t="s">
        <v>25</v>
      </c>
      <c r="B92" s="331">
        <v>10</v>
      </c>
      <c r="C92" s="330"/>
      <c r="D92" s="329"/>
      <c r="E92" s="328"/>
      <c r="F92" s="328"/>
      <c r="G92" s="328"/>
      <c r="H92" s="328"/>
      <c r="I92" s="328"/>
      <c r="J92" s="328"/>
      <c r="K92" s="328"/>
      <c r="L92" s="328"/>
      <c r="M92" s="328"/>
      <c r="N92" s="328"/>
      <c r="O92" s="328"/>
      <c r="P92" s="328"/>
    </row>
    <row r="93" spans="1:19" ht="13.5" thickTop="1" x14ac:dyDescent="0.2">
      <c r="A93" s="327" t="str">
        <f t="shared" ref="A93:A103" si="14">CONCATENATE($B$92,"|",B93)</f>
        <v>10|1</v>
      </c>
      <c r="B93" s="326">
        <v>1</v>
      </c>
      <c r="C93" s="321" t="s">
        <v>87</v>
      </c>
      <c r="D93" s="320">
        <v>1</v>
      </c>
      <c r="E93" s="324">
        <v>20</v>
      </c>
      <c r="F93" s="324">
        <v>20</v>
      </c>
      <c r="G93" s="324">
        <v>20</v>
      </c>
      <c r="H93" s="324">
        <v>10</v>
      </c>
      <c r="I93" s="324">
        <v>10</v>
      </c>
      <c r="J93" s="325">
        <v>10</v>
      </c>
      <c r="K93" s="325">
        <v>10</v>
      </c>
      <c r="L93" s="325"/>
      <c r="M93" s="325"/>
      <c r="N93" s="325"/>
      <c r="O93" s="325"/>
      <c r="P93" s="325"/>
      <c r="S93" s="2">
        <f t="shared" ref="S93:S103" si="15">SUM(E93:P93)</f>
        <v>100</v>
      </c>
    </row>
    <row r="94" spans="1:19" x14ac:dyDescent="0.2">
      <c r="A94" s="323" t="str">
        <f t="shared" si="14"/>
        <v>10|2</v>
      </c>
      <c r="B94" s="322" t="s">
        <v>44</v>
      </c>
      <c r="C94" s="321" t="s">
        <v>83</v>
      </c>
      <c r="D94" s="320">
        <v>2</v>
      </c>
      <c r="E94" s="324">
        <v>5</v>
      </c>
      <c r="F94" s="324">
        <v>10</v>
      </c>
      <c r="G94" s="324">
        <v>15</v>
      </c>
      <c r="H94" s="324">
        <v>20</v>
      </c>
      <c r="I94" s="324">
        <v>20</v>
      </c>
      <c r="J94" s="318">
        <v>15</v>
      </c>
      <c r="K94" s="318">
        <v>10</v>
      </c>
      <c r="L94" s="318">
        <v>5</v>
      </c>
      <c r="M94" s="318"/>
      <c r="N94" s="318"/>
      <c r="O94" s="318"/>
      <c r="P94" s="318"/>
      <c r="S94" s="2">
        <f t="shared" si="15"/>
        <v>100</v>
      </c>
    </row>
    <row r="95" spans="1:19" x14ac:dyDescent="0.2">
      <c r="A95" s="323" t="str">
        <f t="shared" si="14"/>
        <v>10|3</v>
      </c>
      <c r="B95" s="322" t="s">
        <v>48</v>
      </c>
      <c r="C95" s="321" t="s">
        <v>88</v>
      </c>
      <c r="D95" s="320">
        <v>3</v>
      </c>
      <c r="E95" s="319"/>
      <c r="F95" s="319">
        <v>5</v>
      </c>
      <c r="G95" s="319">
        <v>10</v>
      </c>
      <c r="H95" s="319">
        <v>15</v>
      </c>
      <c r="I95" s="319">
        <v>15</v>
      </c>
      <c r="J95" s="318">
        <v>15</v>
      </c>
      <c r="K95" s="318">
        <v>15</v>
      </c>
      <c r="L95" s="318">
        <v>15</v>
      </c>
      <c r="M95" s="318">
        <v>10</v>
      </c>
      <c r="N95" s="318"/>
      <c r="O95" s="318"/>
      <c r="P95" s="318"/>
      <c r="S95" s="2">
        <f t="shared" si="15"/>
        <v>100</v>
      </c>
    </row>
    <row r="96" spans="1:19" x14ac:dyDescent="0.2">
      <c r="A96" s="323" t="str">
        <f t="shared" si="14"/>
        <v>10|4</v>
      </c>
      <c r="B96" s="322" t="s">
        <v>50</v>
      </c>
      <c r="C96" s="321" t="s">
        <v>84</v>
      </c>
      <c r="D96" s="320">
        <v>4</v>
      </c>
      <c r="E96" s="319"/>
      <c r="F96" s="319"/>
      <c r="G96" s="319">
        <v>5</v>
      </c>
      <c r="H96" s="319">
        <v>5</v>
      </c>
      <c r="I96" s="319">
        <v>15</v>
      </c>
      <c r="J96" s="318">
        <v>20</v>
      </c>
      <c r="K96" s="318">
        <v>20</v>
      </c>
      <c r="L96" s="318">
        <v>15</v>
      </c>
      <c r="M96" s="318">
        <v>10</v>
      </c>
      <c r="N96" s="318">
        <v>10</v>
      </c>
      <c r="O96" s="318"/>
      <c r="P96" s="318"/>
      <c r="S96" s="2">
        <f t="shared" si="15"/>
        <v>100</v>
      </c>
    </row>
    <row r="97" spans="1:19" x14ac:dyDescent="0.2">
      <c r="A97" s="323" t="str">
        <f t="shared" si="14"/>
        <v>10|5</v>
      </c>
      <c r="B97" s="322" t="s">
        <v>43</v>
      </c>
      <c r="C97" s="321" t="s">
        <v>85</v>
      </c>
      <c r="D97" s="320">
        <v>5</v>
      </c>
      <c r="E97" s="319"/>
      <c r="F97" s="319"/>
      <c r="G97" s="319">
        <v>10</v>
      </c>
      <c r="H97" s="319">
        <v>10</v>
      </c>
      <c r="I97" s="319">
        <v>10</v>
      </c>
      <c r="J97" s="318">
        <v>20</v>
      </c>
      <c r="K97" s="318">
        <v>20</v>
      </c>
      <c r="L97" s="318">
        <v>20</v>
      </c>
      <c r="M97" s="318">
        <v>10</v>
      </c>
      <c r="N97" s="318"/>
      <c r="O97" s="318"/>
      <c r="P97" s="318"/>
      <c r="S97" s="2">
        <f t="shared" si="15"/>
        <v>100</v>
      </c>
    </row>
    <row r="98" spans="1:19" x14ac:dyDescent="0.2">
      <c r="A98" s="323" t="str">
        <f t="shared" si="14"/>
        <v>10|6</v>
      </c>
      <c r="B98" s="322" t="s">
        <v>51</v>
      </c>
      <c r="C98" s="321" t="s">
        <v>89</v>
      </c>
      <c r="D98" s="320">
        <v>3</v>
      </c>
      <c r="E98" s="319"/>
      <c r="F98" s="319"/>
      <c r="G98" s="319"/>
      <c r="H98" s="319">
        <v>5</v>
      </c>
      <c r="I98" s="319">
        <v>10</v>
      </c>
      <c r="J98" s="319">
        <v>15</v>
      </c>
      <c r="K98" s="318">
        <v>20</v>
      </c>
      <c r="L98" s="318">
        <v>20</v>
      </c>
      <c r="M98" s="318">
        <v>15</v>
      </c>
      <c r="N98" s="318">
        <v>15</v>
      </c>
      <c r="O98" s="318"/>
      <c r="P98" s="318"/>
      <c r="S98" s="2">
        <f t="shared" si="15"/>
        <v>100</v>
      </c>
    </row>
    <row r="99" spans="1:19" x14ac:dyDescent="0.2">
      <c r="A99" s="323" t="str">
        <f t="shared" si="14"/>
        <v>10|7</v>
      </c>
      <c r="B99" s="322" t="s">
        <v>78</v>
      </c>
      <c r="C99" s="321" t="s">
        <v>90</v>
      </c>
      <c r="D99" s="320">
        <v>5</v>
      </c>
      <c r="E99" s="319"/>
      <c r="F99" s="319"/>
      <c r="G99" s="319"/>
      <c r="H99" s="319">
        <v>15</v>
      </c>
      <c r="I99" s="319">
        <v>15</v>
      </c>
      <c r="J99" s="318">
        <v>15</v>
      </c>
      <c r="K99" s="318">
        <v>20</v>
      </c>
      <c r="L99" s="318">
        <v>15</v>
      </c>
      <c r="M99" s="318">
        <v>10</v>
      </c>
      <c r="N99" s="318">
        <v>10</v>
      </c>
      <c r="O99" s="318"/>
      <c r="P99" s="318"/>
      <c r="S99" s="2">
        <f t="shared" si="15"/>
        <v>100</v>
      </c>
    </row>
    <row r="100" spans="1:19" x14ac:dyDescent="0.2">
      <c r="A100" s="323" t="str">
        <f t="shared" si="14"/>
        <v>10|8</v>
      </c>
      <c r="B100" s="322" t="s">
        <v>64</v>
      </c>
      <c r="C100" s="321" t="s">
        <v>91</v>
      </c>
      <c r="D100" s="320">
        <v>6</v>
      </c>
      <c r="E100" s="319"/>
      <c r="F100" s="319"/>
      <c r="G100" s="319"/>
      <c r="H100" s="319">
        <v>10</v>
      </c>
      <c r="I100" s="319">
        <v>20</v>
      </c>
      <c r="J100" s="318">
        <v>20</v>
      </c>
      <c r="K100" s="318">
        <v>20</v>
      </c>
      <c r="L100" s="318">
        <v>10</v>
      </c>
      <c r="M100" s="318">
        <v>10</v>
      </c>
      <c r="N100" s="318">
        <v>10</v>
      </c>
      <c r="O100" s="318"/>
      <c r="P100" s="318"/>
      <c r="S100" s="2">
        <f t="shared" si="15"/>
        <v>100</v>
      </c>
    </row>
    <row r="101" spans="1:19" x14ac:dyDescent="0.2">
      <c r="A101" s="323" t="str">
        <f t="shared" si="14"/>
        <v>10|9</v>
      </c>
      <c r="B101" s="322" t="s">
        <v>92</v>
      </c>
      <c r="C101" s="321" t="s">
        <v>93</v>
      </c>
      <c r="D101" s="320">
        <v>6</v>
      </c>
      <c r="E101" s="319">
        <v>5</v>
      </c>
      <c r="F101" s="319">
        <v>5</v>
      </c>
      <c r="G101" s="319">
        <v>10</v>
      </c>
      <c r="H101" s="319">
        <v>10</v>
      </c>
      <c r="I101" s="319">
        <v>10</v>
      </c>
      <c r="J101" s="318">
        <v>15</v>
      </c>
      <c r="K101" s="318">
        <v>15</v>
      </c>
      <c r="L101" s="318">
        <v>10</v>
      </c>
      <c r="M101" s="318">
        <v>10</v>
      </c>
      <c r="N101" s="318">
        <v>10</v>
      </c>
      <c r="O101" s="318"/>
      <c r="P101" s="318"/>
      <c r="S101" s="2">
        <f t="shared" si="15"/>
        <v>100</v>
      </c>
    </row>
    <row r="102" spans="1:19" x14ac:dyDescent="0.2">
      <c r="A102" s="323" t="str">
        <f t="shared" si="14"/>
        <v>10|10</v>
      </c>
      <c r="B102" s="322" t="s">
        <v>94</v>
      </c>
      <c r="C102" s="321" t="s">
        <v>86</v>
      </c>
      <c r="D102" s="320"/>
      <c r="E102" s="319">
        <v>10</v>
      </c>
      <c r="F102" s="319">
        <v>15</v>
      </c>
      <c r="G102" s="319">
        <v>15</v>
      </c>
      <c r="H102" s="319">
        <v>15</v>
      </c>
      <c r="I102" s="319">
        <v>15</v>
      </c>
      <c r="J102" s="318">
        <v>15</v>
      </c>
      <c r="K102" s="318">
        <v>10</v>
      </c>
      <c r="L102" s="318">
        <v>5</v>
      </c>
      <c r="M102" s="318"/>
      <c r="N102" s="318"/>
      <c r="O102" s="318"/>
      <c r="P102" s="318"/>
      <c r="S102" s="2">
        <f t="shared" si="15"/>
        <v>100</v>
      </c>
    </row>
    <row r="103" spans="1:19" x14ac:dyDescent="0.2">
      <c r="A103" s="323" t="str">
        <f t="shared" si="14"/>
        <v>10|11</v>
      </c>
      <c r="B103" s="322" t="s">
        <v>103</v>
      </c>
      <c r="C103" s="321" t="s">
        <v>120</v>
      </c>
      <c r="D103" s="320"/>
      <c r="E103" s="319">
        <v>2</v>
      </c>
      <c r="F103" s="319">
        <v>2</v>
      </c>
      <c r="G103" s="319">
        <v>14</v>
      </c>
      <c r="H103" s="319">
        <v>14</v>
      </c>
      <c r="I103" s="319">
        <v>15</v>
      </c>
      <c r="J103" s="318">
        <v>15</v>
      </c>
      <c r="K103" s="318">
        <v>15</v>
      </c>
      <c r="L103" s="318">
        <v>15</v>
      </c>
      <c r="M103" s="318">
        <v>5</v>
      </c>
      <c r="N103" s="318">
        <v>3</v>
      </c>
      <c r="O103" s="318"/>
      <c r="P103" s="318"/>
      <c r="S103" s="2">
        <f t="shared" si="15"/>
        <v>100</v>
      </c>
    </row>
    <row r="104" spans="1:19" ht="5.45" customHeight="1" x14ac:dyDescent="0.2"/>
    <row r="105" spans="1:19" ht="13.5" thickBot="1" x14ac:dyDescent="0.25">
      <c r="A105" s="332" t="s">
        <v>25</v>
      </c>
      <c r="B105" s="331">
        <v>11</v>
      </c>
      <c r="C105" s="330"/>
      <c r="D105" s="329"/>
      <c r="E105" s="328"/>
      <c r="F105" s="328"/>
      <c r="G105" s="328"/>
      <c r="H105" s="328"/>
      <c r="I105" s="328"/>
      <c r="J105" s="328"/>
      <c r="K105" s="328"/>
      <c r="L105" s="328"/>
      <c r="M105" s="328"/>
      <c r="N105" s="328"/>
      <c r="O105" s="328"/>
      <c r="P105" s="328"/>
    </row>
    <row r="106" spans="1:19" ht="13.5" thickTop="1" x14ac:dyDescent="0.2">
      <c r="A106" s="327" t="str">
        <f t="shared" ref="A106:A116" si="16">CONCATENATE($B$105,"|",B106)</f>
        <v>11|1</v>
      </c>
      <c r="B106" s="326">
        <v>1</v>
      </c>
      <c r="C106" s="321" t="s">
        <v>87</v>
      </c>
      <c r="D106" s="320">
        <v>1</v>
      </c>
      <c r="E106" s="324">
        <v>10</v>
      </c>
      <c r="F106" s="324">
        <v>20</v>
      </c>
      <c r="G106" s="324">
        <v>20</v>
      </c>
      <c r="H106" s="324">
        <v>20</v>
      </c>
      <c r="I106" s="324">
        <v>10</v>
      </c>
      <c r="J106" s="325">
        <v>10</v>
      </c>
      <c r="K106" s="325">
        <v>10</v>
      </c>
      <c r="L106" s="325"/>
      <c r="M106" s="325"/>
      <c r="N106" s="325"/>
      <c r="O106" s="325"/>
      <c r="P106" s="325"/>
      <c r="S106" s="2">
        <f t="shared" ref="S106:S116" si="17">SUM(E106:P106)</f>
        <v>100</v>
      </c>
    </row>
    <row r="107" spans="1:19" x14ac:dyDescent="0.2">
      <c r="A107" s="323" t="str">
        <f t="shared" si="16"/>
        <v>11|2</v>
      </c>
      <c r="B107" s="322" t="s">
        <v>44</v>
      </c>
      <c r="C107" s="321" t="s">
        <v>83</v>
      </c>
      <c r="D107" s="320">
        <v>2</v>
      </c>
      <c r="E107" s="324">
        <v>5</v>
      </c>
      <c r="F107" s="324">
        <v>10</v>
      </c>
      <c r="G107" s="324">
        <v>10</v>
      </c>
      <c r="H107" s="324">
        <v>15</v>
      </c>
      <c r="I107" s="324">
        <v>15</v>
      </c>
      <c r="J107" s="318">
        <v>15</v>
      </c>
      <c r="K107" s="318">
        <v>15</v>
      </c>
      <c r="L107" s="318">
        <v>10</v>
      </c>
      <c r="M107" s="318">
        <v>5</v>
      </c>
      <c r="N107" s="318"/>
      <c r="O107" s="318"/>
      <c r="P107" s="318"/>
      <c r="S107" s="2">
        <f t="shared" si="17"/>
        <v>100</v>
      </c>
    </row>
    <row r="108" spans="1:19" x14ac:dyDescent="0.2">
      <c r="A108" s="323" t="str">
        <f t="shared" si="16"/>
        <v>11|3</v>
      </c>
      <c r="B108" s="322" t="s">
        <v>48</v>
      </c>
      <c r="C108" s="321" t="s">
        <v>88</v>
      </c>
      <c r="D108" s="320">
        <v>3</v>
      </c>
      <c r="E108" s="319"/>
      <c r="F108" s="319">
        <v>5</v>
      </c>
      <c r="G108" s="319">
        <v>10</v>
      </c>
      <c r="H108" s="319">
        <v>10</v>
      </c>
      <c r="I108" s="319">
        <v>15</v>
      </c>
      <c r="J108" s="318">
        <v>15</v>
      </c>
      <c r="K108" s="318">
        <v>15</v>
      </c>
      <c r="L108" s="318">
        <v>10</v>
      </c>
      <c r="M108" s="318">
        <v>10</v>
      </c>
      <c r="N108" s="318">
        <v>10</v>
      </c>
      <c r="O108" s="318"/>
      <c r="P108" s="318"/>
      <c r="S108" s="2">
        <f t="shared" si="17"/>
        <v>100</v>
      </c>
    </row>
    <row r="109" spans="1:19" x14ac:dyDescent="0.2">
      <c r="A109" s="323" t="str">
        <f t="shared" si="16"/>
        <v>11|4</v>
      </c>
      <c r="B109" s="322" t="s">
        <v>50</v>
      </c>
      <c r="C109" s="321" t="s">
        <v>84</v>
      </c>
      <c r="D109" s="320">
        <v>4</v>
      </c>
      <c r="E109" s="319"/>
      <c r="F109" s="319"/>
      <c r="G109" s="319">
        <v>5</v>
      </c>
      <c r="H109" s="319">
        <v>10</v>
      </c>
      <c r="I109" s="319">
        <v>10</v>
      </c>
      <c r="J109" s="318">
        <v>15</v>
      </c>
      <c r="K109" s="318">
        <v>15</v>
      </c>
      <c r="L109" s="318">
        <v>15</v>
      </c>
      <c r="M109" s="318">
        <v>10</v>
      </c>
      <c r="N109" s="318">
        <v>10</v>
      </c>
      <c r="O109" s="318">
        <v>10</v>
      </c>
      <c r="P109" s="318"/>
      <c r="S109" s="2">
        <f t="shared" si="17"/>
        <v>100</v>
      </c>
    </row>
    <row r="110" spans="1:19" x14ac:dyDescent="0.2">
      <c r="A110" s="323" t="str">
        <f t="shared" si="16"/>
        <v>11|5</v>
      </c>
      <c r="B110" s="322" t="s">
        <v>43</v>
      </c>
      <c r="C110" s="321" t="s">
        <v>85</v>
      </c>
      <c r="D110" s="320">
        <v>5</v>
      </c>
      <c r="E110" s="319"/>
      <c r="F110" s="319"/>
      <c r="G110" s="319">
        <v>10</v>
      </c>
      <c r="H110" s="319">
        <v>10</v>
      </c>
      <c r="I110" s="319">
        <v>10</v>
      </c>
      <c r="J110" s="318">
        <v>15</v>
      </c>
      <c r="K110" s="318">
        <v>15</v>
      </c>
      <c r="L110" s="318">
        <v>15</v>
      </c>
      <c r="M110" s="318">
        <v>15</v>
      </c>
      <c r="N110" s="318">
        <v>10</v>
      </c>
      <c r="O110" s="318"/>
      <c r="P110" s="318"/>
      <c r="S110" s="2">
        <f t="shared" si="17"/>
        <v>100</v>
      </c>
    </row>
    <row r="111" spans="1:19" x14ac:dyDescent="0.2">
      <c r="A111" s="323" t="str">
        <f t="shared" si="16"/>
        <v>11|6</v>
      </c>
      <c r="B111" s="322" t="s">
        <v>51</v>
      </c>
      <c r="C111" s="321" t="s">
        <v>89</v>
      </c>
      <c r="D111" s="320">
        <v>3</v>
      </c>
      <c r="E111" s="319"/>
      <c r="F111" s="319"/>
      <c r="G111" s="319"/>
      <c r="H111" s="319">
        <v>5</v>
      </c>
      <c r="I111" s="319">
        <v>10</v>
      </c>
      <c r="J111" s="319">
        <v>15</v>
      </c>
      <c r="K111" s="318">
        <v>15</v>
      </c>
      <c r="L111" s="318">
        <v>15</v>
      </c>
      <c r="M111" s="318">
        <v>15</v>
      </c>
      <c r="N111" s="318">
        <v>15</v>
      </c>
      <c r="O111" s="318">
        <v>10</v>
      </c>
      <c r="P111" s="318"/>
      <c r="S111" s="2">
        <f t="shared" si="17"/>
        <v>100</v>
      </c>
    </row>
    <row r="112" spans="1:19" x14ac:dyDescent="0.2">
      <c r="A112" s="323" t="str">
        <f t="shared" si="16"/>
        <v>11|7</v>
      </c>
      <c r="B112" s="322" t="s">
        <v>78</v>
      </c>
      <c r="C112" s="321" t="s">
        <v>90</v>
      </c>
      <c r="D112" s="320">
        <v>5</v>
      </c>
      <c r="E112" s="319"/>
      <c r="F112" s="319"/>
      <c r="G112" s="319"/>
      <c r="H112" s="319">
        <v>10</v>
      </c>
      <c r="I112" s="319">
        <v>10</v>
      </c>
      <c r="J112" s="318">
        <v>15</v>
      </c>
      <c r="K112" s="318">
        <v>20</v>
      </c>
      <c r="L112" s="318">
        <v>15</v>
      </c>
      <c r="M112" s="318">
        <v>10</v>
      </c>
      <c r="N112" s="318">
        <v>10</v>
      </c>
      <c r="O112" s="318">
        <v>10</v>
      </c>
      <c r="P112" s="318"/>
      <c r="S112" s="2">
        <f t="shared" si="17"/>
        <v>100</v>
      </c>
    </row>
    <row r="113" spans="1:19" x14ac:dyDescent="0.2">
      <c r="A113" s="323" t="str">
        <f t="shared" si="16"/>
        <v>11|8</v>
      </c>
      <c r="B113" s="322" t="s">
        <v>64</v>
      </c>
      <c r="C113" s="321" t="s">
        <v>91</v>
      </c>
      <c r="D113" s="320">
        <v>6</v>
      </c>
      <c r="E113" s="319"/>
      <c r="F113" s="319"/>
      <c r="G113" s="319"/>
      <c r="H113" s="319">
        <v>10</v>
      </c>
      <c r="I113" s="319">
        <v>10</v>
      </c>
      <c r="J113" s="318">
        <v>20</v>
      </c>
      <c r="K113" s="318">
        <v>20</v>
      </c>
      <c r="L113" s="318">
        <v>10</v>
      </c>
      <c r="M113" s="318">
        <v>10</v>
      </c>
      <c r="N113" s="318">
        <v>10</v>
      </c>
      <c r="O113" s="318">
        <v>10</v>
      </c>
      <c r="P113" s="318"/>
      <c r="S113" s="2">
        <f t="shared" si="17"/>
        <v>100</v>
      </c>
    </row>
    <row r="114" spans="1:19" x14ac:dyDescent="0.2">
      <c r="A114" s="323" t="str">
        <f t="shared" si="16"/>
        <v>11|9</v>
      </c>
      <c r="B114" s="322" t="s">
        <v>92</v>
      </c>
      <c r="C114" s="321" t="s">
        <v>93</v>
      </c>
      <c r="D114" s="320">
        <v>6</v>
      </c>
      <c r="E114" s="319">
        <v>5</v>
      </c>
      <c r="F114" s="319">
        <v>5</v>
      </c>
      <c r="G114" s="319">
        <v>10</v>
      </c>
      <c r="H114" s="319">
        <v>10</v>
      </c>
      <c r="I114" s="319">
        <v>10</v>
      </c>
      <c r="J114" s="318">
        <v>10</v>
      </c>
      <c r="K114" s="318">
        <v>10</v>
      </c>
      <c r="L114" s="318">
        <v>10</v>
      </c>
      <c r="M114" s="318">
        <v>10</v>
      </c>
      <c r="N114" s="318">
        <v>10</v>
      </c>
      <c r="O114" s="318">
        <v>10</v>
      </c>
      <c r="P114" s="318"/>
      <c r="S114" s="2">
        <f t="shared" si="17"/>
        <v>100</v>
      </c>
    </row>
    <row r="115" spans="1:19" x14ac:dyDescent="0.2">
      <c r="A115" s="323" t="str">
        <f t="shared" si="16"/>
        <v>11|10</v>
      </c>
      <c r="B115" s="322" t="s">
        <v>94</v>
      </c>
      <c r="C115" s="321" t="s">
        <v>86</v>
      </c>
      <c r="D115" s="320"/>
      <c r="E115" s="319">
        <v>10</v>
      </c>
      <c r="F115" s="319">
        <v>10</v>
      </c>
      <c r="G115" s="319">
        <v>15</v>
      </c>
      <c r="H115" s="319">
        <v>15</v>
      </c>
      <c r="I115" s="319">
        <v>15</v>
      </c>
      <c r="J115" s="318">
        <v>10</v>
      </c>
      <c r="K115" s="318">
        <v>10</v>
      </c>
      <c r="L115" s="318">
        <v>10</v>
      </c>
      <c r="M115" s="318">
        <v>5</v>
      </c>
      <c r="N115" s="318"/>
      <c r="O115" s="318"/>
      <c r="P115" s="318"/>
      <c r="S115" s="2">
        <f t="shared" si="17"/>
        <v>100</v>
      </c>
    </row>
    <row r="116" spans="1:19" x14ac:dyDescent="0.2">
      <c r="A116" s="323" t="str">
        <f t="shared" si="16"/>
        <v>11|11</v>
      </c>
      <c r="B116" s="322" t="s">
        <v>103</v>
      </c>
      <c r="C116" s="321" t="s">
        <v>120</v>
      </c>
      <c r="D116" s="320"/>
      <c r="E116" s="319">
        <v>1</v>
      </c>
      <c r="F116" s="319">
        <v>1</v>
      </c>
      <c r="G116" s="319">
        <v>10</v>
      </c>
      <c r="H116" s="319">
        <v>15</v>
      </c>
      <c r="I116" s="319">
        <v>15</v>
      </c>
      <c r="J116" s="318">
        <v>15</v>
      </c>
      <c r="K116" s="318">
        <v>15</v>
      </c>
      <c r="L116" s="318">
        <v>15</v>
      </c>
      <c r="M116" s="318">
        <v>5</v>
      </c>
      <c r="N116" s="318">
        <v>3</v>
      </c>
      <c r="O116" s="318">
        <v>5</v>
      </c>
      <c r="P116" s="318"/>
      <c r="S116" s="2">
        <f t="shared" si="17"/>
        <v>100</v>
      </c>
    </row>
    <row r="117" spans="1:19" ht="5.45" customHeight="1" x14ac:dyDescent="0.2"/>
    <row r="118" spans="1:19" ht="13.5" thickBot="1" x14ac:dyDescent="0.25">
      <c r="A118" s="332" t="s">
        <v>25</v>
      </c>
      <c r="B118" s="331">
        <v>12</v>
      </c>
      <c r="C118" s="330"/>
      <c r="D118" s="329"/>
      <c r="E118" s="328"/>
      <c r="F118" s="328"/>
      <c r="G118" s="328"/>
      <c r="H118" s="328"/>
      <c r="I118" s="328"/>
      <c r="J118" s="328"/>
      <c r="K118" s="328"/>
      <c r="L118" s="328"/>
      <c r="M118" s="328"/>
      <c r="N118" s="328"/>
      <c r="O118" s="328"/>
      <c r="P118" s="328"/>
    </row>
    <row r="119" spans="1:19" ht="13.5" thickTop="1" x14ac:dyDescent="0.2">
      <c r="A119" s="327" t="str">
        <f t="shared" ref="A119:A129" si="18">CONCATENATE($B$118,"|",B119)</f>
        <v>12|1</v>
      </c>
      <c r="B119" s="326">
        <v>1</v>
      </c>
      <c r="C119" s="321" t="s">
        <v>87</v>
      </c>
      <c r="D119" s="320">
        <v>1</v>
      </c>
      <c r="E119" s="324">
        <v>10</v>
      </c>
      <c r="F119" s="324">
        <v>20</v>
      </c>
      <c r="G119" s="324">
        <v>20</v>
      </c>
      <c r="H119" s="324">
        <v>20</v>
      </c>
      <c r="I119" s="324">
        <v>10</v>
      </c>
      <c r="J119" s="325">
        <v>10</v>
      </c>
      <c r="K119" s="325">
        <v>10</v>
      </c>
      <c r="L119" s="325"/>
      <c r="M119" s="325"/>
      <c r="N119" s="325"/>
      <c r="O119" s="325"/>
      <c r="P119" s="325"/>
      <c r="S119" s="2">
        <f t="shared" ref="S119:S129" si="19">SUM(E119:P119)</f>
        <v>100</v>
      </c>
    </row>
    <row r="120" spans="1:19" x14ac:dyDescent="0.2">
      <c r="A120" s="323" t="str">
        <f t="shared" si="18"/>
        <v>12|2</v>
      </c>
      <c r="B120" s="322" t="s">
        <v>44</v>
      </c>
      <c r="C120" s="321" t="s">
        <v>83</v>
      </c>
      <c r="D120" s="320">
        <v>2</v>
      </c>
      <c r="E120" s="324">
        <v>5</v>
      </c>
      <c r="F120" s="324">
        <v>10</v>
      </c>
      <c r="G120" s="324">
        <v>10</v>
      </c>
      <c r="H120" s="324">
        <v>15</v>
      </c>
      <c r="I120" s="324">
        <v>15</v>
      </c>
      <c r="J120" s="318">
        <v>15</v>
      </c>
      <c r="K120" s="318">
        <v>10</v>
      </c>
      <c r="L120" s="318">
        <v>10</v>
      </c>
      <c r="M120" s="318">
        <v>10</v>
      </c>
      <c r="N120" s="318"/>
      <c r="O120" s="318"/>
      <c r="P120" s="318"/>
      <c r="S120" s="2">
        <f t="shared" si="19"/>
        <v>100</v>
      </c>
    </row>
    <row r="121" spans="1:19" x14ac:dyDescent="0.2">
      <c r="A121" s="323" t="str">
        <f t="shared" si="18"/>
        <v>12|3</v>
      </c>
      <c r="B121" s="322" t="s">
        <v>48</v>
      </c>
      <c r="C121" s="321" t="s">
        <v>88</v>
      </c>
      <c r="D121" s="320">
        <v>3</v>
      </c>
      <c r="E121" s="319"/>
      <c r="F121" s="319">
        <v>5</v>
      </c>
      <c r="G121" s="319">
        <v>10</v>
      </c>
      <c r="H121" s="319">
        <v>10</v>
      </c>
      <c r="I121" s="319">
        <v>10</v>
      </c>
      <c r="J121" s="318">
        <v>15</v>
      </c>
      <c r="K121" s="318">
        <v>15</v>
      </c>
      <c r="L121" s="318">
        <v>10</v>
      </c>
      <c r="M121" s="318">
        <v>10</v>
      </c>
      <c r="N121" s="318">
        <v>10</v>
      </c>
      <c r="O121" s="318">
        <v>5</v>
      </c>
      <c r="P121" s="318"/>
      <c r="S121" s="2">
        <f t="shared" si="19"/>
        <v>100</v>
      </c>
    </row>
    <row r="122" spans="1:19" x14ac:dyDescent="0.2">
      <c r="A122" s="323" t="str">
        <f t="shared" si="18"/>
        <v>12|4</v>
      </c>
      <c r="B122" s="322" t="s">
        <v>50</v>
      </c>
      <c r="C122" s="321" t="s">
        <v>84</v>
      </c>
      <c r="D122" s="320">
        <v>4</v>
      </c>
      <c r="E122" s="319"/>
      <c r="F122" s="319"/>
      <c r="G122" s="319">
        <v>5</v>
      </c>
      <c r="H122" s="319">
        <v>10</v>
      </c>
      <c r="I122" s="319">
        <v>10</v>
      </c>
      <c r="J122" s="318">
        <v>10</v>
      </c>
      <c r="K122" s="318">
        <v>10</v>
      </c>
      <c r="L122" s="318">
        <v>15</v>
      </c>
      <c r="M122" s="318">
        <v>10</v>
      </c>
      <c r="N122" s="318">
        <v>15</v>
      </c>
      <c r="O122" s="318">
        <v>10</v>
      </c>
      <c r="P122" s="318">
        <v>5</v>
      </c>
      <c r="S122" s="2">
        <f t="shared" si="19"/>
        <v>100</v>
      </c>
    </row>
    <row r="123" spans="1:19" x14ac:dyDescent="0.2">
      <c r="A123" s="323" t="str">
        <f t="shared" si="18"/>
        <v>12|5</v>
      </c>
      <c r="B123" s="322" t="s">
        <v>43</v>
      </c>
      <c r="C123" s="321" t="s">
        <v>85</v>
      </c>
      <c r="D123" s="320">
        <v>5</v>
      </c>
      <c r="E123" s="319"/>
      <c r="F123" s="319"/>
      <c r="G123" s="319">
        <v>10</v>
      </c>
      <c r="H123" s="319">
        <v>10</v>
      </c>
      <c r="I123" s="319">
        <v>10</v>
      </c>
      <c r="J123" s="318">
        <v>10</v>
      </c>
      <c r="K123" s="318">
        <v>10</v>
      </c>
      <c r="L123" s="318">
        <v>15</v>
      </c>
      <c r="M123" s="318">
        <v>15</v>
      </c>
      <c r="N123" s="318">
        <v>10</v>
      </c>
      <c r="O123" s="318">
        <v>10</v>
      </c>
      <c r="P123" s="318"/>
      <c r="S123" s="2">
        <f t="shared" si="19"/>
        <v>100</v>
      </c>
    </row>
    <row r="124" spans="1:19" x14ac:dyDescent="0.2">
      <c r="A124" s="323" t="str">
        <f t="shared" si="18"/>
        <v>12|6</v>
      </c>
      <c r="B124" s="322" t="s">
        <v>51</v>
      </c>
      <c r="C124" s="321" t="s">
        <v>89</v>
      </c>
      <c r="D124" s="320">
        <v>3</v>
      </c>
      <c r="E124" s="319"/>
      <c r="F124" s="319"/>
      <c r="G124" s="319"/>
      <c r="H124" s="319">
        <v>5</v>
      </c>
      <c r="I124" s="319">
        <v>10</v>
      </c>
      <c r="J124" s="319">
        <v>10</v>
      </c>
      <c r="K124" s="318">
        <v>10</v>
      </c>
      <c r="L124" s="318">
        <v>15</v>
      </c>
      <c r="M124" s="318">
        <v>15</v>
      </c>
      <c r="N124" s="318">
        <v>15</v>
      </c>
      <c r="O124" s="318">
        <v>10</v>
      </c>
      <c r="P124" s="318">
        <v>10</v>
      </c>
      <c r="S124" s="2">
        <f t="shared" si="19"/>
        <v>100</v>
      </c>
    </row>
    <row r="125" spans="1:19" x14ac:dyDescent="0.2">
      <c r="A125" s="323" t="str">
        <f t="shared" si="18"/>
        <v>12|7</v>
      </c>
      <c r="B125" s="322" t="s">
        <v>78</v>
      </c>
      <c r="C125" s="321" t="s">
        <v>90</v>
      </c>
      <c r="D125" s="320">
        <v>5</v>
      </c>
      <c r="E125" s="319"/>
      <c r="F125" s="319"/>
      <c r="G125" s="319"/>
      <c r="H125" s="319">
        <v>5</v>
      </c>
      <c r="I125" s="319">
        <v>10</v>
      </c>
      <c r="J125" s="318">
        <v>10</v>
      </c>
      <c r="K125" s="318">
        <v>15</v>
      </c>
      <c r="L125" s="318">
        <v>15</v>
      </c>
      <c r="M125" s="318">
        <v>15</v>
      </c>
      <c r="N125" s="318">
        <v>10</v>
      </c>
      <c r="O125" s="318">
        <v>10</v>
      </c>
      <c r="P125" s="318">
        <v>10</v>
      </c>
      <c r="S125" s="2">
        <f t="shared" si="19"/>
        <v>100</v>
      </c>
    </row>
    <row r="126" spans="1:19" x14ac:dyDescent="0.2">
      <c r="A126" s="323" t="str">
        <f t="shared" si="18"/>
        <v>12|8</v>
      </c>
      <c r="B126" s="322" t="s">
        <v>64</v>
      </c>
      <c r="C126" s="321" t="s">
        <v>91</v>
      </c>
      <c r="D126" s="320">
        <v>6</v>
      </c>
      <c r="E126" s="319"/>
      <c r="F126" s="319"/>
      <c r="G126" s="319"/>
      <c r="H126" s="319">
        <v>10</v>
      </c>
      <c r="I126" s="319">
        <v>10</v>
      </c>
      <c r="J126" s="318">
        <v>10</v>
      </c>
      <c r="K126" s="318">
        <v>20</v>
      </c>
      <c r="L126" s="318">
        <v>10</v>
      </c>
      <c r="M126" s="318">
        <v>10</v>
      </c>
      <c r="N126" s="318">
        <v>10</v>
      </c>
      <c r="O126" s="318">
        <v>10</v>
      </c>
      <c r="P126" s="318">
        <v>10</v>
      </c>
      <c r="S126" s="2">
        <f t="shared" si="19"/>
        <v>100</v>
      </c>
    </row>
    <row r="127" spans="1:19" x14ac:dyDescent="0.2">
      <c r="A127" s="323" t="str">
        <f t="shared" si="18"/>
        <v>12|9</v>
      </c>
      <c r="B127" s="322" t="s">
        <v>92</v>
      </c>
      <c r="C127" s="321" t="s">
        <v>93</v>
      </c>
      <c r="D127" s="320">
        <v>6</v>
      </c>
      <c r="E127" s="319">
        <v>5</v>
      </c>
      <c r="F127" s="319">
        <v>5</v>
      </c>
      <c r="G127" s="319">
        <v>5</v>
      </c>
      <c r="H127" s="319">
        <v>5</v>
      </c>
      <c r="I127" s="319">
        <v>10</v>
      </c>
      <c r="J127" s="318">
        <v>10</v>
      </c>
      <c r="K127" s="318">
        <v>10</v>
      </c>
      <c r="L127" s="318">
        <v>10</v>
      </c>
      <c r="M127" s="318">
        <v>10</v>
      </c>
      <c r="N127" s="318">
        <v>10</v>
      </c>
      <c r="O127" s="318">
        <v>10</v>
      </c>
      <c r="P127" s="318">
        <v>10</v>
      </c>
      <c r="S127" s="2">
        <f t="shared" si="19"/>
        <v>100</v>
      </c>
    </row>
    <row r="128" spans="1:19" x14ac:dyDescent="0.2">
      <c r="A128" s="323" t="str">
        <f t="shared" si="18"/>
        <v>12|10</v>
      </c>
      <c r="B128" s="322" t="s">
        <v>94</v>
      </c>
      <c r="C128" s="321" t="s">
        <v>86</v>
      </c>
      <c r="D128" s="320"/>
      <c r="E128" s="319">
        <v>10</v>
      </c>
      <c r="F128" s="319">
        <v>15</v>
      </c>
      <c r="G128" s="319">
        <v>10</v>
      </c>
      <c r="H128" s="319">
        <v>10</v>
      </c>
      <c r="I128" s="319">
        <v>10</v>
      </c>
      <c r="J128" s="318">
        <v>10</v>
      </c>
      <c r="K128" s="318">
        <v>10</v>
      </c>
      <c r="L128" s="318">
        <v>10</v>
      </c>
      <c r="M128" s="318">
        <v>10</v>
      </c>
      <c r="N128" s="318">
        <v>5</v>
      </c>
      <c r="O128" s="318"/>
      <c r="P128" s="318"/>
      <c r="S128" s="2">
        <f t="shared" si="19"/>
        <v>100</v>
      </c>
    </row>
    <row r="129" spans="1:19" x14ac:dyDescent="0.2">
      <c r="A129" s="323" t="str">
        <f t="shared" si="18"/>
        <v>12|11</v>
      </c>
      <c r="B129" s="322" t="s">
        <v>103</v>
      </c>
      <c r="C129" s="321" t="s">
        <v>120</v>
      </c>
      <c r="D129" s="320"/>
      <c r="E129" s="319">
        <v>1</v>
      </c>
      <c r="F129" s="319">
        <v>1</v>
      </c>
      <c r="G129" s="319">
        <v>10</v>
      </c>
      <c r="H129" s="319">
        <v>10</v>
      </c>
      <c r="I129" s="319">
        <v>15</v>
      </c>
      <c r="J129" s="318">
        <v>15</v>
      </c>
      <c r="K129" s="318">
        <v>15</v>
      </c>
      <c r="L129" s="318">
        <v>15</v>
      </c>
      <c r="M129" s="318">
        <v>5</v>
      </c>
      <c r="N129" s="318">
        <v>3</v>
      </c>
      <c r="O129" s="318">
        <v>5</v>
      </c>
      <c r="P129" s="318">
        <v>5</v>
      </c>
      <c r="S129" s="2">
        <f t="shared" si="19"/>
        <v>100</v>
      </c>
    </row>
    <row r="131" spans="1:19" x14ac:dyDescent="0.2">
      <c r="S131" s="2">
        <f>SUM(S2:S129)</f>
        <v>11000</v>
      </c>
    </row>
  </sheetData>
  <sheetProtection sheet="1" objects="1" scenarios="1"/>
  <printOptions horizontalCentered="1" verticalCentered="1"/>
  <pageMargins left="0.78740157480314965" right="0.78740157480314965" top="0.98425196850393704" bottom="0.59055118110236227" header="0.51181102362204722" footer="0.51181102362204722"/>
  <pageSetup paperSize="8" scale="94"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DDE8B-444D-427B-A746-B1075F8558F1}">
  <sheetPr codeName="Planilha9"/>
  <dimension ref="A1:AJ582"/>
  <sheetViews>
    <sheetView view="pageBreakPreview" zoomScale="70" zoomScaleNormal="100" zoomScaleSheetLayoutView="70" workbookViewId="0">
      <selection activeCell="O17" sqref="O17"/>
    </sheetView>
  </sheetViews>
  <sheetFormatPr defaultColWidth="14.6640625" defaultRowHeight="12.75" x14ac:dyDescent="0.2"/>
  <cols>
    <col min="1" max="1" width="56.83203125" style="59" customWidth="1"/>
    <col min="2" max="2" width="26.6640625" style="59" customWidth="1"/>
    <col min="3" max="3" width="18.6640625" style="59" customWidth="1"/>
    <col min="4" max="257" width="14.6640625" style="58"/>
    <col min="258" max="258" width="47.6640625" style="58" customWidth="1"/>
    <col min="259" max="259" width="43.83203125" style="58" customWidth="1"/>
    <col min="260" max="513" width="14.6640625" style="58"/>
    <col min="514" max="514" width="47.6640625" style="58" customWidth="1"/>
    <col min="515" max="515" width="43.83203125" style="58" customWidth="1"/>
    <col min="516" max="769" width="14.6640625" style="58"/>
    <col min="770" max="770" width="47.6640625" style="58" customWidth="1"/>
    <col min="771" max="771" width="43.83203125" style="58" customWidth="1"/>
    <col min="772" max="1025" width="14.6640625" style="58"/>
    <col min="1026" max="1026" width="47.6640625" style="58" customWidth="1"/>
    <col min="1027" max="1027" width="43.83203125" style="58" customWidth="1"/>
    <col min="1028" max="1281" width="14.6640625" style="58"/>
    <col min="1282" max="1282" width="47.6640625" style="58" customWidth="1"/>
    <col min="1283" max="1283" width="43.83203125" style="58" customWidth="1"/>
    <col min="1284" max="1537" width="14.6640625" style="58"/>
    <col min="1538" max="1538" width="47.6640625" style="58" customWidth="1"/>
    <col min="1539" max="1539" width="43.83203125" style="58" customWidth="1"/>
    <col min="1540" max="1793" width="14.6640625" style="58"/>
    <col min="1794" max="1794" width="47.6640625" style="58" customWidth="1"/>
    <col min="1795" max="1795" width="43.83203125" style="58" customWidth="1"/>
    <col min="1796" max="2049" width="14.6640625" style="58"/>
    <col min="2050" max="2050" width="47.6640625" style="58" customWidth="1"/>
    <col min="2051" max="2051" width="43.83203125" style="58" customWidth="1"/>
    <col min="2052" max="2305" width="14.6640625" style="58"/>
    <col min="2306" max="2306" width="47.6640625" style="58" customWidth="1"/>
    <col min="2307" max="2307" width="43.83203125" style="58" customWidth="1"/>
    <col min="2308" max="2561" width="14.6640625" style="58"/>
    <col min="2562" max="2562" width="47.6640625" style="58" customWidth="1"/>
    <col min="2563" max="2563" width="43.83203125" style="58" customWidth="1"/>
    <col min="2564" max="2817" width="14.6640625" style="58"/>
    <col min="2818" max="2818" width="47.6640625" style="58" customWidth="1"/>
    <col min="2819" max="2819" width="43.83203125" style="58" customWidth="1"/>
    <col min="2820" max="3073" width="14.6640625" style="58"/>
    <col min="3074" max="3074" width="47.6640625" style="58" customWidth="1"/>
    <col min="3075" max="3075" width="43.83203125" style="58" customWidth="1"/>
    <col min="3076" max="3329" width="14.6640625" style="58"/>
    <col min="3330" max="3330" width="47.6640625" style="58" customWidth="1"/>
    <col min="3331" max="3331" width="43.83203125" style="58" customWidth="1"/>
    <col min="3332" max="3585" width="14.6640625" style="58"/>
    <col min="3586" max="3586" width="47.6640625" style="58" customWidth="1"/>
    <col min="3587" max="3587" width="43.83203125" style="58" customWidth="1"/>
    <col min="3588" max="3841" width="14.6640625" style="58"/>
    <col min="3842" max="3842" width="47.6640625" style="58" customWidth="1"/>
    <col min="3843" max="3843" width="43.83203125" style="58" customWidth="1"/>
    <col min="3844" max="4097" width="14.6640625" style="58"/>
    <col min="4098" max="4098" width="47.6640625" style="58" customWidth="1"/>
    <col min="4099" max="4099" width="43.83203125" style="58" customWidth="1"/>
    <col min="4100" max="4353" width="14.6640625" style="58"/>
    <col min="4354" max="4354" width="47.6640625" style="58" customWidth="1"/>
    <col min="4355" max="4355" width="43.83203125" style="58" customWidth="1"/>
    <col min="4356" max="4609" width="14.6640625" style="58"/>
    <col min="4610" max="4610" width="47.6640625" style="58" customWidth="1"/>
    <col min="4611" max="4611" width="43.83203125" style="58" customWidth="1"/>
    <col min="4612" max="4865" width="14.6640625" style="58"/>
    <col min="4866" max="4866" width="47.6640625" style="58" customWidth="1"/>
    <col min="4867" max="4867" width="43.83203125" style="58" customWidth="1"/>
    <col min="4868" max="5121" width="14.6640625" style="58"/>
    <col min="5122" max="5122" width="47.6640625" style="58" customWidth="1"/>
    <col min="5123" max="5123" width="43.83203125" style="58" customWidth="1"/>
    <col min="5124" max="5377" width="14.6640625" style="58"/>
    <col min="5378" max="5378" width="47.6640625" style="58" customWidth="1"/>
    <col min="5379" max="5379" width="43.83203125" style="58" customWidth="1"/>
    <col min="5380" max="5633" width="14.6640625" style="58"/>
    <col min="5634" max="5634" width="47.6640625" style="58" customWidth="1"/>
    <col min="5635" max="5635" width="43.83203125" style="58" customWidth="1"/>
    <col min="5636" max="5889" width="14.6640625" style="58"/>
    <col min="5890" max="5890" width="47.6640625" style="58" customWidth="1"/>
    <col min="5891" max="5891" width="43.83203125" style="58" customWidth="1"/>
    <col min="5892" max="6145" width="14.6640625" style="58"/>
    <col min="6146" max="6146" width="47.6640625" style="58" customWidth="1"/>
    <col min="6147" max="6147" width="43.83203125" style="58" customWidth="1"/>
    <col min="6148" max="6401" width="14.6640625" style="58"/>
    <col min="6402" max="6402" width="47.6640625" style="58" customWidth="1"/>
    <col min="6403" max="6403" width="43.83203125" style="58" customWidth="1"/>
    <col min="6404" max="6657" width="14.6640625" style="58"/>
    <col min="6658" max="6658" width="47.6640625" style="58" customWidth="1"/>
    <col min="6659" max="6659" width="43.83203125" style="58" customWidth="1"/>
    <col min="6660" max="6913" width="14.6640625" style="58"/>
    <col min="6914" max="6914" width="47.6640625" style="58" customWidth="1"/>
    <col min="6915" max="6915" width="43.83203125" style="58" customWidth="1"/>
    <col min="6916" max="7169" width="14.6640625" style="58"/>
    <col min="7170" max="7170" width="47.6640625" style="58" customWidth="1"/>
    <col min="7171" max="7171" width="43.83203125" style="58" customWidth="1"/>
    <col min="7172" max="7425" width="14.6640625" style="58"/>
    <col min="7426" max="7426" width="47.6640625" style="58" customWidth="1"/>
    <col min="7427" max="7427" width="43.83203125" style="58" customWidth="1"/>
    <col min="7428" max="7681" width="14.6640625" style="58"/>
    <col min="7682" max="7682" width="47.6640625" style="58" customWidth="1"/>
    <col min="7683" max="7683" width="43.83203125" style="58" customWidth="1"/>
    <col min="7684" max="7937" width="14.6640625" style="58"/>
    <col min="7938" max="7938" width="47.6640625" style="58" customWidth="1"/>
    <col min="7939" max="7939" width="43.83203125" style="58" customWidth="1"/>
    <col min="7940" max="8193" width="14.6640625" style="58"/>
    <col min="8194" max="8194" width="47.6640625" style="58" customWidth="1"/>
    <col min="8195" max="8195" width="43.83203125" style="58" customWidth="1"/>
    <col min="8196" max="8449" width="14.6640625" style="58"/>
    <col min="8450" max="8450" width="47.6640625" style="58" customWidth="1"/>
    <col min="8451" max="8451" width="43.83203125" style="58" customWidth="1"/>
    <col min="8452" max="8705" width="14.6640625" style="58"/>
    <col min="8706" max="8706" width="47.6640625" style="58" customWidth="1"/>
    <col min="8707" max="8707" width="43.83203125" style="58" customWidth="1"/>
    <col min="8708" max="8961" width="14.6640625" style="58"/>
    <col min="8962" max="8962" width="47.6640625" style="58" customWidth="1"/>
    <col min="8963" max="8963" width="43.83203125" style="58" customWidth="1"/>
    <col min="8964" max="9217" width="14.6640625" style="58"/>
    <col min="9218" max="9218" width="47.6640625" style="58" customWidth="1"/>
    <col min="9219" max="9219" width="43.83203125" style="58" customWidth="1"/>
    <col min="9220" max="9473" width="14.6640625" style="58"/>
    <col min="9474" max="9474" width="47.6640625" style="58" customWidth="1"/>
    <col min="9475" max="9475" width="43.83203125" style="58" customWidth="1"/>
    <col min="9476" max="9729" width="14.6640625" style="58"/>
    <col min="9730" max="9730" width="47.6640625" style="58" customWidth="1"/>
    <col min="9731" max="9731" width="43.83203125" style="58" customWidth="1"/>
    <col min="9732" max="9985" width="14.6640625" style="58"/>
    <col min="9986" max="9986" width="47.6640625" style="58" customWidth="1"/>
    <col min="9987" max="9987" width="43.83203125" style="58" customWidth="1"/>
    <col min="9988" max="10241" width="14.6640625" style="58"/>
    <col min="10242" max="10242" width="47.6640625" style="58" customWidth="1"/>
    <col min="10243" max="10243" width="43.83203125" style="58" customWidth="1"/>
    <col min="10244" max="10497" width="14.6640625" style="58"/>
    <col min="10498" max="10498" width="47.6640625" style="58" customWidth="1"/>
    <col min="10499" max="10499" width="43.83203125" style="58" customWidth="1"/>
    <col min="10500" max="10753" width="14.6640625" style="58"/>
    <col min="10754" max="10754" width="47.6640625" style="58" customWidth="1"/>
    <col min="10755" max="10755" width="43.83203125" style="58" customWidth="1"/>
    <col min="10756" max="11009" width="14.6640625" style="58"/>
    <col min="11010" max="11010" width="47.6640625" style="58" customWidth="1"/>
    <col min="11011" max="11011" width="43.83203125" style="58" customWidth="1"/>
    <col min="11012" max="11265" width="14.6640625" style="58"/>
    <col min="11266" max="11266" width="47.6640625" style="58" customWidth="1"/>
    <col min="11267" max="11267" width="43.83203125" style="58" customWidth="1"/>
    <col min="11268" max="11521" width="14.6640625" style="58"/>
    <col min="11522" max="11522" width="47.6640625" style="58" customWidth="1"/>
    <col min="11523" max="11523" width="43.83203125" style="58" customWidth="1"/>
    <col min="11524" max="11777" width="14.6640625" style="58"/>
    <col min="11778" max="11778" width="47.6640625" style="58" customWidth="1"/>
    <col min="11779" max="11779" width="43.83203125" style="58" customWidth="1"/>
    <col min="11780" max="12033" width="14.6640625" style="58"/>
    <col min="12034" max="12034" width="47.6640625" style="58" customWidth="1"/>
    <col min="12035" max="12035" width="43.83203125" style="58" customWidth="1"/>
    <col min="12036" max="12289" width="14.6640625" style="58"/>
    <col min="12290" max="12290" width="47.6640625" style="58" customWidth="1"/>
    <col min="12291" max="12291" width="43.83203125" style="58" customWidth="1"/>
    <col min="12292" max="12545" width="14.6640625" style="58"/>
    <col min="12546" max="12546" width="47.6640625" style="58" customWidth="1"/>
    <col min="12547" max="12547" width="43.83203125" style="58" customWidth="1"/>
    <col min="12548" max="12801" width="14.6640625" style="58"/>
    <col min="12802" max="12802" width="47.6640625" style="58" customWidth="1"/>
    <col min="12803" max="12803" width="43.83203125" style="58" customWidth="1"/>
    <col min="12804" max="13057" width="14.6640625" style="58"/>
    <col min="13058" max="13058" width="47.6640625" style="58" customWidth="1"/>
    <col min="13059" max="13059" width="43.83203125" style="58" customWidth="1"/>
    <col min="13060" max="13313" width="14.6640625" style="58"/>
    <col min="13314" max="13314" width="47.6640625" style="58" customWidth="1"/>
    <col min="13315" max="13315" width="43.83203125" style="58" customWidth="1"/>
    <col min="13316" max="13569" width="14.6640625" style="58"/>
    <col min="13570" max="13570" width="47.6640625" style="58" customWidth="1"/>
    <col min="13571" max="13571" width="43.83203125" style="58" customWidth="1"/>
    <col min="13572" max="13825" width="14.6640625" style="58"/>
    <col min="13826" max="13826" width="47.6640625" style="58" customWidth="1"/>
    <col min="13827" max="13827" width="43.83203125" style="58" customWidth="1"/>
    <col min="13828" max="14081" width="14.6640625" style="58"/>
    <col min="14082" max="14082" width="47.6640625" style="58" customWidth="1"/>
    <col min="14083" max="14083" width="43.83203125" style="58" customWidth="1"/>
    <col min="14084" max="14337" width="14.6640625" style="58"/>
    <col min="14338" max="14338" width="47.6640625" style="58" customWidth="1"/>
    <col min="14339" max="14339" width="43.83203125" style="58" customWidth="1"/>
    <col min="14340" max="14593" width="14.6640625" style="58"/>
    <col min="14594" max="14594" width="47.6640625" style="58" customWidth="1"/>
    <col min="14595" max="14595" width="43.83203125" style="58" customWidth="1"/>
    <col min="14596" max="14849" width="14.6640625" style="58"/>
    <col min="14850" max="14850" width="47.6640625" style="58" customWidth="1"/>
    <col min="14851" max="14851" width="43.83203125" style="58" customWidth="1"/>
    <col min="14852" max="15105" width="14.6640625" style="58"/>
    <col min="15106" max="15106" width="47.6640625" style="58" customWidth="1"/>
    <col min="15107" max="15107" width="43.83203125" style="58" customWidth="1"/>
    <col min="15108" max="15361" width="14.6640625" style="58"/>
    <col min="15362" max="15362" width="47.6640625" style="58" customWidth="1"/>
    <col min="15363" max="15363" width="43.83203125" style="58" customWidth="1"/>
    <col min="15364" max="15617" width="14.6640625" style="58"/>
    <col min="15618" max="15618" width="47.6640625" style="58" customWidth="1"/>
    <col min="15619" max="15619" width="43.83203125" style="58" customWidth="1"/>
    <col min="15620" max="15873" width="14.6640625" style="58"/>
    <col min="15874" max="15874" width="47.6640625" style="58" customWidth="1"/>
    <col min="15875" max="15875" width="43.83203125" style="58" customWidth="1"/>
    <col min="15876" max="16129" width="14.6640625" style="58"/>
    <col min="16130" max="16130" width="47.6640625" style="58" customWidth="1"/>
    <col min="16131" max="16131" width="43.83203125" style="58" customWidth="1"/>
    <col min="16132" max="16384" width="14.6640625" style="58"/>
  </cols>
  <sheetData>
    <row r="1" spans="1:8" ht="49.5" customHeight="1" thickBot="1" x14ac:dyDescent="0.25">
      <c r="A1" s="629" t="s">
        <v>213</v>
      </c>
      <c r="B1" s="630"/>
      <c r="C1" s="631"/>
      <c r="D1" s="57"/>
      <c r="E1" s="60"/>
      <c r="F1" s="61"/>
      <c r="G1" s="61"/>
      <c r="H1" s="61"/>
    </row>
    <row r="2" spans="1:8" ht="18" x14ac:dyDescent="0.2">
      <c r="A2" s="632" t="s">
        <v>98</v>
      </c>
      <c r="B2" s="62" t="s">
        <v>156</v>
      </c>
      <c r="C2" s="63">
        <f>B24</f>
        <v>0.2</v>
      </c>
      <c r="D2" s="60"/>
      <c r="E2" s="64"/>
      <c r="F2" s="61"/>
      <c r="G2" s="61"/>
      <c r="H2" s="61"/>
    </row>
    <row r="3" spans="1:8" ht="18" x14ac:dyDescent="0.2">
      <c r="A3" s="633"/>
      <c r="B3" s="62" t="s">
        <v>157</v>
      </c>
      <c r="C3" s="63">
        <v>0.65</v>
      </c>
      <c r="D3" s="60"/>
      <c r="E3" s="60" t="s">
        <v>16</v>
      </c>
      <c r="F3" s="61"/>
      <c r="G3" s="61"/>
      <c r="H3" s="61"/>
    </row>
    <row r="4" spans="1:8" ht="18" x14ac:dyDescent="0.2">
      <c r="A4" s="633"/>
      <c r="B4" s="62" t="s">
        <v>158</v>
      </c>
      <c r="C4" s="63">
        <v>3</v>
      </c>
      <c r="D4" s="60"/>
      <c r="E4" s="60"/>
      <c r="F4" s="61"/>
      <c r="G4" s="61"/>
      <c r="H4" s="61"/>
    </row>
    <row r="5" spans="1:8" ht="18.75" thickBot="1" x14ac:dyDescent="0.25">
      <c r="A5" s="633"/>
      <c r="B5" s="65" t="s">
        <v>159</v>
      </c>
      <c r="C5" s="66">
        <v>0</v>
      </c>
      <c r="D5" s="60"/>
      <c r="E5" s="60" t="s">
        <v>16</v>
      </c>
      <c r="F5" s="61"/>
      <c r="G5" s="61"/>
      <c r="H5" s="61"/>
    </row>
    <row r="6" spans="1:8" ht="18.75" thickBot="1" x14ac:dyDescent="0.25">
      <c r="A6" s="634"/>
      <c r="B6" s="67" t="s">
        <v>160</v>
      </c>
      <c r="C6" s="68">
        <f>SUM(C2:C5)</f>
        <v>3.85</v>
      </c>
      <c r="D6" s="60"/>
      <c r="E6" s="60"/>
      <c r="F6" s="69"/>
      <c r="G6" s="61"/>
      <c r="H6" s="61"/>
    </row>
    <row r="7" spans="1:8" ht="18" x14ac:dyDescent="0.2">
      <c r="A7" s="70" t="s">
        <v>161</v>
      </c>
      <c r="B7" s="71" t="s">
        <v>162</v>
      </c>
      <c r="C7" s="72" t="s">
        <v>163</v>
      </c>
      <c r="D7" s="60"/>
      <c r="E7" s="60"/>
      <c r="F7" s="61"/>
      <c r="G7" s="73" t="s">
        <v>42</v>
      </c>
      <c r="H7" s="61"/>
    </row>
    <row r="8" spans="1:8" ht="18" x14ac:dyDescent="0.2">
      <c r="A8" s="70" t="s">
        <v>151</v>
      </c>
      <c r="B8" s="74">
        <v>4.2</v>
      </c>
      <c r="C8" s="75">
        <v>3.4540000000000002</v>
      </c>
      <c r="D8" s="60"/>
      <c r="E8" s="76"/>
      <c r="F8" s="61"/>
      <c r="G8" s="61"/>
      <c r="H8" s="61"/>
    </row>
    <row r="9" spans="1:8" ht="18" x14ac:dyDescent="0.2">
      <c r="A9" s="77" t="s">
        <v>152</v>
      </c>
      <c r="B9" s="78">
        <v>0.97</v>
      </c>
      <c r="C9" s="79">
        <v>0.48</v>
      </c>
      <c r="D9" s="60"/>
      <c r="E9" s="76"/>
      <c r="F9" s="61"/>
      <c r="G9" s="61"/>
      <c r="H9" s="61"/>
    </row>
    <row r="10" spans="1:8" ht="18" x14ac:dyDescent="0.2">
      <c r="A10" s="77" t="s">
        <v>224</v>
      </c>
      <c r="B10" s="78">
        <v>0.74</v>
      </c>
      <c r="C10" s="79">
        <v>0.85</v>
      </c>
      <c r="D10" s="60"/>
      <c r="E10" s="76"/>
      <c r="F10" s="61"/>
      <c r="G10" s="61"/>
      <c r="H10" s="61"/>
    </row>
    <row r="11" spans="1:8" ht="18" x14ac:dyDescent="0.2">
      <c r="A11" s="77" t="s">
        <v>153</v>
      </c>
      <c r="B11" s="78">
        <v>1.21</v>
      </c>
      <c r="C11" s="79">
        <v>0.85</v>
      </c>
      <c r="D11" s="60"/>
      <c r="E11" s="76"/>
      <c r="F11" s="61"/>
      <c r="G11" s="61"/>
      <c r="H11" s="61"/>
    </row>
    <row r="12" spans="1:8" ht="18.75" thickBot="1" x14ac:dyDescent="0.25">
      <c r="A12" s="80" t="s">
        <v>100</v>
      </c>
      <c r="B12" s="81">
        <v>7.3</v>
      </c>
      <c r="C12" s="82">
        <v>5.1100000000000003</v>
      </c>
      <c r="D12" s="60"/>
      <c r="E12" s="76"/>
      <c r="F12" s="61"/>
      <c r="G12" s="61"/>
      <c r="H12" s="61"/>
    </row>
    <row r="13" spans="1:8" ht="18.75" thickBot="1" x14ac:dyDescent="0.25">
      <c r="A13" s="83" t="s">
        <v>164</v>
      </c>
      <c r="B13" s="84">
        <f>(((((1+(B8+B9+B10)/100)*(1+B11/100)*(1+B12/100))/(1-C6/100))-1)*100)</f>
        <v>19.621935832553273</v>
      </c>
      <c r="C13" s="68">
        <f>(((((1+(C8+C9+C10)/100)*(1+C11/100)*(1+C12/100))/(1-(C3+C4+C5)/100))-1)*100)</f>
        <v>15.282448708251174</v>
      </c>
      <c r="D13" s="85"/>
      <c r="E13" s="60"/>
      <c r="F13" s="61"/>
      <c r="G13" s="61"/>
      <c r="H13" s="61"/>
    </row>
    <row r="14" spans="1:8" ht="15.75" thickBot="1" x14ac:dyDescent="0.25">
      <c r="A14" s="626" t="s">
        <v>165</v>
      </c>
      <c r="B14" s="627"/>
      <c r="C14" s="628"/>
      <c r="D14" s="85"/>
      <c r="E14" s="60"/>
      <c r="F14" s="61"/>
      <c r="G14" s="61"/>
      <c r="H14" s="61"/>
    </row>
    <row r="15" spans="1:8" ht="18.75" thickBot="1" x14ac:dyDescent="0.25">
      <c r="A15" s="86" t="s">
        <v>166</v>
      </c>
      <c r="B15" s="87">
        <f>IF(D15="X",0,ROUND(B13,2)/100)</f>
        <v>0.19620000000000001</v>
      </c>
      <c r="C15" s="88"/>
      <c r="D15" s="89"/>
      <c r="E15" s="90"/>
      <c r="F15" s="61" t="s">
        <v>122</v>
      </c>
      <c r="G15" s="61"/>
      <c r="H15" s="61"/>
    </row>
    <row r="16" spans="1:8" ht="7.9" customHeight="1" thickBot="1" x14ac:dyDescent="0.25">
      <c r="A16" s="91"/>
      <c r="B16" s="91"/>
      <c r="C16" s="91"/>
      <c r="D16" s="85"/>
      <c r="E16" s="60"/>
      <c r="F16" s="61"/>
      <c r="G16" s="61"/>
      <c r="H16" s="61"/>
    </row>
    <row r="17" spans="1:13" ht="18.75" thickBot="1" x14ac:dyDescent="0.25">
      <c r="A17" s="86" t="s">
        <v>167</v>
      </c>
      <c r="B17" s="87">
        <f>IF(D15="X",0,ROUND(C13,2)/100)</f>
        <v>0.15279999999999999</v>
      </c>
      <c r="C17" s="88"/>
      <c r="D17" s="60"/>
      <c r="E17" s="90"/>
      <c r="F17" s="92"/>
      <c r="G17" s="92"/>
      <c r="H17" s="92"/>
      <c r="I17" s="93"/>
      <c r="J17" s="93"/>
      <c r="K17" s="93"/>
      <c r="L17" s="93"/>
      <c r="M17" s="93"/>
    </row>
    <row r="18" spans="1:13" ht="6.6" customHeight="1" x14ac:dyDescent="0.2">
      <c r="A18" s="94"/>
      <c r="B18" s="94"/>
      <c r="C18" s="94"/>
      <c r="D18" s="60"/>
      <c r="E18" s="60"/>
      <c r="F18" s="61"/>
      <c r="G18" s="61"/>
      <c r="H18" s="61"/>
    </row>
    <row r="19" spans="1:13" x14ac:dyDescent="0.2">
      <c r="A19" s="95"/>
      <c r="B19" s="95"/>
      <c r="C19" s="95"/>
      <c r="D19" s="60"/>
      <c r="E19" s="60"/>
      <c r="F19" s="61"/>
      <c r="G19" s="61"/>
      <c r="H19" s="61"/>
    </row>
    <row r="20" spans="1:13" ht="9" customHeight="1" thickBot="1" x14ac:dyDescent="0.25">
      <c r="A20" s="96"/>
      <c r="B20" s="97"/>
      <c r="C20" s="95"/>
      <c r="D20" s="60"/>
      <c r="E20" s="60"/>
      <c r="F20" s="61"/>
      <c r="G20" s="61"/>
      <c r="H20" s="61"/>
    </row>
    <row r="21" spans="1:13" ht="18" customHeight="1" thickBot="1" x14ac:dyDescent="0.25">
      <c r="A21" s="342" t="s">
        <v>226</v>
      </c>
      <c r="B21" s="341">
        <v>2</v>
      </c>
      <c r="C21" s="99" t="s">
        <v>117</v>
      </c>
      <c r="D21" s="60"/>
      <c r="E21" s="64"/>
      <c r="F21" s="61"/>
      <c r="G21" s="61"/>
      <c r="H21" s="61"/>
    </row>
    <row r="22" spans="1:13" ht="18.75" thickBot="1" x14ac:dyDescent="0.25">
      <c r="A22" s="342" t="s">
        <v>227</v>
      </c>
      <c r="B22" s="341">
        <v>10</v>
      </c>
      <c r="C22" s="99" t="s">
        <v>117</v>
      </c>
      <c r="D22" s="60"/>
      <c r="E22" s="64"/>
      <c r="F22" s="61"/>
      <c r="G22" s="61"/>
      <c r="H22" s="61"/>
    </row>
    <row r="23" spans="1:13" ht="18" x14ac:dyDescent="0.2">
      <c r="A23" s="98" t="s">
        <v>154</v>
      </c>
      <c r="B23" s="100" t="s">
        <v>121</v>
      </c>
      <c r="C23" s="99" t="s">
        <v>117</v>
      </c>
      <c r="D23" s="60"/>
      <c r="E23" s="60"/>
      <c r="F23" s="61"/>
      <c r="G23" s="61"/>
      <c r="H23" s="61"/>
    </row>
    <row r="24" spans="1:13" ht="18" x14ac:dyDescent="0.2">
      <c r="A24" s="98" t="s">
        <v>155</v>
      </c>
      <c r="B24" s="101">
        <f>ROUND(B21*B22/100,4)</f>
        <v>0.2</v>
      </c>
      <c r="C24" s="99" t="s">
        <v>117</v>
      </c>
      <c r="D24" s="60"/>
      <c r="E24" s="60"/>
      <c r="F24" s="61"/>
      <c r="G24" s="61"/>
      <c r="H24" s="61"/>
    </row>
    <row r="25" spans="1:13" ht="13.5" thickBot="1" x14ac:dyDescent="0.25">
      <c r="A25" s="102"/>
      <c r="B25" s="103"/>
      <c r="C25" s="103"/>
      <c r="D25" s="60"/>
      <c r="E25" s="60"/>
      <c r="F25" s="61"/>
      <c r="G25" s="61"/>
      <c r="H25" s="61"/>
    </row>
    <row r="26" spans="1:13" ht="13.5" thickBot="1" x14ac:dyDescent="0.25">
      <c r="A26" s="635" t="s">
        <v>168</v>
      </c>
      <c r="B26" s="636"/>
      <c r="C26" s="636"/>
      <c r="D26" s="637"/>
      <c r="E26" s="60"/>
      <c r="F26" s="61"/>
      <c r="G26" s="61"/>
      <c r="H26" s="61"/>
    </row>
    <row r="27" spans="1:13" ht="13.5" thickBot="1" x14ac:dyDescent="0.25">
      <c r="A27" s="104" t="s">
        <v>169</v>
      </c>
      <c r="B27" s="105" t="s">
        <v>170</v>
      </c>
      <c r="C27" s="106" t="s">
        <v>171</v>
      </c>
      <c r="D27" s="107" t="s">
        <v>172</v>
      </c>
      <c r="E27" s="60"/>
      <c r="F27" s="61"/>
      <c r="G27" s="61"/>
      <c r="H27" s="61"/>
    </row>
    <row r="28" spans="1:13" x14ac:dyDescent="0.2">
      <c r="A28" s="108" t="s">
        <v>173</v>
      </c>
      <c r="B28" s="109">
        <v>0.2034</v>
      </c>
      <c r="C28" s="110">
        <v>0.22120000000000001</v>
      </c>
      <c r="D28" s="111">
        <v>0.25</v>
      </c>
      <c r="E28" s="60"/>
      <c r="F28" s="61"/>
      <c r="G28" s="61"/>
      <c r="H28" s="61"/>
    </row>
    <row r="29" spans="1:13" x14ac:dyDescent="0.2">
      <c r="A29" s="112" t="s">
        <v>174</v>
      </c>
      <c r="B29" s="113">
        <v>0.19600000000000001</v>
      </c>
      <c r="C29" s="114">
        <v>0.20949999999999999</v>
      </c>
      <c r="D29" s="115">
        <v>0.24229999999999999</v>
      </c>
      <c r="E29" s="60"/>
      <c r="F29" s="61"/>
      <c r="G29" s="61"/>
      <c r="H29" s="61"/>
    </row>
    <row r="30" spans="1:13" ht="38.25" x14ac:dyDescent="0.2">
      <c r="A30" s="112" t="s">
        <v>175</v>
      </c>
      <c r="B30" s="113">
        <v>0.20760000000000001</v>
      </c>
      <c r="C30" s="114">
        <v>0.24179999999999999</v>
      </c>
      <c r="D30" s="115">
        <v>0.26440000000000002</v>
      </c>
      <c r="E30" s="60"/>
      <c r="F30" s="61"/>
      <c r="G30" s="61"/>
      <c r="H30" s="61"/>
    </row>
    <row r="31" spans="1:13" ht="25.5" x14ac:dyDescent="0.2">
      <c r="A31" s="112" t="s">
        <v>176</v>
      </c>
      <c r="B31" s="113">
        <v>0.24</v>
      </c>
      <c r="C31" s="114">
        <v>0.25840000000000002</v>
      </c>
      <c r="D31" s="115">
        <v>0.27860000000000001</v>
      </c>
      <c r="E31" s="60"/>
      <c r="F31" s="61"/>
      <c r="G31" s="61"/>
      <c r="H31" s="61"/>
    </row>
    <row r="32" spans="1:13" ht="13.5" thickBot="1" x14ac:dyDescent="0.25">
      <c r="A32" s="116" t="s">
        <v>177</v>
      </c>
      <c r="B32" s="117">
        <v>0.22800000000000001</v>
      </c>
      <c r="C32" s="118">
        <v>0.27479999999999999</v>
      </c>
      <c r="D32" s="119">
        <v>0.3095</v>
      </c>
      <c r="E32" s="60"/>
      <c r="F32" s="61"/>
      <c r="G32" s="61"/>
      <c r="H32" s="61"/>
    </row>
    <row r="33" spans="1:17" x14ac:dyDescent="0.2">
      <c r="A33" s="120"/>
      <c r="B33" s="103"/>
      <c r="C33" s="103"/>
      <c r="D33" s="60"/>
      <c r="E33" s="60"/>
      <c r="F33" s="61"/>
      <c r="G33" s="61"/>
      <c r="H33" s="61"/>
    </row>
    <row r="34" spans="1:17" ht="13.5" thickBot="1" x14ac:dyDescent="0.25">
      <c r="A34" s="120"/>
      <c r="B34" s="103"/>
      <c r="C34" s="103"/>
      <c r="D34" s="60"/>
      <c r="E34" s="60"/>
      <c r="F34" s="61"/>
      <c r="G34" s="61"/>
      <c r="H34" s="61"/>
    </row>
    <row r="35" spans="1:17" ht="13.5" thickBot="1" x14ac:dyDescent="0.25">
      <c r="A35" s="638" t="s">
        <v>178</v>
      </c>
      <c r="B35" s="105" t="s">
        <v>170</v>
      </c>
      <c r="C35" s="106" t="s">
        <v>171</v>
      </c>
      <c r="D35" s="107" t="s">
        <v>172</v>
      </c>
      <c r="E35" s="60"/>
      <c r="F35" s="61"/>
      <c r="G35" s="61"/>
      <c r="H35" s="61"/>
    </row>
    <row r="36" spans="1:17" ht="13.5" thickBot="1" x14ac:dyDescent="0.25">
      <c r="A36" s="639"/>
      <c r="B36" s="121">
        <v>0.111</v>
      </c>
      <c r="C36" s="122">
        <v>0.14019999999999999</v>
      </c>
      <c r="D36" s="123">
        <v>0.16800000000000001</v>
      </c>
      <c r="E36" s="60"/>
      <c r="F36" s="61"/>
      <c r="G36" s="61"/>
      <c r="H36" s="61"/>
    </row>
    <row r="37" spans="1:17" x14ac:dyDescent="0.2">
      <c r="A37" s="120"/>
      <c r="B37" s="103"/>
      <c r="C37" s="103"/>
      <c r="D37" s="60"/>
      <c r="E37" s="60"/>
      <c r="F37" s="61"/>
      <c r="G37" s="61"/>
      <c r="H37" s="61"/>
    </row>
    <row r="38" spans="1:17" ht="13.5" thickBot="1" x14ac:dyDescent="0.25">
      <c r="A38" s="120"/>
      <c r="B38" s="103"/>
      <c r="C38" s="103"/>
      <c r="D38" s="60"/>
      <c r="E38" s="60"/>
      <c r="F38" s="60"/>
      <c r="G38" s="60"/>
      <c r="H38" s="60"/>
      <c r="I38" s="1"/>
      <c r="J38" s="1"/>
      <c r="K38" s="1"/>
      <c r="L38" s="1"/>
      <c r="M38" s="1"/>
      <c r="N38" s="1"/>
      <c r="O38" s="1"/>
      <c r="P38" s="1"/>
      <c r="Q38" s="1"/>
    </row>
    <row r="39" spans="1:17" ht="13.5" thickBot="1" x14ac:dyDescent="0.25">
      <c r="A39" s="642" t="s">
        <v>169</v>
      </c>
      <c r="B39" s="623" t="s">
        <v>151</v>
      </c>
      <c r="C39" s="624"/>
      <c r="D39" s="625"/>
      <c r="E39" s="623" t="s">
        <v>179</v>
      </c>
      <c r="F39" s="624"/>
      <c r="G39" s="625"/>
      <c r="H39" s="623" t="s">
        <v>180</v>
      </c>
      <c r="I39" s="624"/>
      <c r="J39" s="625"/>
      <c r="K39" s="623" t="s">
        <v>181</v>
      </c>
      <c r="L39" s="640"/>
      <c r="M39" s="641"/>
      <c r="N39" s="623" t="s">
        <v>100</v>
      </c>
      <c r="O39" s="640"/>
      <c r="P39" s="641"/>
      <c r="Q39" s="1"/>
    </row>
    <row r="40" spans="1:17" ht="13.5" thickBot="1" x14ac:dyDescent="0.25">
      <c r="A40" s="643"/>
      <c r="B40" s="105" t="s">
        <v>170</v>
      </c>
      <c r="C40" s="106" t="s">
        <v>171</v>
      </c>
      <c r="D40" s="107" t="s">
        <v>172</v>
      </c>
      <c r="E40" s="105" t="s">
        <v>170</v>
      </c>
      <c r="F40" s="106" t="s">
        <v>171</v>
      </c>
      <c r="G40" s="107" t="s">
        <v>172</v>
      </c>
      <c r="H40" s="105" t="s">
        <v>170</v>
      </c>
      <c r="I40" s="106" t="s">
        <v>171</v>
      </c>
      <c r="J40" s="107" t="s">
        <v>172</v>
      </c>
      <c r="K40" s="105" t="s">
        <v>170</v>
      </c>
      <c r="L40" s="106" t="s">
        <v>171</v>
      </c>
      <c r="M40" s="107" t="s">
        <v>172</v>
      </c>
      <c r="N40" s="105" t="s">
        <v>170</v>
      </c>
      <c r="O40" s="106" t="s">
        <v>171</v>
      </c>
      <c r="P40" s="107" t="s">
        <v>172</v>
      </c>
      <c r="Q40" s="1"/>
    </row>
    <row r="41" spans="1:17" ht="13.5" thickBot="1" x14ac:dyDescent="0.25">
      <c r="A41" s="599" t="s">
        <v>173</v>
      </c>
      <c r="B41" s="600">
        <v>0.03</v>
      </c>
      <c r="C41" s="601">
        <v>0.04</v>
      </c>
      <c r="D41" s="602">
        <v>5.5E-2</v>
      </c>
      <c r="E41" s="600">
        <v>9.7000000000000003E-3</v>
      </c>
      <c r="F41" s="601">
        <v>1.2699999999999999E-2</v>
      </c>
      <c r="G41" s="602">
        <v>1.2699999999999999E-2</v>
      </c>
      <c r="H41" s="600">
        <v>8.0000000000000002E-3</v>
      </c>
      <c r="I41" s="601">
        <v>8.0000000000000002E-3</v>
      </c>
      <c r="J41" s="602">
        <v>0.01</v>
      </c>
      <c r="K41" s="600">
        <v>5.8999999999999999E-3</v>
      </c>
      <c r="L41" s="601">
        <v>1.23E-2</v>
      </c>
      <c r="M41" s="602">
        <v>1.3899999999999999E-2</v>
      </c>
      <c r="N41" s="600">
        <v>6.1600000000000002E-2</v>
      </c>
      <c r="O41" s="601">
        <v>7.3999999999999996E-2</v>
      </c>
      <c r="P41" s="602">
        <v>8.9599999999999999E-2</v>
      </c>
      <c r="Q41" s="1"/>
    </row>
    <row r="42" spans="1:17" s="598" customFormat="1" ht="13.5" thickBot="1" x14ac:dyDescent="0.25">
      <c r="A42" s="603" t="s">
        <v>174</v>
      </c>
      <c r="B42" s="604">
        <v>3.7999999999999999E-2</v>
      </c>
      <c r="C42" s="605">
        <v>4.0099999999999997E-2</v>
      </c>
      <c r="D42" s="606">
        <v>4.6699999999999998E-2</v>
      </c>
      <c r="E42" s="604">
        <v>5.0000000000000001E-3</v>
      </c>
      <c r="F42" s="605">
        <v>5.5999999999999999E-3</v>
      </c>
      <c r="G42" s="606">
        <v>9.7000000000000003E-3</v>
      </c>
      <c r="H42" s="604">
        <v>3.2000000000000002E-3</v>
      </c>
      <c r="I42" s="605">
        <v>4.0000000000000001E-3</v>
      </c>
      <c r="J42" s="606">
        <v>7.4000000000000003E-3</v>
      </c>
      <c r="K42" s="604">
        <v>1.0200000000000001E-2</v>
      </c>
      <c r="L42" s="605">
        <v>1.11E-2</v>
      </c>
      <c r="M42" s="606">
        <v>1.21E-2</v>
      </c>
      <c r="N42" s="604">
        <v>6.6400000000000001E-2</v>
      </c>
      <c r="O42" s="605">
        <v>7.2999999999999995E-2</v>
      </c>
      <c r="P42" s="606">
        <v>8.6900000000000005E-2</v>
      </c>
      <c r="Q42" s="597"/>
    </row>
    <row r="43" spans="1:17" ht="38.25" x14ac:dyDescent="0.2">
      <c r="A43" s="108" t="s">
        <v>175</v>
      </c>
      <c r="B43" s="109">
        <v>3.4299999999999997E-2</v>
      </c>
      <c r="C43" s="110">
        <v>4.9299999999999997E-2</v>
      </c>
      <c r="D43" s="111">
        <v>6.7100000000000007E-2</v>
      </c>
      <c r="E43" s="109">
        <v>0.01</v>
      </c>
      <c r="F43" s="110">
        <v>1.3899999999999999E-2</v>
      </c>
      <c r="G43" s="111">
        <v>1.7399999999999999E-2</v>
      </c>
      <c r="H43" s="109">
        <v>2.8E-3</v>
      </c>
      <c r="I43" s="110">
        <v>4.8999999999999998E-3</v>
      </c>
      <c r="J43" s="111">
        <v>7.4999999999999997E-3</v>
      </c>
      <c r="K43" s="109">
        <v>9.4000000000000004E-3</v>
      </c>
      <c r="L43" s="110">
        <v>9.9000000000000008E-3</v>
      </c>
      <c r="M43" s="111">
        <v>1.17E-2</v>
      </c>
      <c r="N43" s="109">
        <v>6.7400000000000002E-2</v>
      </c>
      <c r="O43" s="110">
        <v>8.0399999999999999E-2</v>
      </c>
      <c r="P43" s="111">
        <v>9.4E-2</v>
      </c>
      <c r="Q43" s="1"/>
    </row>
    <row r="44" spans="1:17" ht="25.5" x14ac:dyDescent="0.2">
      <c r="A44" s="112" t="s">
        <v>176</v>
      </c>
      <c r="B44" s="113">
        <v>5.2900000000000003E-2</v>
      </c>
      <c r="C44" s="114">
        <v>5.9200000000000003E-2</v>
      </c>
      <c r="D44" s="115">
        <v>7.9299999999999995E-2</v>
      </c>
      <c r="E44" s="113">
        <v>0.01</v>
      </c>
      <c r="F44" s="114">
        <v>1.4800000000000001E-2</v>
      </c>
      <c r="G44" s="115">
        <v>1.9699999999999999E-2</v>
      </c>
      <c r="H44" s="113">
        <v>2.5000000000000001E-3</v>
      </c>
      <c r="I44" s="114">
        <v>5.1000000000000004E-3</v>
      </c>
      <c r="J44" s="115">
        <v>5.5999999999999999E-3</v>
      </c>
      <c r="K44" s="113">
        <v>1.01E-2</v>
      </c>
      <c r="L44" s="114">
        <v>1.0699999999999999E-2</v>
      </c>
      <c r="M44" s="115">
        <v>1.11E-2</v>
      </c>
      <c r="N44" s="113">
        <v>0.08</v>
      </c>
      <c r="O44" s="114">
        <v>8.3099999999999993E-2</v>
      </c>
      <c r="P44" s="115">
        <v>9.5100000000000004E-2</v>
      </c>
      <c r="Q44" s="1"/>
    </row>
    <row r="45" spans="1:17" ht="13.5" thickBot="1" x14ac:dyDescent="0.25">
      <c r="A45" s="116" t="s">
        <v>177</v>
      </c>
      <c r="B45" s="117">
        <v>0.04</v>
      </c>
      <c r="C45" s="118">
        <v>5.5199999999999999E-2</v>
      </c>
      <c r="D45" s="119">
        <v>7.85E-2</v>
      </c>
      <c r="E45" s="117">
        <v>1.46E-2</v>
      </c>
      <c r="F45" s="118">
        <v>2.3199999999999998E-2</v>
      </c>
      <c r="G45" s="119">
        <v>3.1600000000000003E-2</v>
      </c>
      <c r="H45" s="117">
        <v>8.0999999999999996E-3</v>
      </c>
      <c r="I45" s="118">
        <v>1.2200000000000001E-2</v>
      </c>
      <c r="J45" s="119">
        <v>1.9900000000000001E-2</v>
      </c>
      <c r="K45" s="117">
        <v>9.4000000000000004E-3</v>
      </c>
      <c r="L45" s="118">
        <v>1.0200000000000001E-2</v>
      </c>
      <c r="M45" s="119">
        <v>1.3299999999999999E-2</v>
      </c>
      <c r="N45" s="117">
        <v>7.1400000000000005E-2</v>
      </c>
      <c r="O45" s="118">
        <v>8.4000000000000005E-2</v>
      </c>
      <c r="P45" s="119">
        <v>0.1043</v>
      </c>
      <c r="Q45" s="1"/>
    </row>
    <row r="46" spans="1:17" x14ac:dyDescent="0.2">
      <c r="A46" s="103"/>
      <c r="B46" s="103"/>
      <c r="C46" s="103"/>
      <c r="D46" s="60"/>
      <c r="E46" s="60"/>
      <c r="F46" s="61"/>
      <c r="G46" s="61"/>
      <c r="H46" s="61"/>
    </row>
    <row r="47" spans="1:17" ht="13.5" thickBot="1" x14ac:dyDescent="0.25">
      <c r="A47" s="103"/>
      <c r="B47" s="103"/>
      <c r="C47" s="103"/>
      <c r="D47" s="60"/>
      <c r="E47" s="60"/>
      <c r="F47" s="61"/>
      <c r="G47" s="61"/>
      <c r="H47" s="61"/>
    </row>
    <row r="48" spans="1:17" ht="13.5" thickBot="1" x14ac:dyDescent="0.25">
      <c r="A48" s="623" t="s">
        <v>182</v>
      </c>
      <c r="B48" s="630"/>
      <c r="C48" s="630"/>
      <c r="D48" s="631"/>
      <c r="E48" s="60"/>
      <c r="F48" s="61"/>
      <c r="G48" s="61"/>
    </row>
    <row r="49" spans="1:36" ht="13.5" thickBot="1" x14ac:dyDescent="0.25">
      <c r="A49" s="124" t="s">
        <v>183</v>
      </c>
      <c r="B49" s="125" t="s">
        <v>170</v>
      </c>
      <c r="C49" s="126" t="s">
        <v>171</v>
      </c>
      <c r="D49" s="127" t="s">
        <v>172</v>
      </c>
      <c r="E49" s="60"/>
      <c r="F49" s="61"/>
      <c r="G49" s="61"/>
    </row>
    <row r="50" spans="1:36" x14ac:dyDescent="0.2">
      <c r="A50" s="108" t="s">
        <v>151</v>
      </c>
      <c r="B50" s="109">
        <v>1.4999999999999999E-2</v>
      </c>
      <c r="C50" s="110">
        <v>3.4500000000000003E-2</v>
      </c>
      <c r="D50" s="111">
        <v>4.4900000000000002E-2</v>
      </c>
      <c r="E50" s="60"/>
      <c r="F50" s="61"/>
      <c r="G50" s="61"/>
    </row>
    <row r="51" spans="1:36" x14ac:dyDescent="0.2">
      <c r="A51" s="112" t="s">
        <v>180</v>
      </c>
      <c r="B51" s="113">
        <v>3.0000000000000001E-3</v>
      </c>
      <c r="C51" s="114">
        <v>4.7999999999999996E-3</v>
      </c>
      <c r="D51" s="115">
        <v>8.2000000000000007E-3</v>
      </c>
      <c r="E51" s="60"/>
      <c r="F51" s="61"/>
      <c r="G51" s="61"/>
    </row>
    <row r="52" spans="1:36" x14ac:dyDescent="0.2">
      <c r="A52" s="112" t="s">
        <v>179</v>
      </c>
      <c r="B52" s="113">
        <v>5.5999999999999999E-3</v>
      </c>
      <c r="C52" s="114">
        <v>8.5000000000000006E-3</v>
      </c>
      <c r="D52" s="115">
        <v>8.8999999999999999E-3</v>
      </c>
      <c r="E52" s="60"/>
      <c r="F52" s="61"/>
      <c r="G52" s="61"/>
    </row>
    <row r="53" spans="1:36" x14ac:dyDescent="0.2">
      <c r="A53" s="112" t="s">
        <v>181</v>
      </c>
      <c r="B53" s="113">
        <v>8.5000000000000006E-3</v>
      </c>
      <c r="C53" s="114">
        <v>8.5000000000000006E-3</v>
      </c>
      <c r="D53" s="115">
        <v>1.11E-2</v>
      </c>
      <c r="E53" s="60"/>
      <c r="F53" s="61"/>
      <c r="G53" s="61"/>
    </row>
    <row r="54" spans="1:36" ht="13.5" thickBot="1" x14ac:dyDescent="0.25">
      <c r="A54" s="116" t="s">
        <v>100</v>
      </c>
      <c r="B54" s="117">
        <v>3.5000000000000003E-2</v>
      </c>
      <c r="C54" s="118">
        <v>5.11E-2</v>
      </c>
      <c r="D54" s="119">
        <v>6.2199999999999998E-2</v>
      </c>
      <c r="E54" s="60"/>
      <c r="F54" s="61"/>
      <c r="G54" s="61"/>
    </row>
    <row r="55" spans="1:36" x14ac:dyDescent="0.2">
      <c r="A55" s="103"/>
      <c r="B55" s="103"/>
      <c r="C55" s="128"/>
      <c r="D55" s="60"/>
      <c r="E55" s="129"/>
      <c r="F55" s="61"/>
      <c r="G55" s="61"/>
      <c r="H55" s="61"/>
    </row>
    <row r="56" spans="1:36" ht="13.5" thickBot="1" x14ac:dyDescent="0.25">
      <c r="A56" s="103"/>
      <c r="B56" s="103"/>
      <c r="C56" s="103"/>
      <c r="D56" s="60"/>
      <c r="E56" s="60"/>
      <c r="F56" s="61"/>
      <c r="G56" s="61"/>
      <c r="H56" s="61"/>
    </row>
    <row r="57" spans="1:36" ht="13.5" thickBot="1" x14ac:dyDescent="0.25">
      <c r="A57" s="623" t="s">
        <v>184</v>
      </c>
      <c r="B57" s="630"/>
      <c r="C57" s="630"/>
      <c r="D57" s="631"/>
      <c r="E57" s="60"/>
      <c r="F57" s="61"/>
      <c r="G57" s="61"/>
      <c r="H57" s="61"/>
    </row>
    <row r="58" spans="1:36" ht="13.5" thickBot="1" x14ac:dyDescent="0.25">
      <c r="A58" s="130" t="s">
        <v>169</v>
      </c>
      <c r="B58" s="105" t="s">
        <v>170</v>
      </c>
      <c r="C58" s="106" t="s">
        <v>171</v>
      </c>
      <c r="D58" s="107" t="s">
        <v>172</v>
      </c>
      <c r="E58" s="60"/>
      <c r="F58" s="61"/>
      <c r="G58" s="61"/>
      <c r="H58" s="61"/>
    </row>
    <row r="59" spans="1:36" x14ac:dyDescent="0.2">
      <c r="A59" s="108" t="s">
        <v>173</v>
      </c>
      <c r="B59" s="109">
        <v>3.49E-2</v>
      </c>
      <c r="C59" s="110">
        <v>6.2300000000000001E-2</v>
      </c>
      <c r="D59" s="111">
        <v>8.8700000000000001E-2</v>
      </c>
      <c r="E59" s="60"/>
      <c r="F59" s="61"/>
      <c r="G59" s="61"/>
      <c r="H59" s="61"/>
    </row>
    <row r="60" spans="1:36" x14ac:dyDescent="0.2">
      <c r="A60" s="112" t="s">
        <v>174</v>
      </c>
      <c r="B60" s="113">
        <v>1.9800000000000002E-2</v>
      </c>
      <c r="C60" s="114">
        <v>6.9900000000000004E-2</v>
      </c>
      <c r="D60" s="115">
        <v>0.10680000000000001</v>
      </c>
      <c r="E60" s="60"/>
      <c r="F60" s="61"/>
      <c r="G60" s="61"/>
      <c r="H60" s="61"/>
    </row>
    <row r="61" spans="1:36" ht="38.25" x14ac:dyDescent="0.2">
      <c r="A61" s="112" t="s">
        <v>175</v>
      </c>
      <c r="B61" s="113">
        <v>4.1300000000000003E-2</v>
      </c>
      <c r="C61" s="114">
        <v>7.6399999999999996E-2</v>
      </c>
      <c r="D61" s="115">
        <v>0.1089</v>
      </c>
      <c r="E61" s="60"/>
      <c r="F61" s="61"/>
      <c r="G61" s="61"/>
      <c r="H61" s="61"/>
    </row>
    <row r="62" spans="1:36" ht="25.5" x14ac:dyDescent="0.2">
      <c r="A62" s="112" t="s">
        <v>176</v>
      </c>
      <c r="B62" s="113">
        <v>1.8499999999999999E-2</v>
      </c>
      <c r="C62" s="114">
        <v>5.0500000000000003E-2</v>
      </c>
      <c r="D62" s="115">
        <v>7.4499999999999997E-2</v>
      </c>
      <c r="E62" s="60"/>
      <c r="F62" s="61"/>
      <c r="G62" s="61"/>
      <c r="H62" s="61"/>
      <c r="Q62" s="61"/>
      <c r="R62" s="61"/>
      <c r="S62" s="61"/>
      <c r="T62" s="61"/>
      <c r="U62" s="61"/>
      <c r="V62" s="61"/>
      <c r="W62" s="61"/>
      <c r="X62" s="61"/>
      <c r="Y62" s="61"/>
      <c r="Z62" s="61"/>
      <c r="AA62" s="61"/>
      <c r="AB62" s="61"/>
      <c r="AC62" s="61"/>
      <c r="AD62" s="61"/>
      <c r="AE62" s="61"/>
      <c r="AF62" s="61"/>
      <c r="AG62" s="61"/>
      <c r="AH62" s="61"/>
      <c r="AI62" s="61"/>
      <c r="AJ62" s="61"/>
    </row>
    <row r="63" spans="1:36" ht="13.5" thickBot="1" x14ac:dyDescent="0.25">
      <c r="A63" s="116" t="s">
        <v>177</v>
      </c>
      <c r="B63" s="117">
        <v>6.2300000000000001E-2</v>
      </c>
      <c r="C63" s="118">
        <v>7.4800000000000005E-2</v>
      </c>
      <c r="D63" s="119">
        <v>9.0899999999999995E-2</v>
      </c>
      <c r="E63" s="60"/>
      <c r="F63" s="61"/>
      <c r="G63" s="61"/>
      <c r="H63" s="61"/>
      <c r="Q63" s="61"/>
      <c r="R63" s="61"/>
      <c r="S63" s="61"/>
      <c r="T63" s="61"/>
      <c r="U63" s="61"/>
      <c r="V63" s="61"/>
      <c r="W63" s="61"/>
      <c r="X63" s="61"/>
      <c r="Y63" s="61"/>
      <c r="Z63" s="61"/>
      <c r="AA63" s="61"/>
      <c r="AB63" s="61"/>
      <c r="AC63" s="61"/>
      <c r="AD63" s="61"/>
      <c r="AE63" s="61"/>
      <c r="AF63" s="61"/>
      <c r="AG63" s="61"/>
      <c r="AH63" s="61"/>
      <c r="AI63" s="61"/>
      <c r="AJ63" s="61"/>
    </row>
    <row r="64" spans="1:36" x14ac:dyDescent="0.2">
      <c r="A64" s="103"/>
      <c r="B64" s="103"/>
      <c r="C64" s="103"/>
      <c r="D64" s="60"/>
      <c r="E64" s="60"/>
      <c r="F64" s="61"/>
      <c r="G64" s="61"/>
      <c r="H64" s="61"/>
    </row>
    <row r="65" spans="1:36" x14ac:dyDescent="0.2">
      <c r="A65" s="620" t="s">
        <v>185</v>
      </c>
      <c r="B65" s="621"/>
      <c r="C65" s="621"/>
      <c r="D65" s="622"/>
      <c r="E65" s="60"/>
      <c r="F65" s="61"/>
      <c r="G65" s="61"/>
      <c r="H65" s="61"/>
      <c r="Q65" s="61"/>
      <c r="R65" s="61"/>
      <c r="S65" s="61"/>
      <c r="T65" s="61"/>
      <c r="U65" s="61"/>
      <c r="V65" s="61"/>
      <c r="W65" s="61"/>
      <c r="X65" s="61"/>
      <c r="Y65" s="61"/>
      <c r="Z65" s="61"/>
      <c r="AA65" s="61"/>
      <c r="AB65" s="61"/>
      <c r="AC65" s="61"/>
      <c r="AD65" s="61"/>
      <c r="AE65" s="61"/>
      <c r="AF65" s="61"/>
      <c r="AG65" s="61"/>
      <c r="AH65" s="61"/>
      <c r="AI65" s="61"/>
      <c r="AJ65" s="61"/>
    </row>
    <row r="66" spans="1:36" x14ac:dyDescent="0.2">
      <c r="A66" s="103"/>
      <c r="B66" s="103"/>
      <c r="C66" s="103"/>
      <c r="D66" s="60"/>
      <c r="E66" s="60"/>
      <c r="F66" s="61"/>
      <c r="G66" s="61"/>
      <c r="H66" s="61"/>
    </row>
    <row r="67" spans="1:36" x14ac:dyDescent="0.2">
      <c r="A67" s="131"/>
      <c r="B67" s="131"/>
      <c r="C67" s="131"/>
      <c r="D67" s="61"/>
      <c r="E67" s="61"/>
      <c r="F67" s="61"/>
      <c r="G67" s="61"/>
      <c r="H67" s="61"/>
    </row>
    <row r="68" spans="1:36" x14ac:dyDescent="0.2">
      <c r="A68" s="131"/>
      <c r="B68" s="131"/>
      <c r="C68" s="131"/>
      <c r="D68" s="61"/>
      <c r="E68" s="61"/>
      <c r="F68" s="61"/>
      <c r="G68" s="61"/>
      <c r="H68" s="61"/>
    </row>
    <row r="69" spans="1:36" x14ac:dyDescent="0.2">
      <c r="A69" s="131"/>
      <c r="B69" s="131"/>
      <c r="C69" s="131"/>
      <c r="D69" s="61"/>
      <c r="E69" s="61"/>
      <c r="F69" s="61"/>
      <c r="G69" s="61"/>
      <c r="H69" s="61"/>
    </row>
    <row r="70" spans="1:36" x14ac:dyDescent="0.2">
      <c r="A70" s="131"/>
      <c r="B70" s="131"/>
      <c r="C70" s="131"/>
      <c r="D70" s="61"/>
      <c r="E70" s="61"/>
      <c r="F70" s="61"/>
      <c r="G70" s="61"/>
      <c r="H70" s="61"/>
    </row>
    <row r="71" spans="1:36" x14ac:dyDescent="0.2">
      <c r="A71" s="131"/>
      <c r="B71" s="131"/>
      <c r="C71" s="131"/>
      <c r="D71" s="61"/>
      <c r="E71" s="61"/>
      <c r="F71" s="61"/>
      <c r="G71" s="61"/>
      <c r="H71" s="61"/>
    </row>
    <row r="72" spans="1:36" x14ac:dyDescent="0.2">
      <c r="A72" s="131"/>
      <c r="B72" s="131"/>
      <c r="C72" s="131"/>
      <c r="D72" s="61"/>
      <c r="E72" s="61"/>
      <c r="F72" s="61"/>
      <c r="G72" s="61"/>
      <c r="H72" s="61"/>
    </row>
    <row r="73" spans="1:36" x14ac:dyDescent="0.2">
      <c r="A73" s="131"/>
      <c r="B73" s="131"/>
      <c r="C73" s="131"/>
      <c r="D73" s="61"/>
      <c r="E73" s="61"/>
      <c r="F73" s="61"/>
      <c r="G73" s="61"/>
      <c r="H73" s="61"/>
    </row>
    <row r="74" spans="1:36" x14ac:dyDescent="0.2">
      <c r="A74" s="131"/>
      <c r="B74" s="131"/>
      <c r="C74" s="131"/>
      <c r="D74" s="61"/>
      <c r="E74" s="61"/>
      <c r="F74" s="61"/>
      <c r="G74" s="61"/>
      <c r="H74" s="61"/>
    </row>
    <row r="75" spans="1:36" x14ac:dyDescent="0.2">
      <c r="A75" s="131"/>
      <c r="B75" s="131"/>
      <c r="C75" s="131"/>
      <c r="D75" s="61"/>
      <c r="E75" s="61"/>
      <c r="F75" s="61"/>
      <c r="G75" s="61"/>
      <c r="H75" s="61"/>
    </row>
    <row r="76" spans="1:36" x14ac:dyDescent="0.2">
      <c r="A76" s="131"/>
      <c r="B76" s="131"/>
      <c r="C76" s="131"/>
      <c r="D76" s="61"/>
      <c r="E76" s="61"/>
      <c r="F76" s="61"/>
      <c r="G76" s="61"/>
      <c r="H76" s="61"/>
    </row>
    <row r="77" spans="1:36" x14ac:dyDescent="0.2">
      <c r="A77" s="131"/>
      <c r="B77" s="131"/>
      <c r="C77" s="131"/>
      <c r="D77" s="61"/>
      <c r="E77" s="61"/>
      <c r="F77" s="61"/>
      <c r="G77" s="61"/>
      <c r="H77" s="61"/>
    </row>
    <row r="78" spans="1:36" x14ac:dyDescent="0.2">
      <c r="A78" s="131"/>
      <c r="B78" s="131"/>
      <c r="C78" s="131"/>
      <c r="D78" s="61"/>
      <c r="E78" s="61"/>
      <c r="F78" s="61"/>
      <c r="G78" s="61"/>
      <c r="H78" s="61"/>
    </row>
    <row r="79" spans="1:36" x14ac:dyDescent="0.2">
      <c r="A79" s="131"/>
      <c r="B79" s="131"/>
      <c r="C79" s="131"/>
      <c r="D79" s="61"/>
      <c r="E79" s="61"/>
      <c r="F79" s="61"/>
      <c r="G79" s="61"/>
      <c r="H79" s="61"/>
    </row>
    <row r="80" spans="1:36" x14ac:dyDescent="0.2">
      <c r="A80" s="131"/>
      <c r="B80" s="131"/>
      <c r="C80" s="131"/>
      <c r="D80" s="61"/>
      <c r="E80" s="61"/>
      <c r="F80" s="61"/>
      <c r="G80" s="61"/>
      <c r="H80" s="61"/>
    </row>
    <row r="81" spans="1:8" x14ac:dyDescent="0.2">
      <c r="A81" s="131"/>
      <c r="B81" s="131"/>
      <c r="C81" s="131"/>
      <c r="D81" s="61"/>
      <c r="E81" s="61"/>
      <c r="F81" s="61"/>
      <c r="G81" s="61"/>
      <c r="H81" s="61"/>
    </row>
    <row r="82" spans="1:8" x14ac:dyDescent="0.2">
      <c r="A82" s="131"/>
      <c r="B82" s="131"/>
      <c r="C82" s="131"/>
      <c r="D82" s="61"/>
      <c r="E82" s="61"/>
      <c r="F82" s="61"/>
      <c r="G82" s="61"/>
      <c r="H82" s="61"/>
    </row>
    <row r="83" spans="1:8" x14ac:dyDescent="0.2">
      <c r="A83" s="131"/>
      <c r="B83" s="131"/>
      <c r="C83" s="131"/>
      <c r="D83" s="61"/>
      <c r="E83" s="61"/>
      <c r="F83" s="61"/>
      <c r="G83" s="61"/>
      <c r="H83" s="61"/>
    </row>
    <row r="84" spans="1:8" x14ac:dyDescent="0.2">
      <c r="A84" s="131"/>
      <c r="B84" s="131"/>
      <c r="C84" s="131"/>
      <c r="D84" s="61"/>
      <c r="E84" s="61"/>
      <c r="F84" s="61"/>
      <c r="G84" s="61"/>
      <c r="H84" s="61"/>
    </row>
    <row r="85" spans="1:8" x14ac:dyDescent="0.2">
      <c r="A85" s="131"/>
      <c r="B85" s="131"/>
      <c r="C85" s="131"/>
      <c r="D85" s="61"/>
      <c r="E85" s="61"/>
      <c r="F85" s="61"/>
      <c r="G85" s="61"/>
      <c r="H85" s="61"/>
    </row>
    <row r="86" spans="1:8" x14ac:dyDescent="0.2">
      <c r="A86" s="131"/>
      <c r="B86" s="131"/>
      <c r="C86" s="131"/>
      <c r="D86" s="61"/>
      <c r="E86" s="61"/>
      <c r="F86" s="61"/>
      <c r="G86" s="61"/>
      <c r="H86" s="61"/>
    </row>
    <row r="87" spans="1:8" x14ac:dyDescent="0.2">
      <c r="A87" s="131"/>
      <c r="B87" s="131"/>
      <c r="C87" s="131"/>
      <c r="D87" s="61"/>
      <c r="E87" s="61"/>
      <c r="F87" s="61"/>
      <c r="G87" s="61"/>
      <c r="H87" s="61"/>
    </row>
    <row r="88" spans="1:8" x14ac:dyDescent="0.2">
      <c r="A88" s="131"/>
      <c r="B88" s="131"/>
      <c r="C88" s="131"/>
      <c r="D88" s="61"/>
      <c r="E88" s="61"/>
      <c r="F88" s="61"/>
      <c r="G88" s="61"/>
      <c r="H88" s="61"/>
    </row>
    <row r="89" spans="1:8" x14ac:dyDescent="0.2">
      <c r="A89" s="131"/>
      <c r="B89" s="131"/>
      <c r="C89" s="131"/>
      <c r="D89" s="61"/>
      <c r="E89" s="61"/>
      <c r="F89" s="61"/>
      <c r="G89" s="61"/>
      <c r="H89" s="61"/>
    </row>
    <row r="90" spans="1:8" x14ac:dyDescent="0.2">
      <c r="A90" s="131"/>
      <c r="B90" s="131"/>
      <c r="C90" s="131"/>
      <c r="D90" s="61"/>
      <c r="E90" s="61"/>
      <c r="F90" s="61"/>
      <c r="G90" s="61"/>
      <c r="H90" s="61"/>
    </row>
    <row r="91" spans="1:8" x14ac:dyDescent="0.2">
      <c r="A91" s="131"/>
      <c r="B91" s="131"/>
      <c r="C91" s="131"/>
      <c r="D91" s="61"/>
      <c r="E91" s="61"/>
      <c r="F91" s="61"/>
      <c r="G91" s="61"/>
      <c r="H91" s="61"/>
    </row>
    <row r="92" spans="1:8" x14ac:dyDescent="0.2">
      <c r="A92" s="131"/>
      <c r="B92" s="131"/>
      <c r="C92" s="131"/>
      <c r="D92" s="61"/>
      <c r="E92" s="61"/>
      <c r="F92" s="61"/>
      <c r="G92" s="61"/>
      <c r="H92" s="61"/>
    </row>
    <row r="93" spans="1:8" x14ac:dyDescent="0.2">
      <c r="A93" s="131"/>
      <c r="B93" s="131"/>
      <c r="C93" s="131"/>
      <c r="D93" s="61"/>
      <c r="E93" s="61"/>
      <c r="F93" s="61"/>
      <c r="G93" s="61"/>
      <c r="H93" s="61"/>
    </row>
    <row r="94" spans="1:8" x14ac:dyDescent="0.2">
      <c r="A94" s="131"/>
      <c r="B94" s="131"/>
      <c r="C94" s="131"/>
      <c r="D94" s="61"/>
      <c r="E94" s="61"/>
      <c r="F94" s="61"/>
      <c r="G94" s="61"/>
      <c r="H94" s="61"/>
    </row>
    <row r="95" spans="1:8" x14ac:dyDescent="0.2">
      <c r="A95" s="131"/>
      <c r="B95" s="131"/>
      <c r="C95" s="131"/>
      <c r="D95" s="61"/>
      <c r="E95" s="61"/>
      <c r="F95" s="61"/>
      <c r="G95" s="61"/>
      <c r="H95" s="61"/>
    </row>
    <row r="96" spans="1:8" x14ac:dyDescent="0.2">
      <c r="A96" s="131"/>
      <c r="B96" s="131"/>
      <c r="C96" s="131"/>
      <c r="D96" s="61"/>
      <c r="E96" s="61"/>
      <c r="F96" s="61"/>
      <c r="G96" s="61"/>
      <c r="H96" s="61"/>
    </row>
    <row r="97" spans="1:8" x14ac:dyDescent="0.2">
      <c r="A97" s="131"/>
      <c r="B97" s="131"/>
      <c r="C97" s="131"/>
      <c r="D97" s="61"/>
      <c r="E97" s="61"/>
      <c r="F97" s="61"/>
      <c r="G97" s="61"/>
      <c r="H97" s="61"/>
    </row>
    <row r="98" spans="1:8" x14ac:dyDescent="0.2">
      <c r="A98" s="131"/>
      <c r="B98" s="131"/>
      <c r="C98" s="131"/>
      <c r="D98" s="61"/>
      <c r="E98" s="61"/>
      <c r="F98" s="61"/>
      <c r="G98" s="61"/>
      <c r="H98" s="61"/>
    </row>
    <row r="99" spans="1:8" x14ac:dyDescent="0.2">
      <c r="A99" s="131"/>
      <c r="B99" s="131"/>
      <c r="C99" s="131"/>
      <c r="D99" s="61"/>
      <c r="E99" s="61"/>
      <c r="F99" s="61"/>
      <c r="G99" s="61"/>
      <c r="H99" s="61"/>
    </row>
    <row r="100" spans="1:8" x14ac:dyDescent="0.2">
      <c r="A100" s="131"/>
      <c r="B100" s="131"/>
      <c r="C100" s="131"/>
      <c r="D100" s="61"/>
      <c r="E100" s="61"/>
      <c r="F100" s="61"/>
      <c r="G100" s="61"/>
      <c r="H100" s="61"/>
    </row>
    <row r="101" spans="1:8" x14ac:dyDescent="0.2">
      <c r="A101" s="131"/>
      <c r="B101" s="131"/>
      <c r="C101" s="131"/>
      <c r="D101" s="61"/>
      <c r="E101" s="61"/>
      <c r="F101" s="61"/>
      <c r="G101" s="61"/>
      <c r="H101" s="61"/>
    </row>
    <row r="102" spans="1:8" x14ac:dyDescent="0.2">
      <c r="A102" s="131"/>
      <c r="B102" s="131"/>
      <c r="C102" s="131"/>
      <c r="D102" s="61"/>
      <c r="E102" s="61"/>
      <c r="F102" s="61"/>
      <c r="G102" s="61"/>
      <c r="H102" s="61"/>
    </row>
    <row r="103" spans="1:8" x14ac:dyDescent="0.2">
      <c r="A103" s="131"/>
      <c r="B103" s="131"/>
      <c r="C103" s="131"/>
      <c r="D103" s="61"/>
      <c r="E103" s="61"/>
      <c r="F103" s="61"/>
      <c r="G103" s="61"/>
      <c r="H103" s="61"/>
    </row>
    <row r="104" spans="1:8" x14ac:dyDescent="0.2">
      <c r="A104" s="131"/>
      <c r="B104" s="131"/>
      <c r="C104" s="131"/>
      <c r="D104" s="61"/>
      <c r="E104" s="61"/>
      <c r="F104" s="61"/>
      <c r="G104" s="61"/>
      <c r="H104" s="61"/>
    </row>
    <row r="105" spans="1:8" x14ac:dyDescent="0.2">
      <c r="A105" s="131"/>
      <c r="B105" s="131"/>
      <c r="C105" s="131"/>
      <c r="D105" s="61"/>
      <c r="E105" s="61"/>
      <c r="F105" s="61"/>
      <c r="G105" s="61"/>
      <c r="H105" s="61"/>
    </row>
    <row r="106" spans="1:8" x14ac:dyDescent="0.2">
      <c r="A106" s="131"/>
      <c r="B106" s="131"/>
      <c r="C106" s="131"/>
      <c r="D106" s="61"/>
      <c r="E106" s="61"/>
      <c r="F106" s="61"/>
      <c r="G106" s="61"/>
      <c r="H106" s="61"/>
    </row>
    <row r="107" spans="1:8" x14ac:dyDescent="0.2">
      <c r="A107" s="131"/>
      <c r="B107" s="131"/>
      <c r="C107" s="131"/>
      <c r="D107" s="61"/>
      <c r="E107" s="61"/>
      <c r="F107" s="61"/>
      <c r="G107" s="61"/>
      <c r="H107" s="61"/>
    </row>
    <row r="108" spans="1:8" x14ac:dyDescent="0.2">
      <c r="A108" s="131"/>
      <c r="B108" s="131"/>
      <c r="C108" s="131"/>
      <c r="D108" s="61"/>
      <c r="E108" s="61"/>
      <c r="F108" s="61"/>
      <c r="G108" s="61"/>
      <c r="H108" s="61"/>
    </row>
    <row r="109" spans="1:8" x14ac:dyDescent="0.2">
      <c r="A109" s="131"/>
      <c r="B109" s="131"/>
      <c r="C109" s="131"/>
      <c r="D109" s="61"/>
      <c r="E109" s="61"/>
      <c r="F109" s="61"/>
      <c r="G109" s="61"/>
      <c r="H109" s="61"/>
    </row>
    <row r="110" spans="1:8" x14ac:dyDescent="0.2">
      <c r="A110" s="131"/>
      <c r="B110" s="131"/>
      <c r="C110" s="131"/>
      <c r="D110" s="61"/>
      <c r="E110" s="61"/>
      <c r="F110" s="61"/>
      <c r="G110" s="61"/>
      <c r="H110" s="61"/>
    </row>
    <row r="111" spans="1:8" x14ac:dyDescent="0.2">
      <c r="A111" s="131"/>
      <c r="B111" s="131"/>
      <c r="C111" s="131"/>
      <c r="D111" s="61"/>
      <c r="E111" s="61"/>
      <c r="F111" s="61"/>
      <c r="G111" s="61"/>
      <c r="H111" s="61"/>
    </row>
    <row r="112" spans="1:8" x14ac:dyDescent="0.2">
      <c r="A112" s="131"/>
      <c r="B112" s="131"/>
      <c r="C112" s="131"/>
      <c r="D112" s="61"/>
      <c r="E112" s="61"/>
      <c r="F112" s="61"/>
      <c r="G112" s="61"/>
      <c r="H112" s="61"/>
    </row>
    <row r="113" spans="1:8" x14ac:dyDescent="0.2">
      <c r="A113" s="131"/>
      <c r="B113" s="131"/>
      <c r="C113" s="131"/>
      <c r="D113" s="61"/>
      <c r="E113" s="61"/>
      <c r="F113" s="61"/>
      <c r="G113" s="61"/>
      <c r="H113" s="61"/>
    </row>
    <row r="114" spans="1:8" x14ac:dyDescent="0.2">
      <c r="A114" s="131"/>
      <c r="B114" s="131"/>
      <c r="C114" s="131"/>
      <c r="D114" s="61"/>
      <c r="E114" s="61"/>
      <c r="F114" s="61"/>
      <c r="G114" s="61"/>
      <c r="H114" s="61"/>
    </row>
    <row r="115" spans="1:8" x14ac:dyDescent="0.2">
      <c r="A115" s="131"/>
      <c r="B115" s="131"/>
      <c r="C115" s="131"/>
      <c r="D115" s="61"/>
      <c r="E115" s="61"/>
      <c r="F115" s="61"/>
      <c r="G115" s="61"/>
      <c r="H115" s="61"/>
    </row>
    <row r="116" spans="1:8" x14ac:dyDescent="0.2">
      <c r="A116" s="131"/>
      <c r="B116" s="131"/>
      <c r="C116" s="131"/>
      <c r="D116" s="61"/>
      <c r="E116" s="61"/>
      <c r="F116" s="61"/>
      <c r="G116" s="61"/>
      <c r="H116" s="61"/>
    </row>
    <row r="117" spans="1:8" x14ac:dyDescent="0.2">
      <c r="A117" s="131"/>
      <c r="B117" s="131"/>
      <c r="C117" s="131"/>
      <c r="D117" s="61"/>
      <c r="E117" s="61"/>
      <c r="F117" s="61"/>
      <c r="G117" s="61"/>
      <c r="H117" s="61"/>
    </row>
    <row r="118" spans="1:8" x14ac:dyDescent="0.2">
      <c r="A118" s="131"/>
      <c r="B118" s="131"/>
      <c r="C118" s="131"/>
      <c r="D118" s="61"/>
      <c r="E118" s="61"/>
      <c r="F118" s="61"/>
      <c r="G118" s="61"/>
      <c r="H118" s="61"/>
    </row>
    <row r="119" spans="1:8" x14ac:dyDescent="0.2">
      <c r="A119" s="131"/>
      <c r="B119" s="131"/>
      <c r="C119" s="131"/>
      <c r="D119" s="61"/>
      <c r="E119" s="61"/>
      <c r="F119" s="61"/>
      <c r="G119" s="61"/>
      <c r="H119" s="61"/>
    </row>
    <row r="120" spans="1:8" x14ac:dyDescent="0.2">
      <c r="A120" s="131"/>
      <c r="B120" s="131"/>
      <c r="C120" s="131"/>
      <c r="D120" s="61"/>
      <c r="E120" s="61"/>
      <c r="F120" s="61"/>
      <c r="G120" s="61"/>
      <c r="H120" s="61"/>
    </row>
    <row r="121" spans="1:8" x14ac:dyDescent="0.2">
      <c r="A121" s="131"/>
      <c r="B121" s="131"/>
      <c r="C121" s="131"/>
      <c r="D121" s="61"/>
      <c r="E121" s="61"/>
      <c r="F121" s="61"/>
      <c r="G121" s="61"/>
      <c r="H121" s="61"/>
    </row>
    <row r="122" spans="1:8" x14ac:dyDescent="0.2">
      <c r="A122" s="131"/>
      <c r="B122" s="131"/>
      <c r="C122" s="131"/>
      <c r="D122" s="61"/>
      <c r="E122" s="61"/>
      <c r="F122" s="61"/>
      <c r="G122" s="61"/>
      <c r="H122" s="61"/>
    </row>
    <row r="123" spans="1:8" x14ac:dyDescent="0.2">
      <c r="A123" s="131"/>
      <c r="B123" s="131"/>
      <c r="C123" s="131"/>
      <c r="D123" s="61"/>
      <c r="E123" s="61"/>
      <c r="F123" s="61"/>
      <c r="G123" s="61"/>
      <c r="H123" s="61"/>
    </row>
    <row r="124" spans="1:8" x14ac:dyDescent="0.2">
      <c r="A124" s="131"/>
      <c r="B124" s="131"/>
      <c r="C124" s="131"/>
      <c r="D124" s="61"/>
      <c r="E124" s="61"/>
      <c r="F124" s="61"/>
      <c r="G124" s="61"/>
      <c r="H124" s="61"/>
    </row>
    <row r="125" spans="1:8" x14ac:dyDescent="0.2">
      <c r="A125" s="131"/>
      <c r="B125" s="131"/>
      <c r="C125" s="131"/>
      <c r="D125" s="61"/>
      <c r="E125" s="61"/>
      <c r="F125" s="61"/>
      <c r="G125" s="61"/>
      <c r="H125" s="61"/>
    </row>
    <row r="126" spans="1:8" x14ac:dyDescent="0.2">
      <c r="A126" s="131"/>
      <c r="B126" s="131"/>
      <c r="C126" s="131"/>
      <c r="D126" s="61"/>
      <c r="E126" s="61"/>
      <c r="F126" s="61"/>
      <c r="G126" s="61"/>
      <c r="H126" s="61"/>
    </row>
    <row r="127" spans="1:8" x14ac:dyDescent="0.2">
      <c r="A127" s="131"/>
      <c r="B127" s="131"/>
      <c r="C127" s="131"/>
      <c r="D127" s="61"/>
      <c r="E127" s="61"/>
      <c r="F127" s="61"/>
      <c r="G127" s="61"/>
      <c r="H127" s="61"/>
    </row>
    <row r="128" spans="1:8" x14ac:dyDescent="0.2">
      <c r="A128" s="131"/>
      <c r="B128" s="131"/>
      <c r="C128" s="131"/>
      <c r="D128" s="61"/>
      <c r="E128" s="61"/>
      <c r="F128" s="61"/>
      <c r="G128" s="61"/>
      <c r="H128" s="61"/>
    </row>
    <row r="129" spans="1:8" x14ac:dyDescent="0.2">
      <c r="A129" s="131"/>
      <c r="B129" s="131"/>
      <c r="C129" s="131"/>
      <c r="D129" s="61"/>
      <c r="E129" s="61"/>
      <c r="F129" s="61"/>
      <c r="G129" s="61"/>
      <c r="H129" s="61"/>
    </row>
    <row r="130" spans="1:8" x14ac:dyDescent="0.2">
      <c r="A130" s="131"/>
      <c r="B130" s="131"/>
      <c r="C130" s="131"/>
      <c r="D130" s="61"/>
      <c r="E130" s="61"/>
      <c r="F130" s="61"/>
      <c r="G130" s="61"/>
      <c r="H130" s="61"/>
    </row>
    <row r="131" spans="1:8" x14ac:dyDescent="0.2">
      <c r="A131" s="131"/>
      <c r="B131" s="131"/>
      <c r="C131" s="131"/>
      <c r="D131" s="61"/>
      <c r="E131" s="61"/>
      <c r="F131" s="61"/>
      <c r="G131" s="61"/>
      <c r="H131" s="61"/>
    </row>
    <row r="132" spans="1:8" x14ac:dyDescent="0.2">
      <c r="A132" s="131"/>
      <c r="B132" s="131"/>
      <c r="C132" s="131"/>
      <c r="D132" s="61"/>
      <c r="E132" s="61"/>
      <c r="F132" s="61"/>
      <c r="G132" s="61"/>
      <c r="H132" s="61"/>
    </row>
    <row r="133" spans="1:8" x14ac:dyDescent="0.2">
      <c r="A133" s="131"/>
      <c r="B133" s="131"/>
      <c r="C133" s="131"/>
      <c r="D133" s="61"/>
      <c r="E133" s="61"/>
      <c r="F133" s="61"/>
      <c r="G133" s="61"/>
      <c r="H133" s="61"/>
    </row>
    <row r="134" spans="1:8" x14ac:dyDescent="0.2">
      <c r="A134" s="131"/>
      <c r="B134" s="131"/>
      <c r="C134" s="131"/>
      <c r="D134" s="61"/>
      <c r="E134" s="61"/>
      <c r="F134" s="61"/>
      <c r="G134" s="61"/>
      <c r="H134" s="61"/>
    </row>
    <row r="135" spans="1:8" x14ac:dyDescent="0.2">
      <c r="A135" s="131"/>
      <c r="B135" s="131"/>
      <c r="C135" s="131"/>
      <c r="D135" s="61"/>
      <c r="E135" s="61"/>
      <c r="F135" s="61"/>
      <c r="G135" s="61"/>
      <c r="H135" s="61"/>
    </row>
    <row r="136" spans="1:8" x14ac:dyDescent="0.2">
      <c r="A136" s="131"/>
      <c r="B136" s="131"/>
      <c r="C136" s="131"/>
      <c r="D136" s="61"/>
      <c r="E136" s="61"/>
      <c r="F136" s="61"/>
      <c r="G136" s="61"/>
      <c r="H136" s="61"/>
    </row>
    <row r="137" spans="1:8" x14ac:dyDescent="0.2">
      <c r="A137" s="131"/>
      <c r="B137" s="131"/>
      <c r="C137" s="131"/>
      <c r="D137" s="61"/>
      <c r="E137" s="61"/>
      <c r="F137" s="61"/>
      <c r="G137" s="61"/>
      <c r="H137" s="61"/>
    </row>
    <row r="138" spans="1:8" x14ac:dyDescent="0.2">
      <c r="A138" s="131"/>
      <c r="B138" s="131"/>
      <c r="C138" s="131"/>
      <c r="D138" s="61"/>
      <c r="E138" s="61"/>
      <c r="F138" s="61"/>
      <c r="G138" s="61"/>
      <c r="H138" s="61"/>
    </row>
    <row r="139" spans="1:8" x14ac:dyDescent="0.2">
      <c r="A139" s="131"/>
      <c r="B139" s="131"/>
      <c r="C139" s="131"/>
      <c r="D139" s="61"/>
      <c r="E139" s="61"/>
      <c r="F139" s="61"/>
      <c r="G139" s="61"/>
      <c r="H139" s="61"/>
    </row>
    <row r="140" spans="1:8" x14ac:dyDescent="0.2">
      <c r="A140" s="131"/>
      <c r="B140" s="131"/>
      <c r="C140" s="131"/>
      <c r="D140" s="61"/>
      <c r="E140" s="61"/>
      <c r="F140" s="61"/>
      <c r="G140" s="61"/>
      <c r="H140" s="61"/>
    </row>
    <row r="141" spans="1:8" x14ac:dyDescent="0.2">
      <c r="A141" s="131"/>
      <c r="B141" s="131"/>
      <c r="C141" s="131"/>
      <c r="D141" s="61"/>
      <c r="E141" s="61"/>
      <c r="F141" s="61"/>
      <c r="G141" s="61"/>
      <c r="H141" s="61"/>
    </row>
    <row r="142" spans="1:8" x14ac:dyDescent="0.2">
      <c r="A142" s="131"/>
      <c r="B142" s="131"/>
      <c r="C142" s="131"/>
      <c r="D142" s="61"/>
      <c r="E142" s="61"/>
      <c r="F142" s="61"/>
      <c r="G142" s="61"/>
      <c r="H142" s="61"/>
    </row>
    <row r="143" spans="1:8" x14ac:dyDescent="0.2">
      <c r="A143" s="131"/>
      <c r="B143" s="131"/>
      <c r="C143" s="131"/>
      <c r="D143" s="61"/>
      <c r="E143" s="61"/>
      <c r="F143" s="61"/>
      <c r="G143" s="61"/>
      <c r="H143" s="61"/>
    </row>
    <row r="144" spans="1:8" x14ac:dyDescent="0.2">
      <c r="A144" s="131"/>
      <c r="B144" s="131"/>
      <c r="C144" s="131"/>
      <c r="D144" s="61"/>
      <c r="E144" s="61"/>
      <c r="F144" s="61"/>
      <c r="G144" s="61"/>
      <c r="H144" s="61"/>
    </row>
    <row r="145" spans="1:8" x14ac:dyDescent="0.2">
      <c r="A145" s="131"/>
      <c r="B145" s="131"/>
      <c r="C145" s="131"/>
      <c r="D145" s="61"/>
      <c r="E145" s="61"/>
      <c r="F145" s="61"/>
      <c r="G145" s="61"/>
      <c r="H145" s="61"/>
    </row>
    <row r="146" spans="1:8" x14ac:dyDescent="0.2">
      <c r="A146" s="131"/>
      <c r="B146" s="131"/>
      <c r="C146" s="131"/>
      <c r="D146" s="61"/>
      <c r="E146" s="61"/>
      <c r="F146" s="61"/>
      <c r="G146" s="61"/>
      <c r="H146" s="61"/>
    </row>
    <row r="147" spans="1:8" x14ac:dyDescent="0.2">
      <c r="A147" s="131"/>
      <c r="B147" s="131"/>
      <c r="C147" s="131"/>
      <c r="D147" s="61"/>
      <c r="E147" s="61"/>
      <c r="F147" s="61"/>
      <c r="G147" s="61"/>
      <c r="H147" s="61"/>
    </row>
    <row r="148" spans="1:8" x14ac:dyDescent="0.2">
      <c r="A148" s="131"/>
      <c r="B148" s="131"/>
      <c r="C148" s="131"/>
      <c r="D148" s="61"/>
      <c r="E148" s="61"/>
      <c r="F148" s="61"/>
      <c r="G148" s="61"/>
      <c r="H148" s="61"/>
    </row>
    <row r="149" spans="1:8" x14ac:dyDescent="0.2">
      <c r="A149" s="131"/>
      <c r="B149" s="131"/>
      <c r="C149" s="131"/>
      <c r="D149" s="61"/>
      <c r="E149" s="61"/>
      <c r="F149" s="61"/>
      <c r="G149" s="61"/>
      <c r="H149" s="61"/>
    </row>
    <row r="150" spans="1:8" x14ac:dyDescent="0.2">
      <c r="A150" s="131"/>
      <c r="B150" s="131"/>
      <c r="C150" s="131"/>
      <c r="D150" s="61"/>
      <c r="E150" s="61"/>
      <c r="F150" s="61"/>
      <c r="G150" s="61"/>
      <c r="H150" s="61"/>
    </row>
    <row r="151" spans="1:8" x14ac:dyDescent="0.2">
      <c r="A151" s="131"/>
      <c r="B151" s="131"/>
      <c r="C151" s="131"/>
      <c r="D151" s="61"/>
      <c r="E151" s="61"/>
      <c r="F151" s="61"/>
      <c r="G151" s="61"/>
      <c r="H151" s="61"/>
    </row>
    <row r="152" spans="1:8" x14ac:dyDescent="0.2">
      <c r="A152" s="131"/>
      <c r="B152" s="131"/>
      <c r="C152" s="131"/>
      <c r="D152" s="61"/>
      <c r="E152" s="61"/>
      <c r="F152" s="61"/>
      <c r="G152" s="61"/>
      <c r="H152" s="61"/>
    </row>
    <row r="153" spans="1:8" x14ac:dyDescent="0.2">
      <c r="A153" s="131"/>
      <c r="B153" s="131"/>
      <c r="C153" s="131"/>
      <c r="D153" s="61"/>
      <c r="E153" s="61"/>
      <c r="F153" s="61"/>
      <c r="G153" s="61"/>
      <c r="H153" s="61"/>
    </row>
    <row r="154" spans="1:8" x14ac:dyDescent="0.2">
      <c r="A154" s="131"/>
      <c r="B154" s="131"/>
      <c r="C154" s="131"/>
      <c r="D154" s="61"/>
      <c r="E154" s="61"/>
      <c r="F154" s="61"/>
      <c r="G154" s="61"/>
      <c r="H154" s="61"/>
    </row>
    <row r="155" spans="1:8" x14ac:dyDescent="0.2">
      <c r="A155" s="131"/>
      <c r="B155" s="131"/>
      <c r="C155" s="131"/>
      <c r="D155" s="61"/>
      <c r="E155" s="61"/>
      <c r="F155" s="61"/>
      <c r="G155" s="61"/>
      <c r="H155" s="61"/>
    </row>
    <row r="156" spans="1:8" x14ac:dyDescent="0.2">
      <c r="A156" s="131"/>
      <c r="B156" s="131"/>
      <c r="C156" s="131"/>
      <c r="D156" s="61"/>
      <c r="E156" s="61"/>
      <c r="F156" s="61"/>
      <c r="G156" s="61"/>
      <c r="H156" s="61"/>
    </row>
    <row r="157" spans="1:8" x14ac:dyDescent="0.2">
      <c r="A157" s="131"/>
      <c r="B157" s="131"/>
      <c r="C157" s="131"/>
      <c r="D157" s="61"/>
      <c r="E157" s="61"/>
      <c r="F157" s="61"/>
      <c r="G157" s="61"/>
      <c r="H157" s="61"/>
    </row>
    <row r="158" spans="1:8" x14ac:dyDescent="0.2">
      <c r="A158" s="131"/>
      <c r="B158" s="131"/>
      <c r="C158" s="131"/>
      <c r="D158" s="61"/>
      <c r="E158" s="61"/>
      <c r="F158" s="61"/>
      <c r="G158" s="61"/>
      <c r="H158" s="61"/>
    </row>
    <row r="159" spans="1:8" x14ac:dyDescent="0.2">
      <c r="A159" s="131"/>
      <c r="B159" s="131"/>
      <c r="C159" s="131"/>
      <c r="D159" s="61"/>
      <c r="E159" s="61"/>
      <c r="F159" s="61"/>
      <c r="G159" s="61"/>
      <c r="H159" s="61"/>
    </row>
    <row r="160" spans="1:8" x14ac:dyDescent="0.2">
      <c r="A160" s="131"/>
      <c r="B160" s="131"/>
      <c r="C160" s="131"/>
      <c r="D160" s="61"/>
      <c r="E160" s="61"/>
      <c r="F160" s="61"/>
      <c r="G160" s="61"/>
      <c r="H160" s="61"/>
    </row>
    <row r="161" spans="1:8" x14ac:dyDescent="0.2">
      <c r="A161" s="131"/>
      <c r="B161" s="131"/>
      <c r="C161" s="131"/>
      <c r="D161" s="61"/>
      <c r="E161" s="61"/>
      <c r="F161" s="61"/>
      <c r="G161" s="61"/>
      <c r="H161" s="61"/>
    </row>
    <row r="162" spans="1:8" x14ac:dyDescent="0.2">
      <c r="A162" s="131"/>
      <c r="B162" s="131"/>
      <c r="C162" s="131"/>
      <c r="D162" s="61"/>
      <c r="E162" s="61"/>
      <c r="F162" s="61"/>
      <c r="G162" s="61"/>
      <c r="H162" s="61"/>
    </row>
    <row r="163" spans="1:8" x14ac:dyDescent="0.2">
      <c r="A163" s="131"/>
      <c r="B163" s="131"/>
      <c r="C163" s="131"/>
      <c r="D163" s="61"/>
      <c r="E163" s="61"/>
      <c r="F163" s="61"/>
      <c r="G163" s="61"/>
      <c r="H163" s="61"/>
    </row>
    <row r="164" spans="1:8" x14ac:dyDescent="0.2">
      <c r="A164" s="131"/>
      <c r="B164" s="131"/>
      <c r="C164" s="131"/>
      <c r="D164" s="61"/>
      <c r="E164" s="61"/>
      <c r="F164" s="61"/>
      <c r="G164" s="61"/>
      <c r="H164" s="61"/>
    </row>
    <row r="165" spans="1:8" x14ac:dyDescent="0.2">
      <c r="A165" s="131"/>
      <c r="B165" s="131"/>
      <c r="C165" s="131"/>
      <c r="D165" s="61"/>
      <c r="E165" s="61"/>
      <c r="F165" s="61"/>
      <c r="G165" s="61"/>
      <c r="H165" s="61"/>
    </row>
    <row r="166" spans="1:8" x14ac:dyDescent="0.2">
      <c r="A166" s="131"/>
      <c r="B166" s="131"/>
      <c r="C166" s="131"/>
      <c r="D166" s="61"/>
      <c r="E166" s="61"/>
      <c r="F166" s="61"/>
      <c r="G166" s="61"/>
      <c r="H166" s="61"/>
    </row>
    <row r="167" spans="1:8" x14ac:dyDescent="0.2">
      <c r="A167" s="131"/>
      <c r="B167" s="131"/>
      <c r="C167" s="131"/>
      <c r="D167" s="61"/>
      <c r="E167" s="61"/>
      <c r="F167" s="61"/>
      <c r="G167" s="61"/>
      <c r="H167" s="61"/>
    </row>
    <row r="168" spans="1:8" x14ac:dyDescent="0.2">
      <c r="A168" s="131"/>
      <c r="B168" s="131"/>
      <c r="C168" s="131"/>
      <c r="D168" s="61"/>
      <c r="E168" s="61"/>
      <c r="F168" s="61"/>
      <c r="G168" s="61"/>
      <c r="H168" s="61"/>
    </row>
    <row r="169" spans="1:8" x14ac:dyDescent="0.2">
      <c r="A169" s="131"/>
      <c r="B169" s="131"/>
      <c r="C169" s="131"/>
      <c r="D169" s="61"/>
      <c r="E169" s="61"/>
      <c r="F169" s="61"/>
      <c r="G169" s="61"/>
      <c r="H169" s="61"/>
    </row>
    <row r="170" spans="1:8" x14ac:dyDescent="0.2">
      <c r="A170" s="131"/>
      <c r="B170" s="131"/>
      <c r="C170" s="131"/>
      <c r="D170" s="61"/>
      <c r="E170" s="61"/>
      <c r="F170" s="61"/>
      <c r="G170" s="61"/>
      <c r="H170" s="61"/>
    </row>
    <row r="171" spans="1:8" x14ac:dyDescent="0.2">
      <c r="A171" s="131"/>
      <c r="B171" s="131"/>
      <c r="C171" s="131"/>
      <c r="D171" s="61"/>
      <c r="E171" s="61"/>
      <c r="F171" s="61"/>
      <c r="G171" s="61"/>
      <c r="H171" s="61"/>
    </row>
    <row r="172" spans="1:8" x14ac:dyDescent="0.2">
      <c r="A172" s="131"/>
      <c r="B172" s="131"/>
      <c r="C172" s="131"/>
      <c r="D172" s="61"/>
      <c r="E172" s="61"/>
      <c r="F172" s="61"/>
      <c r="G172" s="61"/>
      <c r="H172" s="61"/>
    </row>
    <row r="173" spans="1:8" x14ac:dyDescent="0.2">
      <c r="A173" s="131"/>
      <c r="B173" s="131"/>
      <c r="C173" s="131"/>
      <c r="D173" s="61"/>
      <c r="E173" s="61"/>
      <c r="F173" s="61"/>
      <c r="G173" s="61"/>
      <c r="H173" s="61"/>
    </row>
    <row r="174" spans="1:8" x14ac:dyDescent="0.2">
      <c r="A174" s="131"/>
      <c r="B174" s="131"/>
      <c r="C174" s="131"/>
      <c r="D174" s="61"/>
      <c r="E174" s="61"/>
      <c r="F174" s="61"/>
      <c r="G174" s="61"/>
      <c r="H174" s="61"/>
    </row>
    <row r="175" spans="1:8" x14ac:dyDescent="0.2">
      <c r="A175" s="131"/>
      <c r="B175" s="131"/>
      <c r="C175" s="131"/>
      <c r="D175" s="61"/>
      <c r="E175" s="61"/>
      <c r="F175" s="61"/>
      <c r="G175" s="61"/>
      <c r="H175" s="61"/>
    </row>
    <row r="176" spans="1:8" x14ac:dyDescent="0.2">
      <c r="A176" s="131"/>
      <c r="B176" s="131"/>
      <c r="C176" s="131"/>
      <c r="D176" s="61"/>
      <c r="E176" s="61"/>
      <c r="F176" s="61"/>
      <c r="G176" s="61"/>
      <c r="H176" s="61"/>
    </row>
    <row r="177" spans="1:8" x14ac:dyDescent="0.2">
      <c r="A177" s="131"/>
      <c r="B177" s="131"/>
      <c r="C177" s="131"/>
      <c r="D177" s="61"/>
      <c r="E177" s="61"/>
      <c r="F177" s="61"/>
      <c r="G177" s="61"/>
      <c r="H177" s="61"/>
    </row>
    <row r="178" spans="1:8" x14ac:dyDescent="0.2">
      <c r="A178" s="131"/>
      <c r="B178" s="131"/>
      <c r="C178" s="131"/>
      <c r="D178" s="61"/>
      <c r="E178" s="61"/>
      <c r="F178" s="61"/>
      <c r="G178" s="61"/>
      <c r="H178" s="61"/>
    </row>
    <row r="179" spans="1:8" x14ac:dyDescent="0.2">
      <c r="A179" s="131"/>
      <c r="B179" s="131"/>
      <c r="C179" s="131"/>
      <c r="D179" s="61"/>
      <c r="E179" s="61"/>
      <c r="F179" s="61"/>
      <c r="G179" s="61"/>
      <c r="H179" s="61"/>
    </row>
    <row r="180" spans="1:8" x14ac:dyDescent="0.2">
      <c r="A180" s="131"/>
      <c r="B180" s="131"/>
      <c r="C180" s="131"/>
      <c r="D180" s="61"/>
      <c r="E180" s="61"/>
      <c r="F180" s="61"/>
      <c r="G180" s="61"/>
      <c r="H180" s="61"/>
    </row>
    <row r="181" spans="1:8" x14ac:dyDescent="0.2">
      <c r="A181" s="131"/>
      <c r="B181" s="131"/>
      <c r="C181" s="131"/>
      <c r="D181" s="61"/>
      <c r="E181" s="61"/>
      <c r="F181" s="61"/>
      <c r="G181" s="61"/>
      <c r="H181" s="61"/>
    </row>
    <row r="182" spans="1:8" x14ac:dyDescent="0.2">
      <c r="A182" s="131"/>
      <c r="B182" s="131"/>
      <c r="C182" s="131"/>
      <c r="D182" s="61"/>
      <c r="E182" s="61"/>
      <c r="F182" s="61"/>
      <c r="G182" s="61"/>
      <c r="H182" s="61"/>
    </row>
    <row r="183" spans="1:8" x14ac:dyDescent="0.2">
      <c r="A183" s="131"/>
      <c r="B183" s="131"/>
      <c r="C183" s="131"/>
      <c r="D183" s="61"/>
      <c r="E183" s="61"/>
      <c r="F183" s="61"/>
      <c r="G183" s="61"/>
      <c r="H183" s="61"/>
    </row>
    <row r="184" spans="1:8" x14ac:dyDescent="0.2">
      <c r="A184" s="131"/>
      <c r="B184" s="131"/>
      <c r="C184" s="131"/>
      <c r="D184" s="61"/>
      <c r="E184" s="61"/>
      <c r="F184" s="61"/>
      <c r="G184" s="61"/>
      <c r="H184" s="61"/>
    </row>
    <row r="185" spans="1:8" x14ac:dyDescent="0.2">
      <c r="A185" s="131"/>
      <c r="B185" s="131"/>
      <c r="C185" s="131"/>
      <c r="D185" s="61"/>
      <c r="E185" s="61"/>
      <c r="F185" s="61"/>
      <c r="G185" s="61"/>
      <c r="H185" s="61"/>
    </row>
    <row r="186" spans="1:8" x14ac:dyDescent="0.2">
      <c r="A186" s="131"/>
      <c r="B186" s="131"/>
      <c r="C186" s="131"/>
      <c r="D186" s="61"/>
      <c r="E186" s="61"/>
      <c r="F186" s="61"/>
      <c r="G186" s="61"/>
      <c r="H186" s="61"/>
    </row>
    <row r="187" spans="1:8" x14ac:dyDescent="0.2">
      <c r="A187" s="131"/>
      <c r="B187" s="131"/>
      <c r="C187" s="131"/>
      <c r="D187" s="61"/>
      <c r="E187" s="61"/>
      <c r="F187" s="61"/>
      <c r="G187" s="61"/>
      <c r="H187" s="61"/>
    </row>
    <row r="188" spans="1:8" x14ac:dyDescent="0.2">
      <c r="A188" s="131"/>
      <c r="B188" s="131"/>
      <c r="C188" s="131"/>
      <c r="D188" s="61"/>
      <c r="E188" s="61"/>
      <c r="F188" s="61"/>
      <c r="G188" s="61"/>
      <c r="H188" s="61"/>
    </row>
    <row r="189" spans="1:8" x14ac:dyDescent="0.2">
      <c r="A189" s="131"/>
      <c r="B189" s="131"/>
      <c r="C189" s="131"/>
      <c r="D189" s="61"/>
      <c r="E189" s="61"/>
      <c r="F189" s="61"/>
      <c r="G189" s="61"/>
      <c r="H189" s="61"/>
    </row>
    <row r="190" spans="1:8" x14ac:dyDescent="0.2">
      <c r="A190" s="131"/>
      <c r="B190" s="131"/>
      <c r="C190" s="131"/>
      <c r="D190" s="61"/>
      <c r="E190" s="61"/>
      <c r="F190" s="61"/>
      <c r="G190" s="61"/>
      <c r="H190" s="61"/>
    </row>
    <row r="191" spans="1:8" x14ac:dyDescent="0.2">
      <c r="A191" s="131"/>
      <c r="B191" s="131"/>
      <c r="C191" s="131"/>
      <c r="D191" s="61"/>
      <c r="E191" s="61"/>
      <c r="F191" s="61"/>
      <c r="G191" s="61"/>
      <c r="H191" s="61"/>
    </row>
    <row r="192" spans="1:8" x14ac:dyDescent="0.2">
      <c r="A192" s="131"/>
      <c r="B192" s="131"/>
      <c r="C192" s="131"/>
      <c r="D192" s="61"/>
      <c r="E192" s="61"/>
      <c r="F192" s="61"/>
      <c r="G192" s="61"/>
      <c r="H192" s="61"/>
    </row>
    <row r="193" spans="1:8" x14ac:dyDescent="0.2">
      <c r="A193" s="131"/>
      <c r="B193" s="131"/>
      <c r="C193" s="131"/>
      <c r="D193" s="61"/>
      <c r="E193" s="61"/>
      <c r="F193" s="61"/>
      <c r="G193" s="61"/>
      <c r="H193" s="61"/>
    </row>
    <row r="194" spans="1:8" x14ac:dyDescent="0.2">
      <c r="A194" s="131"/>
      <c r="B194" s="131"/>
      <c r="C194" s="131"/>
      <c r="D194" s="61"/>
      <c r="E194" s="61"/>
      <c r="F194" s="61"/>
      <c r="G194" s="61"/>
      <c r="H194" s="61"/>
    </row>
    <row r="195" spans="1:8" x14ac:dyDescent="0.2">
      <c r="A195" s="131"/>
      <c r="B195" s="131"/>
      <c r="C195" s="131"/>
      <c r="D195" s="61"/>
      <c r="E195" s="61"/>
      <c r="F195" s="61"/>
      <c r="G195" s="61"/>
      <c r="H195" s="61"/>
    </row>
    <row r="196" spans="1:8" x14ac:dyDescent="0.2">
      <c r="A196" s="131"/>
      <c r="B196" s="131"/>
      <c r="C196" s="131"/>
      <c r="D196" s="61"/>
      <c r="E196" s="61"/>
      <c r="F196" s="61"/>
      <c r="G196" s="61"/>
      <c r="H196" s="61"/>
    </row>
    <row r="197" spans="1:8" x14ac:dyDescent="0.2">
      <c r="A197" s="131"/>
      <c r="B197" s="131"/>
      <c r="C197" s="131"/>
      <c r="D197" s="61"/>
      <c r="E197" s="61"/>
      <c r="F197" s="61"/>
      <c r="G197" s="61"/>
      <c r="H197" s="61"/>
    </row>
    <row r="198" spans="1:8" x14ac:dyDescent="0.2">
      <c r="A198" s="131"/>
      <c r="B198" s="131"/>
      <c r="C198" s="131"/>
      <c r="D198" s="61"/>
      <c r="E198" s="61"/>
      <c r="F198" s="61"/>
      <c r="G198" s="61"/>
      <c r="H198" s="61"/>
    </row>
    <row r="199" spans="1:8" x14ac:dyDescent="0.2">
      <c r="A199" s="131"/>
      <c r="B199" s="131"/>
      <c r="C199" s="131"/>
      <c r="D199" s="61"/>
      <c r="E199" s="61"/>
      <c r="F199" s="61"/>
      <c r="G199" s="61"/>
      <c r="H199" s="61"/>
    </row>
    <row r="200" spans="1:8" x14ac:dyDescent="0.2">
      <c r="A200" s="131"/>
      <c r="B200" s="131"/>
      <c r="C200" s="131"/>
      <c r="D200" s="61"/>
      <c r="E200" s="61"/>
      <c r="F200" s="61"/>
      <c r="G200" s="61"/>
      <c r="H200" s="61"/>
    </row>
    <row r="201" spans="1:8" x14ac:dyDescent="0.2">
      <c r="A201" s="131"/>
      <c r="B201" s="131"/>
      <c r="C201" s="131"/>
      <c r="D201" s="61"/>
      <c r="E201" s="61"/>
      <c r="F201" s="61"/>
      <c r="G201" s="61"/>
      <c r="H201" s="61"/>
    </row>
    <row r="202" spans="1:8" x14ac:dyDescent="0.2">
      <c r="A202" s="131"/>
      <c r="B202" s="131"/>
      <c r="C202" s="131"/>
      <c r="D202" s="61"/>
      <c r="E202" s="61"/>
      <c r="F202" s="61"/>
      <c r="G202" s="61"/>
      <c r="H202" s="61"/>
    </row>
    <row r="203" spans="1:8" x14ac:dyDescent="0.2">
      <c r="A203" s="131"/>
      <c r="B203" s="131"/>
      <c r="C203" s="131"/>
      <c r="D203" s="61"/>
      <c r="E203" s="61"/>
      <c r="F203" s="61"/>
      <c r="G203" s="61"/>
      <c r="H203" s="61"/>
    </row>
    <row r="204" spans="1:8" x14ac:dyDescent="0.2">
      <c r="A204" s="131"/>
      <c r="B204" s="131"/>
      <c r="C204" s="131"/>
      <c r="D204" s="61"/>
      <c r="E204" s="61"/>
      <c r="F204" s="61"/>
      <c r="G204" s="61"/>
      <c r="H204" s="61"/>
    </row>
    <row r="205" spans="1:8" x14ac:dyDescent="0.2">
      <c r="A205" s="131"/>
      <c r="B205" s="131"/>
      <c r="C205" s="131"/>
      <c r="D205" s="61"/>
      <c r="E205" s="61"/>
      <c r="F205" s="61"/>
      <c r="G205" s="61"/>
      <c r="H205" s="61"/>
    </row>
    <row r="206" spans="1:8" x14ac:dyDescent="0.2">
      <c r="A206" s="131"/>
      <c r="B206" s="131"/>
      <c r="C206" s="131"/>
      <c r="D206" s="61"/>
      <c r="E206" s="61"/>
      <c r="F206" s="61"/>
      <c r="G206" s="61"/>
      <c r="H206" s="61"/>
    </row>
    <row r="207" spans="1:8" x14ac:dyDescent="0.2">
      <c r="A207" s="131"/>
      <c r="B207" s="131"/>
      <c r="C207" s="131"/>
      <c r="D207" s="61"/>
      <c r="E207" s="61"/>
      <c r="F207" s="61"/>
      <c r="G207" s="61"/>
      <c r="H207" s="61"/>
    </row>
    <row r="208" spans="1:8" x14ac:dyDescent="0.2">
      <c r="A208" s="131"/>
      <c r="B208" s="131"/>
      <c r="C208" s="131"/>
      <c r="D208" s="61"/>
      <c r="E208" s="61"/>
      <c r="F208" s="61"/>
      <c r="G208" s="61"/>
      <c r="H208" s="61"/>
    </row>
    <row r="209" spans="1:8" x14ac:dyDescent="0.2">
      <c r="A209" s="131"/>
      <c r="B209" s="131"/>
      <c r="C209" s="131"/>
      <c r="D209" s="61"/>
      <c r="E209" s="61"/>
      <c r="F209" s="61"/>
      <c r="G209" s="61"/>
      <c r="H209" s="61"/>
    </row>
    <row r="210" spans="1:8" x14ac:dyDescent="0.2">
      <c r="A210" s="131"/>
      <c r="B210" s="131"/>
      <c r="C210" s="131"/>
      <c r="D210" s="61"/>
      <c r="E210" s="61"/>
      <c r="F210" s="61"/>
      <c r="G210" s="61"/>
      <c r="H210" s="61"/>
    </row>
    <row r="211" spans="1:8" x14ac:dyDescent="0.2">
      <c r="A211" s="131"/>
      <c r="B211" s="131"/>
      <c r="C211" s="131"/>
      <c r="D211" s="61"/>
      <c r="E211" s="61"/>
      <c r="F211" s="61"/>
      <c r="G211" s="61"/>
      <c r="H211" s="61"/>
    </row>
    <row r="212" spans="1:8" x14ac:dyDescent="0.2">
      <c r="A212" s="131"/>
      <c r="B212" s="131"/>
      <c r="C212" s="131"/>
      <c r="D212" s="61"/>
      <c r="E212" s="61"/>
      <c r="F212" s="61"/>
      <c r="G212" s="61"/>
      <c r="H212" s="61"/>
    </row>
    <row r="213" spans="1:8" x14ac:dyDescent="0.2">
      <c r="A213" s="131"/>
      <c r="B213" s="131"/>
      <c r="C213" s="131"/>
      <c r="D213" s="61"/>
      <c r="E213" s="61"/>
      <c r="F213" s="61"/>
      <c r="G213" s="61"/>
      <c r="H213" s="61"/>
    </row>
    <row r="214" spans="1:8" x14ac:dyDescent="0.2">
      <c r="A214" s="131"/>
      <c r="B214" s="131"/>
      <c r="C214" s="131"/>
      <c r="D214" s="61"/>
      <c r="E214" s="61"/>
      <c r="F214" s="61"/>
      <c r="G214" s="61"/>
      <c r="H214" s="61"/>
    </row>
    <row r="215" spans="1:8" x14ac:dyDescent="0.2">
      <c r="A215" s="131"/>
      <c r="B215" s="131"/>
      <c r="C215" s="131"/>
      <c r="D215" s="61"/>
      <c r="E215" s="61"/>
      <c r="F215" s="61"/>
      <c r="G215" s="61"/>
      <c r="H215" s="61"/>
    </row>
    <row r="216" spans="1:8" x14ac:dyDescent="0.2">
      <c r="A216" s="131"/>
      <c r="B216" s="131"/>
      <c r="C216" s="131"/>
      <c r="D216" s="61"/>
      <c r="E216" s="61"/>
      <c r="F216" s="61"/>
      <c r="G216" s="61"/>
      <c r="H216" s="61"/>
    </row>
    <row r="217" spans="1:8" x14ac:dyDescent="0.2">
      <c r="A217" s="131"/>
      <c r="B217" s="131"/>
      <c r="C217" s="131"/>
      <c r="D217" s="61"/>
      <c r="E217" s="61"/>
      <c r="F217" s="61"/>
      <c r="G217" s="61"/>
      <c r="H217" s="61"/>
    </row>
    <row r="218" spans="1:8" x14ac:dyDescent="0.2">
      <c r="A218" s="131"/>
      <c r="B218" s="131"/>
      <c r="C218" s="131"/>
      <c r="D218" s="61"/>
      <c r="E218" s="61"/>
      <c r="F218" s="61"/>
      <c r="G218" s="61"/>
      <c r="H218" s="61"/>
    </row>
    <row r="219" spans="1:8" x14ac:dyDescent="0.2">
      <c r="A219" s="131"/>
      <c r="B219" s="131"/>
      <c r="C219" s="131"/>
      <c r="D219" s="61"/>
      <c r="E219" s="61"/>
      <c r="F219" s="61"/>
      <c r="G219" s="61"/>
      <c r="H219" s="61"/>
    </row>
    <row r="220" spans="1:8" x14ac:dyDescent="0.2">
      <c r="A220" s="131"/>
      <c r="B220" s="131"/>
      <c r="C220" s="131"/>
      <c r="D220" s="61"/>
      <c r="E220" s="61"/>
      <c r="F220" s="61"/>
      <c r="G220" s="61"/>
      <c r="H220" s="61"/>
    </row>
    <row r="221" spans="1:8" x14ac:dyDescent="0.2">
      <c r="A221" s="131"/>
      <c r="B221" s="131"/>
      <c r="C221" s="131"/>
      <c r="D221" s="61"/>
      <c r="E221" s="61"/>
      <c r="F221" s="61"/>
      <c r="G221" s="61"/>
      <c r="H221" s="61"/>
    </row>
    <row r="222" spans="1:8" x14ac:dyDescent="0.2">
      <c r="A222" s="131"/>
      <c r="B222" s="131"/>
      <c r="C222" s="131"/>
      <c r="D222" s="61"/>
      <c r="E222" s="61"/>
      <c r="F222" s="61"/>
      <c r="G222" s="61"/>
      <c r="H222" s="61"/>
    </row>
    <row r="223" spans="1:8" x14ac:dyDescent="0.2">
      <c r="A223" s="131"/>
      <c r="B223" s="131"/>
      <c r="C223" s="131"/>
      <c r="D223" s="61"/>
      <c r="E223" s="61"/>
      <c r="F223" s="61"/>
      <c r="G223" s="61"/>
      <c r="H223" s="61"/>
    </row>
    <row r="224" spans="1:8" x14ac:dyDescent="0.2">
      <c r="A224" s="131"/>
      <c r="B224" s="131"/>
      <c r="C224" s="131"/>
      <c r="D224" s="61"/>
      <c r="E224" s="61"/>
      <c r="F224" s="61"/>
      <c r="G224" s="61"/>
      <c r="H224" s="61"/>
    </row>
    <row r="225" spans="1:8" x14ac:dyDescent="0.2">
      <c r="A225" s="131"/>
      <c r="B225" s="131"/>
      <c r="C225" s="131"/>
      <c r="D225" s="61"/>
      <c r="E225" s="61"/>
      <c r="F225" s="61"/>
      <c r="G225" s="61"/>
      <c r="H225" s="61"/>
    </row>
    <row r="226" spans="1:8" x14ac:dyDescent="0.2">
      <c r="A226" s="131"/>
      <c r="B226" s="131"/>
      <c r="C226" s="131"/>
      <c r="D226" s="61"/>
      <c r="E226" s="61"/>
      <c r="F226" s="61"/>
      <c r="G226" s="61"/>
      <c r="H226" s="61"/>
    </row>
    <row r="227" spans="1:8" x14ac:dyDescent="0.2">
      <c r="A227" s="131"/>
      <c r="B227" s="131"/>
      <c r="C227" s="131"/>
      <c r="D227" s="61"/>
      <c r="E227" s="61"/>
      <c r="F227" s="61"/>
      <c r="G227" s="61"/>
      <c r="H227" s="61"/>
    </row>
    <row r="228" spans="1:8" x14ac:dyDescent="0.2">
      <c r="A228" s="131"/>
      <c r="B228" s="131"/>
      <c r="C228" s="131"/>
      <c r="D228" s="61"/>
      <c r="E228" s="61"/>
      <c r="F228" s="61"/>
      <c r="G228" s="61"/>
      <c r="H228" s="61"/>
    </row>
    <row r="229" spans="1:8" x14ac:dyDescent="0.2">
      <c r="A229" s="131"/>
      <c r="B229" s="131"/>
      <c r="C229" s="131"/>
      <c r="D229" s="61"/>
      <c r="E229" s="61"/>
      <c r="F229" s="61"/>
      <c r="G229" s="61"/>
      <c r="H229" s="61"/>
    </row>
    <row r="230" spans="1:8" x14ac:dyDescent="0.2">
      <c r="A230" s="131"/>
      <c r="B230" s="131"/>
      <c r="C230" s="131"/>
      <c r="D230" s="61"/>
      <c r="E230" s="61"/>
      <c r="F230" s="61"/>
      <c r="G230" s="61"/>
      <c r="H230" s="61"/>
    </row>
    <row r="231" spans="1:8" x14ac:dyDescent="0.2">
      <c r="A231" s="131"/>
      <c r="B231" s="131"/>
      <c r="C231" s="131"/>
      <c r="D231" s="61"/>
      <c r="E231" s="61"/>
      <c r="F231" s="61"/>
      <c r="G231" s="61"/>
      <c r="H231" s="61"/>
    </row>
    <row r="232" spans="1:8" x14ac:dyDescent="0.2">
      <c r="A232" s="131"/>
      <c r="B232" s="131"/>
      <c r="C232" s="131"/>
      <c r="D232" s="61"/>
      <c r="E232" s="61"/>
      <c r="F232" s="61"/>
      <c r="G232" s="61"/>
      <c r="H232" s="61"/>
    </row>
    <row r="233" spans="1:8" x14ac:dyDescent="0.2">
      <c r="A233" s="131"/>
      <c r="B233" s="131"/>
      <c r="C233" s="131"/>
      <c r="D233" s="61"/>
      <c r="E233" s="61"/>
      <c r="F233" s="61"/>
      <c r="G233" s="61"/>
      <c r="H233" s="61"/>
    </row>
    <row r="234" spans="1:8" x14ac:dyDescent="0.2">
      <c r="A234" s="131"/>
      <c r="B234" s="131"/>
      <c r="C234" s="131"/>
      <c r="D234" s="61"/>
      <c r="E234" s="61"/>
      <c r="F234" s="61"/>
      <c r="G234" s="61"/>
      <c r="H234" s="61"/>
    </row>
    <row r="235" spans="1:8" x14ac:dyDescent="0.2">
      <c r="A235" s="131"/>
      <c r="B235" s="131"/>
      <c r="C235" s="131"/>
      <c r="D235" s="61"/>
      <c r="E235" s="61"/>
      <c r="F235" s="61"/>
      <c r="G235" s="61"/>
      <c r="H235" s="61"/>
    </row>
    <row r="236" spans="1:8" x14ac:dyDescent="0.2">
      <c r="A236" s="131"/>
      <c r="B236" s="131"/>
      <c r="C236" s="131"/>
      <c r="D236" s="61"/>
      <c r="E236" s="61"/>
      <c r="F236" s="61"/>
      <c r="G236" s="61"/>
      <c r="H236" s="61"/>
    </row>
    <row r="237" spans="1:8" x14ac:dyDescent="0.2">
      <c r="A237" s="131"/>
      <c r="B237" s="131"/>
      <c r="C237" s="131"/>
      <c r="D237" s="61"/>
      <c r="E237" s="61"/>
      <c r="F237" s="61"/>
      <c r="G237" s="61"/>
      <c r="H237" s="61"/>
    </row>
    <row r="238" spans="1:8" x14ac:dyDescent="0.2">
      <c r="A238" s="131"/>
      <c r="B238" s="131"/>
      <c r="C238" s="131"/>
      <c r="D238" s="61"/>
      <c r="E238" s="61"/>
      <c r="F238" s="61"/>
      <c r="G238" s="61"/>
      <c r="H238" s="61"/>
    </row>
    <row r="239" spans="1:8" x14ac:dyDescent="0.2">
      <c r="A239" s="131"/>
      <c r="B239" s="131"/>
      <c r="C239" s="131"/>
      <c r="D239" s="61"/>
      <c r="E239" s="61"/>
      <c r="F239" s="61"/>
      <c r="G239" s="61"/>
      <c r="H239" s="61"/>
    </row>
    <row r="240" spans="1:8" x14ac:dyDescent="0.2">
      <c r="A240" s="131"/>
      <c r="B240" s="131"/>
      <c r="C240" s="131"/>
      <c r="D240" s="61"/>
      <c r="E240" s="61"/>
      <c r="F240" s="61"/>
      <c r="G240" s="61"/>
      <c r="H240" s="61"/>
    </row>
    <row r="241" spans="1:8" x14ac:dyDescent="0.2">
      <c r="A241" s="131"/>
      <c r="B241" s="131"/>
      <c r="C241" s="131"/>
      <c r="D241" s="61"/>
      <c r="E241" s="61"/>
      <c r="F241" s="61"/>
      <c r="G241" s="61"/>
      <c r="H241" s="61"/>
    </row>
    <row r="242" spans="1:8" x14ac:dyDescent="0.2">
      <c r="A242" s="131"/>
      <c r="B242" s="131"/>
      <c r="C242" s="131"/>
      <c r="D242" s="61"/>
      <c r="E242" s="61"/>
      <c r="F242" s="61"/>
      <c r="G242" s="61"/>
      <c r="H242" s="61"/>
    </row>
    <row r="243" spans="1:8" x14ac:dyDescent="0.2">
      <c r="A243" s="131"/>
      <c r="B243" s="131"/>
      <c r="C243" s="131"/>
      <c r="D243" s="61"/>
      <c r="E243" s="61"/>
      <c r="F243" s="61"/>
      <c r="G243" s="61"/>
      <c r="H243" s="61"/>
    </row>
    <row r="244" spans="1:8" x14ac:dyDescent="0.2">
      <c r="A244" s="131"/>
      <c r="B244" s="131"/>
      <c r="C244" s="131"/>
      <c r="D244" s="61"/>
      <c r="E244" s="61"/>
      <c r="F244" s="61"/>
      <c r="G244" s="61"/>
      <c r="H244" s="61"/>
    </row>
    <row r="245" spans="1:8" x14ac:dyDescent="0.2">
      <c r="A245" s="131"/>
      <c r="B245" s="131"/>
      <c r="C245" s="131"/>
      <c r="D245" s="61"/>
      <c r="E245" s="61"/>
      <c r="F245" s="61"/>
      <c r="G245" s="61"/>
      <c r="H245" s="61"/>
    </row>
    <row r="246" spans="1:8" x14ac:dyDescent="0.2">
      <c r="A246" s="131"/>
      <c r="B246" s="131"/>
      <c r="C246" s="131"/>
      <c r="D246" s="61"/>
      <c r="E246" s="61"/>
      <c r="F246" s="61"/>
      <c r="G246" s="61"/>
      <c r="H246" s="61"/>
    </row>
    <row r="247" spans="1:8" x14ac:dyDescent="0.2">
      <c r="A247" s="131"/>
      <c r="B247" s="131"/>
      <c r="C247" s="131"/>
      <c r="D247" s="61"/>
      <c r="E247" s="61"/>
      <c r="F247" s="61"/>
      <c r="G247" s="61"/>
      <c r="H247" s="61"/>
    </row>
    <row r="248" spans="1:8" x14ac:dyDescent="0.2">
      <c r="A248" s="131"/>
      <c r="B248" s="131"/>
      <c r="C248" s="131"/>
      <c r="D248" s="61"/>
      <c r="E248" s="61"/>
      <c r="F248" s="61"/>
      <c r="G248" s="61"/>
      <c r="H248" s="61"/>
    </row>
    <row r="249" spans="1:8" x14ac:dyDescent="0.2">
      <c r="A249" s="131"/>
      <c r="B249" s="131"/>
      <c r="C249" s="131"/>
      <c r="D249" s="61"/>
      <c r="E249" s="61"/>
      <c r="F249" s="61"/>
      <c r="G249" s="61"/>
      <c r="H249" s="61"/>
    </row>
    <row r="250" spans="1:8" x14ac:dyDescent="0.2">
      <c r="A250" s="131"/>
      <c r="B250" s="131"/>
      <c r="C250" s="131"/>
      <c r="D250" s="61"/>
      <c r="E250" s="61"/>
      <c r="F250" s="61"/>
      <c r="G250" s="61"/>
      <c r="H250" s="61"/>
    </row>
    <row r="251" spans="1:8" x14ac:dyDescent="0.2">
      <c r="A251" s="131"/>
      <c r="B251" s="131"/>
      <c r="C251" s="131"/>
      <c r="D251" s="61"/>
      <c r="E251" s="61"/>
      <c r="F251" s="61"/>
      <c r="G251" s="61"/>
      <c r="H251" s="61"/>
    </row>
    <row r="252" spans="1:8" x14ac:dyDescent="0.2">
      <c r="A252" s="131"/>
      <c r="B252" s="131"/>
      <c r="C252" s="131"/>
      <c r="D252" s="61"/>
      <c r="E252" s="61"/>
      <c r="F252" s="61"/>
      <c r="G252" s="61"/>
      <c r="H252" s="61"/>
    </row>
    <row r="253" spans="1:8" x14ac:dyDescent="0.2">
      <c r="A253" s="131"/>
      <c r="B253" s="131"/>
      <c r="C253" s="131"/>
      <c r="D253" s="61"/>
      <c r="E253" s="61"/>
      <c r="F253" s="61"/>
      <c r="G253" s="61"/>
      <c r="H253" s="61"/>
    </row>
    <row r="254" spans="1:8" x14ac:dyDescent="0.2">
      <c r="A254" s="131"/>
      <c r="B254" s="131"/>
      <c r="C254" s="131"/>
      <c r="D254" s="61"/>
      <c r="E254" s="61"/>
      <c r="F254" s="61"/>
      <c r="G254" s="61"/>
      <c r="H254" s="61"/>
    </row>
    <row r="255" spans="1:8" x14ac:dyDescent="0.2">
      <c r="A255" s="131"/>
      <c r="B255" s="131"/>
      <c r="C255" s="131"/>
      <c r="D255" s="61"/>
      <c r="E255" s="61"/>
      <c r="F255" s="61"/>
      <c r="G255" s="61"/>
      <c r="H255" s="61"/>
    </row>
    <row r="256" spans="1:8" x14ac:dyDescent="0.2">
      <c r="A256" s="131"/>
      <c r="B256" s="131"/>
      <c r="C256" s="131"/>
      <c r="D256" s="61"/>
      <c r="E256" s="61"/>
      <c r="F256" s="61"/>
      <c r="G256" s="61"/>
      <c r="H256" s="61"/>
    </row>
    <row r="257" spans="1:8" x14ac:dyDescent="0.2">
      <c r="A257" s="131"/>
      <c r="B257" s="131"/>
      <c r="C257" s="131"/>
      <c r="D257" s="61"/>
      <c r="E257" s="61"/>
      <c r="F257" s="61"/>
      <c r="G257" s="61"/>
      <c r="H257" s="61"/>
    </row>
    <row r="258" spans="1:8" x14ac:dyDescent="0.2">
      <c r="A258" s="131"/>
      <c r="B258" s="131"/>
      <c r="C258" s="131"/>
      <c r="D258" s="61"/>
      <c r="E258" s="61"/>
      <c r="F258" s="61"/>
      <c r="G258" s="61"/>
      <c r="H258" s="61"/>
    </row>
    <row r="259" spans="1:8" x14ac:dyDescent="0.2">
      <c r="A259" s="131"/>
      <c r="B259" s="131"/>
      <c r="C259" s="131"/>
      <c r="D259" s="61"/>
      <c r="E259" s="61"/>
      <c r="F259" s="61"/>
      <c r="G259" s="61"/>
      <c r="H259" s="61"/>
    </row>
    <row r="260" spans="1:8" x14ac:dyDescent="0.2">
      <c r="A260" s="131"/>
      <c r="B260" s="131"/>
      <c r="C260" s="131"/>
      <c r="D260" s="61"/>
      <c r="E260" s="61"/>
      <c r="F260" s="61"/>
      <c r="G260" s="61"/>
      <c r="H260" s="61"/>
    </row>
    <row r="261" spans="1:8" x14ac:dyDescent="0.2">
      <c r="A261" s="131"/>
      <c r="B261" s="131"/>
      <c r="C261" s="131"/>
      <c r="D261" s="61"/>
      <c r="E261" s="61"/>
      <c r="F261" s="61"/>
      <c r="G261" s="61"/>
      <c r="H261" s="61"/>
    </row>
    <row r="262" spans="1:8" x14ac:dyDescent="0.2">
      <c r="A262" s="131"/>
      <c r="B262" s="131"/>
      <c r="C262" s="131"/>
      <c r="D262" s="61"/>
      <c r="E262" s="61"/>
      <c r="F262" s="61"/>
      <c r="G262" s="61"/>
      <c r="H262" s="61"/>
    </row>
    <row r="263" spans="1:8" x14ac:dyDescent="0.2">
      <c r="A263" s="131"/>
      <c r="B263" s="131"/>
      <c r="C263" s="131"/>
      <c r="D263" s="61"/>
      <c r="E263" s="61"/>
      <c r="F263" s="61"/>
      <c r="G263" s="61"/>
      <c r="H263" s="61"/>
    </row>
    <row r="264" spans="1:8" x14ac:dyDescent="0.2">
      <c r="A264" s="131"/>
      <c r="B264" s="131"/>
      <c r="C264" s="131"/>
      <c r="D264" s="61"/>
      <c r="E264" s="61"/>
      <c r="F264" s="61"/>
      <c r="G264" s="61"/>
      <c r="H264" s="61"/>
    </row>
    <row r="265" spans="1:8" x14ac:dyDescent="0.2">
      <c r="A265" s="131"/>
      <c r="B265" s="131"/>
      <c r="C265" s="131"/>
      <c r="D265" s="61"/>
      <c r="E265" s="61"/>
      <c r="F265" s="61"/>
      <c r="G265" s="61"/>
      <c r="H265" s="61"/>
    </row>
    <row r="266" spans="1:8" x14ac:dyDescent="0.2">
      <c r="A266" s="131"/>
      <c r="B266" s="131"/>
      <c r="C266" s="131"/>
      <c r="D266" s="61"/>
      <c r="E266" s="61"/>
      <c r="F266" s="61"/>
      <c r="G266" s="61"/>
      <c r="H266" s="61"/>
    </row>
    <row r="267" spans="1:8" x14ac:dyDescent="0.2">
      <c r="A267" s="131"/>
      <c r="B267" s="131"/>
      <c r="C267" s="131"/>
      <c r="D267" s="61"/>
      <c r="E267" s="61"/>
      <c r="F267" s="61"/>
      <c r="G267" s="61"/>
      <c r="H267" s="61"/>
    </row>
    <row r="268" spans="1:8" x14ac:dyDescent="0.2">
      <c r="A268" s="131"/>
      <c r="B268" s="131"/>
      <c r="C268" s="131"/>
      <c r="D268" s="61"/>
      <c r="E268" s="61"/>
      <c r="F268" s="61"/>
      <c r="G268" s="61"/>
      <c r="H268" s="61"/>
    </row>
    <row r="269" spans="1:8" x14ac:dyDescent="0.2">
      <c r="A269" s="131"/>
      <c r="B269" s="131"/>
      <c r="C269" s="131"/>
      <c r="D269" s="61"/>
      <c r="E269" s="61"/>
      <c r="F269" s="61"/>
      <c r="G269" s="61"/>
      <c r="H269" s="61"/>
    </row>
    <row r="270" spans="1:8" x14ac:dyDescent="0.2">
      <c r="A270" s="131"/>
      <c r="B270" s="131"/>
      <c r="C270" s="131"/>
      <c r="D270" s="61"/>
      <c r="E270" s="61"/>
      <c r="F270" s="61"/>
      <c r="G270" s="61"/>
      <c r="H270" s="61"/>
    </row>
    <row r="271" spans="1:8" x14ac:dyDescent="0.2">
      <c r="A271" s="131"/>
      <c r="B271" s="131"/>
      <c r="C271" s="131"/>
      <c r="D271" s="61"/>
      <c r="E271" s="61"/>
      <c r="F271" s="61"/>
      <c r="G271" s="61"/>
      <c r="H271" s="61"/>
    </row>
    <row r="272" spans="1:8" x14ac:dyDescent="0.2">
      <c r="A272" s="131"/>
      <c r="B272" s="131"/>
      <c r="C272" s="131"/>
      <c r="D272" s="61"/>
      <c r="E272" s="61"/>
      <c r="F272" s="61"/>
      <c r="G272" s="61"/>
      <c r="H272" s="61"/>
    </row>
    <row r="273" spans="1:8" x14ac:dyDescent="0.2">
      <c r="A273" s="131"/>
      <c r="B273" s="131"/>
      <c r="C273" s="131"/>
      <c r="D273" s="61"/>
      <c r="E273" s="61"/>
      <c r="F273" s="61"/>
      <c r="G273" s="61"/>
      <c r="H273" s="61"/>
    </row>
    <row r="274" spans="1:8" x14ac:dyDescent="0.2">
      <c r="A274" s="131"/>
      <c r="B274" s="131"/>
      <c r="C274" s="131"/>
      <c r="D274" s="61"/>
      <c r="E274" s="61"/>
      <c r="F274" s="61"/>
      <c r="G274" s="61"/>
      <c r="H274" s="61"/>
    </row>
    <row r="275" spans="1:8" x14ac:dyDescent="0.2">
      <c r="A275" s="131"/>
      <c r="B275" s="131"/>
      <c r="C275" s="131"/>
      <c r="D275" s="61"/>
      <c r="E275" s="61"/>
      <c r="F275" s="61"/>
      <c r="G275" s="61"/>
      <c r="H275" s="61"/>
    </row>
    <row r="276" spans="1:8" x14ac:dyDescent="0.2">
      <c r="A276" s="131"/>
      <c r="B276" s="131"/>
      <c r="C276" s="131"/>
      <c r="D276" s="61"/>
      <c r="E276" s="61"/>
      <c r="F276" s="61"/>
      <c r="G276" s="61"/>
      <c r="H276" s="61"/>
    </row>
    <row r="277" spans="1:8" x14ac:dyDescent="0.2">
      <c r="A277" s="131"/>
      <c r="B277" s="131"/>
      <c r="C277" s="131"/>
      <c r="D277" s="61"/>
      <c r="E277" s="61"/>
      <c r="F277" s="61"/>
      <c r="G277" s="61"/>
      <c r="H277" s="61"/>
    </row>
    <row r="278" spans="1:8" x14ac:dyDescent="0.2">
      <c r="A278" s="131"/>
      <c r="B278" s="131"/>
      <c r="C278" s="131"/>
      <c r="D278" s="61"/>
      <c r="E278" s="61"/>
      <c r="F278" s="61"/>
      <c r="G278" s="61"/>
      <c r="H278" s="61"/>
    </row>
    <row r="279" spans="1:8" x14ac:dyDescent="0.2">
      <c r="A279" s="131"/>
      <c r="B279" s="131"/>
      <c r="C279" s="131"/>
      <c r="D279" s="61"/>
      <c r="E279" s="61"/>
      <c r="F279" s="61"/>
      <c r="G279" s="61"/>
      <c r="H279" s="61"/>
    </row>
    <row r="280" spans="1:8" x14ac:dyDescent="0.2">
      <c r="A280" s="131"/>
      <c r="B280" s="131"/>
      <c r="C280" s="131"/>
      <c r="D280" s="61"/>
      <c r="E280" s="61"/>
      <c r="F280" s="61"/>
      <c r="G280" s="61"/>
      <c r="H280" s="61"/>
    </row>
    <row r="281" spans="1:8" x14ac:dyDescent="0.2">
      <c r="A281" s="131"/>
      <c r="B281" s="131"/>
      <c r="C281" s="131"/>
      <c r="D281" s="61"/>
      <c r="E281" s="61"/>
      <c r="F281" s="61"/>
      <c r="G281" s="61"/>
      <c r="H281" s="61"/>
    </row>
    <row r="282" spans="1:8" x14ac:dyDescent="0.2">
      <c r="A282" s="131"/>
      <c r="B282" s="131"/>
      <c r="C282" s="131"/>
      <c r="D282" s="61"/>
      <c r="E282" s="61"/>
      <c r="F282" s="61"/>
      <c r="G282" s="61"/>
      <c r="H282" s="61"/>
    </row>
    <row r="283" spans="1:8" x14ac:dyDescent="0.2">
      <c r="A283" s="131"/>
      <c r="B283" s="131"/>
      <c r="C283" s="131"/>
      <c r="D283" s="61"/>
      <c r="E283" s="61"/>
      <c r="F283" s="61"/>
      <c r="G283" s="61"/>
      <c r="H283" s="61"/>
    </row>
    <row r="284" spans="1:8" x14ac:dyDescent="0.2">
      <c r="A284" s="131"/>
      <c r="B284" s="131"/>
      <c r="C284" s="131"/>
      <c r="D284" s="61"/>
      <c r="E284" s="61"/>
      <c r="F284" s="61"/>
      <c r="G284" s="61"/>
      <c r="H284" s="61"/>
    </row>
    <row r="285" spans="1:8" x14ac:dyDescent="0.2">
      <c r="A285" s="131"/>
      <c r="B285" s="131"/>
      <c r="C285" s="131"/>
      <c r="D285" s="61"/>
      <c r="E285" s="61"/>
      <c r="F285" s="61"/>
      <c r="G285" s="61"/>
      <c r="H285" s="61"/>
    </row>
    <row r="286" spans="1:8" x14ac:dyDescent="0.2">
      <c r="A286" s="131"/>
      <c r="B286" s="131"/>
      <c r="C286" s="131"/>
      <c r="D286" s="61"/>
      <c r="E286" s="61"/>
      <c r="F286" s="61"/>
      <c r="G286" s="61"/>
      <c r="H286" s="61"/>
    </row>
    <row r="287" spans="1:8" x14ac:dyDescent="0.2">
      <c r="A287" s="131"/>
      <c r="B287" s="131"/>
      <c r="C287" s="131"/>
      <c r="D287" s="61"/>
      <c r="E287" s="61"/>
      <c r="F287" s="61"/>
      <c r="G287" s="61"/>
      <c r="H287" s="61"/>
    </row>
    <row r="288" spans="1:8" x14ac:dyDescent="0.2">
      <c r="A288" s="131"/>
      <c r="B288" s="131"/>
      <c r="C288" s="131"/>
      <c r="D288" s="61"/>
      <c r="E288" s="61"/>
      <c r="F288" s="61"/>
      <c r="G288" s="61"/>
      <c r="H288" s="61"/>
    </row>
    <row r="289" spans="1:8" x14ac:dyDescent="0.2">
      <c r="A289" s="131"/>
      <c r="B289" s="131"/>
      <c r="C289" s="131"/>
      <c r="D289" s="61"/>
      <c r="E289" s="61"/>
      <c r="F289" s="61"/>
      <c r="G289" s="61"/>
      <c r="H289" s="61"/>
    </row>
    <row r="290" spans="1:8" x14ac:dyDescent="0.2">
      <c r="A290" s="131"/>
      <c r="B290" s="131"/>
      <c r="C290" s="131"/>
      <c r="D290" s="61"/>
      <c r="E290" s="61"/>
      <c r="F290" s="61"/>
      <c r="G290" s="61"/>
      <c r="H290" s="61"/>
    </row>
    <row r="291" spans="1:8" x14ac:dyDescent="0.2">
      <c r="A291" s="131"/>
      <c r="B291" s="131"/>
      <c r="C291" s="131"/>
      <c r="D291" s="61"/>
      <c r="E291" s="61"/>
      <c r="F291" s="61"/>
      <c r="G291" s="61"/>
      <c r="H291" s="61"/>
    </row>
    <row r="292" spans="1:8" x14ac:dyDescent="0.2">
      <c r="A292" s="131"/>
      <c r="B292" s="131"/>
      <c r="C292" s="131"/>
      <c r="D292" s="61"/>
      <c r="E292" s="61"/>
      <c r="F292" s="61"/>
      <c r="G292" s="61"/>
      <c r="H292" s="61"/>
    </row>
    <row r="293" spans="1:8" x14ac:dyDescent="0.2">
      <c r="A293" s="131"/>
      <c r="B293" s="131"/>
      <c r="C293" s="131"/>
      <c r="D293" s="61"/>
      <c r="E293" s="61"/>
      <c r="F293" s="61"/>
      <c r="G293" s="61"/>
      <c r="H293" s="61"/>
    </row>
    <row r="294" spans="1:8" x14ac:dyDescent="0.2">
      <c r="A294" s="131"/>
      <c r="B294" s="131"/>
      <c r="C294" s="131"/>
      <c r="D294" s="61"/>
      <c r="E294" s="61"/>
      <c r="F294" s="61"/>
      <c r="G294" s="61"/>
      <c r="H294" s="61"/>
    </row>
    <row r="295" spans="1:8" x14ac:dyDescent="0.2">
      <c r="A295" s="131"/>
      <c r="B295" s="131"/>
      <c r="C295" s="131"/>
      <c r="D295" s="61"/>
      <c r="E295" s="61"/>
      <c r="F295" s="61"/>
      <c r="G295" s="61"/>
      <c r="H295" s="61"/>
    </row>
    <row r="296" spans="1:8" x14ac:dyDescent="0.2">
      <c r="A296" s="131"/>
      <c r="B296" s="131"/>
      <c r="C296" s="131"/>
      <c r="D296" s="61"/>
      <c r="E296" s="61"/>
      <c r="F296" s="61"/>
      <c r="G296" s="61"/>
      <c r="H296" s="61"/>
    </row>
    <row r="297" spans="1:8" x14ac:dyDescent="0.2">
      <c r="A297" s="131"/>
      <c r="B297" s="131"/>
      <c r="C297" s="131"/>
      <c r="D297" s="61"/>
      <c r="E297" s="61"/>
      <c r="F297" s="61"/>
      <c r="G297" s="61"/>
      <c r="H297" s="61"/>
    </row>
    <row r="298" spans="1:8" x14ac:dyDescent="0.2">
      <c r="A298" s="131"/>
      <c r="B298" s="131"/>
      <c r="C298" s="131"/>
      <c r="D298" s="61"/>
      <c r="E298" s="61"/>
      <c r="F298" s="61"/>
      <c r="G298" s="61"/>
      <c r="H298" s="61"/>
    </row>
    <row r="299" spans="1:8" x14ac:dyDescent="0.2">
      <c r="A299" s="131"/>
      <c r="B299" s="131"/>
      <c r="C299" s="131"/>
      <c r="D299" s="61"/>
      <c r="E299" s="61"/>
      <c r="F299" s="61"/>
      <c r="G299" s="61"/>
      <c r="H299" s="61"/>
    </row>
    <row r="300" spans="1:8" x14ac:dyDescent="0.2">
      <c r="A300" s="131"/>
      <c r="B300" s="131"/>
      <c r="C300" s="131"/>
      <c r="D300" s="61"/>
      <c r="E300" s="61"/>
      <c r="F300" s="61"/>
      <c r="G300" s="61"/>
      <c r="H300" s="61"/>
    </row>
    <row r="301" spans="1:8" x14ac:dyDescent="0.2">
      <c r="A301" s="131"/>
      <c r="B301" s="131"/>
      <c r="C301" s="131"/>
      <c r="D301" s="61"/>
      <c r="E301" s="61"/>
      <c r="F301" s="61"/>
      <c r="G301" s="61"/>
      <c r="H301" s="61"/>
    </row>
    <row r="302" spans="1:8" x14ac:dyDescent="0.2">
      <c r="A302" s="131"/>
      <c r="B302" s="131"/>
      <c r="C302" s="131"/>
      <c r="D302" s="61"/>
      <c r="E302" s="61"/>
      <c r="F302" s="61"/>
      <c r="G302" s="61"/>
      <c r="H302" s="61"/>
    </row>
    <row r="303" spans="1:8" x14ac:dyDescent="0.2">
      <c r="A303" s="131"/>
      <c r="B303" s="131"/>
      <c r="C303" s="131"/>
      <c r="D303" s="61"/>
      <c r="E303" s="61"/>
      <c r="F303" s="61"/>
      <c r="G303" s="61"/>
      <c r="H303" s="61"/>
    </row>
    <row r="304" spans="1:8" x14ac:dyDescent="0.2">
      <c r="A304" s="131"/>
      <c r="B304" s="131"/>
      <c r="C304" s="131"/>
      <c r="D304" s="61"/>
      <c r="E304" s="61"/>
      <c r="F304" s="61"/>
      <c r="G304" s="61"/>
      <c r="H304" s="61"/>
    </row>
    <row r="305" spans="1:8" x14ac:dyDescent="0.2">
      <c r="A305" s="131"/>
      <c r="B305" s="131"/>
      <c r="C305" s="131"/>
      <c r="D305" s="61"/>
      <c r="E305" s="61"/>
      <c r="F305" s="61"/>
      <c r="G305" s="61"/>
      <c r="H305" s="61"/>
    </row>
    <row r="306" spans="1:8" x14ac:dyDescent="0.2">
      <c r="A306" s="131"/>
      <c r="B306" s="131"/>
      <c r="C306" s="131"/>
      <c r="D306" s="61"/>
      <c r="E306" s="61"/>
      <c r="F306" s="61"/>
      <c r="G306" s="61"/>
      <c r="H306" s="61"/>
    </row>
    <row r="307" spans="1:8" x14ac:dyDescent="0.2">
      <c r="A307" s="131"/>
      <c r="B307" s="131"/>
      <c r="C307" s="131"/>
      <c r="D307" s="61"/>
      <c r="E307" s="61"/>
      <c r="F307" s="61"/>
      <c r="G307" s="61"/>
      <c r="H307" s="61"/>
    </row>
    <row r="308" spans="1:8" x14ac:dyDescent="0.2">
      <c r="A308" s="131"/>
      <c r="B308" s="131"/>
      <c r="C308" s="131"/>
      <c r="D308" s="61"/>
      <c r="E308" s="61"/>
      <c r="F308" s="61"/>
      <c r="G308" s="61"/>
      <c r="H308" s="61"/>
    </row>
    <row r="309" spans="1:8" x14ac:dyDescent="0.2">
      <c r="A309" s="131"/>
      <c r="B309" s="131"/>
      <c r="C309" s="131"/>
      <c r="D309" s="61"/>
      <c r="E309" s="61"/>
      <c r="F309" s="61"/>
      <c r="G309" s="61"/>
      <c r="H309" s="61"/>
    </row>
    <row r="310" spans="1:8" x14ac:dyDescent="0.2">
      <c r="A310" s="131"/>
      <c r="B310" s="131"/>
      <c r="C310" s="131"/>
      <c r="D310" s="61"/>
      <c r="E310" s="61"/>
      <c r="F310" s="61"/>
      <c r="G310" s="61"/>
      <c r="H310" s="61"/>
    </row>
    <row r="311" spans="1:8" x14ac:dyDescent="0.2">
      <c r="A311" s="131"/>
      <c r="B311" s="131"/>
      <c r="C311" s="131"/>
      <c r="D311" s="61"/>
      <c r="E311" s="61"/>
      <c r="F311" s="61"/>
      <c r="G311" s="61"/>
      <c r="H311" s="61"/>
    </row>
    <row r="312" spans="1:8" x14ac:dyDescent="0.2">
      <c r="A312" s="131"/>
      <c r="B312" s="131"/>
      <c r="C312" s="131"/>
      <c r="D312" s="61"/>
      <c r="E312" s="61"/>
      <c r="F312" s="61"/>
      <c r="G312" s="61"/>
      <c r="H312" s="61"/>
    </row>
    <row r="313" spans="1:8" x14ac:dyDescent="0.2">
      <c r="A313" s="131"/>
      <c r="B313" s="131"/>
      <c r="C313" s="131"/>
      <c r="D313" s="61"/>
      <c r="E313" s="61"/>
      <c r="F313" s="61"/>
      <c r="G313" s="61"/>
      <c r="H313" s="61"/>
    </row>
    <row r="314" spans="1:8" x14ac:dyDescent="0.2">
      <c r="A314" s="131"/>
      <c r="B314" s="131"/>
      <c r="C314" s="131"/>
      <c r="D314" s="61"/>
      <c r="E314" s="61"/>
      <c r="F314" s="61"/>
      <c r="G314" s="61"/>
      <c r="H314" s="61"/>
    </row>
    <row r="315" spans="1:8" x14ac:dyDescent="0.2">
      <c r="A315" s="131"/>
      <c r="B315" s="131"/>
      <c r="C315" s="131"/>
      <c r="D315" s="61"/>
      <c r="E315" s="61"/>
      <c r="F315" s="61"/>
      <c r="G315" s="61"/>
      <c r="H315" s="61"/>
    </row>
    <row r="316" spans="1:8" x14ac:dyDescent="0.2">
      <c r="A316" s="131"/>
      <c r="B316" s="131"/>
      <c r="C316" s="131"/>
      <c r="D316" s="61"/>
      <c r="E316" s="61"/>
      <c r="F316" s="61"/>
      <c r="G316" s="61"/>
      <c r="H316" s="61"/>
    </row>
    <row r="317" spans="1:8" x14ac:dyDescent="0.2">
      <c r="A317" s="131"/>
      <c r="B317" s="131"/>
      <c r="C317" s="131"/>
      <c r="D317" s="61"/>
      <c r="E317" s="61"/>
      <c r="F317" s="61"/>
      <c r="G317" s="61"/>
      <c r="H317" s="61"/>
    </row>
    <row r="318" spans="1:8" x14ac:dyDescent="0.2">
      <c r="A318" s="131"/>
      <c r="B318" s="131"/>
      <c r="C318" s="131"/>
      <c r="D318" s="61"/>
      <c r="E318" s="61"/>
      <c r="F318" s="61"/>
      <c r="G318" s="61"/>
      <c r="H318" s="61"/>
    </row>
    <row r="319" spans="1:8" x14ac:dyDescent="0.2">
      <c r="A319" s="131"/>
      <c r="B319" s="131"/>
      <c r="C319" s="131"/>
      <c r="D319" s="61"/>
      <c r="E319" s="61"/>
      <c r="F319" s="61"/>
      <c r="G319" s="61"/>
      <c r="H319" s="61"/>
    </row>
    <row r="320" spans="1:8" x14ac:dyDescent="0.2">
      <c r="A320" s="131"/>
      <c r="B320" s="131"/>
      <c r="C320" s="131"/>
      <c r="D320" s="61"/>
      <c r="E320" s="61"/>
      <c r="F320" s="61"/>
      <c r="G320" s="61"/>
      <c r="H320" s="61"/>
    </row>
    <row r="321" spans="1:8" x14ac:dyDescent="0.2">
      <c r="A321" s="131"/>
      <c r="B321" s="131"/>
      <c r="C321" s="131"/>
      <c r="D321" s="61"/>
      <c r="E321" s="61"/>
      <c r="F321" s="61"/>
      <c r="G321" s="61"/>
      <c r="H321" s="61"/>
    </row>
    <row r="322" spans="1:8" x14ac:dyDescent="0.2">
      <c r="A322" s="131"/>
      <c r="B322" s="131"/>
      <c r="C322" s="131"/>
      <c r="D322" s="61"/>
      <c r="E322" s="61"/>
      <c r="F322" s="61"/>
      <c r="G322" s="61"/>
      <c r="H322" s="61"/>
    </row>
    <row r="323" spans="1:8" x14ac:dyDescent="0.2">
      <c r="A323" s="131"/>
      <c r="B323" s="131"/>
      <c r="C323" s="131"/>
      <c r="D323" s="61"/>
      <c r="E323" s="61"/>
      <c r="F323" s="61"/>
      <c r="G323" s="61"/>
      <c r="H323" s="61"/>
    </row>
    <row r="324" spans="1:8" x14ac:dyDescent="0.2">
      <c r="A324" s="131"/>
      <c r="B324" s="131"/>
      <c r="C324" s="131"/>
      <c r="D324" s="61"/>
      <c r="E324" s="61"/>
      <c r="F324" s="61"/>
      <c r="G324" s="61"/>
      <c r="H324" s="61"/>
    </row>
    <row r="325" spans="1:8" x14ac:dyDescent="0.2">
      <c r="A325" s="131"/>
      <c r="B325" s="131"/>
      <c r="C325" s="131"/>
      <c r="D325" s="61"/>
      <c r="E325" s="61"/>
      <c r="F325" s="61"/>
      <c r="G325" s="61"/>
      <c r="H325" s="61"/>
    </row>
    <row r="326" spans="1:8" x14ac:dyDescent="0.2">
      <c r="A326" s="131"/>
      <c r="B326" s="131"/>
      <c r="C326" s="131"/>
      <c r="D326" s="61"/>
      <c r="E326" s="61"/>
      <c r="F326" s="61"/>
      <c r="G326" s="61"/>
      <c r="H326" s="61"/>
    </row>
    <row r="327" spans="1:8" x14ac:dyDescent="0.2">
      <c r="A327" s="131"/>
      <c r="B327" s="131"/>
      <c r="C327" s="131"/>
      <c r="D327" s="61"/>
      <c r="E327" s="61"/>
      <c r="F327" s="61"/>
      <c r="G327" s="61"/>
      <c r="H327" s="61"/>
    </row>
    <row r="328" spans="1:8" x14ac:dyDescent="0.2">
      <c r="A328" s="131"/>
      <c r="B328" s="131"/>
      <c r="C328" s="131"/>
      <c r="D328" s="61"/>
      <c r="E328" s="61"/>
      <c r="F328" s="61"/>
      <c r="G328" s="61"/>
      <c r="H328" s="61"/>
    </row>
    <row r="329" spans="1:8" x14ac:dyDescent="0.2">
      <c r="A329" s="131"/>
      <c r="B329" s="131"/>
      <c r="C329" s="131"/>
      <c r="D329" s="61"/>
      <c r="E329" s="61"/>
      <c r="F329" s="61"/>
      <c r="G329" s="61"/>
      <c r="H329" s="61"/>
    </row>
    <row r="330" spans="1:8" x14ac:dyDescent="0.2">
      <c r="A330" s="131"/>
      <c r="B330" s="131"/>
      <c r="C330" s="131"/>
      <c r="D330" s="61"/>
      <c r="E330" s="61"/>
      <c r="F330" s="61"/>
      <c r="G330" s="61"/>
      <c r="H330" s="61"/>
    </row>
    <row r="331" spans="1:8" x14ac:dyDescent="0.2">
      <c r="A331" s="131"/>
      <c r="B331" s="131"/>
      <c r="C331" s="131"/>
      <c r="D331" s="61"/>
      <c r="E331" s="61"/>
      <c r="F331" s="61"/>
      <c r="G331" s="61"/>
      <c r="H331" s="61"/>
    </row>
    <row r="332" spans="1:8" x14ac:dyDescent="0.2">
      <c r="A332" s="131"/>
      <c r="B332" s="131"/>
      <c r="C332" s="131"/>
      <c r="D332" s="61"/>
      <c r="E332" s="61"/>
      <c r="F332" s="61"/>
      <c r="G332" s="61"/>
      <c r="H332" s="61"/>
    </row>
    <row r="333" spans="1:8" x14ac:dyDescent="0.2">
      <c r="A333" s="131"/>
      <c r="B333" s="131"/>
      <c r="C333" s="131"/>
      <c r="D333" s="61"/>
      <c r="E333" s="61"/>
      <c r="F333" s="61"/>
      <c r="G333" s="61"/>
      <c r="H333" s="61"/>
    </row>
    <row r="334" spans="1:8" x14ac:dyDescent="0.2">
      <c r="A334" s="131"/>
      <c r="B334" s="131"/>
      <c r="C334" s="131"/>
      <c r="D334" s="61"/>
      <c r="E334" s="61"/>
      <c r="F334" s="61"/>
      <c r="G334" s="61"/>
      <c r="H334" s="61"/>
    </row>
    <row r="335" spans="1:8" x14ac:dyDescent="0.2">
      <c r="A335" s="131"/>
      <c r="B335" s="131"/>
      <c r="C335" s="131"/>
      <c r="D335" s="61"/>
      <c r="E335" s="61"/>
      <c r="F335" s="61"/>
      <c r="G335" s="61"/>
      <c r="H335" s="61"/>
    </row>
    <row r="336" spans="1:8" x14ac:dyDescent="0.2">
      <c r="A336" s="131"/>
      <c r="B336" s="131"/>
      <c r="C336" s="131"/>
      <c r="D336" s="61"/>
      <c r="E336" s="61"/>
      <c r="F336" s="61"/>
      <c r="G336" s="61"/>
      <c r="H336" s="61"/>
    </row>
    <row r="337" spans="1:8" x14ac:dyDescent="0.2">
      <c r="A337" s="131"/>
      <c r="B337" s="131"/>
      <c r="C337" s="131"/>
      <c r="D337" s="61"/>
      <c r="E337" s="61"/>
      <c r="F337" s="61"/>
      <c r="G337" s="61"/>
      <c r="H337" s="61"/>
    </row>
    <row r="338" spans="1:8" x14ac:dyDescent="0.2">
      <c r="A338" s="131"/>
      <c r="B338" s="131"/>
      <c r="C338" s="131"/>
      <c r="D338" s="61"/>
      <c r="E338" s="61"/>
      <c r="F338" s="61"/>
      <c r="G338" s="61"/>
      <c r="H338" s="61"/>
    </row>
    <row r="339" spans="1:8" x14ac:dyDescent="0.2">
      <c r="A339" s="131"/>
      <c r="B339" s="131"/>
      <c r="C339" s="131"/>
      <c r="D339" s="61"/>
      <c r="E339" s="61"/>
      <c r="F339" s="61"/>
      <c r="G339" s="61"/>
      <c r="H339" s="61"/>
    </row>
    <row r="340" spans="1:8" x14ac:dyDescent="0.2">
      <c r="A340" s="131"/>
      <c r="B340" s="131"/>
      <c r="C340" s="131"/>
      <c r="D340" s="61"/>
      <c r="E340" s="61"/>
      <c r="F340" s="61"/>
      <c r="G340" s="61"/>
      <c r="H340" s="61"/>
    </row>
    <row r="341" spans="1:8" x14ac:dyDescent="0.2">
      <c r="A341" s="131"/>
      <c r="B341" s="131"/>
      <c r="C341" s="131"/>
      <c r="D341" s="61"/>
      <c r="E341" s="61"/>
      <c r="F341" s="61"/>
      <c r="G341" s="61"/>
      <c r="H341" s="61"/>
    </row>
    <row r="342" spans="1:8" x14ac:dyDescent="0.2">
      <c r="A342" s="131"/>
      <c r="B342" s="131"/>
      <c r="C342" s="131"/>
      <c r="D342" s="61"/>
      <c r="E342" s="61"/>
      <c r="F342" s="61"/>
      <c r="G342" s="61"/>
      <c r="H342" s="61"/>
    </row>
    <row r="343" spans="1:8" x14ac:dyDescent="0.2">
      <c r="A343" s="131"/>
      <c r="B343" s="131"/>
      <c r="C343" s="131"/>
      <c r="D343" s="61"/>
      <c r="E343" s="61"/>
      <c r="F343" s="61"/>
      <c r="G343" s="61"/>
      <c r="H343" s="61"/>
    </row>
    <row r="344" spans="1:8" x14ac:dyDescent="0.2">
      <c r="A344" s="131"/>
      <c r="B344" s="131"/>
      <c r="C344" s="131"/>
      <c r="D344" s="61"/>
      <c r="E344" s="61"/>
      <c r="F344" s="61"/>
      <c r="G344" s="61"/>
      <c r="H344" s="61"/>
    </row>
    <row r="345" spans="1:8" x14ac:dyDescent="0.2">
      <c r="A345" s="131"/>
      <c r="B345" s="131"/>
      <c r="C345" s="131"/>
      <c r="D345" s="61"/>
      <c r="E345" s="61"/>
      <c r="F345" s="61"/>
      <c r="G345" s="61"/>
      <c r="H345" s="61"/>
    </row>
    <row r="346" spans="1:8" x14ac:dyDescent="0.2">
      <c r="A346" s="131"/>
      <c r="B346" s="131"/>
      <c r="C346" s="131"/>
      <c r="D346" s="61"/>
      <c r="E346" s="61"/>
      <c r="F346" s="61"/>
      <c r="G346" s="61"/>
      <c r="H346" s="61"/>
    </row>
    <row r="347" spans="1:8" x14ac:dyDescent="0.2">
      <c r="A347" s="131"/>
      <c r="B347" s="131"/>
      <c r="C347" s="131"/>
      <c r="D347" s="61"/>
      <c r="E347" s="61"/>
      <c r="F347" s="61"/>
      <c r="G347" s="61"/>
      <c r="H347" s="61"/>
    </row>
    <row r="348" spans="1:8" x14ac:dyDescent="0.2">
      <c r="A348" s="131"/>
      <c r="B348" s="131"/>
      <c r="C348" s="131"/>
      <c r="D348" s="61"/>
      <c r="E348" s="61"/>
      <c r="F348" s="61"/>
      <c r="G348" s="61"/>
      <c r="H348" s="61"/>
    </row>
    <row r="349" spans="1:8" x14ac:dyDescent="0.2">
      <c r="A349" s="131"/>
      <c r="B349" s="131"/>
      <c r="C349" s="131"/>
      <c r="D349" s="61"/>
      <c r="E349" s="61"/>
      <c r="F349" s="61"/>
      <c r="G349" s="61"/>
      <c r="H349" s="61"/>
    </row>
    <row r="350" spans="1:8" x14ac:dyDescent="0.2">
      <c r="A350" s="131"/>
      <c r="B350" s="131"/>
      <c r="C350" s="131"/>
      <c r="D350" s="61"/>
      <c r="E350" s="61"/>
      <c r="F350" s="61"/>
      <c r="G350" s="61"/>
      <c r="H350" s="61"/>
    </row>
    <row r="351" spans="1:8" x14ac:dyDescent="0.2">
      <c r="A351" s="131"/>
      <c r="B351" s="131"/>
      <c r="C351" s="131"/>
      <c r="D351" s="61"/>
      <c r="E351" s="61"/>
      <c r="F351" s="61"/>
      <c r="G351" s="61"/>
      <c r="H351" s="61"/>
    </row>
    <row r="352" spans="1:8" x14ac:dyDescent="0.2">
      <c r="A352" s="131"/>
      <c r="B352" s="131"/>
      <c r="C352" s="131"/>
      <c r="D352" s="61"/>
      <c r="E352" s="61"/>
      <c r="F352" s="61"/>
      <c r="G352" s="61"/>
      <c r="H352" s="61"/>
    </row>
    <row r="353" spans="1:8" x14ac:dyDescent="0.2">
      <c r="A353" s="131"/>
      <c r="B353" s="131"/>
      <c r="C353" s="131"/>
      <c r="D353" s="61"/>
      <c r="E353" s="61"/>
      <c r="F353" s="61"/>
      <c r="G353" s="61"/>
      <c r="H353" s="61"/>
    </row>
    <row r="354" spans="1:8" x14ac:dyDescent="0.2">
      <c r="A354" s="131"/>
      <c r="B354" s="131"/>
      <c r="C354" s="131"/>
      <c r="D354" s="61"/>
      <c r="E354" s="61"/>
      <c r="F354" s="61"/>
      <c r="G354" s="61"/>
      <c r="H354" s="61"/>
    </row>
    <row r="355" spans="1:8" x14ac:dyDescent="0.2">
      <c r="A355" s="131"/>
      <c r="B355" s="131"/>
      <c r="C355" s="131"/>
      <c r="D355" s="61"/>
      <c r="E355" s="61"/>
      <c r="F355" s="61"/>
      <c r="G355" s="61"/>
      <c r="H355" s="61"/>
    </row>
    <row r="356" spans="1:8" x14ac:dyDescent="0.2">
      <c r="A356" s="131"/>
      <c r="B356" s="131"/>
      <c r="C356" s="131"/>
      <c r="D356" s="61"/>
      <c r="E356" s="61"/>
      <c r="F356" s="61"/>
      <c r="G356" s="61"/>
      <c r="H356" s="61"/>
    </row>
    <row r="357" spans="1:8" x14ac:dyDescent="0.2">
      <c r="A357" s="131"/>
      <c r="B357" s="131"/>
      <c r="C357" s="131"/>
      <c r="D357" s="61"/>
      <c r="E357" s="61"/>
      <c r="F357" s="61"/>
      <c r="G357" s="61"/>
      <c r="H357" s="61"/>
    </row>
    <row r="358" spans="1:8" x14ac:dyDescent="0.2">
      <c r="A358" s="131"/>
      <c r="B358" s="131"/>
      <c r="C358" s="131"/>
      <c r="D358" s="61"/>
      <c r="E358" s="61"/>
      <c r="F358" s="61"/>
      <c r="G358" s="61"/>
      <c r="H358" s="61"/>
    </row>
    <row r="359" spans="1:8" x14ac:dyDescent="0.2">
      <c r="A359" s="131"/>
      <c r="B359" s="131"/>
      <c r="C359" s="131"/>
      <c r="D359" s="61"/>
      <c r="E359" s="61"/>
      <c r="F359" s="61"/>
      <c r="G359" s="61"/>
      <c r="H359" s="61"/>
    </row>
    <row r="360" spans="1:8" x14ac:dyDescent="0.2">
      <c r="A360" s="131"/>
      <c r="B360" s="131"/>
      <c r="C360" s="131"/>
      <c r="D360" s="61"/>
      <c r="E360" s="61"/>
      <c r="F360" s="61"/>
      <c r="G360" s="61"/>
      <c r="H360" s="61"/>
    </row>
    <row r="361" spans="1:8" x14ac:dyDescent="0.2">
      <c r="A361" s="131"/>
      <c r="B361" s="131"/>
      <c r="C361" s="131"/>
      <c r="D361" s="61"/>
      <c r="E361" s="61"/>
      <c r="F361" s="61"/>
      <c r="G361" s="61"/>
      <c r="H361" s="61"/>
    </row>
    <row r="362" spans="1:8" x14ac:dyDescent="0.2">
      <c r="A362" s="131"/>
      <c r="B362" s="131"/>
      <c r="C362" s="131"/>
      <c r="D362" s="61"/>
      <c r="E362" s="61"/>
      <c r="F362" s="61"/>
      <c r="G362" s="61"/>
      <c r="H362" s="61"/>
    </row>
    <row r="363" spans="1:8" x14ac:dyDescent="0.2">
      <c r="A363" s="131"/>
      <c r="B363" s="131"/>
      <c r="C363" s="131"/>
      <c r="D363" s="61"/>
      <c r="E363" s="61"/>
      <c r="F363" s="61"/>
      <c r="G363" s="61"/>
      <c r="H363" s="61"/>
    </row>
    <row r="364" spans="1:8" x14ac:dyDescent="0.2">
      <c r="A364" s="131"/>
      <c r="B364" s="131"/>
      <c r="C364" s="131"/>
      <c r="D364" s="61"/>
      <c r="E364" s="61"/>
      <c r="F364" s="61"/>
      <c r="G364" s="61"/>
      <c r="H364" s="61"/>
    </row>
    <row r="365" spans="1:8" x14ac:dyDescent="0.2">
      <c r="A365" s="131"/>
      <c r="B365" s="131"/>
      <c r="C365" s="131"/>
      <c r="D365" s="61"/>
      <c r="E365" s="61"/>
      <c r="F365" s="61"/>
      <c r="G365" s="61"/>
      <c r="H365" s="61"/>
    </row>
    <row r="366" spans="1:8" x14ac:dyDescent="0.2">
      <c r="A366" s="131"/>
      <c r="B366" s="131"/>
      <c r="C366" s="131"/>
      <c r="D366" s="61"/>
      <c r="E366" s="61"/>
      <c r="F366" s="61"/>
      <c r="G366" s="61"/>
      <c r="H366" s="61"/>
    </row>
    <row r="367" spans="1:8" x14ac:dyDescent="0.2">
      <c r="A367" s="131"/>
      <c r="B367" s="131"/>
      <c r="C367" s="131"/>
      <c r="D367" s="61"/>
      <c r="E367" s="61"/>
      <c r="F367" s="61"/>
      <c r="G367" s="61"/>
      <c r="H367" s="61"/>
    </row>
    <row r="368" spans="1:8" x14ac:dyDescent="0.2">
      <c r="A368" s="131"/>
      <c r="B368" s="131"/>
      <c r="C368" s="131"/>
      <c r="D368" s="61"/>
      <c r="E368" s="61"/>
      <c r="F368" s="61"/>
      <c r="G368" s="61"/>
      <c r="H368" s="61"/>
    </row>
    <row r="369" spans="1:8" x14ac:dyDescent="0.2">
      <c r="A369" s="131"/>
      <c r="B369" s="131"/>
      <c r="C369" s="131"/>
      <c r="D369" s="61"/>
      <c r="E369" s="61"/>
      <c r="F369" s="61"/>
      <c r="G369" s="61"/>
      <c r="H369" s="61"/>
    </row>
    <row r="370" spans="1:8" x14ac:dyDescent="0.2">
      <c r="A370" s="131"/>
      <c r="B370" s="131"/>
      <c r="C370" s="131"/>
      <c r="D370" s="61"/>
      <c r="E370" s="61"/>
      <c r="F370" s="61"/>
      <c r="G370" s="61"/>
      <c r="H370" s="61"/>
    </row>
    <row r="371" spans="1:8" x14ac:dyDescent="0.2">
      <c r="A371" s="131"/>
      <c r="B371" s="131"/>
      <c r="C371" s="131"/>
      <c r="D371" s="61"/>
      <c r="E371" s="61"/>
      <c r="F371" s="61"/>
      <c r="G371" s="61"/>
      <c r="H371" s="61"/>
    </row>
    <row r="372" spans="1:8" x14ac:dyDescent="0.2">
      <c r="A372" s="131"/>
      <c r="B372" s="131"/>
      <c r="C372" s="131"/>
      <c r="D372" s="61"/>
      <c r="E372" s="61"/>
      <c r="F372" s="61"/>
      <c r="G372" s="61"/>
      <c r="H372" s="61"/>
    </row>
    <row r="373" spans="1:8" x14ac:dyDescent="0.2">
      <c r="A373" s="131"/>
      <c r="B373" s="131"/>
      <c r="C373" s="131"/>
      <c r="D373" s="61"/>
      <c r="E373" s="61"/>
      <c r="F373" s="61"/>
      <c r="G373" s="61"/>
      <c r="H373" s="61"/>
    </row>
    <row r="374" spans="1:8" x14ac:dyDescent="0.2">
      <c r="A374" s="131"/>
      <c r="B374" s="131"/>
      <c r="C374" s="131"/>
      <c r="D374" s="61"/>
      <c r="E374" s="61"/>
      <c r="F374" s="61"/>
      <c r="G374" s="61"/>
      <c r="H374" s="61"/>
    </row>
    <row r="375" spans="1:8" x14ac:dyDescent="0.2">
      <c r="A375" s="131"/>
      <c r="B375" s="131"/>
      <c r="C375" s="131"/>
      <c r="D375" s="61"/>
      <c r="E375" s="61"/>
      <c r="F375" s="61"/>
      <c r="G375" s="61"/>
      <c r="H375" s="61"/>
    </row>
    <row r="376" spans="1:8" x14ac:dyDescent="0.2">
      <c r="A376" s="131"/>
      <c r="B376" s="131"/>
      <c r="C376" s="131"/>
      <c r="D376" s="61"/>
      <c r="E376" s="61"/>
      <c r="F376" s="61"/>
      <c r="G376" s="61"/>
      <c r="H376" s="61"/>
    </row>
    <row r="377" spans="1:8" x14ac:dyDescent="0.2">
      <c r="A377" s="131"/>
      <c r="B377" s="131"/>
      <c r="C377" s="131"/>
      <c r="D377" s="61"/>
      <c r="E377" s="61"/>
      <c r="F377" s="61"/>
      <c r="G377" s="61"/>
      <c r="H377" s="61"/>
    </row>
    <row r="378" spans="1:8" x14ac:dyDescent="0.2">
      <c r="A378" s="131"/>
      <c r="B378" s="131"/>
      <c r="C378" s="131"/>
      <c r="D378" s="61"/>
      <c r="E378" s="61"/>
      <c r="F378" s="61"/>
      <c r="G378" s="61"/>
      <c r="H378" s="61"/>
    </row>
    <row r="379" spans="1:8" x14ac:dyDescent="0.2">
      <c r="A379" s="131"/>
      <c r="B379" s="131"/>
      <c r="C379" s="131"/>
      <c r="D379" s="61"/>
      <c r="E379" s="61"/>
      <c r="F379" s="61"/>
      <c r="G379" s="61"/>
      <c r="H379" s="61"/>
    </row>
    <row r="380" spans="1:8" x14ac:dyDescent="0.2">
      <c r="A380" s="131"/>
      <c r="B380" s="131"/>
      <c r="C380" s="131"/>
      <c r="D380" s="61"/>
      <c r="E380" s="61"/>
      <c r="F380" s="61"/>
      <c r="G380" s="61"/>
      <c r="H380" s="61"/>
    </row>
    <row r="381" spans="1:8" x14ac:dyDescent="0.2">
      <c r="A381" s="131"/>
      <c r="B381" s="131"/>
      <c r="C381" s="131"/>
      <c r="D381" s="61"/>
      <c r="E381" s="61"/>
      <c r="F381" s="61"/>
      <c r="G381" s="61"/>
      <c r="H381" s="61"/>
    </row>
    <row r="382" spans="1:8" x14ac:dyDescent="0.2">
      <c r="A382" s="131"/>
      <c r="B382" s="131"/>
      <c r="C382" s="131"/>
      <c r="D382" s="61"/>
      <c r="E382" s="61"/>
      <c r="F382" s="61"/>
      <c r="G382" s="61"/>
      <c r="H382" s="61"/>
    </row>
    <row r="383" spans="1:8" x14ac:dyDescent="0.2">
      <c r="A383" s="131"/>
      <c r="B383" s="131"/>
      <c r="C383" s="131"/>
      <c r="D383" s="61"/>
      <c r="E383" s="61"/>
      <c r="F383" s="61"/>
      <c r="G383" s="61"/>
      <c r="H383" s="61"/>
    </row>
    <row r="384" spans="1:8" x14ac:dyDescent="0.2">
      <c r="A384" s="131"/>
      <c r="B384" s="131"/>
      <c r="C384" s="131"/>
      <c r="D384" s="61"/>
      <c r="E384" s="61"/>
      <c r="F384" s="61"/>
      <c r="G384" s="61"/>
      <c r="H384" s="61"/>
    </row>
    <row r="385" spans="1:8" x14ac:dyDescent="0.2">
      <c r="A385" s="131"/>
      <c r="B385" s="131"/>
      <c r="C385" s="131"/>
      <c r="D385" s="61"/>
      <c r="E385" s="61"/>
      <c r="F385" s="61"/>
      <c r="G385" s="61"/>
      <c r="H385" s="61"/>
    </row>
    <row r="386" spans="1:8" x14ac:dyDescent="0.2">
      <c r="A386" s="131"/>
      <c r="B386" s="131"/>
      <c r="C386" s="131"/>
      <c r="D386" s="61"/>
      <c r="E386" s="61"/>
      <c r="F386" s="61"/>
      <c r="G386" s="61"/>
      <c r="H386" s="61"/>
    </row>
    <row r="387" spans="1:8" x14ac:dyDescent="0.2">
      <c r="A387" s="131"/>
      <c r="B387" s="131"/>
      <c r="C387" s="131"/>
      <c r="D387" s="61"/>
      <c r="E387" s="61"/>
      <c r="F387" s="61"/>
      <c r="G387" s="61"/>
      <c r="H387" s="61"/>
    </row>
    <row r="388" spans="1:8" x14ac:dyDescent="0.2">
      <c r="A388" s="131"/>
      <c r="B388" s="131"/>
      <c r="C388" s="131"/>
      <c r="D388" s="61"/>
      <c r="E388" s="61"/>
      <c r="F388" s="61"/>
      <c r="G388" s="61"/>
      <c r="H388" s="61"/>
    </row>
    <row r="389" spans="1:8" x14ac:dyDescent="0.2">
      <c r="A389" s="131"/>
      <c r="B389" s="131"/>
      <c r="C389" s="131"/>
      <c r="D389" s="61"/>
      <c r="E389" s="61"/>
      <c r="F389" s="61"/>
      <c r="G389" s="61"/>
      <c r="H389" s="61"/>
    </row>
    <row r="390" spans="1:8" x14ac:dyDescent="0.2">
      <c r="A390" s="131"/>
      <c r="B390" s="131"/>
      <c r="C390" s="131"/>
      <c r="D390" s="61"/>
      <c r="E390" s="61"/>
      <c r="F390" s="61"/>
      <c r="G390" s="61"/>
      <c r="H390" s="61"/>
    </row>
    <row r="391" spans="1:8" x14ac:dyDescent="0.2">
      <c r="A391" s="131"/>
      <c r="B391" s="131"/>
      <c r="C391" s="131"/>
      <c r="D391" s="61"/>
      <c r="E391" s="61"/>
      <c r="F391" s="61"/>
      <c r="G391" s="61"/>
      <c r="H391" s="61"/>
    </row>
    <row r="392" spans="1:8" x14ac:dyDescent="0.2">
      <c r="A392" s="131"/>
      <c r="B392" s="131"/>
      <c r="C392" s="131"/>
      <c r="D392" s="61"/>
      <c r="E392" s="61"/>
      <c r="F392" s="61"/>
      <c r="G392" s="61"/>
      <c r="H392" s="61"/>
    </row>
    <row r="393" spans="1:8" x14ac:dyDescent="0.2">
      <c r="A393" s="131"/>
      <c r="B393" s="131"/>
      <c r="C393" s="131"/>
      <c r="D393" s="61"/>
      <c r="E393" s="61"/>
      <c r="F393" s="61"/>
      <c r="G393" s="61"/>
      <c r="H393" s="61"/>
    </row>
    <row r="394" spans="1:8" x14ac:dyDescent="0.2">
      <c r="A394" s="131"/>
      <c r="B394" s="131"/>
      <c r="C394" s="131"/>
      <c r="D394" s="61"/>
      <c r="E394" s="61"/>
      <c r="F394" s="61"/>
      <c r="G394" s="61"/>
      <c r="H394" s="61"/>
    </row>
    <row r="395" spans="1:8" x14ac:dyDescent="0.2">
      <c r="A395" s="131"/>
      <c r="B395" s="131"/>
      <c r="C395" s="131"/>
      <c r="D395" s="61"/>
      <c r="E395" s="61"/>
      <c r="F395" s="61"/>
      <c r="G395" s="61"/>
      <c r="H395" s="61"/>
    </row>
    <row r="396" spans="1:8" x14ac:dyDescent="0.2">
      <c r="A396" s="131"/>
      <c r="B396" s="131"/>
      <c r="C396" s="131"/>
      <c r="D396" s="61"/>
      <c r="E396" s="61"/>
      <c r="F396" s="61"/>
      <c r="G396" s="61"/>
      <c r="H396" s="61"/>
    </row>
    <row r="397" spans="1:8" x14ac:dyDescent="0.2">
      <c r="A397" s="131"/>
      <c r="B397" s="131"/>
      <c r="C397" s="131"/>
      <c r="D397" s="61"/>
      <c r="E397" s="61"/>
      <c r="F397" s="61"/>
      <c r="G397" s="61"/>
      <c r="H397" s="61"/>
    </row>
    <row r="398" spans="1:8" x14ac:dyDescent="0.2">
      <c r="A398" s="131"/>
      <c r="B398" s="131"/>
      <c r="C398" s="131"/>
      <c r="D398" s="61"/>
      <c r="E398" s="61"/>
      <c r="F398" s="61"/>
      <c r="G398" s="61"/>
      <c r="H398" s="61"/>
    </row>
    <row r="399" spans="1:8" x14ac:dyDescent="0.2">
      <c r="A399" s="131"/>
      <c r="B399" s="131"/>
      <c r="C399" s="131"/>
      <c r="D399" s="61"/>
      <c r="E399" s="61"/>
      <c r="F399" s="61"/>
      <c r="G399" s="61"/>
      <c r="H399" s="61"/>
    </row>
    <row r="400" spans="1:8" x14ac:dyDescent="0.2">
      <c r="A400" s="131"/>
      <c r="B400" s="131"/>
      <c r="C400" s="131"/>
      <c r="D400" s="61"/>
      <c r="E400" s="61"/>
      <c r="F400" s="61"/>
      <c r="G400" s="61"/>
      <c r="H400" s="61"/>
    </row>
    <row r="401" spans="1:8" x14ac:dyDescent="0.2">
      <c r="A401" s="131"/>
      <c r="B401" s="131"/>
      <c r="C401" s="131"/>
      <c r="D401" s="61"/>
      <c r="E401" s="61"/>
      <c r="F401" s="61"/>
      <c r="G401" s="61"/>
      <c r="H401" s="61"/>
    </row>
    <row r="402" spans="1:8" x14ac:dyDescent="0.2">
      <c r="A402" s="131"/>
      <c r="B402" s="131"/>
      <c r="C402" s="131"/>
      <c r="D402" s="61"/>
      <c r="E402" s="61"/>
      <c r="F402" s="61"/>
      <c r="G402" s="61"/>
      <c r="H402" s="61"/>
    </row>
    <row r="403" spans="1:8" x14ac:dyDescent="0.2">
      <c r="A403" s="131"/>
      <c r="B403" s="131"/>
      <c r="C403" s="131"/>
      <c r="D403" s="61"/>
      <c r="E403" s="61"/>
      <c r="F403" s="61"/>
      <c r="G403" s="61"/>
      <c r="H403" s="61"/>
    </row>
    <row r="404" spans="1:8" x14ac:dyDescent="0.2">
      <c r="A404" s="131"/>
      <c r="B404" s="131"/>
      <c r="C404" s="131"/>
      <c r="D404" s="61"/>
      <c r="E404" s="61"/>
      <c r="F404" s="61"/>
      <c r="G404" s="61"/>
      <c r="H404" s="61"/>
    </row>
    <row r="405" spans="1:8" x14ac:dyDescent="0.2">
      <c r="A405" s="131"/>
      <c r="B405" s="131"/>
      <c r="C405" s="131"/>
      <c r="D405" s="61"/>
      <c r="E405" s="61"/>
      <c r="F405" s="61"/>
      <c r="G405" s="61"/>
      <c r="H405" s="61"/>
    </row>
    <row r="406" spans="1:8" x14ac:dyDescent="0.2">
      <c r="A406" s="131"/>
      <c r="B406" s="131"/>
      <c r="C406" s="131"/>
      <c r="D406" s="61"/>
      <c r="E406" s="61"/>
      <c r="F406" s="61"/>
      <c r="G406" s="61"/>
      <c r="H406" s="61"/>
    </row>
    <row r="407" spans="1:8" x14ac:dyDescent="0.2">
      <c r="A407" s="131"/>
      <c r="B407" s="131"/>
      <c r="C407" s="131"/>
      <c r="D407" s="61"/>
      <c r="E407" s="61"/>
      <c r="F407" s="61"/>
      <c r="G407" s="61"/>
      <c r="H407" s="61"/>
    </row>
    <row r="408" spans="1:8" x14ac:dyDescent="0.2">
      <c r="A408" s="131"/>
      <c r="B408" s="131"/>
      <c r="C408" s="131"/>
      <c r="D408" s="61"/>
      <c r="E408" s="61"/>
      <c r="F408" s="61"/>
      <c r="G408" s="61"/>
      <c r="H408" s="61"/>
    </row>
    <row r="409" spans="1:8" x14ac:dyDescent="0.2">
      <c r="A409" s="131"/>
      <c r="B409" s="131"/>
      <c r="C409" s="131"/>
      <c r="D409" s="61"/>
      <c r="E409" s="61"/>
      <c r="F409" s="61"/>
      <c r="G409" s="61"/>
      <c r="H409" s="61"/>
    </row>
    <row r="410" spans="1:8" x14ac:dyDescent="0.2">
      <c r="A410" s="131"/>
      <c r="B410" s="131"/>
      <c r="C410" s="131"/>
      <c r="D410" s="61"/>
      <c r="E410" s="61"/>
      <c r="F410" s="61"/>
      <c r="G410" s="61"/>
      <c r="H410" s="61"/>
    </row>
    <row r="411" spans="1:8" x14ac:dyDescent="0.2">
      <c r="A411" s="131"/>
      <c r="B411" s="131"/>
      <c r="C411" s="131"/>
      <c r="D411" s="61"/>
      <c r="E411" s="61"/>
      <c r="F411" s="61"/>
      <c r="G411" s="61"/>
      <c r="H411" s="61"/>
    </row>
    <row r="412" spans="1:8" x14ac:dyDescent="0.2">
      <c r="A412" s="131"/>
      <c r="B412" s="131"/>
      <c r="C412" s="131"/>
      <c r="D412" s="61"/>
      <c r="E412" s="61"/>
      <c r="F412" s="61"/>
      <c r="G412" s="61"/>
      <c r="H412" s="61"/>
    </row>
    <row r="413" spans="1:8" x14ac:dyDescent="0.2">
      <c r="A413" s="131"/>
      <c r="B413" s="131"/>
      <c r="C413" s="131"/>
      <c r="D413" s="61"/>
      <c r="E413" s="61"/>
      <c r="F413" s="61"/>
      <c r="G413" s="61"/>
      <c r="H413" s="61"/>
    </row>
    <row r="414" spans="1:8" x14ac:dyDescent="0.2">
      <c r="A414" s="131"/>
      <c r="B414" s="131"/>
      <c r="C414" s="131"/>
      <c r="D414" s="61"/>
      <c r="E414" s="61"/>
      <c r="F414" s="61"/>
      <c r="G414" s="61"/>
      <c r="H414" s="61"/>
    </row>
    <row r="415" spans="1:8" x14ac:dyDescent="0.2">
      <c r="A415" s="131"/>
      <c r="B415" s="131"/>
      <c r="C415" s="131"/>
      <c r="D415" s="61"/>
      <c r="E415" s="61"/>
      <c r="F415" s="61"/>
      <c r="G415" s="61"/>
      <c r="H415" s="61"/>
    </row>
    <row r="416" spans="1:8" x14ac:dyDescent="0.2">
      <c r="A416" s="131"/>
      <c r="B416" s="131"/>
      <c r="C416" s="131"/>
      <c r="D416" s="61"/>
      <c r="E416" s="61"/>
      <c r="F416" s="61"/>
      <c r="G416" s="61"/>
      <c r="H416" s="61"/>
    </row>
    <row r="417" spans="1:8" x14ac:dyDescent="0.2">
      <c r="A417" s="131"/>
      <c r="B417" s="131"/>
      <c r="C417" s="131"/>
      <c r="D417" s="61"/>
      <c r="E417" s="61"/>
      <c r="F417" s="61"/>
      <c r="G417" s="61"/>
      <c r="H417" s="61"/>
    </row>
    <row r="418" spans="1:8" x14ac:dyDescent="0.2">
      <c r="A418" s="131"/>
      <c r="B418" s="131"/>
      <c r="C418" s="131"/>
      <c r="D418" s="61"/>
      <c r="E418" s="61"/>
      <c r="F418" s="61"/>
      <c r="G418" s="61"/>
      <c r="H418" s="61"/>
    </row>
    <row r="419" spans="1:8" x14ac:dyDescent="0.2">
      <c r="A419" s="131"/>
      <c r="B419" s="131"/>
      <c r="C419" s="131"/>
      <c r="D419" s="61"/>
      <c r="E419" s="61"/>
      <c r="F419" s="61"/>
      <c r="G419" s="61"/>
      <c r="H419" s="61"/>
    </row>
    <row r="420" spans="1:8" x14ac:dyDescent="0.2">
      <c r="A420" s="131"/>
      <c r="B420" s="131"/>
      <c r="C420" s="131"/>
      <c r="D420" s="61"/>
      <c r="E420" s="61"/>
      <c r="F420" s="61"/>
      <c r="G420" s="61"/>
      <c r="H420" s="61"/>
    </row>
    <row r="421" spans="1:8" x14ac:dyDescent="0.2">
      <c r="A421" s="131"/>
      <c r="B421" s="131"/>
      <c r="C421" s="131"/>
      <c r="D421" s="61"/>
      <c r="E421" s="61"/>
      <c r="F421" s="61"/>
      <c r="G421" s="61"/>
      <c r="H421" s="61"/>
    </row>
    <row r="422" spans="1:8" x14ac:dyDescent="0.2">
      <c r="A422" s="131"/>
      <c r="B422" s="131"/>
      <c r="C422" s="131"/>
      <c r="D422" s="61"/>
      <c r="E422" s="61"/>
      <c r="F422" s="61"/>
      <c r="G422" s="61"/>
      <c r="H422" s="61"/>
    </row>
    <row r="423" spans="1:8" x14ac:dyDescent="0.2">
      <c r="A423" s="131"/>
      <c r="B423" s="131"/>
      <c r="C423" s="131"/>
      <c r="D423" s="61"/>
      <c r="E423" s="61"/>
      <c r="F423" s="61"/>
      <c r="G423" s="61"/>
      <c r="H423" s="61"/>
    </row>
    <row r="424" spans="1:8" x14ac:dyDescent="0.2">
      <c r="A424" s="131"/>
      <c r="B424" s="131"/>
      <c r="C424" s="131"/>
      <c r="D424" s="61"/>
      <c r="E424" s="61"/>
      <c r="F424" s="61"/>
      <c r="G424" s="61"/>
      <c r="H424" s="61"/>
    </row>
    <row r="425" spans="1:8" x14ac:dyDescent="0.2">
      <c r="A425" s="131"/>
      <c r="B425" s="131"/>
      <c r="C425" s="131"/>
      <c r="D425" s="61"/>
      <c r="E425" s="61"/>
      <c r="F425" s="61"/>
      <c r="G425" s="61"/>
      <c r="H425" s="61"/>
    </row>
    <row r="426" spans="1:8" x14ac:dyDescent="0.2">
      <c r="A426" s="131"/>
      <c r="B426" s="131"/>
      <c r="C426" s="131"/>
      <c r="D426" s="61"/>
      <c r="E426" s="61"/>
      <c r="F426" s="61"/>
      <c r="G426" s="61"/>
      <c r="H426" s="61"/>
    </row>
    <row r="427" spans="1:8" x14ac:dyDescent="0.2">
      <c r="A427" s="131"/>
      <c r="B427" s="131"/>
      <c r="C427" s="131"/>
      <c r="D427" s="61"/>
      <c r="E427" s="61"/>
      <c r="F427" s="61"/>
      <c r="G427" s="61"/>
      <c r="H427" s="61"/>
    </row>
    <row r="428" spans="1:8" x14ac:dyDescent="0.2">
      <c r="A428" s="131"/>
      <c r="B428" s="131"/>
      <c r="C428" s="131"/>
      <c r="D428" s="61"/>
      <c r="E428" s="61"/>
      <c r="F428" s="61"/>
      <c r="G428" s="61"/>
      <c r="H428" s="61"/>
    </row>
    <row r="429" spans="1:8" x14ac:dyDescent="0.2">
      <c r="A429" s="131"/>
      <c r="B429" s="131"/>
      <c r="C429" s="131"/>
      <c r="D429" s="61"/>
      <c r="E429" s="61"/>
      <c r="F429" s="61"/>
      <c r="G429" s="61"/>
      <c r="H429" s="61"/>
    </row>
    <row r="430" spans="1:8" x14ac:dyDescent="0.2">
      <c r="A430" s="131"/>
      <c r="B430" s="131"/>
      <c r="C430" s="131"/>
      <c r="D430" s="61"/>
      <c r="E430" s="61"/>
      <c r="F430" s="61"/>
      <c r="G430" s="61"/>
      <c r="H430" s="61"/>
    </row>
    <row r="431" spans="1:8" x14ac:dyDescent="0.2">
      <c r="A431" s="131"/>
      <c r="B431" s="131"/>
      <c r="C431" s="131"/>
      <c r="D431" s="61"/>
      <c r="E431" s="61"/>
      <c r="F431" s="61"/>
      <c r="G431" s="61"/>
      <c r="H431" s="61"/>
    </row>
    <row r="432" spans="1:8" x14ac:dyDescent="0.2">
      <c r="A432" s="131"/>
      <c r="B432" s="131"/>
      <c r="C432" s="131"/>
      <c r="D432" s="61"/>
      <c r="E432" s="61"/>
      <c r="F432" s="61"/>
      <c r="G432" s="61"/>
      <c r="H432" s="61"/>
    </row>
    <row r="433" spans="1:8" x14ac:dyDescent="0.2">
      <c r="A433" s="131"/>
      <c r="B433" s="131"/>
      <c r="C433" s="131"/>
      <c r="D433" s="61"/>
      <c r="E433" s="61"/>
      <c r="F433" s="61"/>
      <c r="G433" s="61"/>
      <c r="H433" s="61"/>
    </row>
    <row r="434" spans="1:8" x14ac:dyDescent="0.2">
      <c r="A434" s="131"/>
      <c r="B434" s="131"/>
      <c r="C434" s="131"/>
      <c r="D434" s="61"/>
      <c r="E434" s="61"/>
      <c r="F434" s="61"/>
      <c r="G434" s="61"/>
      <c r="H434" s="61"/>
    </row>
    <row r="435" spans="1:8" x14ac:dyDescent="0.2">
      <c r="A435" s="131"/>
      <c r="B435" s="131"/>
      <c r="C435" s="131"/>
      <c r="D435" s="61"/>
      <c r="E435" s="61"/>
      <c r="F435" s="61"/>
      <c r="G435" s="61"/>
      <c r="H435" s="61"/>
    </row>
    <row r="436" spans="1:8" x14ac:dyDescent="0.2">
      <c r="A436" s="131"/>
      <c r="B436" s="131"/>
      <c r="C436" s="131"/>
      <c r="D436" s="61"/>
      <c r="E436" s="61"/>
      <c r="F436" s="61"/>
      <c r="G436" s="61"/>
      <c r="H436" s="61"/>
    </row>
    <row r="437" spans="1:8" x14ac:dyDescent="0.2">
      <c r="A437" s="131"/>
      <c r="B437" s="131"/>
      <c r="C437" s="131"/>
      <c r="D437" s="61"/>
      <c r="E437" s="61"/>
      <c r="F437" s="61"/>
      <c r="G437" s="61"/>
      <c r="H437" s="61"/>
    </row>
    <row r="438" spans="1:8" x14ac:dyDescent="0.2">
      <c r="A438" s="131"/>
      <c r="B438" s="131"/>
      <c r="C438" s="131"/>
      <c r="D438" s="61"/>
      <c r="E438" s="61"/>
      <c r="F438" s="61"/>
      <c r="G438" s="61"/>
      <c r="H438" s="61"/>
    </row>
    <row r="439" spans="1:8" x14ac:dyDescent="0.2">
      <c r="A439" s="131"/>
      <c r="B439" s="131"/>
      <c r="C439" s="131"/>
      <c r="D439" s="61"/>
      <c r="E439" s="61"/>
      <c r="F439" s="61"/>
      <c r="G439" s="61"/>
      <c r="H439" s="61"/>
    </row>
    <row r="440" spans="1:8" x14ac:dyDescent="0.2">
      <c r="A440" s="131"/>
      <c r="B440" s="131"/>
      <c r="C440" s="131"/>
      <c r="D440" s="61"/>
      <c r="E440" s="61"/>
      <c r="F440" s="61"/>
      <c r="G440" s="61"/>
      <c r="H440" s="61"/>
    </row>
    <row r="441" spans="1:8" x14ac:dyDescent="0.2">
      <c r="A441" s="131"/>
      <c r="B441" s="131"/>
      <c r="C441" s="131"/>
      <c r="D441" s="61"/>
      <c r="E441" s="61"/>
      <c r="F441" s="61"/>
      <c r="G441" s="61"/>
      <c r="H441" s="61"/>
    </row>
    <row r="442" spans="1:8" x14ac:dyDescent="0.2">
      <c r="A442" s="131"/>
      <c r="B442" s="131"/>
      <c r="C442" s="131"/>
      <c r="D442" s="61"/>
      <c r="E442" s="61"/>
      <c r="F442" s="61"/>
      <c r="G442" s="61"/>
      <c r="H442" s="61"/>
    </row>
    <row r="443" spans="1:8" x14ac:dyDescent="0.2">
      <c r="A443" s="131"/>
      <c r="B443" s="131"/>
      <c r="C443" s="131"/>
      <c r="D443" s="61"/>
      <c r="E443" s="61"/>
      <c r="F443" s="61"/>
      <c r="G443" s="61"/>
      <c r="H443" s="61"/>
    </row>
    <row r="444" spans="1:8" x14ac:dyDescent="0.2">
      <c r="A444" s="131"/>
      <c r="B444" s="131"/>
      <c r="C444" s="131"/>
      <c r="D444" s="61"/>
      <c r="E444" s="61"/>
      <c r="F444" s="61"/>
      <c r="G444" s="61"/>
      <c r="H444" s="61"/>
    </row>
    <row r="445" spans="1:8" x14ac:dyDescent="0.2">
      <c r="A445" s="131"/>
      <c r="B445" s="131"/>
      <c r="C445" s="131"/>
      <c r="D445" s="61"/>
      <c r="E445" s="61"/>
      <c r="F445" s="61"/>
      <c r="G445" s="61"/>
      <c r="H445" s="61"/>
    </row>
    <row r="446" spans="1:8" x14ac:dyDescent="0.2">
      <c r="A446" s="131"/>
      <c r="B446" s="131"/>
      <c r="C446" s="131"/>
      <c r="D446" s="61"/>
      <c r="E446" s="61"/>
      <c r="F446" s="61"/>
      <c r="G446" s="61"/>
      <c r="H446" s="61"/>
    </row>
    <row r="447" spans="1:8" x14ac:dyDescent="0.2">
      <c r="A447" s="131"/>
      <c r="B447" s="131"/>
      <c r="C447" s="131"/>
      <c r="D447" s="61"/>
      <c r="E447" s="61"/>
      <c r="F447" s="61"/>
      <c r="G447" s="61"/>
      <c r="H447" s="61"/>
    </row>
    <row r="448" spans="1:8" x14ac:dyDescent="0.2">
      <c r="A448" s="131"/>
      <c r="B448" s="131"/>
      <c r="C448" s="131"/>
      <c r="D448" s="61"/>
      <c r="E448" s="61"/>
      <c r="F448" s="61"/>
      <c r="G448" s="61"/>
      <c r="H448" s="61"/>
    </row>
    <row r="449" spans="1:8" x14ac:dyDescent="0.2">
      <c r="A449" s="131"/>
      <c r="B449" s="131"/>
      <c r="C449" s="131"/>
      <c r="D449" s="61"/>
      <c r="E449" s="61"/>
      <c r="F449" s="61"/>
      <c r="G449" s="61"/>
      <c r="H449" s="61"/>
    </row>
    <row r="450" spans="1:8" x14ac:dyDescent="0.2">
      <c r="A450" s="131"/>
      <c r="B450" s="131"/>
      <c r="C450" s="131"/>
      <c r="D450" s="61"/>
      <c r="E450" s="61"/>
      <c r="F450" s="61"/>
      <c r="G450" s="61"/>
      <c r="H450" s="61"/>
    </row>
    <row r="451" spans="1:8" x14ac:dyDescent="0.2">
      <c r="A451" s="131"/>
      <c r="B451" s="131"/>
      <c r="C451" s="131"/>
      <c r="D451" s="61"/>
      <c r="E451" s="61"/>
      <c r="F451" s="61"/>
      <c r="G451" s="61"/>
      <c r="H451" s="61"/>
    </row>
    <row r="452" spans="1:8" x14ac:dyDescent="0.2">
      <c r="A452" s="131"/>
      <c r="B452" s="131"/>
      <c r="C452" s="131"/>
      <c r="D452" s="61"/>
      <c r="E452" s="61"/>
      <c r="F452" s="61"/>
      <c r="G452" s="61"/>
      <c r="H452" s="61"/>
    </row>
    <row r="453" spans="1:8" x14ac:dyDescent="0.2">
      <c r="A453" s="131"/>
      <c r="B453" s="131"/>
      <c r="C453" s="131"/>
      <c r="D453" s="61"/>
      <c r="E453" s="61"/>
      <c r="F453" s="61"/>
      <c r="G453" s="61"/>
      <c r="H453" s="61"/>
    </row>
    <row r="454" spans="1:8" x14ac:dyDescent="0.2">
      <c r="A454" s="131"/>
      <c r="B454" s="131"/>
      <c r="C454" s="131"/>
      <c r="D454" s="61"/>
      <c r="E454" s="61"/>
      <c r="F454" s="61"/>
      <c r="G454" s="61"/>
      <c r="H454" s="61"/>
    </row>
    <row r="455" spans="1:8" x14ac:dyDescent="0.2">
      <c r="A455" s="131"/>
      <c r="B455" s="131"/>
      <c r="C455" s="131"/>
      <c r="D455" s="61"/>
      <c r="E455" s="61"/>
      <c r="F455" s="61"/>
      <c r="G455" s="61"/>
      <c r="H455" s="61"/>
    </row>
    <row r="456" spans="1:8" x14ac:dyDescent="0.2">
      <c r="A456" s="131"/>
      <c r="B456" s="131"/>
      <c r="C456" s="131"/>
      <c r="D456" s="61"/>
      <c r="E456" s="61"/>
      <c r="F456" s="61"/>
      <c r="G456" s="61"/>
      <c r="H456" s="61"/>
    </row>
    <row r="457" spans="1:8" x14ac:dyDescent="0.2">
      <c r="A457" s="131"/>
      <c r="B457" s="131"/>
      <c r="C457" s="131"/>
      <c r="D457" s="61"/>
      <c r="E457" s="61"/>
      <c r="F457" s="61"/>
      <c r="G457" s="61"/>
      <c r="H457" s="61"/>
    </row>
    <row r="458" spans="1:8" x14ac:dyDescent="0.2">
      <c r="A458" s="131"/>
      <c r="B458" s="131"/>
      <c r="C458" s="131"/>
      <c r="D458" s="61"/>
      <c r="E458" s="61"/>
      <c r="F458" s="61"/>
      <c r="G458" s="61"/>
      <c r="H458" s="61"/>
    </row>
    <row r="459" spans="1:8" x14ac:dyDescent="0.2">
      <c r="A459" s="131"/>
      <c r="B459" s="131"/>
      <c r="C459" s="131"/>
      <c r="D459" s="61"/>
      <c r="E459" s="61"/>
      <c r="F459" s="61"/>
      <c r="G459" s="61"/>
      <c r="H459" s="61"/>
    </row>
    <row r="460" spans="1:8" x14ac:dyDescent="0.2">
      <c r="A460" s="131"/>
      <c r="B460" s="131"/>
      <c r="C460" s="131"/>
      <c r="D460" s="61"/>
      <c r="E460" s="61"/>
      <c r="F460" s="61"/>
      <c r="G460" s="61"/>
      <c r="H460" s="61"/>
    </row>
    <row r="461" spans="1:8" x14ac:dyDescent="0.2">
      <c r="A461" s="131"/>
      <c r="B461" s="131"/>
      <c r="C461" s="131"/>
      <c r="D461" s="61"/>
      <c r="E461" s="61"/>
      <c r="F461" s="61"/>
      <c r="G461" s="61"/>
      <c r="H461" s="61"/>
    </row>
    <row r="462" spans="1:8" x14ac:dyDescent="0.2">
      <c r="A462" s="131"/>
      <c r="B462" s="131"/>
      <c r="C462" s="131"/>
      <c r="D462" s="61"/>
      <c r="E462" s="61"/>
      <c r="F462" s="61"/>
      <c r="G462" s="61"/>
      <c r="H462" s="61"/>
    </row>
    <row r="463" spans="1:8" x14ac:dyDescent="0.2">
      <c r="A463" s="131"/>
      <c r="B463" s="131"/>
      <c r="C463" s="131"/>
      <c r="D463" s="61"/>
      <c r="E463" s="61"/>
      <c r="F463" s="61"/>
      <c r="G463" s="61"/>
      <c r="H463" s="61"/>
    </row>
    <row r="464" spans="1:8" x14ac:dyDescent="0.2">
      <c r="A464" s="131"/>
      <c r="B464" s="131"/>
      <c r="C464" s="131"/>
      <c r="D464" s="61"/>
      <c r="E464" s="61"/>
      <c r="F464" s="61"/>
      <c r="G464" s="61"/>
      <c r="H464" s="61"/>
    </row>
    <row r="465" spans="1:8" x14ac:dyDescent="0.2">
      <c r="A465" s="131"/>
      <c r="B465" s="131"/>
      <c r="C465" s="131"/>
      <c r="D465" s="61"/>
      <c r="E465" s="61"/>
      <c r="F465" s="61"/>
      <c r="G465" s="61"/>
      <c r="H465" s="61"/>
    </row>
    <row r="466" spans="1:8" x14ac:dyDescent="0.2">
      <c r="A466" s="131"/>
      <c r="B466" s="131"/>
      <c r="C466" s="131"/>
      <c r="D466" s="61"/>
      <c r="E466" s="61"/>
      <c r="F466" s="61"/>
      <c r="G466" s="61"/>
      <c r="H466" s="61"/>
    </row>
    <row r="467" spans="1:8" x14ac:dyDescent="0.2">
      <c r="A467" s="131"/>
      <c r="B467" s="131"/>
      <c r="C467" s="131"/>
      <c r="D467" s="61"/>
      <c r="E467" s="61"/>
      <c r="F467" s="61"/>
      <c r="G467" s="61"/>
      <c r="H467" s="61"/>
    </row>
    <row r="468" spans="1:8" x14ac:dyDescent="0.2">
      <c r="A468" s="131"/>
      <c r="B468" s="131"/>
      <c r="C468" s="131"/>
      <c r="D468" s="61"/>
      <c r="E468" s="61"/>
      <c r="F468" s="61"/>
      <c r="G468" s="61"/>
      <c r="H468" s="61"/>
    </row>
    <row r="469" spans="1:8" x14ac:dyDescent="0.2">
      <c r="A469" s="131"/>
      <c r="B469" s="131"/>
      <c r="C469" s="131"/>
      <c r="D469" s="61"/>
      <c r="E469" s="61"/>
      <c r="F469" s="61"/>
      <c r="G469" s="61"/>
      <c r="H469" s="61"/>
    </row>
    <row r="470" spans="1:8" x14ac:dyDescent="0.2">
      <c r="A470" s="131"/>
      <c r="B470" s="131"/>
      <c r="C470" s="131"/>
      <c r="D470" s="61"/>
      <c r="E470" s="61"/>
      <c r="F470" s="61"/>
      <c r="G470" s="61"/>
      <c r="H470" s="61"/>
    </row>
    <row r="471" spans="1:8" x14ac:dyDescent="0.2">
      <c r="A471" s="131"/>
      <c r="B471" s="131"/>
      <c r="C471" s="131"/>
      <c r="D471" s="61"/>
      <c r="E471" s="61"/>
      <c r="F471" s="61"/>
      <c r="G471" s="61"/>
      <c r="H471" s="61"/>
    </row>
    <row r="472" spans="1:8" x14ac:dyDescent="0.2">
      <c r="A472" s="131"/>
      <c r="B472" s="131"/>
      <c r="C472" s="131"/>
      <c r="D472" s="61"/>
      <c r="E472" s="61"/>
      <c r="F472" s="61"/>
      <c r="G472" s="61"/>
      <c r="H472" s="61"/>
    </row>
    <row r="473" spans="1:8" x14ac:dyDescent="0.2">
      <c r="A473" s="131"/>
      <c r="B473" s="131"/>
      <c r="C473" s="131"/>
      <c r="D473" s="61"/>
      <c r="E473" s="61"/>
      <c r="F473" s="61"/>
      <c r="G473" s="61"/>
      <c r="H473" s="61"/>
    </row>
    <row r="474" spans="1:8" x14ac:dyDescent="0.2">
      <c r="A474" s="131"/>
      <c r="B474" s="131"/>
      <c r="C474" s="131"/>
      <c r="D474" s="61"/>
      <c r="E474" s="61"/>
      <c r="F474" s="61"/>
      <c r="G474" s="61"/>
      <c r="H474" s="61"/>
    </row>
    <row r="475" spans="1:8" x14ac:dyDescent="0.2">
      <c r="A475" s="131"/>
      <c r="B475" s="131"/>
      <c r="C475" s="131"/>
      <c r="D475" s="61"/>
      <c r="E475" s="61"/>
      <c r="F475" s="61"/>
      <c r="G475" s="61"/>
      <c r="H475" s="61"/>
    </row>
    <row r="476" spans="1:8" x14ac:dyDescent="0.2">
      <c r="A476" s="131"/>
      <c r="B476" s="131"/>
      <c r="C476" s="131"/>
      <c r="D476" s="61"/>
      <c r="E476" s="61"/>
      <c r="F476" s="61"/>
      <c r="G476" s="61"/>
      <c r="H476" s="61"/>
    </row>
    <row r="477" spans="1:8" x14ac:dyDescent="0.2">
      <c r="A477" s="131"/>
      <c r="B477" s="131"/>
      <c r="C477" s="131"/>
      <c r="D477" s="61"/>
      <c r="E477" s="61"/>
      <c r="F477" s="61"/>
      <c r="G477" s="61"/>
      <c r="H477" s="61"/>
    </row>
    <row r="478" spans="1:8" x14ac:dyDescent="0.2">
      <c r="A478" s="131"/>
      <c r="B478" s="131"/>
      <c r="C478" s="131"/>
      <c r="D478" s="61"/>
      <c r="E478" s="61"/>
      <c r="F478" s="61"/>
      <c r="G478" s="61"/>
      <c r="H478" s="61"/>
    </row>
    <row r="479" spans="1:8" x14ac:dyDescent="0.2">
      <c r="A479" s="131"/>
      <c r="B479" s="131"/>
      <c r="C479" s="131"/>
      <c r="D479" s="61"/>
      <c r="E479" s="61"/>
      <c r="F479" s="61"/>
      <c r="G479" s="61"/>
      <c r="H479" s="61"/>
    </row>
    <row r="480" spans="1:8" x14ac:dyDescent="0.2">
      <c r="A480" s="131"/>
      <c r="B480" s="131"/>
      <c r="C480" s="131"/>
      <c r="D480" s="61"/>
      <c r="E480" s="61"/>
      <c r="F480" s="61"/>
      <c r="G480" s="61"/>
      <c r="H480" s="61"/>
    </row>
    <row r="481" spans="1:8" x14ac:dyDescent="0.2">
      <c r="A481" s="131"/>
      <c r="B481" s="131"/>
      <c r="C481" s="131"/>
      <c r="D481" s="61"/>
      <c r="E481" s="61"/>
      <c r="F481" s="61"/>
      <c r="G481" s="61"/>
      <c r="H481" s="61"/>
    </row>
    <row r="482" spans="1:8" x14ac:dyDescent="0.2">
      <c r="A482" s="131"/>
      <c r="B482" s="131"/>
      <c r="C482" s="131"/>
      <c r="D482" s="61"/>
      <c r="E482" s="61"/>
      <c r="F482" s="61"/>
      <c r="G482" s="61"/>
      <c r="H482" s="61"/>
    </row>
    <row r="483" spans="1:8" x14ac:dyDescent="0.2">
      <c r="A483" s="131"/>
      <c r="B483" s="131"/>
      <c r="C483" s="131"/>
      <c r="D483" s="61"/>
      <c r="E483" s="61"/>
      <c r="F483" s="61"/>
      <c r="G483" s="61"/>
      <c r="H483" s="61"/>
    </row>
    <row r="484" spans="1:8" x14ac:dyDescent="0.2">
      <c r="A484" s="131"/>
      <c r="B484" s="131"/>
      <c r="C484" s="131"/>
      <c r="D484" s="61"/>
      <c r="E484" s="61"/>
      <c r="F484" s="61"/>
      <c r="G484" s="61"/>
      <c r="H484" s="61"/>
    </row>
    <row r="485" spans="1:8" x14ac:dyDescent="0.2">
      <c r="A485" s="131"/>
      <c r="B485" s="131"/>
      <c r="C485" s="131"/>
      <c r="D485" s="61"/>
      <c r="E485" s="61"/>
      <c r="F485" s="61"/>
      <c r="G485" s="61"/>
      <c r="H485" s="61"/>
    </row>
    <row r="486" spans="1:8" x14ac:dyDescent="0.2">
      <c r="A486" s="131"/>
      <c r="B486" s="131"/>
      <c r="C486" s="131"/>
      <c r="D486" s="61"/>
      <c r="E486" s="61"/>
      <c r="F486" s="61"/>
      <c r="G486" s="61"/>
      <c r="H486" s="61"/>
    </row>
    <row r="487" spans="1:8" x14ac:dyDescent="0.2">
      <c r="A487" s="131"/>
      <c r="B487" s="131"/>
      <c r="C487" s="131"/>
      <c r="D487" s="61"/>
      <c r="E487" s="61"/>
      <c r="F487" s="61"/>
      <c r="G487" s="61"/>
      <c r="H487" s="61"/>
    </row>
    <row r="488" spans="1:8" x14ac:dyDescent="0.2">
      <c r="A488" s="131"/>
      <c r="B488" s="131"/>
      <c r="C488" s="131"/>
      <c r="D488" s="61"/>
      <c r="E488" s="61"/>
      <c r="F488" s="61"/>
      <c r="G488" s="61"/>
      <c r="H488" s="61"/>
    </row>
    <row r="489" spans="1:8" x14ac:dyDescent="0.2">
      <c r="A489" s="131"/>
      <c r="B489" s="131"/>
      <c r="C489" s="131"/>
      <c r="D489" s="61"/>
      <c r="E489" s="61"/>
      <c r="F489" s="61"/>
      <c r="G489" s="61"/>
      <c r="H489" s="61"/>
    </row>
    <row r="490" spans="1:8" x14ac:dyDescent="0.2">
      <c r="A490" s="131"/>
      <c r="B490" s="131"/>
      <c r="C490" s="131"/>
      <c r="D490" s="61"/>
      <c r="E490" s="61"/>
      <c r="F490" s="61"/>
      <c r="G490" s="61"/>
      <c r="H490" s="61"/>
    </row>
    <row r="491" spans="1:8" x14ac:dyDescent="0.2">
      <c r="A491" s="131"/>
      <c r="B491" s="131"/>
      <c r="C491" s="131"/>
      <c r="D491" s="61"/>
      <c r="E491" s="61"/>
      <c r="F491" s="61"/>
      <c r="G491" s="61"/>
      <c r="H491" s="61"/>
    </row>
    <row r="492" spans="1:8" x14ac:dyDescent="0.2">
      <c r="A492" s="131"/>
      <c r="B492" s="131"/>
      <c r="C492" s="131"/>
      <c r="D492" s="61"/>
      <c r="E492" s="61"/>
      <c r="F492" s="61"/>
      <c r="G492" s="61"/>
      <c r="H492" s="61"/>
    </row>
    <row r="493" spans="1:8" x14ac:dyDescent="0.2">
      <c r="A493" s="131"/>
      <c r="B493" s="131"/>
      <c r="C493" s="131"/>
      <c r="D493" s="61"/>
      <c r="E493" s="61"/>
      <c r="F493" s="61"/>
      <c r="G493" s="61"/>
      <c r="H493" s="61"/>
    </row>
    <row r="494" spans="1:8" x14ac:dyDescent="0.2">
      <c r="A494" s="131"/>
      <c r="B494" s="131"/>
      <c r="C494" s="131"/>
      <c r="D494" s="61"/>
      <c r="E494" s="61"/>
      <c r="F494" s="61"/>
      <c r="G494" s="61"/>
      <c r="H494" s="61"/>
    </row>
    <row r="495" spans="1:8" x14ac:dyDescent="0.2">
      <c r="A495" s="131"/>
      <c r="B495" s="131"/>
      <c r="C495" s="131"/>
      <c r="D495" s="61"/>
      <c r="E495" s="61"/>
      <c r="F495" s="61"/>
      <c r="G495" s="61"/>
      <c r="H495" s="61"/>
    </row>
    <row r="496" spans="1:8" x14ac:dyDescent="0.2">
      <c r="A496" s="131"/>
      <c r="B496" s="131"/>
      <c r="C496" s="131"/>
      <c r="D496" s="61"/>
      <c r="E496" s="61"/>
      <c r="F496" s="61"/>
      <c r="G496" s="61"/>
      <c r="H496" s="61"/>
    </row>
    <row r="497" spans="1:8" x14ac:dyDescent="0.2">
      <c r="A497" s="131"/>
      <c r="B497" s="131"/>
      <c r="C497" s="131"/>
      <c r="D497" s="61"/>
      <c r="E497" s="61"/>
      <c r="F497" s="61"/>
      <c r="G497" s="61"/>
      <c r="H497" s="61"/>
    </row>
    <row r="498" spans="1:8" x14ac:dyDescent="0.2">
      <c r="A498" s="131"/>
      <c r="B498" s="131"/>
      <c r="C498" s="131"/>
      <c r="D498" s="61"/>
      <c r="E498" s="61"/>
      <c r="F498" s="61"/>
      <c r="G498" s="61"/>
      <c r="H498" s="61"/>
    </row>
    <row r="499" spans="1:8" x14ac:dyDescent="0.2">
      <c r="A499" s="131"/>
      <c r="B499" s="131"/>
      <c r="C499" s="131"/>
      <c r="D499" s="61"/>
      <c r="E499" s="61"/>
      <c r="F499" s="61"/>
      <c r="G499" s="61"/>
      <c r="H499" s="61"/>
    </row>
    <row r="500" spans="1:8" x14ac:dyDescent="0.2">
      <c r="A500" s="131"/>
      <c r="B500" s="131"/>
      <c r="C500" s="131"/>
      <c r="D500" s="61"/>
      <c r="E500" s="61"/>
      <c r="F500" s="61"/>
      <c r="G500" s="61"/>
      <c r="H500" s="61"/>
    </row>
    <row r="501" spans="1:8" x14ac:dyDescent="0.2">
      <c r="A501" s="131"/>
      <c r="B501" s="131"/>
      <c r="C501" s="131"/>
      <c r="D501" s="61"/>
      <c r="E501" s="61"/>
      <c r="F501" s="61"/>
      <c r="G501" s="61"/>
      <c r="H501" s="61"/>
    </row>
    <row r="502" spans="1:8" x14ac:dyDescent="0.2">
      <c r="A502" s="131"/>
      <c r="B502" s="131"/>
      <c r="C502" s="131"/>
      <c r="D502" s="61"/>
      <c r="E502" s="61"/>
      <c r="F502" s="61"/>
      <c r="G502" s="61"/>
      <c r="H502" s="61"/>
    </row>
    <row r="503" spans="1:8" x14ac:dyDescent="0.2">
      <c r="A503" s="131"/>
      <c r="B503" s="131"/>
      <c r="C503" s="131"/>
      <c r="D503" s="61"/>
      <c r="E503" s="61"/>
      <c r="F503" s="61"/>
      <c r="G503" s="61"/>
      <c r="H503" s="61"/>
    </row>
    <row r="504" spans="1:8" x14ac:dyDescent="0.2">
      <c r="A504" s="131"/>
      <c r="B504" s="131"/>
      <c r="C504" s="131"/>
      <c r="D504" s="61"/>
      <c r="E504" s="61"/>
      <c r="F504" s="61"/>
      <c r="G504" s="61"/>
      <c r="H504" s="61"/>
    </row>
    <row r="505" spans="1:8" x14ac:dyDescent="0.2">
      <c r="A505" s="131"/>
      <c r="B505" s="131"/>
      <c r="C505" s="131"/>
      <c r="D505" s="61"/>
      <c r="E505" s="61"/>
      <c r="F505" s="61"/>
      <c r="G505" s="61"/>
      <c r="H505" s="61"/>
    </row>
    <row r="506" spans="1:8" x14ac:dyDescent="0.2">
      <c r="A506" s="131"/>
      <c r="B506" s="131"/>
      <c r="C506" s="131"/>
      <c r="D506" s="61"/>
      <c r="E506" s="61"/>
      <c r="F506" s="61"/>
      <c r="G506" s="61"/>
      <c r="H506" s="61"/>
    </row>
    <row r="507" spans="1:8" x14ac:dyDescent="0.2">
      <c r="A507" s="131"/>
      <c r="B507" s="131"/>
      <c r="C507" s="131"/>
      <c r="D507" s="61"/>
      <c r="E507" s="61"/>
      <c r="F507" s="61"/>
      <c r="G507" s="61"/>
      <c r="H507" s="61"/>
    </row>
    <row r="508" spans="1:8" x14ac:dyDescent="0.2">
      <c r="A508" s="131"/>
      <c r="B508" s="131"/>
      <c r="C508" s="131"/>
      <c r="D508" s="61"/>
      <c r="E508" s="61"/>
      <c r="F508" s="61"/>
      <c r="G508" s="61"/>
      <c r="H508" s="61"/>
    </row>
    <row r="509" spans="1:8" x14ac:dyDescent="0.2">
      <c r="A509" s="131"/>
      <c r="B509" s="131"/>
      <c r="C509" s="131"/>
      <c r="D509" s="61"/>
      <c r="E509" s="61"/>
      <c r="F509" s="61"/>
      <c r="G509" s="61"/>
      <c r="H509" s="61"/>
    </row>
    <row r="510" spans="1:8" x14ac:dyDescent="0.2">
      <c r="A510" s="131"/>
      <c r="B510" s="131"/>
      <c r="C510" s="131"/>
      <c r="D510" s="61"/>
      <c r="E510" s="61"/>
      <c r="F510" s="61"/>
      <c r="G510" s="61"/>
      <c r="H510" s="61"/>
    </row>
    <row r="511" spans="1:8" x14ac:dyDescent="0.2">
      <c r="A511" s="131"/>
      <c r="B511" s="131"/>
      <c r="C511" s="131"/>
      <c r="D511" s="61"/>
      <c r="E511" s="61"/>
      <c r="F511" s="61"/>
      <c r="G511" s="61"/>
      <c r="H511" s="61"/>
    </row>
    <row r="512" spans="1:8" x14ac:dyDescent="0.2">
      <c r="A512" s="131"/>
      <c r="B512" s="131"/>
      <c r="C512" s="131"/>
      <c r="D512" s="61"/>
      <c r="E512" s="61"/>
      <c r="F512" s="61"/>
      <c r="G512" s="61"/>
      <c r="H512" s="61"/>
    </row>
    <row r="513" spans="1:8" x14ac:dyDescent="0.2">
      <c r="A513" s="131"/>
      <c r="B513" s="131"/>
      <c r="C513" s="131"/>
      <c r="D513" s="61"/>
      <c r="E513" s="61"/>
      <c r="F513" s="61"/>
      <c r="G513" s="61"/>
      <c r="H513" s="61"/>
    </row>
    <row r="514" spans="1:8" x14ac:dyDescent="0.2">
      <c r="A514" s="131"/>
      <c r="B514" s="131"/>
      <c r="C514" s="131"/>
      <c r="D514" s="61"/>
      <c r="E514" s="61"/>
      <c r="F514" s="61"/>
      <c r="G514" s="61"/>
      <c r="H514" s="61"/>
    </row>
    <row r="515" spans="1:8" x14ac:dyDescent="0.2">
      <c r="A515" s="131"/>
      <c r="B515" s="131"/>
      <c r="C515" s="131"/>
      <c r="D515" s="61"/>
      <c r="E515" s="61"/>
      <c r="F515" s="61"/>
      <c r="G515" s="61"/>
      <c r="H515" s="61"/>
    </row>
    <row r="516" spans="1:8" x14ac:dyDescent="0.2">
      <c r="A516" s="131"/>
      <c r="B516" s="131"/>
      <c r="C516" s="131"/>
      <c r="D516" s="61"/>
      <c r="E516" s="61"/>
      <c r="F516" s="61"/>
      <c r="G516" s="61"/>
      <c r="H516" s="61"/>
    </row>
    <row r="517" spans="1:8" x14ac:dyDescent="0.2">
      <c r="A517" s="131"/>
      <c r="B517" s="131"/>
      <c r="C517" s="131"/>
      <c r="D517" s="61"/>
      <c r="E517" s="61"/>
      <c r="F517" s="61"/>
      <c r="G517" s="61"/>
      <c r="H517" s="61"/>
    </row>
    <row r="518" spans="1:8" x14ac:dyDescent="0.2">
      <c r="A518" s="131"/>
      <c r="B518" s="131"/>
      <c r="C518" s="131"/>
      <c r="D518" s="61"/>
      <c r="E518" s="61"/>
      <c r="F518" s="61"/>
      <c r="G518" s="61"/>
      <c r="H518" s="61"/>
    </row>
    <row r="519" spans="1:8" x14ac:dyDescent="0.2">
      <c r="A519" s="131"/>
      <c r="B519" s="131"/>
      <c r="C519" s="131"/>
      <c r="D519" s="61"/>
      <c r="E519" s="61"/>
      <c r="F519" s="61"/>
      <c r="G519" s="61"/>
      <c r="H519" s="61"/>
    </row>
    <row r="520" spans="1:8" x14ac:dyDescent="0.2">
      <c r="A520" s="131"/>
      <c r="B520" s="131"/>
      <c r="C520" s="131"/>
      <c r="D520" s="61"/>
      <c r="E520" s="61"/>
      <c r="F520" s="61"/>
      <c r="G520" s="61"/>
      <c r="H520" s="61"/>
    </row>
    <row r="521" spans="1:8" x14ac:dyDescent="0.2">
      <c r="A521" s="131"/>
      <c r="B521" s="131"/>
      <c r="C521" s="131"/>
      <c r="D521" s="61"/>
      <c r="E521" s="61"/>
      <c r="F521" s="61"/>
      <c r="G521" s="61"/>
      <c r="H521" s="61"/>
    </row>
    <row r="522" spans="1:8" x14ac:dyDescent="0.2">
      <c r="A522" s="131"/>
      <c r="B522" s="131"/>
      <c r="C522" s="131"/>
      <c r="D522" s="61"/>
      <c r="E522" s="61"/>
      <c r="F522" s="61"/>
      <c r="G522" s="61"/>
      <c r="H522" s="61"/>
    </row>
    <row r="523" spans="1:8" x14ac:dyDescent="0.2">
      <c r="A523" s="131"/>
      <c r="B523" s="131"/>
      <c r="C523" s="131"/>
      <c r="D523" s="61"/>
      <c r="E523" s="61"/>
      <c r="F523" s="61"/>
      <c r="G523" s="61"/>
      <c r="H523" s="61"/>
    </row>
    <row r="524" spans="1:8" x14ac:dyDescent="0.2">
      <c r="A524" s="131"/>
      <c r="B524" s="131"/>
      <c r="C524" s="131"/>
      <c r="D524" s="61"/>
      <c r="E524" s="61"/>
      <c r="F524" s="61"/>
      <c r="G524" s="61"/>
      <c r="H524" s="61"/>
    </row>
    <row r="525" spans="1:8" x14ac:dyDescent="0.2">
      <c r="A525" s="131"/>
      <c r="B525" s="131"/>
      <c r="C525" s="131"/>
      <c r="D525" s="61"/>
      <c r="E525" s="61"/>
      <c r="F525" s="61"/>
      <c r="G525" s="61"/>
      <c r="H525" s="61"/>
    </row>
    <row r="526" spans="1:8" x14ac:dyDescent="0.2">
      <c r="A526" s="131"/>
      <c r="B526" s="131"/>
      <c r="C526" s="131"/>
      <c r="D526" s="61"/>
      <c r="E526" s="61"/>
      <c r="F526" s="61"/>
      <c r="G526" s="61"/>
      <c r="H526" s="61"/>
    </row>
    <row r="527" spans="1:8" x14ac:dyDescent="0.2">
      <c r="A527" s="131"/>
      <c r="B527" s="131"/>
      <c r="C527" s="131"/>
      <c r="D527" s="61"/>
      <c r="E527" s="61"/>
      <c r="F527" s="61"/>
      <c r="G527" s="61"/>
      <c r="H527" s="61"/>
    </row>
    <row r="528" spans="1:8" x14ac:dyDescent="0.2">
      <c r="A528" s="131"/>
      <c r="B528" s="131"/>
      <c r="C528" s="131"/>
      <c r="D528" s="61"/>
      <c r="E528" s="61"/>
      <c r="F528" s="61"/>
      <c r="G528" s="61"/>
      <c r="H528" s="61"/>
    </row>
    <row r="529" spans="1:8" x14ac:dyDescent="0.2">
      <c r="A529" s="131"/>
      <c r="B529" s="131"/>
      <c r="C529" s="131"/>
      <c r="D529" s="61"/>
      <c r="E529" s="61"/>
      <c r="F529" s="61"/>
      <c r="G529" s="61"/>
      <c r="H529" s="61"/>
    </row>
    <row r="530" spans="1:8" x14ac:dyDescent="0.2">
      <c r="A530" s="131"/>
      <c r="B530" s="131"/>
      <c r="C530" s="131"/>
      <c r="D530" s="61"/>
      <c r="E530" s="61"/>
      <c r="F530" s="61"/>
      <c r="G530" s="61"/>
      <c r="H530" s="61"/>
    </row>
    <row r="531" spans="1:8" x14ac:dyDescent="0.2">
      <c r="A531" s="131"/>
      <c r="B531" s="131"/>
      <c r="C531" s="131"/>
      <c r="D531" s="61"/>
      <c r="E531" s="61"/>
      <c r="F531" s="61"/>
      <c r="G531" s="61"/>
      <c r="H531" s="61"/>
    </row>
    <row r="532" spans="1:8" x14ac:dyDescent="0.2">
      <c r="A532" s="131"/>
      <c r="B532" s="131"/>
      <c r="C532" s="131"/>
      <c r="D532" s="61"/>
      <c r="E532" s="61"/>
      <c r="F532" s="61"/>
      <c r="G532" s="61"/>
      <c r="H532" s="61"/>
    </row>
    <row r="533" spans="1:8" x14ac:dyDescent="0.2">
      <c r="A533" s="131"/>
      <c r="B533" s="131"/>
      <c r="C533" s="131"/>
      <c r="D533" s="61"/>
      <c r="E533" s="61"/>
      <c r="F533" s="61"/>
      <c r="G533" s="61"/>
      <c r="H533" s="61"/>
    </row>
    <row r="534" spans="1:8" x14ac:dyDescent="0.2">
      <c r="A534" s="131"/>
      <c r="B534" s="131"/>
      <c r="C534" s="131"/>
      <c r="D534" s="61"/>
      <c r="E534" s="61"/>
      <c r="F534" s="61"/>
      <c r="G534" s="61"/>
      <c r="H534" s="61"/>
    </row>
    <row r="535" spans="1:8" x14ac:dyDescent="0.2">
      <c r="A535" s="131"/>
      <c r="B535" s="131"/>
      <c r="C535" s="131"/>
      <c r="D535" s="61"/>
      <c r="E535" s="61"/>
      <c r="F535" s="61"/>
      <c r="G535" s="61"/>
      <c r="H535" s="61"/>
    </row>
    <row r="536" spans="1:8" x14ac:dyDescent="0.2">
      <c r="A536" s="131"/>
      <c r="B536" s="131"/>
      <c r="C536" s="131"/>
      <c r="D536" s="61"/>
      <c r="E536" s="61"/>
      <c r="F536" s="61"/>
      <c r="G536" s="61"/>
      <c r="H536" s="61"/>
    </row>
    <row r="537" spans="1:8" x14ac:dyDescent="0.2">
      <c r="A537" s="131"/>
      <c r="B537" s="131"/>
      <c r="C537" s="131"/>
      <c r="D537" s="61"/>
      <c r="E537" s="61"/>
      <c r="F537" s="61"/>
      <c r="G537" s="61"/>
      <c r="H537" s="61"/>
    </row>
    <row r="538" spans="1:8" x14ac:dyDescent="0.2">
      <c r="A538" s="131"/>
      <c r="B538" s="131"/>
      <c r="C538" s="131"/>
      <c r="D538" s="61"/>
      <c r="E538" s="61"/>
      <c r="F538" s="61"/>
      <c r="G538" s="61"/>
      <c r="H538" s="61"/>
    </row>
    <row r="539" spans="1:8" x14ac:dyDescent="0.2">
      <c r="A539" s="131"/>
      <c r="B539" s="131"/>
      <c r="C539" s="131"/>
      <c r="D539" s="61"/>
      <c r="E539" s="61"/>
      <c r="F539" s="61"/>
      <c r="G539" s="61"/>
      <c r="H539" s="61"/>
    </row>
    <row r="540" spans="1:8" x14ac:dyDescent="0.2">
      <c r="A540" s="131"/>
      <c r="B540" s="131"/>
      <c r="C540" s="131"/>
      <c r="D540" s="61"/>
      <c r="E540" s="61"/>
      <c r="F540" s="61"/>
      <c r="G540" s="61"/>
      <c r="H540" s="61"/>
    </row>
    <row r="541" spans="1:8" x14ac:dyDescent="0.2">
      <c r="A541" s="131"/>
      <c r="B541" s="131"/>
      <c r="C541" s="131"/>
      <c r="D541" s="61"/>
      <c r="E541" s="61"/>
      <c r="F541" s="61"/>
      <c r="G541" s="61"/>
      <c r="H541" s="61"/>
    </row>
    <row r="542" spans="1:8" x14ac:dyDescent="0.2">
      <c r="A542" s="131"/>
      <c r="B542" s="131"/>
      <c r="C542" s="131"/>
      <c r="D542" s="61"/>
      <c r="E542" s="61"/>
      <c r="F542" s="61"/>
      <c r="G542" s="61"/>
      <c r="H542" s="61"/>
    </row>
    <row r="543" spans="1:8" x14ac:dyDescent="0.2">
      <c r="A543" s="131"/>
      <c r="B543" s="131"/>
      <c r="C543" s="131"/>
      <c r="D543" s="61"/>
      <c r="E543" s="61"/>
      <c r="F543" s="61"/>
      <c r="G543" s="61"/>
      <c r="H543" s="61"/>
    </row>
    <row r="544" spans="1:8" x14ac:dyDescent="0.2">
      <c r="A544" s="131"/>
      <c r="B544" s="131"/>
      <c r="C544" s="131"/>
      <c r="D544" s="61"/>
      <c r="E544" s="61"/>
      <c r="F544" s="61"/>
      <c r="G544" s="61"/>
      <c r="H544" s="61"/>
    </row>
    <row r="545" spans="1:8" x14ac:dyDescent="0.2">
      <c r="A545" s="131"/>
      <c r="B545" s="131"/>
      <c r="C545" s="131"/>
      <c r="D545" s="61"/>
      <c r="E545" s="61"/>
      <c r="F545" s="61"/>
      <c r="G545" s="61"/>
      <c r="H545" s="61"/>
    </row>
    <row r="546" spans="1:8" x14ac:dyDescent="0.2">
      <c r="A546" s="131"/>
      <c r="B546" s="131"/>
      <c r="C546" s="131"/>
      <c r="D546" s="61"/>
      <c r="E546" s="61"/>
      <c r="F546" s="61"/>
      <c r="G546" s="61"/>
      <c r="H546" s="61"/>
    </row>
    <row r="547" spans="1:8" x14ac:dyDescent="0.2">
      <c r="A547" s="131"/>
      <c r="B547" s="131"/>
      <c r="C547" s="131"/>
      <c r="D547" s="61"/>
      <c r="E547" s="61"/>
      <c r="F547" s="61"/>
      <c r="G547" s="61"/>
      <c r="H547" s="61"/>
    </row>
    <row r="548" spans="1:8" x14ac:dyDescent="0.2">
      <c r="A548" s="131"/>
      <c r="B548" s="131"/>
      <c r="C548" s="131"/>
      <c r="D548" s="61"/>
      <c r="E548" s="61"/>
      <c r="F548" s="61"/>
      <c r="G548" s="61"/>
      <c r="H548" s="61"/>
    </row>
    <row r="549" spans="1:8" x14ac:dyDescent="0.2">
      <c r="A549" s="131"/>
      <c r="B549" s="131"/>
      <c r="C549" s="131"/>
      <c r="D549" s="61"/>
      <c r="E549" s="61"/>
      <c r="F549" s="61"/>
      <c r="G549" s="61"/>
      <c r="H549" s="61"/>
    </row>
    <row r="550" spans="1:8" x14ac:dyDescent="0.2">
      <c r="A550" s="131"/>
      <c r="B550" s="131"/>
      <c r="C550" s="131"/>
      <c r="D550" s="61"/>
      <c r="E550" s="61"/>
      <c r="F550" s="61"/>
      <c r="G550" s="61"/>
      <c r="H550" s="61"/>
    </row>
    <row r="551" spans="1:8" x14ac:dyDescent="0.2">
      <c r="A551" s="131"/>
      <c r="B551" s="131"/>
      <c r="C551" s="131"/>
      <c r="D551" s="61"/>
      <c r="E551" s="61"/>
      <c r="F551" s="61"/>
      <c r="G551" s="61"/>
      <c r="H551" s="61"/>
    </row>
    <row r="552" spans="1:8" x14ac:dyDescent="0.2">
      <c r="A552" s="131"/>
      <c r="B552" s="131"/>
      <c r="C552" s="131"/>
      <c r="D552" s="61"/>
      <c r="E552" s="61"/>
      <c r="F552" s="61"/>
      <c r="G552" s="61"/>
      <c r="H552" s="61"/>
    </row>
    <row r="553" spans="1:8" x14ac:dyDescent="0.2">
      <c r="A553" s="131"/>
      <c r="B553" s="131"/>
      <c r="C553" s="131"/>
      <c r="D553" s="61"/>
      <c r="E553" s="61"/>
      <c r="F553" s="61"/>
      <c r="G553" s="61"/>
      <c r="H553" s="61"/>
    </row>
    <row r="554" spans="1:8" x14ac:dyDescent="0.2">
      <c r="A554" s="131"/>
      <c r="B554" s="131"/>
      <c r="C554" s="131"/>
      <c r="D554" s="61"/>
      <c r="E554" s="61"/>
      <c r="F554" s="61"/>
      <c r="G554" s="61"/>
      <c r="H554" s="61"/>
    </row>
    <row r="555" spans="1:8" x14ac:dyDescent="0.2">
      <c r="A555" s="131"/>
      <c r="B555" s="131"/>
      <c r="C555" s="131"/>
      <c r="D555" s="61"/>
      <c r="E555" s="61"/>
      <c r="F555" s="61"/>
      <c r="G555" s="61"/>
      <c r="H555" s="61"/>
    </row>
    <row r="556" spans="1:8" x14ac:dyDescent="0.2">
      <c r="A556" s="131"/>
      <c r="B556" s="131"/>
      <c r="C556" s="131"/>
      <c r="D556" s="61"/>
      <c r="E556" s="61"/>
      <c r="F556" s="61"/>
      <c r="G556" s="61"/>
      <c r="H556" s="61"/>
    </row>
    <row r="557" spans="1:8" x14ac:dyDescent="0.2">
      <c r="A557" s="131"/>
      <c r="B557" s="131"/>
      <c r="C557" s="131"/>
      <c r="D557" s="61"/>
      <c r="E557" s="61"/>
      <c r="F557" s="61"/>
      <c r="G557" s="61"/>
      <c r="H557" s="61"/>
    </row>
    <row r="558" spans="1:8" x14ac:dyDescent="0.2">
      <c r="A558" s="131"/>
      <c r="B558" s="131"/>
      <c r="C558" s="131"/>
      <c r="D558" s="61"/>
      <c r="E558" s="61"/>
      <c r="F558" s="61"/>
      <c r="G558" s="61"/>
      <c r="H558" s="61"/>
    </row>
    <row r="559" spans="1:8" x14ac:dyDescent="0.2">
      <c r="A559" s="131"/>
      <c r="B559" s="131"/>
      <c r="C559" s="131"/>
      <c r="D559" s="61"/>
      <c r="E559" s="61"/>
      <c r="F559" s="61"/>
      <c r="G559" s="61"/>
      <c r="H559" s="61"/>
    </row>
    <row r="560" spans="1:8" x14ac:dyDescent="0.2">
      <c r="A560" s="131"/>
      <c r="B560" s="131"/>
      <c r="C560" s="131"/>
      <c r="D560" s="61"/>
      <c r="E560" s="61"/>
      <c r="F560" s="61"/>
      <c r="G560" s="61"/>
      <c r="H560" s="61"/>
    </row>
    <row r="561" spans="1:8" x14ac:dyDescent="0.2">
      <c r="A561" s="131"/>
      <c r="B561" s="131"/>
      <c r="C561" s="131"/>
      <c r="D561" s="61"/>
      <c r="E561" s="61"/>
      <c r="F561" s="61"/>
      <c r="G561" s="61"/>
      <c r="H561" s="61"/>
    </row>
    <row r="562" spans="1:8" x14ac:dyDescent="0.2">
      <c r="A562" s="131"/>
      <c r="B562" s="131"/>
      <c r="C562" s="131"/>
      <c r="D562" s="61"/>
      <c r="E562" s="61"/>
      <c r="F562" s="61"/>
      <c r="G562" s="61"/>
      <c r="H562" s="61"/>
    </row>
    <row r="563" spans="1:8" x14ac:dyDescent="0.2">
      <c r="A563" s="131"/>
      <c r="B563" s="131"/>
      <c r="C563" s="131"/>
      <c r="D563" s="61"/>
      <c r="E563" s="61"/>
      <c r="F563" s="61"/>
      <c r="G563" s="61"/>
      <c r="H563" s="61"/>
    </row>
    <row r="564" spans="1:8" x14ac:dyDescent="0.2">
      <c r="A564" s="131"/>
      <c r="B564" s="131"/>
      <c r="C564" s="131"/>
      <c r="D564" s="61"/>
      <c r="E564" s="61"/>
      <c r="F564" s="61"/>
      <c r="G564" s="61"/>
      <c r="H564" s="61"/>
    </row>
    <row r="565" spans="1:8" x14ac:dyDescent="0.2">
      <c r="A565" s="131"/>
      <c r="B565" s="131"/>
      <c r="C565" s="131"/>
      <c r="D565" s="61"/>
      <c r="E565" s="61"/>
      <c r="F565" s="61"/>
      <c r="G565" s="61"/>
      <c r="H565" s="61"/>
    </row>
    <row r="566" spans="1:8" x14ac:dyDescent="0.2">
      <c r="A566" s="131"/>
      <c r="B566" s="131"/>
      <c r="C566" s="131"/>
      <c r="D566" s="61"/>
      <c r="E566" s="61"/>
      <c r="F566" s="61"/>
      <c r="G566" s="61"/>
      <c r="H566" s="61"/>
    </row>
    <row r="567" spans="1:8" x14ac:dyDescent="0.2">
      <c r="A567" s="131"/>
      <c r="B567" s="131"/>
      <c r="C567" s="131"/>
      <c r="D567" s="61"/>
      <c r="E567" s="61"/>
      <c r="F567" s="61"/>
      <c r="G567" s="61"/>
      <c r="H567" s="61"/>
    </row>
    <row r="568" spans="1:8" x14ac:dyDescent="0.2">
      <c r="A568" s="131"/>
      <c r="B568" s="131"/>
      <c r="C568" s="131"/>
      <c r="D568" s="61"/>
      <c r="E568" s="61"/>
      <c r="F568" s="61"/>
      <c r="G568" s="61"/>
      <c r="H568" s="61"/>
    </row>
    <row r="569" spans="1:8" x14ac:dyDescent="0.2">
      <c r="A569" s="131"/>
      <c r="B569" s="131"/>
      <c r="C569" s="131"/>
      <c r="D569" s="61"/>
      <c r="E569" s="61"/>
      <c r="F569" s="61"/>
      <c r="G569" s="61"/>
      <c r="H569" s="61"/>
    </row>
    <row r="570" spans="1:8" x14ac:dyDescent="0.2">
      <c r="A570" s="131"/>
      <c r="B570" s="131"/>
      <c r="C570" s="131"/>
      <c r="D570" s="61"/>
      <c r="E570" s="61"/>
      <c r="F570" s="61"/>
      <c r="G570" s="61"/>
      <c r="H570" s="61"/>
    </row>
    <row r="571" spans="1:8" x14ac:dyDescent="0.2">
      <c r="A571" s="131"/>
      <c r="B571" s="131"/>
      <c r="C571" s="131"/>
      <c r="D571" s="61"/>
      <c r="E571" s="61"/>
      <c r="F571" s="61"/>
      <c r="G571" s="61"/>
      <c r="H571" s="61"/>
    </row>
    <row r="572" spans="1:8" x14ac:dyDescent="0.2">
      <c r="A572" s="131"/>
      <c r="B572" s="131"/>
      <c r="C572" s="131"/>
      <c r="D572" s="61"/>
      <c r="E572" s="61"/>
      <c r="F572" s="61"/>
      <c r="G572" s="61"/>
      <c r="H572" s="61"/>
    </row>
    <row r="573" spans="1:8" x14ac:dyDescent="0.2">
      <c r="A573" s="131"/>
      <c r="B573" s="131"/>
      <c r="C573" s="131"/>
      <c r="D573" s="61"/>
      <c r="E573" s="61"/>
      <c r="F573" s="61"/>
      <c r="G573" s="61"/>
      <c r="H573" s="61"/>
    </row>
    <row r="574" spans="1:8" x14ac:dyDescent="0.2">
      <c r="A574" s="131"/>
      <c r="B574" s="131"/>
      <c r="C574" s="131"/>
      <c r="D574" s="61"/>
      <c r="E574" s="61"/>
      <c r="F574" s="61"/>
      <c r="G574" s="61"/>
      <c r="H574" s="61"/>
    </row>
    <row r="575" spans="1:8" x14ac:dyDescent="0.2">
      <c r="A575" s="131"/>
      <c r="B575" s="131"/>
      <c r="C575" s="131"/>
      <c r="D575" s="61"/>
      <c r="E575" s="61"/>
      <c r="F575" s="61"/>
      <c r="G575" s="61"/>
      <c r="H575" s="61"/>
    </row>
    <row r="576" spans="1:8" x14ac:dyDescent="0.2">
      <c r="A576" s="131"/>
      <c r="B576" s="131"/>
      <c r="C576" s="131"/>
      <c r="D576" s="61"/>
      <c r="E576" s="61"/>
      <c r="F576" s="61"/>
      <c r="G576" s="61"/>
      <c r="H576" s="61"/>
    </row>
    <row r="577" spans="1:8" x14ac:dyDescent="0.2">
      <c r="A577" s="131"/>
      <c r="B577" s="131"/>
      <c r="C577" s="131"/>
      <c r="D577" s="61"/>
      <c r="E577" s="61"/>
      <c r="F577" s="61"/>
      <c r="G577" s="61"/>
      <c r="H577" s="61"/>
    </row>
    <row r="578" spans="1:8" x14ac:dyDescent="0.2">
      <c r="A578" s="131"/>
      <c r="B578" s="131"/>
      <c r="C578" s="131"/>
      <c r="D578" s="61"/>
      <c r="E578" s="61"/>
      <c r="F578" s="61"/>
      <c r="G578" s="61"/>
      <c r="H578" s="61"/>
    </row>
    <row r="579" spans="1:8" x14ac:dyDescent="0.2">
      <c r="A579" s="131"/>
      <c r="B579" s="131"/>
      <c r="C579" s="131"/>
      <c r="D579" s="61"/>
      <c r="E579" s="61"/>
      <c r="F579" s="61"/>
      <c r="G579" s="61"/>
      <c r="H579" s="61"/>
    </row>
    <row r="580" spans="1:8" x14ac:dyDescent="0.2">
      <c r="A580" s="131"/>
      <c r="B580" s="131"/>
      <c r="C580" s="131"/>
      <c r="D580" s="61"/>
      <c r="E580" s="61"/>
      <c r="F580" s="61"/>
      <c r="G580" s="61"/>
      <c r="H580" s="61"/>
    </row>
    <row r="581" spans="1:8" x14ac:dyDescent="0.2">
      <c r="A581" s="131"/>
      <c r="B581" s="131"/>
      <c r="C581" s="131"/>
      <c r="D581" s="61"/>
      <c r="E581" s="61"/>
      <c r="F581" s="61"/>
      <c r="G581" s="61"/>
      <c r="H581" s="61"/>
    </row>
    <row r="582" spans="1:8" x14ac:dyDescent="0.2">
      <c r="A582" s="131"/>
      <c r="B582" s="131"/>
      <c r="C582" s="131"/>
      <c r="D582" s="61"/>
      <c r="E582" s="61"/>
      <c r="F582" s="61"/>
      <c r="G582" s="61"/>
      <c r="H582" s="61"/>
    </row>
  </sheetData>
  <mergeCells count="14">
    <mergeCell ref="K39:M39"/>
    <mergeCell ref="N39:P39"/>
    <mergeCell ref="A48:D48"/>
    <mergeCell ref="A57:D57"/>
    <mergeCell ref="A39:A40"/>
    <mergeCell ref="B39:D39"/>
    <mergeCell ref="E39:G39"/>
    <mergeCell ref="A65:D65"/>
    <mergeCell ref="H39:J39"/>
    <mergeCell ref="A14:C14"/>
    <mergeCell ref="A1:C1"/>
    <mergeCell ref="A2:A6"/>
    <mergeCell ref="A26:D26"/>
    <mergeCell ref="A35:A36"/>
  </mergeCells>
  <printOptions horizontalCentered="1"/>
  <pageMargins left="0.39370078740157483" right="0.39370078740157483" top="0.78740157480314965" bottom="0.19685039370078741" header="0.51181102362204722" footer="0.51181102362204722"/>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3">
    <pageSetUpPr fitToPage="1"/>
  </sheetPr>
  <dimension ref="A1:X295"/>
  <sheetViews>
    <sheetView showGridLines="0" showZeros="0" tabSelected="1" view="pageBreakPreview" zoomScale="115" zoomScaleNormal="70" zoomScaleSheetLayoutView="115" workbookViewId="0">
      <pane ySplit="17" topLeftCell="A275" activePane="bottomLeft" state="frozen"/>
      <selection pane="bottomLeft" activeCell="P2" sqref="P2:S11"/>
    </sheetView>
  </sheetViews>
  <sheetFormatPr defaultColWidth="21.6640625" defaultRowHeight="11.25" x14ac:dyDescent="0.2"/>
  <cols>
    <col min="1" max="1" width="4.1640625" style="162" customWidth="1"/>
    <col min="2" max="2" width="15" style="291" customWidth="1"/>
    <col min="3" max="3" width="17.1640625" style="291" customWidth="1"/>
    <col min="4" max="4" width="68.5" style="162" customWidth="1"/>
    <col min="5" max="5" width="1.6640625" style="162" customWidth="1"/>
    <col min="6" max="6" width="10.33203125" style="162" customWidth="1"/>
    <col min="7" max="7" width="10.5" style="162" customWidth="1"/>
    <col min="8" max="8" width="9" style="162" customWidth="1"/>
    <col min="9" max="9" width="11.5" style="162" customWidth="1"/>
    <col min="10" max="11" width="10.83203125" style="162" customWidth="1"/>
    <col min="12" max="12" width="8.33203125" style="162" customWidth="1"/>
    <col min="13" max="14" width="10.83203125" style="162" customWidth="1"/>
    <col min="15" max="19" width="13.1640625" style="162" customWidth="1"/>
    <col min="20" max="20" width="3.83203125" style="161" customWidth="1"/>
    <col min="21" max="23" width="4.6640625" style="162" customWidth="1"/>
    <col min="24" max="16384" width="21.6640625" style="162"/>
  </cols>
  <sheetData>
    <row r="1" spans="1:23" ht="12" thickBot="1" x14ac:dyDescent="0.25">
      <c r="B1" s="178"/>
      <c r="C1" s="178"/>
      <c r="D1" s="179"/>
      <c r="E1" s="180"/>
      <c r="F1" s="644"/>
      <c r="G1" s="645"/>
      <c r="H1" s="181"/>
      <c r="I1" s="182"/>
      <c r="J1" s="183"/>
      <c r="K1" s="183"/>
      <c r="L1" s="184"/>
      <c r="M1" s="185"/>
      <c r="N1" s="185"/>
      <c r="O1" s="186"/>
      <c r="P1" s="187"/>
      <c r="Q1" s="664"/>
      <c r="R1" s="664"/>
      <c r="S1" s="664"/>
    </row>
    <row r="2" spans="1:23" ht="18.75" customHeight="1" thickBot="1" x14ac:dyDescent="0.25">
      <c r="B2" s="646" t="s">
        <v>34</v>
      </c>
      <c r="C2" s="647"/>
      <c r="D2" s="340" t="s">
        <v>238</v>
      </c>
      <c r="E2" s="188"/>
      <c r="F2" s="339" t="s">
        <v>422</v>
      </c>
      <c r="G2" s="192"/>
      <c r="H2" s="189"/>
      <c r="I2" s="190"/>
      <c r="J2" s="191"/>
      <c r="K2" s="190"/>
      <c r="L2" s="190"/>
      <c r="M2" s="190"/>
      <c r="N2" s="343"/>
      <c r="O2" s="344"/>
      <c r="P2" s="680"/>
      <c r="Q2" s="680"/>
      <c r="R2" s="680"/>
      <c r="S2" s="680"/>
    </row>
    <row r="3" spans="1:23" ht="12" hidden="1" customHeight="1" thickBot="1" x14ac:dyDescent="0.25">
      <c r="B3" s="648"/>
      <c r="C3" s="649"/>
      <c r="D3" s="193" t="s">
        <v>82</v>
      </c>
      <c r="E3" s="194"/>
      <c r="F3" s="195"/>
      <c r="G3" s="196"/>
      <c r="H3" s="197"/>
      <c r="I3" s="198"/>
      <c r="J3" s="191"/>
      <c r="K3" s="199"/>
      <c r="L3" s="193"/>
      <c r="M3" s="200"/>
      <c r="N3" s="200"/>
      <c r="O3" s="201"/>
      <c r="P3" s="680"/>
      <c r="Q3" s="680"/>
      <c r="R3" s="680"/>
      <c r="S3" s="680"/>
    </row>
    <row r="4" spans="1:23" ht="12" hidden="1" customHeight="1" thickBot="1" x14ac:dyDescent="0.25">
      <c r="A4" s="162" t="s">
        <v>34</v>
      </c>
      <c r="B4" s="648"/>
      <c r="C4" s="649"/>
      <c r="D4" s="202" t="s">
        <v>35</v>
      </c>
      <c r="E4" s="203" t="s">
        <v>0</v>
      </c>
      <c r="F4" s="204"/>
      <c r="G4" s="205"/>
      <c r="H4" s="197"/>
      <c r="I4" s="198"/>
      <c r="J4" s="191"/>
      <c r="K4" s="199"/>
      <c r="L4" s="199"/>
      <c r="M4" s="200"/>
      <c r="N4" s="200"/>
      <c r="O4" s="201"/>
      <c r="P4" s="680"/>
      <c r="Q4" s="680"/>
      <c r="R4" s="680"/>
      <c r="S4" s="680"/>
    </row>
    <row r="5" spans="1:23" ht="12" hidden="1" customHeight="1" thickBot="1" x14ac:dyDescent="0.25">
      <c r="A5" s="162" t="s">
        <v>34</v>
      </c>
      <c r="B5" s="648"/>
      <c r="C5" s="649"/>
      <c r="D5" s="202" t="s">
        <v>1</v>
      </c>
      <c r="E5" s="203" t="s">
        <v>0</v>
      </c>
      <c r="F5" s="204" t="s">
        <v>133</v>
      </c>
      <c r="G5" s="206"/>
      <c r="H5" s="197"/>
      <c r="I5" s="198"/>
      <c r="J5" s="191"/>
      <c r="K5" s="199"/>
      <c r="L5" s="199"/>
      <c r="M5" s="200"/>
      <c r="N5" s="200"/>
      <c r="O5" s="201"/>
      <c r="P5" s="680"/>
      <c r="Q5" s="680"/>
      <c r="R5" s="680"/>
      <c r="S5" s="680"/>
    </row>
    <row r="6" spans="1:23" ht="12" hidden="1" customHeight="1" thickBot="1" x14ac:dyDescent="0.25">
      <c r="A6" s="162" t="s">
        <v>34</v>
      </c>
      <c r="B6" s="648"/>
      <c r="C6" s="649"/>
      <c r="D6" s="202" t="s">
        <v>2</v>
      </c>
      <c r="E6" s="203" t="s">
        <v>0</v>
      </c>
      <c r="F6" s="204"/>
      <c r="G6" s="205"/>
      <c r="H6" s="197"/>
      <c r="I6" s="198"/>
      <c r="J6" s="191"/>
      <c r="K6" s="199"/>
      <c r="L6" s="199"/>
      <c r="M6" s="200"/>
      <c r="N6" s="200"/>
      <c r="O6" s="201"/>
      <c r="P6" s="680"/>
      <c r="Q6" s="680"/>
      <c r="R6" s="680"/>
      <c r="S6" s="680"/>
    </row>
    <row r="7" spans="1:23" ht="12" hidden="1" customHeight="1" thickBot="1" x14ac:dyDescent="0.25">
      <c r="A7" s="162" t="s">
        <v>34</v>
      </c>
      <c r="B7" s="648"/>
      <c r="C7" s="649"/>
      <c r="D7" s="202" t="s">
        <v>3</v>
      </c>
      <c r="E7" s="203" t="s">
        <v>0</v>
      </c>
      <c r="F7" s="204"/>
      <c r="G7" s="205"/>
      <c r="H7" s="197"/>
      <c r="I7" s="198"/>
      <c r="J7" s="191"/>
      <c r="K7" s="199"/>
      <c r="L7" s="199"/>
      <c r="M7" s="200"/>
      <c r="N7" s="200"/>
      <c r="O7" s="201"/>
      <c r="P7" s="680"/>
      <c r="Q7" s="680"/>
      <c r="R7" s="680"/>
      <c r="S7" s="680"/>
    </row>
    <row r="8" spans="1:23" ht="12" hidden="1" customHeight="1" thickBot="1" x14ac:dyDescent="0.25">
      <c r="B8" s="648"/>
      <c r="C8" s="649"/>
      <c r="D8" s="202" t="s">
        <v>4</v>
      </c>
      <c r="E8" s="203" t="s">
        <v>0</v>
      </c>
      <c r="F8" s="204"/>
      <c r="G8" s="205"/>
      <c r="H8" s="197"/>
      <c r="I8" s="198"/>
      <c r="J8" s="191"/>
      <c r="K8" s="199"/>
      <c r="L8" s="199"/>
      <c r="M8" s="200"/>
      <c r="N8" s="200"/>
      <c r="O8" s="201"/>
      <c r="P8" s="680"/>
      <c r="Q8" s="680"/>
      <c r="R8" s="680"/>
      <c r="S8" s="680"/>
    </row>
    <row r="9" spans="1:23" ht="12" thickBot="1" x14ac:dyDescent="0.25">
      <c r="B9" s="648"/>
      <c r="C9" s="649"/>
      <c r="D9" s="202" t="s">
        <v>225</v>
      </c>
      <c r="E9" s="203" t="s">
        <v>0</v>
      </c>
      <c r="F9" s="207">
        <f>IF(BDI!B17&lt;0,0,BDI!B17)</f>
        <v>0.15279999999999999</v>
      </c>
      <c r="G9" s="204"/>
      <c r="H9" s="345"/>
      <c r="I9" s="198"/>
      <c r="J9" s="191"/>
      <c r="K9" s="199"/>
      <c r="L9" s="199"/>
      <c r="M9" s="199"/>
      <c r="N9" s="199"/>
      <c r="O9" s="198"/>
      <c r="P9" s="680"/>
      <c r="Q9" s="680"/>
      <c r="R9" s="680"/>
      <c r="S9" s="680"/>
    </row>
    <row r="10" spans="1:23" ht="12" thickBot="1" x14ac:dyDescent="0.25">
      <c r="B10" s="648"/>
      <c r="C10" s="649"/>
      <c r="D10" s="202" t="s">
        <v>119</v>
      </c>
      <c r="E10" s="203" t="s">
        <v>0</v>
      </c>
      <c r="F10" s="207">
        <f>BDI!B15</f>
        <v>0.19620000000000001</v>
      </c>
      <c r="G10" s="204"/>
      <c r="H10" s="345"/>
      <c r="I10" s="198"/>
      <c r="J10" s="191"/>
      <c r="K10" s="199"/>
      <c r="L10" s="199"/>
      <c r="M10" s="199"/>
      <c r="N10" s="199"/>
      <c r="O10" s="198"/>
      <c r="P10" s="680"/>
      <c r="Q10" s="680"/>
      <c r="R10" s="680"/>
      <c r="S10" s="680"/>
    </row>
    <row r="11" spans="1:23" x14ac:dyDescent="0.2">
      <c r="B11" s="648"/>
      <c r="C11" s="649"/>
      <c r="D11" s="202" t="s">
        <v>32</v>
      </c>
      <c r="E11" s="203" t="s">
        <v>0</v>
      </c>
      <c r="F11" s="347"/>
      <c r="G11" s="204"/>
      <c r="H11" s="345"/>
      <c r="I11" s="198"/>
      <c r="J11" s="191"/>
      <c r="K11" s="199"/>
      <c r="L11" s="199"/>
      <c r="M11" s="199"/>
      <c r="N11" s="199"/>
      <c r="O11" s="198"/>
      <c r="P11" s="680"/>
      <c r="Q11" s="680"/>
      <c r="R11" s="680"/>
      <c r="S11" s="680"/>
    </row>
    <row r="12" spans="1:23" s="208" customFormat="1" ht="21" thickBot="1" x14ac:dyDescent="0.25">
      <c r="B12" s="648"/>
      <c r="C12" s="649"/>
      <c r="D12" s="729" t="s">
        <v>405</v>
      </c>
      <c r="E12" s="730"/>
      <c r="F12" s="730"/>
      <c r="G12" s="730"/>
      <c r="H12" s="730"/>
      <c r="I12" s="730"/>
      <c r="J12" s="730"/>
      <c r="K12" s="730"/>
      <c r="L12" s="730"/>
      <c r="M12" s="730"/>
      <c r="N12" s="730"/>
      <c r="O12" s="730"/>
      <c r="P12" s="730"/>
      <c r="Q12" s="730"/>
      <c r="R12" s="730"/>
      <c r="S12" s="730"/>
      <c r="T12" s="209"/>
    </row>
    <row r="13" spans="1:23" x14ac:dyDescent="0.2">
      <c r="B13" s="648"/>
      <c r="C13" s="649"/>
      <c r="D13" s="576" t="s">
        <v>301</v>
      </c>
      <c r="E13" s="210"/>
      <c r="F13" s="211"/>
      <c r="G13" s="212"/>
      <c r="H13" s="687"/>
      <c r="I13" s="688"/>
      <c r="J13" s="688"/>
      <c r="K13" s="688"/>
      <c r="L13" s="688"/>
      <c r="M13" s="688"/>
      <c r="N13" s="688"/>
      <c r="O13" s="688"/>
      <c r="P13" s="688"/>
      <c r="Q13" s="688"/>
      <c r="R13" s="688"/>
      <c r="S13" s="689"/>
    </row>
    <row r="14" spans="1:23" x14ac:dyDescent="0.2">
      <c r="B14" s="648"/>
      <c r="C14" s="649"/>
      <c r="D14" s="577" t="s">
        <v>429</v>
      </c>
      <c r="E14" s="213"/>
      <c r="F14" s="214"/>
      <c r="G14" s="215"/>
      <c r="H14" s="684"/>
      <c r="I14" s="685"/>
      <c r="J14" s="685"/>
      <c r="K14" s="685"/>
      <c r="L14" s="685"/>
      <c r="M14" s="685"/>
      <c r="N14" s="685"/>
      <c r="O14" s="685"/>
      <c r="P14" s="685"/>
      <c r="Q14" s="685"/>
      <c r="R14" s="685"/>
      <c r="S14" s="686"/>
    </row>
    <row r="15" spans="1:23" ht="12" thickBot="1" x14ac:dyDescent="0.25">
      <c r="B15" s="650"/>
      <c r="C15" s="651"/>
      <c r="D15" s="578" t="s">
        <v>406</v>
      </c>
      <c r="E15" s="216"/>
      <c r="F15" s="217"/>
      <c r="G15" s="218"/>
      <c r="H15" s="219"/>
      <c r="I15" s="220"/>
      <c r="J15" s="220"/>
      <c r="K15" s="220"/>
      <c r="L15" s="690"/>
      <c r="M15" s="690"/>
      <c r="N15" s="690"/>
      <c r="O15" s="690"/>
      <c r="P15" s="690"/>
      <c r="Q15" s="690"/>
      <c r="R15" s="690"/>
      <c r="S15" s="691"/>
    </row>
    <row r="16" spans="1:23" ht="12" thickBot="1" x14ac:dyDescent="0.25">
      <c r="B16" s="702" t="s">
        <v>74</v>
      </c>
      <c r="C16" s="703" t="s">
        <v>75</v>
      </c>
      <c r="D16" s="704" t="s">
        <v>36</v>
      </c>
      <c r="E16" s="705"/>
      <c r="F16" s="706" t="s">
        <v>5</v>
      </c>
      <c r="G16" s="707" t="s">
        <v>6</v>
      </c>
      <c r="H16" s="708" t="s">
        <v>7</v>
      </c>
      <c r="I16" s="709"/>
      <c r="J16" s="710"/>
      <c r="K16" s="709"/>
      <c r="L16" s="711" t="s">
        <v>39</v>
      </c>
      <c r="M16" s="712" t="s">
        <v>430</v>
      </c>
      <c r="N16" s="713"/>
      <c r="O16" s="714"/>
      <c r="P16" s="715"/>
      <c r="Q16" s="681"/>
      <c r="R16" s="682" t="s">
        <v>434</v>
      </c>
      <c r="S16" s="683"/>
      <c r="T16" s="221" t="s">
        <v>76</v>
      </c>
      <c r="U16" s="221"/>
      <c r="V16" s="222"/>
      <c r="W16" s="222"/>
    </row>
    <row r="17" spans="1:23" ht="23.25" customHeight="1" thickBot="1" x14ac:dyDescent="0.25">
      <c r="A17" s="223" t="s">
        <v>208</v>
      </c>
      <c r="B17" s="716" t="s">
        <v>42</v>
      </c>
      <c r="C17" s="717"/>
      <c r="D17" s="718" t="s">
        <v>209</v>
      </c>
      <c r="E17" s="719"/>
      <c r="F17" s="720" t="s">
        <v>37</v>
      </c>
      <c r="G17" s="721" t="s">
        <v>38</v>
      </c>
      <c r="H17" s="720" t="s">
        <v>8</v>
      </c>
      <c r="I17" s="722" t="s">
        <v>9</v>
      </c>
      <c r="J17" s="722" t="s">
        <v>10</v>
      </c>
      <c r="K17" s="723" t="s">
        <v>11</v>
      </c>
      <c r="L17" s="724"/>
      <c r="M17" s="725" t="s">
        <v>12</v>
      </c>
      <c r="N17" s="726" t="s">
        <v>13</v>
      </c>
      <c r="O17" s="727" t="s">
        <v>14</v>
      </c>
      <c r="P17" s="728" t="s">
        <v>40</v>
      </c>
      <c r="Q17" s="671" t="s">
        <v>431</v>
      </c>
      <c r="R17" s="672" t="s">
        <v>432</v>
      </c>
      <c r="S17" s="673" t="s">
        <v>433</v>
      </c>
      <c r="T17" s="132" t="s">
        <v>77</v>
      </c>
      <c r="U17" s="132" t="s">
        <v>80</v>
      </c>
      <c r="V17" s="132" t="s">
        <v>81</v>
      </c>
      <c r="W17" s="132" t="s">
        <v>79</v>
      </c>
    </row>
    <row r="18" spans="1:23" ht="12" thickBot="1" x14ac:dyDescent="0.25">
      <c r="A18" s="162" t="s">
        <v>102</v>
      </c>
      <c r="B18" s="493" t="s">
        <v>102</v>
      </c>
      <c r="C18" s="494"/>
      <c r="D18" s="495" t="s">
        <v>87</v>
      </c>
      <c r="E18" s="496"/>
      <c r="F18" s="497"/>
      <c r="G18" s="487"/>
      <c r="H18" s="488"/>
      <c r="I18" s="489"/>
      <c r="J18" s="489"/>
      <c r="K18" s="489"/>
      <c r="L18" s="489" t="s">
        <v>116</v>
      </c>
      <c r="M18" s="488"/>
      <c r="N18" s="489"/>
      <c r="O18" s="492"/>
      <c r="P18" s="488">
        <f>SUM(O19:O28)</f>
        <v>88179.930000000008</v>
      </c>
      <c r="Q18" s="668"/>
      <c r="R18" s="668"/>
      <c r="S18" s="677">
        <f>SUM(R19:R28)</f>
        <v>0</v>
      </c>
      <c r="T18" s="224" t="s">
        <v>34</v>
      </c>
      <c r="U18" s="188" t="s">
        <v>34</v>
      </c>
      <c r="V18" s="188" t="str">
        <f>IF(T18="X","x",IF(T18="y","x",IF(T18="xx","x",IF(#REF!&gt;0,"x",""))))</f>
        <v>x</v>
      </c>
      <c r="W18" s="188" t="str">
        <f>IF(T18="X","x",IF(#REF!&gt;0,"x",""))</f>
        <v>x</v>
      </c>
    </row>
    <row r="19" spans="1:23" ht="22.5" x14ac:dyDescent="0.2">
      <c r="A19" s="230" t="s">
        <v>42</v>
      </c>
      <c r="B19" s="173" t="s">
        <v>274</v>
      </c>
      <c r="C19" s="134" t="s">
        <v>195</v>
      </c>
      <c r="D19" s="135" t="s">
        <v>275</v>
      </c>
      <c r="E19" s="137"/>
      <c r="F19" s="143"/>
      <c r="G19" s="141"/>
      <c r="H19" s="142"/>
      <c r="I19" s="156">
        <v>3199.34</v>
      </c>
      <c r="J19" s="156">
        <f t="shared" ref="J19:J27" si="0">IF(ISBLANK(I19),"",SUM(H19:I19))</f>
        <v>3199.34</v>
      </c>
      <c r="K19" s="157">
        <f t="shared" ref="K19" si="1">IF(ISBLANK(I19),0,ROUND(J19*(1+$F$10)*(1+$F$11*E19),2))</f>
        <v>3827.05</v>
      </c>
      <c r="L19" s="158" t="s">
        <v>20</v>
      </c>
      <c r="M19" s="382">
        <v>1</v>
      </c>
      <c r="N19" s="382">
        <f>K19</f>
        <v>3827.05</v>
      </c>
      <c r="O19" s="160">
        <f t="shared" ref="O19" si="2">IF(ISBLANK(N19),0,ROUND(M19*N19,2))</f>
        <v>3827.05</v>
      </c>
      <c r="P19" s="666"/>
      <c r="Q19" s="674"/>
      <c r="R19" s="676">
        <f>ROUND(Q19*M19,2)</f>
        <v>0</v>
      </c>
      <c r="S19" s="159"/>
      <c r="T19" s="161" t="s">
        <v>34</v>
      </c>
      <c r="U19" s="188" t="s">
        <v>34</v>
      </c>
      <c r="V19" s="188" t="s">
        <v>34</v>
      </c>
      <c r="W19" s="188" t="s">
        <v>34</v>
      </c>
    </row>
    <row r="20" spans="1:23" ht="21" customHeight="1" x14ac:dyDescent="0.2">
      <c r="A20" s="230" t="s">
        <v>42</v>
      </c>
      <c r="B20" s="231" t="s">
        <v>322</v>
      </c>
      <c r="C20" s="172" t="s">
        <v>321</v>
      </c>
      <c r="D20" s="406" t="s">
        <v>329</v>
      </c>
      <c r="E20" s="233"/>
      <c r="F20" s="234"/>
      <c r="G20" s="235"/>
      <c r="H20" s="236"/>
      <c r="I20" s="156">
        <v>1676.69</v>
      </c>
      <c r="J20" s="156">
        <f t="shared" si="0"/>
        <v>1676.69</v>
      </c>
      <c r="K20" s="157">
        <f t="shared" ref="K20" si="3">IF(ISBLANK(I20),0,ROUND(J20*(1+$F$10)*(1+$F$11*E20),2))</f>
        <v>2005.66</v>
      </c>
      <c r="L20" s="158" t="s">
        <v>20</v>
      </c>
      <c r="M20" s="382">
        <v>1</v>
      </c>
      <c r="N20" s="382">
        <f>K20</f>
        <v>2005.66</v>
      </c>
      <c r="O20" s="160">
        <f t="shared" ref="O20" si="4">IF(ISBLANK(N20),0,ROUND(M20*N20,2))</f>
        <v>2005.66</v>
      </c>
      <c r="P20" s="666"/>
      <c r="Q20" s="674"/>
      <c r="R20" s="676">
        <f t="shared" ref="R20:R83" si="5">ROUND(Q20*M20,2)</f>
        <v>0</v>
      </c>
      <c r="S20" s="159"/>
      <c r="T20" s="161" t="s">
        <v>188</v>
      </c>
      <c r="U20" s="188" t="s">
        <v>188</v>
      </c>
      <c r="V20" s="188" t="s">
        <v>188</v>
      </c>
      <c r="W20" s="188" t="s">
        <v>188</v>
      </c>
    </row>
    <row r="21" spans="1:23" x14ac:dyDescent="0.2">
      <c r="A21" s="230" t="s">
        <v>42</v>
      </c>
      <c r="B21" s="231" t="s">
        <v>324</v>
      </c>
      <c r="C21" s="172" t="s">
        <v>321</v>
      </c>
      <c r="D21" s="405" t="s">
        <v>323</v>
      </c>
      <c r="E21" s="233"/>
      <c r="F21" s="234"/>
      <c r="G21" s="235"/>
      <c r="H21" s="236"/>
      <c r="I21" s="156">
        <v>3512.61</v>
      </c>
      <c r="J21" s="156">
        <f t="shared" si="0"/>
        <v>3512.61</v>
      </c>
      <c r="K21" s="157">
        <f t="shared" ref="K21" si="6">IF(ISBLANK(I21),0,ROUND(J21*(1+$F$10)*(1+$F$11*E21),2))</f>
        <v>4201.78</v>
      </c>
      <c r="L21" s="158" t="s">
        <v>20</v>
      </c>
      <c r="M21" s="382">
        <v>1</v>
      </c>
      <c r="N21" s="382">
        <f t="shared" ref="N21:N39" si="7">K21</f>
        <v>4201.78</v>
      </c>
      <c r="O21" s="159">
        <f t="shared" ref="O21:O34" si="8">IF(ISBLANK(N21),0,ROUND(M21*N21,2))</f>
        <v>4201.78</v>
      </c>
      <c r="P21" s="666"/>
      <c r="Q21" s="674"/>
      <c r="R21" s="676">
        <f t="shared" si="5"/>
        <v>0</v>
      </c>
      <c r="S21" s="159"/>
      <c r="T21" s="161" t="s">
        <v>188</v>
      </c>
      <c r="U21" s="188" t="s">
        <v>188</v>
      </c>
      <c r="V21" s="188" t="s">
        <v>188</v>
      </c>
      <c r="W21" s="188" t="s">
        <v>188</v>
      </c>
    </row>
    <row r="22" spans="1:23" x14ac:dyDescent="0.2">
      <c r="A22" s="230"/>
      <c r="B22" s="231" t="s">
        <v>331</v>
      </c>
      <c r="C22" s="172" t="s">
        <v>321</v>
      </c>
      <c r="D22" s="405" t="s">
        <v>332</v>
      </c>
      <c r="E22" s="233"/>
      <c r="F22" s="234"/>
      <c r="G22" s="235"/>
      <c r="H22" s="236"/>
      <c r="I22" s="156">
        <v>2511.33</v>
      </c>
      <c r="J22" s="156">
        <f t="shared" si="0"/>
        <v>2511.33</v>
      </c>
      <c r="K22" s="157">
        <f t="shared" ref="K22" si="9">IF(ISBLANK(I22),0,ROUND(J22*(1+$F$10)*(1+$F$11*E22),2))</f>
        <v>3004.05</v>
      </c>
      <c r="L22" s="158" t="s">
        <v>20</v>
      </c>
      <c r="M22" s="382">
        <v>1</v>
      </c>
      <c r="N22" s="382">
        <f t="shared" ref="N22" si="10">K22</f>
        <v>3004.05</v>
      </c>
      <c r="O22" s="159">
        <f t="shared" ref="O22" si="11">IF(ISBLANK(N22),0,ROUND(M22*N22,2))</f>
        <v>3004.05</v>
      </c>
      <c r="P22" s="666"/>
      <c r="Q22" s="674"/>
      <c r="R22" s="676">
        <f t="shared" si="5"/>
        <v>0</v>
      </c>
      <c r="S22" s="159"/>
      <c r="T22" s="161" t="s">
        <v>188</v>
      </c>
      <c r="U22" s="188" t="s">
        <v>188</v>
      </c>
      <c r="V22" s="188" t="s">
        <v>188</v>
      </c>
      <c r="W22" s="188" t="s">
        <v>188</v>
      </c>
    </row>
    <row r="23" spans="1:23" x14ac:dyDescent="0.2">
      <c r="A23" s="230" t="s">
        <v>42</v>
      </c>
      <c r="B23" s="231" t="s">
        <v>333</v>
      </c>
      <c r="C23" s="172" t="s">
        <v>321</v>
      </c>
      <c r="D23" s="393" t="s">
        <v>334</v>
      </c>
      <c r="E23" s="233"/>
      <c r="F23" s="234"/>
      <c r="G23" s="235"/>
      <c r="H23" s="236"/>
      <c r="I23" s="156">
        <v>270.58</v>
      </c>
      <c r="J23" s="156">
        <f t="shared" si="0"/>
        <v>270.58</v>
      </c>
      <c r="K23" s="157">
        <f t="shared" ref="K23" si="12">IF(ISBLANK(I23),0,ROUND(J23*(1+$F$10)*(1+$F$11*E23),2))</f>
        <v>323.67</v>
      </c>
      <c r="L23" s="158" t="s">
        <v>325</v>
      </c>
      <c r="M23" s="382">
        <v>6</v>
      </c>
      <c r="N23" s="382">
        <f t="shared" si="7"/>
        <v>323.67</v>
      </c>
      <c r="O23" s="159">
        <f t="shared" si="8"/>
        <v>1942.02</v>
      </c>
      <c r="P23" s="666"/>
      <c r="Q23" s="674"/>
      <c r="R23" s="676">
        <f t="shared" si="5"/>
        <v>0</v>
      </c>
      <c r="S23" s="159"/>
      <c r="T23" s="161" t="s">
        <v>188</v>
      </c>
      <c r="U23" s="188" t="s">
        <v>188</v>
      </c>
      <c r="V23" s="188" t="s">
        <v>188</v>
      </c>
      <c r="W23" s="188" t="s">
        <v>188</v>
      </c>
    </row>
    <row r="24" spans="1:23" x14ac:dyDescent="0.2">
      <c r="A24" s="230" t="s">
        <v>42</v>
      </c>
      <c r="B24" s="231" t="s">
        <v>335</v>
      </c>
      <c r="C24" s="172" t="s">
        <v>321</v>
      </c>
      <c r="D24" s="240" t="s">
        <v>326</v>
      </c>
      <c r="E24" s="233"/>
      <c r="F24" s="234"/>
      <c r="G24" s="235"/>
      <c r="H24" s="236"/>
      <c r="I24" s="156">
        <v>6807.23</v>
      </c>
      <c r="J24" s="156">
        <f t="shared" si="0"/>
        <v>6807.23</v>
      </c>
      <c r="K24" s="226">
        <f t="shared" ref="K24:K32" si="13">IF(ISBLANK(J24),0,ROUND(J24*(1+$F$10)*(1+$F$11*E24),2))</f>
        <v>8142.81</v>
      </c>
      <c r="L24" s="239" t="s">
        <v>20</v>
      </c>
      <c r="M24" s="382">
        <v>1</v>
      </c>
      <c r="N24" s="382">
        <f t="shared" si="7"/>
        <v>8142.81</v>
      </c>
      <c r="O24" s="159">
        <f t="shared" si="8"/>
        <v>8142.81</v>
      </c>
      <c r="P24" s="666"/>
      <c r="Q24" s="674"/>
      <c r="R24" s="676">
        <f t="shared" si="5"/>
        <v>0</v>
      </c>
      <c r="S24" s="159"/>
      <c r="T24" s="161" t="s">
        <v>34</v>
      </c>
      <c r="U24" s="188" t="s">
        <v>34</v>
      </c>
      <c r="V24" s="188" t="s">
        <v>34</v>
      </c>
      <c r="W24" s="188" t="s">
        <v>34</v>
      </c>
    </row>
    <row r="25" spans="1:23" x14ac:dyDescent="0.2">
      <c r="A25" s="230" t="s">
        <v>42</v>
      </c>
      <c r="B25" s="231" t="s">
        <v>330</v>
      </c>
      <c r="C25" s="172" t="s">
        <v>321</v>
      </c>
      <c r="D25" s="240" t="s">
        <v>327</v>
      </c>
      <c r="E25" s="233"/>
      <c r="F25" s="234"/>
      <c r="G25" s="235"/>
      <c r="H25" s="236"/>
      <c r="I25" s="156">
        <v>353.19</v>
      </c>
      <c r="J25" s="156">
        <f t="shared" si="0"/>
        <v>353.19</v>
      </c>
      <c r="K25" s="226">
        <f t="shared" si="13"/>
        <v>422.49</v>
      </c>
      <c r="L25" s="239" t="s">
        <v>325</v>
      </c>
      <c r="M25" s="382">
        <v>15</v>
      </c>
      <c r="N25" s="382">
        <f t="shared" si="7"/>
        <v>422.49</v>
      </c>
      <c r="O25" s="159">
        <f t="shared" si="8"/>
        <v>6337.35</v>
      </c>
      <c r="P25" s="666"/>
      <c r="Q25" s="674"/>
      <c r="R25" s="676">
        <f t="shared" si="5"/>
        <v>0</v>
      </c>
      <c r="S25" s="159"/>
      <c r="T25" s="161" t="s">
        <v>34</v>
      </c>
      <c r="U25" s="188" t="s">
        <v>34</v>
      </c>
      <c r="V25" s="188" t="s">
        <v>34</v>
      </c>
      <c r="W25" s="188" t="s">
        <v>34</v>
      </c>
    </row>
    <row r="26" spans="1:23" x14ac:dyDescent="0.2">
      <c r="A26" s="230" t="s">
        <v>42</v>
      </c>
      <c r="B26" s="231" t="s">
        <v>337</v>
      </c>
      <c r="C26" s="172" t="s">
        <v>259</v>
      </c>
      <c r="D26" s="240" t="s">
        <v>328</v>
      </c>
      <c r="E26" s="233"/>
      <c r="F26" s="234"/>
      <c r="G26" s="235"/>
      <c r="H26" s="236"/>
      <c r="I26" s="156">
        <v>500.18</v>
      </c>
      <c r="J26" s="156">
        <f t="shared" si="0"/>
        <v>500.18</v>
      </c>
      <c r="K26" s="226">
        <f t="shared" si="13"/>
        <v>598.32000000000005</v>
      </c>
      <c r="L26" s="239" t="s">
        <v>325</v>
      </c>
      <c r="M26" s="382">
        <v>72</v>
      </c>
      <c r="N26" s="382">
        <f t="shared" si="7"/>
        <v>598.32000000000005</v>
      </c>
      <c r="O26" s="159">
        <f t="shared" si="8"/>
        <v>43079.040000000001</v>
      </c>
      <c r="P26" s="666"/>
      <c r="Q26" s="674"/>
      <c r="R26" s="676">
        <f t="shared" si="5"/>
        <v>0</v>
      </c>
      <c r="S26" s="159"/>
      <c r="T26" s="161" t="s">
        <v>34</v>
      </c>
      <c r="U26" s="188" t="s">
        <v>34</v>
      </c>
      <c r="V26" s="188" t="s">
        <v>34</v>
      </c>
      <c r="W26" s="188" t="s">
        <v>34</v>
      </c>
    </row>
    <row r="27" spans="1:23" x14ac:dyDescent="0.2">
      <c r="A27" s="230" t="s">
        <v>42</v>
      </c>
      <c r="B27" s="407">
        <v>1001005</v>
      </c>
      <c r="C27" s="172" t="s">
        <v>259</v>
      </c>
      <c r="D27" s="408" t="s">
        <v>336</v>
      </c>
      <c r="E27" s="233"/>
      <c r="F27" s="234"/>
      <c r="G27" s="235"/>
      <c r="H27" s="236"/>
      <c r="I27" s="156">
        <v>232.87</v>
      </c>
      <c r="J27" s="156">
        <f t="shared" si="0"/>
        <v>232.87</v>
      </c>
      <c r="K27" s="226">
        <f t="shared" si="13"/>
        <v>278.56</v>
      </c>
      <c r="L27" s="239" t="s">
        <v>325</v>
      </c>
      <c r="M27" s="382">
        <v>40</v>
      </c>
      <c r="N27" s="382">
        <f t="shared" si="7"/>
        <v>278.56</v>
      </c>
      <c r="O27" s="159">
        <f t="shared" si="8"/>
        <v>11142.4</v>
      </c>
      <c r="P27" s="666"/>
      <c r="Q27" s="674"/>
      <c r="R27" s="676">
        <f t="shared" si="5"/>
        <v>0</v>
      </c>
      <c r="S27" s="159"/>
      <c r="T27" s="161" t="s">
        <v>34</v>
      </c>
      <c r="U27" s="188" t="s">
        <v>34</v>
      </c>
      <c r="V27" s="188" t="s">
        <v>34</v>
      </c>
      <c r="W27" s="188" t="s">
        <v>34</v>
      </c>
    </row>
    <row r="28" spans="1:23" x14ac:dyDescent="0.2">
      <c r="A28" s="230" t="s">
        <v>42</v>
      </c>
      <c r="B28" s="231" t="s">
        <v>402</v>
      </c>
      <c r="C28" s="134" t="s">
        <v>134</v>
      </c>
      <c r="D28" s="240" t="s">
        <v>401</v>
      </c>
      <c r="E28" s="233"/>
      <c r="F28" s="234"/>
      <c r="G28" s="235"/>
      <c r="H28" s="236"/>
      <c r="I28" s="156">
        <v>0.69</v>
      </c>
      <c r="J28" s="156">
        <f>IF(ISBLANK(I28),"",SUM(H28:I28))</f>
        <v>0.69</v>
      </c>
      <c r="K28" s="157">
        <f t="shared" ref="K28" si="14">IF(ISBLANK(I28),0,ROUND(J28*(1+$F$10)*(1+$F$11*E28),2))</f>
        <v>0.83</v>
      </c>
      <c r="L28" s="156" t="s">
        <v>17</v>
      </c>
      <c r="M28" s="501">
        <v>5419</v>
      </c>
      <c r="N28" s="501">
        <f t="shared" ref="N28" si="15">K28</f>
        <v>0.83</v>
      </c>
      <c r="O28" s="159">
        <f t="shared" ref="O28" si="16">IF(ISBLANK(N28),0,ROUND(M28*N28,2))</f>
        <v>4497.7700000000004</v>
      </c>
      <c r="P28" s="666"/>
      <c r="Q28" s="674"/>
      <c r="R28" s="676">
        <f t="shared" si="5"/>
        <v>0</v>
      </c>
      <c r="S28" s="159"/>
      <c r="T28" s="161" t="s">
        <v>34</v>
      </c>
      <c r="U28" s="188" t="s">
        <v>34</v>
      </c>
      <c r="V28" s="188" t="s">
        <v>34</v>
      </c>
      <c r="W28" s="188" t="s">
        <v>34</v>
      </c>
    </row>
    <row r="29" spans="1:23" ht="12" thickBot="1" x14ac:dyDescent="0.25">
      <c r="A29" s="230"/>
      <c r="B29" s="372"/>
      <c r="C29" s="354"/>
      <c r="D29" s="374"/>
      <c r="E29" s="447"/>
      <c r="F29" s="248"/>
      <c r="G29" s="448"/>
      <c r="H29" s="248"/>
      <c r="I29" s="265"/>
      <c r="J29" s="265"/>
      <c r="K29" s="266"/>
      <c r="L29" s="265"/>
      <c r="M29" s="561"/>
      <c r="N29" s="561"/>
      <c r="O29" s="252"/>
      <c r="P29" s="662"/>
      <c r="Q29" s="674"/>
      <c r="R29" s="676">
        <f t="shared" si="5"/>
        <v>0</v>
      </c>
      <c r="S29" s="159"/>
      <c r="U29" s="188"/>
      <c r="V29" s="188"/>
      <c r="W29" s="188"/>
    </row>
    <row r="30" spans="1:23" ht="12" thickBot="1" x14ac:dyDescent="0.25">
      <c r="A30" s="230"/>
      <c r="B30" s="548" t="s">
        <v>44</v>
      </c>
      <c r="C30" s="470"/>
      <c r="D30" s="593" t="s">
        <v>408</v>
      </c>
      <c r="E30" s="594"/>
      <c r="F30" s="555"/>
      <c r="G30" s="595"/>
      <c r="H30" s="555"/>
      <c r="I30" s="476"/>
      <c r="J30" s="476"/>
      <c r="K30" s="477"/>
      <c r="L30" s="476"/>
      <c r="M30" s="480"/>
      <c r="N30" s="480"/>
      <c r="O30" s="607"/>
      <c r="P30" s="488">
        <f>SUM(O31:O32)</f>
        <v>195350.39999999999</v>
      </c>
      <c r="Q30" s="668"/>
      <c r="R30" s="678"/>
      <c r="S30" s="677">
        <f>SUM(R31:R32)</f>
        <v>0</v>
      </c>
      <c r="T30" s="161" t="s">
        <v>188</v>
      </c>
      <c r="U30" s="188" t="s">
        <v>188</v>
      </c>
      <c r="V30" s="188" t="s">
        <v>188</v>
      </c>
      <c r="W30" s="188" t="s">
        <v>188</v>
      </c>
    </row>
    <row r="31" spans="1:23" ht="22.5" x14ac:dyDescent="0.2">
      <c r="A31" s="230"/>
      <c r="B31" s="352" t="s">
        <v>338</v>
      </c>
      <c r="C31" s="353" t="s">
        <v>134</v>
      </c>
      <c r="D31" s="240" t="s">
        <v>423</v>
      </c>
      <c r="E31" s="355"/>
      <c r="F31" s="356"/>
      <c r="G31" s="357"/>
      <c r="H31" s="358"/>
      <c r="I31" s="225">
        <v>113.41</v>
      </c>
      <c r="J31" s="225">
        <f>IF(ISBLANK(I31),"",SUM(H31:I31))</f>
        <v>113.41</v>
      </c>
      <c r="K31" s="226">
        <f>IF(ISBLANK(J31),0,ROUND(J31*(1+$F$10)*(1+$F$11*E31),2))</f>
        <v>135.66</v>
      </c>
      <c r="L31" s="592" t="s">
        <v>339</v>
      </c>
      <c r="M31" s="176">
        <v>1440</v>
      </c>
      <c r="N31" s="176">
        <f>K31</f>
        <v>135.66</v>
      </c>
      <c r="O31" s="228">
        <f>IF(ISBLANK(N31),0,ROUND(M31*N31,2))</f>
        <v>195350.39999999999</v>
      </c>
      <c r="P31" s="662"/>
      <c r="Q31" s="674"/>
      <c r="R31" s="676">
        <f t="shared" si="5"/>
        <v>0</v>
      </c>
      <c r="S31" s="159"/>
      <c r="T31" s="161" t="s">
        <v>188</v>
      </c>
      <c r="U31" s="188" t="s">
        <v>188</v>
      </c>
      <c r="V31" s="188" t="s">
        <v>188</v>
      </c>
      <c r="W31" s="188" t="s">
        <v>188</v>
      </c>
    </row>
    <row r="32" spans="1:23" ht="12" thickBot="1" x14ac:dyDescent="0.25">
      <c r="A32" s="230" t="s">
        <v>42</v>
      </c>
      <c r="B32" s="372" t="s">
        <v>42</v>
      </c>
      <c r="C32" s="372" t="s">
        <v>42</v>
      </c>
      <c r="D32" s="374"/>
      <c r="E32" s="447"/>
      <c r="F32" s="248"/>
      <c r="G32" s="448"/>
      <c r="H32" s="248"/>
      <c r="I32" s="248"/>
      <c r="J32" s="249"/>
      <c r="K32" s="392">
        <f t="shared" si="13"/>
        <v>0</v>
      </c>
      <c r="L32" s="266" t="s">
        <v>116</v>
      </c>
      <c r="M32" s="561"/>
      <c r="N32" s="561">
        <f t="shared" si="7"/>
        <v>0</v>
      </c>
      <c r="O32" s="252">
        <f t="shared" si="8"/>
        <v>0</v>
      </c>
      <c r="P32" s="662"/>
      <c r="Q32" s="674"/>
      <c r="R32" s="676"/>
      <c r="S32" s="159"/>
      <c r="U32" s="188"/>
      <c r="V32" s="188"/>
      <c r="W32" s="188"/>
    </row>
    <row r="33" spans="1:23" ht="12" thickBot="1" x14ac:dyDescent="0.25">
      <c r="A33" s="162" t="s">
        <v>44</v>
      </c>
      <c r="B33" s="493" t="s">
        <v>48</v>
      </c>
      <c r="C33" s="494"/>
      <c r="D33" s="495" t="s">
        <v>83</v>
      </c>
      <c r="E33" s="496"/>
      <c r="F33" s="497"/>
      <c r="G33" s="487"/>
      <c r="H33" s="488"/>
      <c r="I33" s="489"/>
      <c r="J33" s="489"/>
      <c r="K33" s="489"/>
      <c r="L33" s="489" t="s">
        <v>116</v>
      </c>
      <c r="M33" s="488"/>
      <c r="N33" s="480">
        <f t="shared" si="7"/>
        <v>0</v>
      </c>
      <c r="O33" s="492"/>
      <c r="P33" s="488">
        <f>SUM(O34:O40)</f>
        <v>107440.57</v>
      </c>
      <c r="Q33" s="668"/>
      <c r="R33" s="678"/>
      <c r="S33" s="677">
        <f>SUM(R34:R40)</f>
        <v>0</v>
      </c>
      <c r="T33" s="224" t="s">
        <v>34</v>
      </c>
      <c r="U33" s="188" t="str">
        <f>IF(T33="X","x",IF(T33="xx","x",IF(T33="xy","x",IF(T33="y","x",IF(OR(O33&gt;0,#REF!&gt;0),"x","")))))</f>
        <v>x</v>
      </c>
      <c r="V33" s="188" t="str">
        <f>IF(T33="X","x",IF(T33="y","x",IF(T33="xx","x",IF(#REF!&gt;0,"x",""))))</f>
        <v>x</v>
      </c>
      <c r="W33" s="188" t="str">
        <f>IF(T33="X","x",IF(#REF!&gt;0,"x",""))</f>
        <v>x</v>
      </c>
    </row>
    <row r="34" spans="1:23" x14ac:dyDescent="0.2">
      <c r="A34" s="140">
        <v>401200</v>
      </c>
      <c r="B34" s="175">
        <v>105137</v>
      </c>
      <c r="C34" s="133" t="s">
        <v>134</v>
      </c>
      <c r="D34" s="254" t="s">
        <v>400</v>
      </c>
      <c r="E34" s="255"/>
      <c r="F34" s="256"/>
      <c r="G34" s="257"/>
      <c r="H34" s="155"/>
      <c r="I34" s="225">
        <v>0.72</v>
      </c>
      <c r="J34" s="225">
        <f t="shared" ref="J34:J38" si="17">IF(ISBLANK(I34),"",SUM(H34:I34))</f>
        <v>0.72</v>
      </c>
      <c r="K34" s="226">
        <f t="shared" ref="K34:K39" si="18">IF(ISBLANK(I34),0,ROUND(J34*(1+$F$10)*(1+$F$11*E34),2))</f>
        <v>0.86</v>
      </c>
      <c r="L34" s="227" t="s">
        <v>18</v>
      </c>
      <c r="M34" s="382">
        <v>1694.23</v>
      </c>
      <c r="N34" s="382">
        <f t="shared" si="7"/>
        <v>0.86</v>
      </c>
      <c r="O34" s="228">
        <f t="shared" si="8"/>
        <v>1457.04</v>
      </c>
      <c r="P34" s="666"/>
      <c r="Q34" s="674"/>
      <c r="R34" s="676">
        <f t="shared" si="5"/>
        <v>0</v>
      </c>
      <c r="S34" s="159"/>
      <c r="T34" s="161" t="s">
        <v>34</v>
      </c>
      <c r="U34" s="188" t="s">
        <v>34</v>
      </c>
      <c r="V34" s="188" t="s">
        <v>34</v>
      </c>
      <c r="W34" s="188" t="s">
        <v>34</v>
      </c>
    </row>
    <row r="35" spans="1:23" x14ac:dyDescent="0.2">
      <c r="A35" s="140">
        <v>101114</v>
      </c>
      <c r="B35" s="173" t="s">
        <v>214</v>
      </c>
      <c r="C35" s="134" t="s">
        <v>47</v>
      </c>
      <c r="D35" s="135" t="s">
        <v>210</v>
      </c>
      <c r="E35" s="137"/>
      <c r="F35" s="143"/>
      <c r="G35" s="141">
        <v>0</v>
      </c>
      <c r="H35" s="142"/>
      <c r="I35" s="225">
        <v>5.62</v>
      </c>
      <c r="J35" s="156">
        <f t="shared" si="17"/>
        <v>5.62</v>
      </c>
      <c r="K35" s="157">
        <f t="shared" si="18"/>
        <v>6.72</v>
      </c>
      <c r="L35" s="158" t="s">
        <v>15</v>
      </c>
      <c r="M35" s="382">
        <f>897.76+320.93</f>
        <v>1218.69</v>
      </c>
      <c r="N35" s="382">
        <f t="shared" si="7"/>
        <v>6.72</v>
      </c>
      <c r="O35" s="159">
        <f t="shared" ref="O35:O37" si="19">IF(ISBLANK(N35),0,ROUND(M35*N35,2))</f>
        <v>8189.6</v>
      </c>
      <c r="P35" s="666"/>
      <c r="Q35" s="674"/>
      <c r="R35" s="676">
        <f t="shared" si="5"/>
        <v>0</v>
      </c>
      <c r="S35" s="159"/>
      <c r="T35" s="161" t="s">
        <v>188</v>
      </c>
      <c r="U35" s="188" t="str">
        <f>IF(T35="X","x",IF(T35="xx","x",IF(T35="xy","x",IF(T35="y","x",IF(OR(O35&gt;0,#REF!&gt;0),"x","")))))</f>
        <v>x</v>
      </c>
      <c r="V35" s="188" t="str">
        <f>IF(T35="X","x",IF(T35="y","x",IF(T35="xx","x",IF(#REF!&gt;0,"x",""))))</f>
        <v>x</v>
      </c>
      <c r="W35" s="188" t="str">
        <f>IF(T35="X","x",IF(#REF!&gt;0,"x",""))</f>
        <v>x</v>
      </c>
    </row>
    <row r="36" spans="1:23" ht="22.5" x14ac:dyDescent="0.2">
      <c r="A36" s="140">
        <v>101119</v>
      </c>
      <c r="B36" s="173">
        <v>95875</v>
      </c>
      <c r="C36" s="134" t="s">
        <v>134</v>
      </c>
      <c r="D36" s="135" t="s">
        <v>237</v>
      </c>
      <c r="E36" s="137"/>
      <c r="F36" s="143"/>
      <c r="G36" s="141"/>
      <c r="H36" s="142"/>
      <c r="I36" s="225">
        <v>2.5299999999999998</v>
      </c>
      <c r="J36" s="156">
        <f t="shared" si="17"/>
        <v>2.5299999999999998</v>
      </c>
      <c r="K36" s="157">
        <f t="shared" si="18"/>
        <v>3.03</v>
      </c>
      <c r="L36" s="158" t="s">
        <v>236</v>
      </c>
      <c r="M36" s="382">
        <f>ROUND(M35*7.1,2)</f>
        <v>8652.7000000000007</v>
      </c>
      <c r="N36" s="382">
        <f t="shared" si="7"/>
        <v>3.03</v>
      </c>
      <c r="O36" s="159">
        <f t="shared" si="19"/>
        <v>26217.68</v>
      </c>
      <c r="P36" s="666"/>
      <c r="Q36" s="674"/>
      <c r="R36" s="676">
        <f t="shared" si="5"/>
        <v>0</v>
      </c>
      <c r="S36" s="159"/>
      <c r="T36" s="161" t="s">
        <v>34</v>
      </c>
      <c r="U36" s="188" t="str">
        <f>IF(T36="X","x",IF(T36="xx","x",IF(T36="xy","x",IF(T36="y","x",IF(OR(O36&gt;0,#REF!&gt;0),"x","")))))</f>
        <v>x</v>
      </c>
      <c r="V36" s="188" t="str">
        <f>IF(T36="X","x",IF(T36="y","x",IF(T36="xx","x",IF(#REF!&gt;0,"x",""))))</f>
        <v>x</v>
      </c>
      <c r="W36" s="188" t="str">
        <f>IF(T36="X","x",IF(#REF!&gt;0,"x",""))</f>
        <v>x</v>
      </c>
    </row>
    <row r="37" spans="1:23" ht="33.75" x14ac:dyDescent="0.2">
      <c r="A37" s="140"/>
      <c r="B37" s="172" t="s">
        <v>370</v>
      </c>
      <c r="C37" s="134" t="s">
        <v>134</v>
      </c>
      <c r="D37" s="393" t="s">
        <v>371</v>
      </c>
      <c r="E37" s="398"/>
      <c r="F37" s="237"/>
      <c r="G37" s="399"/>
      <c r="H37" s="237"/>
      <c r="I37" s="156">
        <v>70.510000000000005</v>
      </c>
      <c r="J37" s="156">
        <f t="shared" ref="J37" si="20">IF(ISBLANK(I37),"",SUM(H37:I37))</f>
        <v>70.510000000000005</v>
      </c>
      <c r="K37" s="157">
        <f t="shared" si="18"/>
        <v>84.34</v>
      </c>
      <c r="L37" s="156" t="s">
        <v>15</v>
      </c>
      <c r="M37" s="501">
        <f>888.8-320.93</f>
        <v>567.86999999999989</v>
      </c>
      <c r="N37" s="501">
        <f t="shared" si="7"/>
        <v>84.34</v>
      </c>
      <c r="O37" s="159">
        <f t="shared" si="19"/>
        <v>47894.16</v>
      </c>
      <c r="P37" s="666"/>
      <c r="Q37" s="674"/>
      <c r="R37" s="676">
        <f t="shared" si="5"/>
        <v>0</v>
      </c>
      <c r="S37" s="159"/>
      <c r="T37" s="161" t="s">
        <v>34</v>
      </c>
      <c r="U37" s="188" t="s">
        <v>34</v>
      </c>
      <c r="V37" s="188" t="s">
        <v>34</v>
      </c>
      <c r="W37" s="188" t="s">
        <v>34</v>
      </c>
    </row>
    <row r="38" spans="1:23" x14ac:dyDescent="0.2">
      <c r="A38" s="140">
        <v>430210</v>
      </c>
      <c r="B38" s="173" t="s">
        <v>403</v>
      </c>
      <c r="C38" s="134" t="s">
        <v>321</v>
      </c>
      <c r="D38" s="135" t="s">
        <v>276</v>
      </c>
      <c r="E38" s="137"/>
      <c r="F38" s="143"/>
      <c r="G38" s="141"/>
      <c r="H38" s="155">
        <f>IF(F38&lt;=30,(1.07*F38+2.68)*G38,((1.07*30+2.68)+1.07*(F38-30))*G38)</f>
        <v>0</v>
      </c>
      <c r="I38" s="225">
        <v>50.58</v>
      </c>
      <c r="J38" s="156">
        <f t="shared" si="17"/>
        <v>50.58</v>
      </c>
      <c r="K38" s="157">
        <f t="shared" si="18"/>
        <v>60.5</v>
      </c>
      <c r="L38" s="158" t="s">
        <v>15</v>
      </c>
      <c r="M38" s="382">
        <v>288.76</v>
      </c>
      <c r="N38" s="382">
        <f t="shared" si="7"/>
        <v>60.5</v>
      </c>
      <c r="O38" s="159">
        <f>IF(ISBLANK(N38),0,ROUND(M38*N38,2))</f>
        <v>17469.98</v>
      </c>
      <c r="P38" s="666"/>
      <c r="Q38" s="674"/>
      <c r="R38" s="676">
        <f t="shared" si="5"/>
        <v>0</v>
      </c>
      <c r="S38" s="159"/>
      <c r="T38" s="161" t="s">
        <v>34</v>
      </c>
      <c r="U38" s="188" t="str">
        <f>IF(T38="X","x",IF(T38="xx","x",IF(T38="xy","x",IF(T38="y","x",IF(OR(O38&gt;0,#REF!&gt;0),"x","")))))</f>
        <v>x</v>
      </c>
      <c r="V38" s="188" t="str">
        <f>IF(T38="X","x",IF(T38="y","x",IF(T38="xx","x",IF(#REF!&gt;0,"x",""))))</f>
        <v>x</v>
      </c>
      <c r="W38" s="188" t="str">
        <f>IF(T38="X","x",IF(#REF!&gt;0,"x",""))</f>
        <v>x</v>
      </c>
    </row>
    <row r="39" spans="1:23" ht="33.75" x14ac:dyDescent="0.2">
      <c r="A39" s="140"/>
      <c r="B39" s="173">
        <v>95875</v>
      </c>
      <c r="C39" s="134" t="s">
        <v>134</v>
      </c>
      <c r="D39" s="393" t="s">
        <v>404</v>
      </c>
      <c r="E39" s="359"/>
      <c r="F39" s="138"/>
      <c r="G39" s="141"/>
      <c r="H39" s="142"/>
      <c r="I39" s="156">
        <v>2.5299999999999998</v>
      </c>
      <c r="J39" s="156">
        <f>IF(ISBLANK(I39),"",SUM(H39:I39))</f>
        <v>2.5299999999999998</v>
      </c>
      <c r="K39" s="157">
        <f t="shared" si="18"/>
        <v>3.03</v>
      </c>
      <c r="L39" s="158" t="s">
        <v>392</v>
      </c>
      <c r="M39" s="382">
        <f>ROUND(M38*7.1,2)</f>
        <v>2050.1999999999998</v>
      </c>
      <c r="N39" s="382">
        <f t="shared" si="7"/>
        <v>3.03</v>
      </c>
      <c r="O39" s="159">
        <f t="shared" ref="O39" si="21">IF(ISBLANK(N39),0,ROUND(M39*N39,2))</f>
        <v>6212.11</v>
      </c>
      <c r="P39" s="666"/>
      <c r="Q39" s="674"/>
      <c r="R39" s="676">
        <f t="shared" si="5"/>
        <v>0</v>
      </c>
      <c r="S39" s="159"/>
      <c r="T39" s="161" t="s">
        <v>34</v>
      </c>
      <c r="U39" s="188" t="s">
        <v>34</v>
      </c>
      <c r="V39" s="188" t="s">
        <v>34</v>
      </c>
      <c r="W39" s="188" t="s">
        <v>34</v>
      </c>
    </row>
    <row r="40" spans="1:23" ht="12" thickBot="1" x14ac:dyDescent="0.25">
      <c r="A40" s="230" t="s">
        <v>42</v>
      </c>
      <c r="B40" s="371" t="s">
        <v>42</v>
      </c>
      <c r="C40" s="372" t="s">
        <v>42</v>
      </c>
      <c r="D40" s="369"/>
      <c r="E40" s="244"/>
      <c r="F40" s="245"/>
      <c r="G40" s="246"/>
      <c r="H40" s="283"/>
      <c r="I40" s="248"/>
      <c r="J40" s="249"/>
      <c r="K40" s="250">
        <f t="shared" ref="K40" si="22">IF(ISBLANK(J40),0,ROUND(J40*(1+$F$10)*(1+$F$11*E40),2))</f>
        <v>0</v>
      </c>
      <c r="L40" s="251" t="s">
        <v>116</v>
      </c>
      <c r="M40" s="502"/>
      <c r="N40" s="502">
        <f t="shared" ref="N40:N46" si="23">K40</f>
        <v>0</v>
      </c>
      <c r="O40" s="252">
        <f t="shared" ref="O40:O46" si="24">IF(ISBLANK(N40),0,ROUND(M40*N40,2))</f>
        <v>0</v>
      </c>
      <c r="P40" s="666"/>
      <c r="Q40" s="674"/>
      <c r="R40" s="676">
        <f t="shared" si="5"/>
        <v>0</v>
      </c>
      <c r="S40" s="159"/>
      <c r="U40" s="188"/>
      <c r="V40" s="188"/>
      <c r="W40" s="188"/>
    </row>
    <row r="41" spans="1:23" ht="12" thickBot="1" x14ac:dyDescent="0.25">
      <c r="A41" s="162" t="s">
        <v>48</v>
      </c>
      <c r="B41" s="498" t="s">
        <v>50</v>
      </c>
      <c r="C41" s="499"/>
      <c r="D41" s="495" t="s">
        <v>88</v>
      </c>
      <c r="E41" s="496"/>
      <c r="F41" s="497"/>
      <c r="G41" s="487"/>
      <c r="H41" s="489"/>
      <c r="I41" s="489"/>
      <c r="J41" s="489"/>
      <c r="K41" s="489"/>
      <c r="L41" s="489" t="s">
        <v>116</v>
      </c>
      <c r="M41" s="488"/>
      <c r="N41" s="480">
        <f t="shared" si="23"/>
        <v>0</v>
      </c>
      <c r="O41" s="492"/>
      <c r="P41" s="488">
        <f>SUM(O42:O47)</f>
        <v>838301.35000000009</v>
      </c>
      <c r="Q41" s="668"/>
      <c r="R41" s="678"/>
      <c r="S41" s="677">
        <f>SUM(R42:R47)</f>
        <v>0</v>
      </c>
      <c r="T41" s="224" t="s">
        <v>34</v>
      </c>
      <c r="U41" s="188" t="str">
        <f>IF(T41="X","x",IF(T41="xx","x",IF(T41="xy","x",IF(T41="y","x",IF(OR(O41&gt;0,#REF!&gt;0),"x","")))))</f>
        <v>x</v>
      </c>
      <c r="V41" s="188" t="str">
        <f>IF(T41="X","x",IF(T41="y","x",IF(T41="xx","x",IF(#REF!&gt;0,"x",""))))</f>
        <v>x</v>
      </c>
      <c r="W41" s="188" t="str">
        <f>IF(T41="X","x",IF(#REF!&gt;0,"x",""))</f>
        <v>x</v>
      </c>
    </row>
    <row r="42" spans="1:23" ht="33.75" x14ac:dyDescent="0.2">
      <c r="A42" s="140">
        <v>511100</v>
      </c>
      <c r="B42" s="175">
        <v>100576</v>
      </c>
      <c r="C42" s="133" t="s">
        <v>134</v>
      </c>
      <c r="D42" s="442" t="s">
        <v>349</v>
      </c>
      <c r="E42" s="427"/>
      <c r="F42" s="428"/>
      <c r="G42" s="257">
        <v>0</v>
      </c>
      <c r="H42" s="155">
        <v>0</v>
      </c>
      <c r="I42" s="225">
        <v>2.37</v>
      </c>
      <c r="J42" s="225">
        <f t="shared" ref="J42" si="25">IF(ISBLANK(I42),"",SUM(H42:I42))</f>
        <v>2.37</v>
      </c>
      <c r="K42" s="226">
        <f t="shared" ref="K42:K46" si="26">IF(ISBLANK(I42),0,ROUND(J42*(1+$F$10)*(1+$F$11*E42),2))</f>
        <v>2.83</v>
      </c>
      <c r="L42" s="227" t="s">
        <v>17</v>
      </c>
      <c r="M42" s="382">
        <f>12717.84</f>
        <v>12717.84</v>
      </c>
      <c r="N42" s="382">
        <f t="shared" si="23"/>
        <v>2.83</v>
      </c>
      <c r="O42" s="228">
        <f t="shared" si="24"/>
        <v>35991.49</v>
      </c>
      <c r="P42" s="666"/>
      <c r="Q42" s="674"/>
      <c r="R42" s="676">
        <f t="shared" si="5"/>
        <v>0</v>
      </c>
      <c r="S42" s="159"/>
      <c r="T42" s="224" t="s">
        <v>34</v>
      </c>
      <c r="U42" s="188" t="str">
        <f>IF(T42="X","x",IF(T42="xx","x",IF(T42="xy","x",IF(T42="y","x",IF(OR(O42&gt;0,#REF!&gt;0),"x","")))))</f>
        <v>x</v>
      </c>
      <c r="V42" s="188" t="str">
        <f>IF(T42="X","x",IF(T42="y","x",IF(T42="xx","x",IF(#REF!&gt;0,"x",""))))</f>
        <v>x</v>
      </c>
      <c r="W42" s="188" t="str">
        <f>IF(T42="X","x",IF(#REF!&gt;0,"x",""))</f>
        <v>x</v>
      </c>
    </row>
    <row r="43" spans="1:23" ht="22.5" x14ac:dyDescent="0.2">
      <c r="A43" s="140"/>
      <c r="B43" s="173">
        <v>105752</v>
      </c>
      <c r="C43" s="134" t="s">
        <v>134</v>
      </c>
      <c r="D43" s="393" t="s">
        <v>348</v>
      </c>
      <c r="E43" s="359"/>
      <c r="F43" s="138"/>
      <c r="G43" s="141"/>
      <c r="H43" s="142">
        <f t="shared" ref="H43" si="27">IF(F43&lt;=30,(1.07*F43+2.68)*G43,((1.07*30+2.68)+1.07*(F43-30))*G43)</f>
        <v>0</v>
      </c>
      <c r="I43" s="156">
        <v>111.04</v>
      </c>
      <c r="J43" s="156">
        <f>IF(ISBLANK(I43),"",SUM(H43:I43))</f>
        <v>111.04</v>
      </c>
      <c r="K43" s="157">
        <f t="shared" ref="K43" si="28">IF(ISBLANK(I43),0,ROUND(J43*(1+$F$10)*(1+$F$11*E43),2))</f>
        <v>132.83000000000001</v>
      </c>
      <c r="L43" s="158" t="s">
        <v>15</v>
      </c>
      <c r="M43" s="382">
        <f>ROUND(M42*0.2,2)+362.21</f>
        <v>2905.78</v>
      </c>
      <c r="N43" s="382">
        <f t="shared" ref="N43" si="29">K43</f>
        <v>132.83000000000001</v>
      </c>
      <c r="O43" s="159">
        <f t="shared" ref="O43" si="30">IF(ISBLANK(N43),0,ROUND(M43*N43,2))</f>
        <v>385974.76</v>
      </c>
      <c r="P43" s="666"/>
      <c r="Q43" s="674"/>
      <c r="R43" s="676">
        <f t="shared" si="5"/>
        <v>0</v>
      </c>
      <c r="S43" s="159"/>
      <c r="T43" s="224" t="s">
        <v>188</v>
      </c>
      <c r="U43" s="188" t="s">
        <v>188</v>
      </c>
      <c r="V43" s="188" t="s">
        <v>188</v>
      </c>
      <c r="W43" s="188" t="s">
        <v>188</v>
      </c>
    </row>
    <row r="44" spans="1:23" ht="33.75" x14ac:dyDescent="0.2">
      <c r="A44" s="140"/>
      <c r="B44" s="173">
        <v>95875</v>
      </c>
      <c r="C44" s="134" t="s">
        <v>134</v>
      </c>
      <c r="D44" s="393" t="s">
        <v>351</v>
      </c>
      <c r="E44" s="359"/>
      <c r="F44" s="138"/>
      <c r="G44" s="141"/>
      <c r="H44" s="142"/>
      <c r="I44" s="156">
        <v>2.5299999999999998</v>
      </c>
      <c r="J44" s="156">
        <f>IF(ISBLANK(I44),"",SUM(H44:I44))</f>
        <v>2.5299999999999998</v>
      </c>
      <c r="K44" s="157">
        <f t="shared" ref="K44" si="31">IF(ISBLANK(I44),0,ROUND(J44*(1+$F$10)*(1+$F$11*E44),2))</f>
        <v>3.03</v>
      </c>
      <c r="L44" s="158" t="s">
        <v>192</v>
      </c>
      <c r="M44" s="382">
        <f>ROUND(M43*8.6,2)</f>
        <v>24989.71</v>
      </c>
      <c r="N44" s="382">
        <f t="shared" ref="N44" si="32">K44</f>
        <v>3.03</v>
      </c>
      <c r="O44" s="159">
        <f t="shared" ref="O44" si="33">IF(ISBLANK(N44),0,ROUND(M44*N44,2))</f>
        <v>75718.820000000007</v>
      </c>
      <c r="P44" s="666"/>
      <c r="Q44" s="674"/>
      <c r="R44" s="676">
        <f t="shared" si="5"/>
        <v>0</v>
      </c>
      <c r="S44" s="159"/>
      <c r="T44" s="224" t="s">
        <v>188</v>
      </c>
      <c r="U44" s="188" t="s">
        <v>188</v>
      </c>
      <c r="V44" s="188" t="s">
        <v>188</v>
      </c>
      <c r="W44" s="188" t="s">
        <v>188</v>
      </c>
    </row>
    <row r="45" spans="1:23" ht="33.75" x14ac:dyDescent="0.2">
      <c r="A45" s="140"/>
      <c r="B45" s="173">
        <v>96396</v>
      </c>
      <c r="C45" s="134" t="s">
        <v>134</v>
      </c>
      <c r="D45" s="393" t="s">
        <v>350</v>
      </c>
      <c r="E45" s="359"/>
      <c r="F45" s="138"/>
      <c r="G45" s="141"/>
      <c r="H45" s="142">
        <f t="shared" ref="H45" si="34">IF(F45&lt;=30,(1.07*F45+2.68)*G45,((1.07*30+2.68)+1.07*(F45-30))*G45)</f>
        <v>0</v>
      </c>
      <c r="I45" s="156">
        <v>119.44</v>
      </c>
      <c r="J45" s="156">
        <f>IF(ISBLANK(I45),"",SUM(H45:I45))</f>
        <v>119.44</v>
      </c>
      <c r="K45" s="157">
        <f t="shared" si="26"/>
        <v>142.87</v>
      </c>
      <c r="L45" s="158" t="s">
        <v>15</v>
      </c>
      <c r="M45" s="382">
        <f>ROUND(M42*0.15,2)+108.66</f>
        <v>2016.3400000000001</v>
      </c>
      <c r="N45" s="382">
        <f t="shared" si="23"/>
        <v>142.87</v>
      </c>
      <c r="O45" s="159">
        <f t="shared" si="24"/>
        <v>288074.5</v>
      </c>
      <c r="P45" s="666"/>
      <c r="Q45" s="674"/>
      <c r="R45" s="676">
        <f t="shared" si="5"/>
        <v>0</v>
      </c>
      <c r="S45" s="159"/>
      <c r="T45" s="224" t="s">
        <v>188</v>
      </c>
      <c r="U45" s="188" t="s">
        <v>188</v>
      </c>
      <c r="V45" s="188" t="s">
        <v>188</v>
      </c>
      <c r="W45" s="188" t="s">
        <v>188</v>
      </c>
    </row>
    <row r="46" spans="1:23" ht="33.75" x14ac:dyDescent="0.2">
      <c r="A46" s="140"/>
      <c r="B46" s="173">
        <v>95875</v>
      </c>
      <c r="C46" s="134" t="s">
        <v>134</v>
      </c>
      <c r="D46" s="393" t="s">
        <v>351</v>
      </c>
      <c r="E46" s="359"/>
      <c r="F46" s="138"/>
      <c r="G46" s="141"/>
      <c r="H46" s="142"/>
      <c r="I46" s="156">
        <v>2.5299999999999998</v>
      </c>
      <c r="J46" s="156">
        <f>IF(ISBLANK(I46),"",SUM(H46:I46))</f>
        <v>2.5299999999999998</v>
      </c>
      <c r="K46" s="157">
        <f t="shared" si="26"/>
        <v>3.03</v>
      </c>
      <c r="L46" s="158" t="s">
        <v>192</v>
      </c>
      <c r="M46" s="382">
        <f>ROUND(M45*8.6,2)</f>
        <v>17340.52</v>
      </c>
      <c r="N46" s="382">
        <f t="shared" si="23"/>
        <v>3.03</v>
      </c>
      <c r="O46" s="159">
        <f t="shared" si="24"/>
        <v>52541.78</v>
      </c>
      <c r="P46" s="666"/>
      <c r="Q46" s="674"/>
      <c r="R46" s="676">
        <f t="shared" si="5"/>
        <v>0</v>
      </c>
      <c r="S46" s="159"/>
      <c r="T46" s="224" t="s">
        <v>188</v>
      </c>
      <c r="U46" s="188" t="s">
        <v>188</v>
      </c>
      <c r="V46" s="188" t="s">
        <v>188</v>
      </c>
      <c r="W46" s="188" t="s">
        <v>188</v>
      </c>
    </row>
    <row r="47" spans="1:23" ht="12" thickBot="1" x14ac:dyDescent="0.25">
      <c r="A47" s="230" t="s">
        <v>42</v>
      </c>
      <c r="B47" s="371" t="s">
        <v>42</v>
      </c>
      <c r="C47" s="372" t="s">
        <v>42</v>
      </c>
      <c r="D47" s="374"/>
      <c r="E47" s="244"/>
      <c r="F47" s="245"/>
      <c r="G47" s="246"/>
      <c r="H47" s="247"/>
      <c r="I47" s="248"/>
      <c r="J47" s="249"/>
      <c r="K47" s="250">
        <f t="shared" ref="K47" si="35">IF(ISBLANK(J47),0,ROUND(J47*(1+$F$10)*(1+$F$11*E47),2))</f>
        <v>0</v>
      </c>
      <c r="L47" s="259" t="s">
        <v>116</v>
      </c>
      <c r="M47" s="379"/>
      <c r="N47" s="379">
        <f t="shared" ref="N47:N61" si="36">K47</f>
        <v>0</v>
      </c>
      <c r="O47" s="252">
        <f t="shared" ref="O47" si="37">IF(ISBLANK(N47),0,ROUND(M47*N47,2))</f>
        <v>0</v>
      </c>
      <c r="P47" s="666"/>
      <c r="Q47" s="674"/>
      <c r="R47" s="676">
        <f t="shared" si="5"/>
        <v>0</v>
      </c>
      <c r="S47" s="159"/>
      <c r="U47" s="188"/>
      <c r="V47" s="188"/>
      <c r="W47" s="188"/>
    </row>
    <row r="48" spans="1:23" ht="12" thickBot="1" x14ac:dyDescent="0.25">
      <c r="A48" s="162" t="s">
        <v>50</v>
      </c>
      <c r="B48" s="504" t="s">
        <v>43</v>
      </c>
      <c r="C48" s="505"/>
      <c r="D48" s="506" t="s">
        <v>376</v>
      </c>
      <c r="E48" s="507"/>
      <c r="F48" s="508"/>
      <c r="G48" s="509"/>
      <c r="H48" s="510"/>
      <c r="I48" s="511"/>
      <c r="J48" s="511"/>
      <c r="K48" s="511"/>
      <c r="L48" s="512" t="s">
        <v>116</v>
      </c>
      <c r="M48" s="510"/>
      <c r="N48" s="513">
        <f t="shared" si="36"/>
        <v>0</v>
      </c>
      <c r="O48" s="514"/>
      <c r="P48" s="488">
        <f>SUM(O49:O65)/2</f>
        <v>3223426.0000000005</v>
      </c>
      <c r="Q48" s="668"/>
      <c r="R48" s="678"/>
      <c r="S48" s="677">
        <f>SUM(R49:R65)</f>
        <v>0</v>
      </c>
      <c r="T48" s="224" t="s">
        <v>34</v>
      </c>
      <c r="U48" s="188" t="str">
        <f>IF(T48="X","x",IF(T48="xx","x",IF(T48="xy","x",IF(T48="y","x",IF(OR(O48&gt;0,#REF!&gt;0),"x","")))))</f>
        <v>x</v>
      </c>
      <c r="V48" s="188" t="str">
        <f>IF(T48="X","x",IF(T48="y","x",IF(T48="xx","x",IF(#REF!&gt;0,"x",""))))</f>
        <v>x</v>
      </c>
      <c r="W48" s="188" t="str">
        <f>IF(T48="X","x",IF(#REF!&gt;0,"x",""))</f>
        <v>x</v>
      </c>
    </row>
    <row r="49" spans="1:24" ht="12" thickBot="1" x14ac:dyDescent="0.25">
      <c r="B49" s="515" t="s">
        <v>124</v>
      </c>
      <c r="C49" s="516"/>
      <c r="D49" s="517" t="s">
        <v>377</v>
      </c>
      <c r="E49" s="518"/>
      <c r="F49" s="519"/>
      <c r="G49" s="520"/>
      <c r="H49" s="521"/>
      <c r="I49" s="521"/>
      <c r="J49" s="521"/>
      <c r="K49" s="521"/>
      <c r="L49" s="522"/>
      <c r="M49" s="521"/>
      <c r="N49" s="523"/>
      <c r="O49" s="524">
        <f>SUM(O50:O56)</f>
        <v>807072.96</v>
      </c>
      <c r="P49" s="663"/>
      <c r="Q49" s="675"/>
      <c r="R49" s="676">
        <f t="shared" si="5"/>
        <v>0</v>
      </c>
      <c r="S49" s="403"/>
      <c r="T49" s="224"/>
      <c r="U49" s="188"/>
      <c r="V49" s="188"/>
      <c r="W49" s="188"/>
    </row>
    <row r="50" spans="1:24" ht="12" thickBot="1" x14ac:dyDescent="0.25">
      <c r="B50" s="418" t="s">
        <v>374</v>
      </c>
      <c r="C50" s="458" t="s">
        <v>95</v>
      </c>
      <c r="D50" s="420" t="s">
        <v>375</v>
      </c>
      <c r="E50" s="459"/>
      <c r="F50" s="411"/>
      <c r="G50" s="460"/>
      <c r="H50" s="283"/>
      <c r="I50" s="383">
        <v>0.5</v>
      </c>
      <c r="J50" s="383">
        <f t="shared" ref="J50" si="38">IF(ISBLANK(I50),"",SUM(H50:I50))</f>
        <v>0.5</v>
      </c>
      <c r="K50" s="364">
        <f t="shared" ref="K50:K51" si="39">IF(ISBLANK(I50),0,ROUND(J50*(1+$F$10)*(1+$F$11*E50),2))</f>
        <v>0.6</v>
      </c>
      <c r="L50" s="388" t="s">
        <v>17</v>
      </c>
      <c r="M50" s="596">
        <v>12586.04</v>
      </c>
      <c r="N50" s="525">
        <f>K50</f>
        <v>0.6</v>
      </c>
      <c r="O50" s="461">
        <f t="shared" ref="O50:O55" si="40">IF(ISBLANK(N50),0,ROUND(M50*N50,2))</f>
        <v>7551.62</v>
      </c>
      <c r="P50" s="663"/>
      <c r="Q50" s="675"/>
      <c r="R50" s="676">
        <f t="shared" si="5"/>
        <v>0</v>
      </c>
      <c r="S50" s="403"/>
      <c r="T50" s="224" t="s">
        <v>188</v>
      </c>
      <c r="U50" s="188" t="s">
        <v>188</v>
      </c>
      <c r="V50" s="188" t="s">
        <v>188</v>
      </c>
      <c r="W50" s="188" t="s">
        <v>188</v>
      </c>
    </row>
    <row r="51" spans="1:24" x14ac:dyDescent="0.2">
      <c r="B51" s="267" t="s">
        <v>218</v>
      </c>
      <c r="C51" s="145" t="s">
        <v>47</v>
      </c>
      <c r="D51" s="148" t="s">
        <v>129</v>
      </c>
      <c r="E51" s="149"/>
      <c r="F51" s="150" t="s">
        <v>131</v>
      </c>
      <c r="G51" s="151">
        <v>5.0000000000000001E-4</v>
      </c>
      <c r="H51" s="152"/>
      <c r="I51" s="268">
        <v>0.34</v>
      </c>
      <c r="J51" s="268">
        <f t="shared" ref="J51:J53" si="41">IF(ISBLANK(I51),"",SUM(H51:I51))</f>
        <v>0.34</v>
      </c>
      <c r="K51" s="269">
        <f t="shared" si="39"/>
        <v>0.41</v>
      </c>
      <c r="L51" s="270" t="s">
        <v>17</v>
      </c>
      <c r="M51" s="381">
        <v>13310.45</v>
      </c>
      <c r="N51" s="382">
        <f t="shared" ref="N51:N52" si="42">K51</f>
        <v>0.41</v>
      </c>
      <c r="O51" s="242">
        <f t="shared" si="40"/>
        <v>5457.28</v>
      </c>
      <c r="P51" s="663"/>
      <c r="Q51" s="675"/>
      <c r="R51" s="676">
        <f t="shared" si="5"/>
        <v>0</v>
      </c>
      <c r="S51" s="403"/>
      <c r="T51" s="224" t="s">
        <v>188</v>
      </c>
      <c r="U51" s="188" t="s">
        <v>188</v>
      </c>
      <c r="V51" s="188" t="s">
        <v>188</v>
      </c>
      <c r="W51" s="188" t="s">
        <v>188</v>
      </c>
    </row>
    <row r="52" spans="1:24" ht="12" thickBot="1" x14ac:dyDescent="0.25">
      <c r="B52" s="260" t="s">
        <v>219</v>
      </c>
      <c r="C52" s="422" t="s">
        <v>215</v>
      </c>
      <c r="D52" s="261" t="s">
        <v>149</v>
      </c>
      <c r="E52" s="153"/>
      <c r="F52" s="423">
        <v>287</v>
      </c>
      <c r="G52" s="424">
        <v>1</v>
      </c>
      <c r="H52" s="264">
        <f>(0.84*F52+41.45)*G52</f>
        <v>282.52999999999997</v>
      </c>
      <c r="I52" s="265">
        <v>3861.37</v>
      </c>
      <c r="J52" s="265">
        <f t="shared" si="41"/>
        <v>4143.8999999999996</v>
      </c>
      <c r="K52" s="266">
        <f>IF(ISBLANK(I52),0,ROUND(H52*(1+$F$10)+I52*(1+$F$9),2))</f>
        <v>4789.3500000000004</v>
      </c>
      <c r="L52" s="429" t="s">
        <v>19</v>
      </c>
      <c r="M52" s="457">
        <f>ROUND(M51*G51,2)</f>
        <v>6.66</v>
      </c>
      <c r="N52" s="382">
        <f t="shared" si="42"/>
        <v>4789.3500000000004</v>
      </c>
      <c r="O52" s="253">
        <f t="shared" si="40"/>
        <v>31897.07</v>
      </c>
      <c r="P52" s="663"/>
      <c r="Q52" s="675"/>
      <c r="R52" s="676">
        <f t="shared" si="5"/>
        <v>0</v>
      </c>
      <c r="S52" s="403"/>
      <c r="T52" s="224" t="s">
        <v>188</v>
      </c>
      <c r="U52" s="188" t="s">
        <v>188</v>
      </c>
      <c r="V52" s="188" t="s">
        <v>188</v>
      </c>
      <c r="W52" s="188" t="s">
        <v>188</v>
      </c>
    </row>
    <row r="53" spans="1:24" ht="34.5" thickBot="1" x14ac:dyDescent="0.25">
      <c r="B53" s="419" t="s">
        <v>378</v>
      </c>
      <c r="C53" s="136" t="s">
        <v>150</v>
      </c>
      <c r="D53" s="393" t="s">
        <v>379</v>
      </c>
      <c r="E53" s="198"/>
      <c r="F53" s="425"/>
      <c r="G53" s="426"/>
      <c r="H53" s="156"/>
      <c r="I53" s="156">
        <v>1519.61</v>
      </c>
      <c r="J53" s="265">
        <f t="shared" si="41"/>
        <v>1519.61</v>
      </c>
      <c r="K53" s="266">
        <f>IF(ISBLANK(I53),0,ROUND(H53*(1+$F$10)+I53*(1+$F$9),2))</f>
        <v>1751.81</v>
      </c>
      <c r="L53" s="429" t="s">
        <v>15</v>
      </c>
      <c r="M53" s="501">
        <f>ROUND(M51*0.03,2)</f>
        <v>399.31</v>
      </c>
      <c r="N53" s="382">
        <f>K53</f>
        <v>1751.81</v>
      </c>
      <c r="O53" s="279">
        <f t="shared" si="40"/>
        <v>699515.25</v>
      </c>
      <c r="P53" s="663"/>
      <c r="Q53" s="675"/>
      <c r="R53" s="676">
        <f t="shared" si="5"/>
        <v>0</v>
      </c>
      <c r="S53" s="403"/>
      <c r="T53" s="224" t="s">
        <v>188</v>
      </c>
      <c r="U53" s="188" t="s">
        <v>188</v>
      </c>
      <c r="V53" s="188" t="s">
        <v>188</v>
      </c>
      <c r="W53" s="188" t="s">
        <v>188</v>
      </c>
    </row>
    <row r="54" spans="1:24" ht="33.75" x14ac:dyDescent="0.2">
      <c r="B54" s="173">
        <v>95875</v>
      </c>
      <c r="C54" s="134" t="s">
        <v>134</v>
      </c>
      <c r="D54" s="393" t="s">
        <v>353</v>
      </c>
      <c r="E54" s="359"/>
      <c r="F54" s="138"/>
      <c r="G54" s="141"/>
      <c r="H54" s="142"/>
      <c r="I54" s="156">
        <v>2.5299999999999998</v>
      </c>
      <c r="J54" s="156">
        <f>IF(ISBLANK(I54),"",SUM(H54:I54))</f>
        <v>2.5299999999999998</v>
      </c>
      <c r="K54" s="157">
        <f t="shared" ref="K54:K55" si="43">IF(ISBLANK(I54),0,ROUND(J54*(1+$F$10)*(1+$F$11*E54),2))</f>
        <v>3.03</v>
      </c>
      <c r="L54" s="158" t="s">
        <v>355</v>
      </c>
      <c r="M54" s="382">
        <f>ROUND(M53*30,2)</f>
        <v>11979.3</v>
      </c>
      <c r="N54" s="382">
        <f t="shared" ref="N54:N55" si="44">K54</f>
        <v>3.03</v>
      </c>
      <c r="O54" s="159">
        <f t="shared" si="40"/>
        <v>36297.279999999999</v>
      </c>
      <c r="P54" s="663"/>
      <c r="Q54" s="675"/>
      <c r="R54" s="676">
        <f t="shared" si="5"/>
        <v>0</v>
      </c>
      <c r="S54" s="403"/>
      <c r="T54" s="224" t="s">
        <v>188</v>
      </c>
      <c r="U54" s="188" t="s">
        <v>188</v>
      </c>
      <c r="V54" s="188" t="s">
        <v>188</v>
      </c>
      <c r="W54" s="188" t="s">
        <v>188</v>
      </c>
      <c r="X54" s="394">
        <f>M50+M58</f>
        <v>26028.29</v>
      </c>
    </row>
    <row r="55" spans="1:24" ht="33.75" x14ac:dyDescent="0.2">
      <c r="B55" s="175">
        <v>93590</v>
      </c>
      <c r="C55" s="134" t="s">
        <v>134</v>
      </c>
      <c r="D55" s="393" t="s">
        <v>354</v>
      </c>
      <c r="E55" s="427"/>
      <c r="F55" s="428"/>
      <c r="G55" s="257"/>
      <c r="H55" s="155"/>
      <c r="I55" s="156">
        <v>1</v>
      </c>
      <c r="J55" s="156">
        <f>IF(ISBLANK(I55),"",SUM(H55:I55))</f>
        <v>1</v>
      </c>
      <c r="K55" s="157">
        <f t="shared" si="43"/>
        <v>1.2</v>
      </c>
      <c r="L55" s="158" t="s">
        <v>355</v>
      </c>
      <c r="M55" s="382">
        <f>ROUND(M53*55,2)</f>
        <v>21962.05</v>
      </c>
      <c r="N55" s="382">
        <f t="shared" si="44"/>
        <v>1.2</v>
      </c>
      <c r="O55" s="159">
        <f t="shared" si="40"/>
        <v>26354.46</v>
      </c>
      <c r="P55" s="663"/>
      <c r="Q55" s="675"/>
      <c r="R55" s="676">
        <f t="shared" si="5"/>
        <v>0</v>
      </c>
      <c r="S55" s="403"/>
      <c r="T55" s="224" t="s">
        <v>188</v>
      </c>
      <c r="U55" s="188" t="s">
        <v>188</v>
      </c>
      <c r="V55" s="188" t="s">
        <v>188</v>
      </c>
      <c r="W55" s="188" t="s">
        <v>188</v>
      </c>
    </row>
    <row r="56" spans="1:24" ht="12" thickBot="1" x14ac:dyDescent="0.25">
      <c r="B56" s="452"/>
      <c r="C56" s="452"/>
      <c r="D56" s="453"/>
      <c r="E56" s="454"/>
      <c r="F56" s="455"/>
      <c r="G56" s="402"/>
      <c r="H56" s="403"/>
      <c r="I56" s="403"/>
      <c r="J56" s="403"/>
      <c r="K56" s="403"/>
      <c r="L56" s="159"/>
      <c r="M56" s="403"/>
      <c r="N56" s="456"/>
      <c r="O56" s="403"/>
      <c r="P56" s="663"/>
      <c r="Q56" s="675"/>
      <c r="R56" s="676">
        <f t="shared" si="5"/>
        <v>0</v>
      </c>
      <c r="S56" s="403"/>
      <c r="T56" s="224"/>
      <c r="U56" s="188"/>
      <c r="V56" s="188"/>
      <c r="W56" s="188"/>
    </row>
    <row r="57" spans="1:24" ht="12" thickBot="1" x14ac:dyDescent="0.25">
      <c r="B57" s="515" t="s">
        <v>409</v>
      </c>
      <c r="C57" s="516"/>
      <c r="D57" s="517" t="s">
        <v>380</v>
      </c>
      <c r="E57" s="518"/>
      <c r="F57" s="519"/>
      <c r="G57" s="520"/>
      <c r="H57" s="521"/>
      <c r="I57" s="521"/>
      <c r="J57" s="521"/>
      <c r="K57" s="521"/>
      <c r="L57" s="522"/>
      <c r="M57" s="521"/>
      <c r="N57" s="523"/>
      <c r="O57" s="524">
        <f>SUM(O58:O65)</f>
        <v>2416353.04</v>
      </c>
      <c r="P57" s="663"/>
      <c r="Q57" s="675"/>
      <c r="R57" s="676">
        <f t="shared" si="5"/>
        <v>0</v>
      </c>
      <c r="S57" s="403"/>
      <c r="T57" s="224"/>
      <c r="U57" s="188"/>
      <c r="V57" s="188"/>
      <c r="W57" s="188"/>
    </row>
    <row r="58" spans="1:24" x14ac:dyDescent="0.2">
      <c r="A58" s="140">
        <v>96402</v>
      </c>
      <c r="B58" s="380" t="s">
        <v>216</v>
      </c>
      <c r="C58" s="147" t="s">
        <v>47</v>
      </c>
      <c r="D58" s="254" t="s">
        <v>128</v>
      </c>
      <c r="E58" s="255"/>
      <c r="F58" s="256" t="s">
        <v>131</v>
      </c>
      <c r="G58" s="257">
        <v>1.1000000000000001E-3</v>
      </c>
      <c r="H58" s="155"/>
      <c r="I58" s="225">
        <v>0.49</v>
      </c>
      <c r="J58" s="225">
        <f t="shared" ref="J58:J61" si="45">IF(ISBLANK(I58),"",SUM(H58:I58))</f>
        <v>0.49</v>
      </c>
      <c r="K58" s="226">
        <f t="shared" ref="K58:K60" si="46">IF(ISBLANK(I58),0,ROUND(J58*(1+$F$10)*(1+$F$11*E58),2))</f>
        <v>0.59</v>
      </c>
      <c r="L58" s="227" t="s">
        <v>17</v>
      </c>
      <c r="M58" s="381">
        <f>M42+724.41</f>
        <v>13442.25</v>
      </c>
      <c r="N58" s="382">
        <f t="shared" si="36"/>
        <v>0.59</v>
      </c>
      <c r="O58" s="242">
        <f t="shared" ref="O58:O62" si="47">IF(ISBLANK(N58),0,ROUND(M58*N58,2))</f>
        <v>7930.93</v>
      </c>
      <c r="P58" s="666"/>
      <c r="Q58" s="674"/>
      <c r="R58" s="676">
        <f t="shared" si="5"/>
        <v>0</v>
      </c>
      <c r="S58" s="159"/>
      <c r="T58" s="161" t="s">
        <v>34</v>
      </c>
      <c r="U58" s="188" t="str">
        <f>IF(T58="X","x",IF(T58="xx","x",IF(T58="xy","x",IF(T58="y","x",IF(OR(O58&gt;0,#REF!&gt;0),"x","")))))</f>
        <v>x</v>
      </c>
      <c r="V58" s="188" t="str">
        <f>IF(T58="X","x",IF(T58="y","x",IF(T58="xx","x",IF(#REF!&gt;0,"x",""))))</f>
        <v>x</v>
      </c>
      <c r="W58" s="188" t="str">
        <f>IF(T58="X","x",IF(#REF!&gt;0,"x",""))</f>
        <v>x</v>
      </c>
    </row>
    <row r="59" spans="1:24" ht="12" thickBot="1" x14ac:dyDescent="0.25">
      <c r="A59" s="140"/>
      <c r="B59" s="272" t="s">
        <v>217</v>
      </c>
      <c r="C59" s="146" t="s">
        <v>215</v>
      </c>
      <c r="D59" s="273" t="s">
        <v>130</v>
      </c>
      <c r="E59" s="153"/>
      <c r="F59" s="274">
        <v>287</v>
      </c>
      <c r="G59" s="275">
        <v>1</v>
      </c>
      <c r="H59" s="155">
        <f>(0.84*F59+41.45)*G59</f>
        <v>282.52999999999997</v>
      </c>
      <c r="I59" s="276">
        <v>3392.07</v>
      </c>
      <c r="J59" s="276">
        <f t="shared" si="45"/>
        <v>3674.6000000000004</v>
      </c>
      <c r="K59" s="277">
        <f>IF(ISBLANK(I59),0,ROUND(H59*(1+$F$10)+I59*(1+$F$9),2))</f>
        <v>4248.34</v>
      </c>
      <c r="L59" s="278" t="s">
        <v>19</v>
      </c>
      <c r="M59" s="378">
        <f>ROUND(M58*G58,2)</f>
        <v>14.79</v>
      </c>
      <c r="N59" s="382">
        <f t="shared" si="36"/>
        <v>4248.34</v>
      </c>
      <c r="O59" s="279">
        <f t="shared" si="47"/>
        <v>62832.95</v>
      </c>
      <c r="P59" s="666"/>
      <c r="Q59" s="674"/>
      <c r="R59" s="676">
        <f t="shared" si="5"/>
        <v>0</v>
      </c>
      <c r="S59" s="159"/>
      <c r="T59" s="161" t="s">
        <v>34</v>
      </c>
      <c r="U59" s="188" t="str">
        <f>IF(T59="X","x",IF(T59="xx","x",IF(T59="xy","x",IF(T59="y","x",IF(OR(O59&gt;0,#REF!&gt;0),"x","")))))</f>
        <v>x</v>
      </c>
      <c r="V59" s="188" t="str">
        <f>IF(T59="X","x",IF(T59="y","x",IF(T59="xx","x",IF(#REF!&gt;0,"x",""))))</f>
        <v>x</v>
      </c>
      <c r="W59" s="188" t="str">
        <f>IF(T59="X","x",IF(#REF!&gt;0,"x",""))</f>
        <v>x</v>
      </c>
    </row>
    <row r="60" spans="1:24" x14ac:dyDescent="0.2">
      <c r="A60" s="140">
        <v>96402</v>
      </c>
      <c r="B60" s="267" t="s">
        <v>218</v>
      </c>
      <c r="C60" s="145" t="s">
        <v>47</v>
      </c>
      <c r="D60" s="148" t="s">
        <v>129</v>
      </c>
      <c r="E60" s="149"/>
      <c r="F60" s="150" t="s">
        <v>131</v>
      </c>
      <c r="G60" s="151">
        <v>5.0000000000000001E-4</v>
      </c>
      <c r="H60" s="152"/>
      <c r="I60" s="268">
        <v>0.34</v>
      </c>
      <c r="J60" s="268">
        <f t="shared" si="45"/>
        <v>0.34</v>
      </c>
      <c r="K60" s="269">
        <f t="shared" si="46"/>
        <v>0.41</v>
      </c>
      <c r="L60" s="270" t="s">
        <v>17</v>
      </c>
      <c r="M60" s="381">
        <f>M58+13310.45</f>
        <v>26752.7</v>
      </c>
      <c r="N60" s="382">
        <f t="shared" si="36"/>
        <v>0.41</v>
      </c>
      <c r="O60" s="242">
        <f t="shared" si="47"/>
        <v>10968.61</v>
      </c>
      <c r="P60" s="666"/>
      <c r="Q60" s="674"/>
      <c r="R60" s="676">
        <f t="shared" si="5"/>
        <v>0</v>
      </c>
      <c r="S60" s="159"/>
      <c r="T60" s="161" t="s">
        <v>34</v>
      </c>
      <c r="U60" s="188" t="str">
        <f>IF(T60="X","x",IF(T60="xx","x",IF(T60="xy","x",IF(T60="y","x",IF(OR(O60&gt;0,#REF!&gt;0),"x","")))))</f>
        <v>x</v>
      </c>
      <c r="V60" s="188" t="str">
        <f>IF(T60="X","x",IF(T60="y","x",IF(T60="xx","x",IF(#REF!&gt;0,"x",""))))</f>
        <v>x</v>
      </c>
      <c r="W60" s="188" t="str">
        <f>IF(T60="X","x",IF(#REF!&gt;0,"x",""))</f>
        <v>x</v>
      </c>
    </row>
    <row r="61" spans="1:24" ht="12" thickBot="1" x14ac:dyDescent="0.25">
      <c r="A61" s="140"/>
      <c r="B61" s="260" t="s">
        <v>219</v>
      </c>
      <c r="C61" s="422" t="s">
        <v>215</v>
      </c>
      <c r="D61" s="261" t="s">
        <v>149</v>
      </c>
      <c r="E61" s="153"/>
      <c r="F61" s="423">
        <v>287</v>
      </c>
      <c r="G61" s="424">
        <v>1</v>
      </c>
      <c r="H61" s="264">
        <f>(0.84*F61+41.45)*G61</f>
        <v>282.52999999999997</v>
      </c>
      <c r="I61" s="265">
        <v>3861.37</v>
      </c>
      <c r="J61" s="265">
        <f t="shared" si="45"/>
        <v>4143.8999999999996</v>
      </c>
      <c r="K61" s="266">
        <f>IF(ISBLANK(I61),0,ROUND(H61*(1+$F$10)+I61*(1+$F$9),2))</f>
        <v>4789.3500000000004</v>
      </c>
      <c r="L61" s="259" t="s">
        <v>19</v>
      </c>
      <c r="M61" s="421">
        <f>ROUND(M60*G60,2)</f>
        <v>13.38</v>
      </c>
      <c r="N61" s="382">
        <f t="shared" si="36"/>
        <v>4789.3500000000004</v>
      </c>
      <c r="O61" s="279">
        <f t="shared" si="47"/>
        <v>64081.5</v>
      </c>
      <c r="P61" s="666"/>
      <c r="Q61" s="674"/>
      <c r="R61" s="676">
        <f t="shared" si="5"/>
        <v>0</v>
      </c>
      <c r="S61" s="159"/>
      <c r="T61" s="161" t="s">
        <v>34</v>
      </c>
      <c r="U61" s="188" t="str">
        <f>IF(T61="X","x",IF(T61="xx","x",IF(T61="xy","x",IF(T61="y","x",IF(OR(O61&gt;0,#REF!&gt;0),"x","")))))</f>
        <v>x</v>
      </c>
      <c r="V61" s="188" t="str">
        <f>IF(T61="X","x",IF(T61="y","x",IF(T61="xx","x",IF(#REF!&gt;0,"x",""))))</f>
        <v>x</v>
      </c>
      <c r="W61" s="188" t="str">
        <f>IF(T61="X","x",IF(#REF!&gt;0,"x",""))</f>
        <v>x</v>
      </c>
    </row>
    <row r="62" spans="1:24" ht="23.25" thickBot="1" x14ac:dyDescent="0.25">
      <c r="A62" s="140"/>
      <c r="B62" s="419">
        <v>95995</v>
      </c>
      <c r="C62" s="136" t="s">
        <v>134</v>
      </c>
      <c r="D62" s="393" t="s">
        <v>352</v>
      </c>
      <c r="E62" s="198"/>
      <c r="F62" s="425"/>
      <c r="G62" s="426"/>
      <c r="H62" s="156"/>
      <c r="I62" s="156">
        <v>1499.05</v>
      </c>
      <c r="J62" s="265">
        <f t="shared" ref="J62" si="48">IF(ISBLANK(I62),"",SUM(H62:I62))</f>
        <v>1499.05</v>
      </c>
      <c r="K62" s="266">
        <f>IF(ISBLANK(I62),0,ROUND(H62*(1+$F$10)+I62*(1+$F$9),2))</f>
        <v>1728.1</v>
      </c>
      <c r="L62" s="429" t="s">
        <v>15</v>
      </c>
      <c r="M62" s="501">
        <f>ROUND(M58*0.05,2)+532.42</f>
        <v>1204.53</v>
      </c>
      <c r="N62" s="382">
        <f>K62</f>
        <v>1728.1</v>
      </c>
      <c r="O62" s="279">
        <f t="shared" si="47"/>
        <v>2081548.29</v>
      </c>
      <c r="P62" s="666"/>
      <c r="Q62" s="674"/>
      <c r="R62" s="676">
        <f t="shared" si="5"/>
        <v>0</v>
      </c>
      <c r="S62" s="159"/>
      <c r="T62" s="161" t="s">
        <v>188</v>
      </c>
      <c r="U62" s="188" t="str">
        <f>IF(T62="X","x",IF(T62="xx","x",IF(T62="xy","x",IF(T62="y","x",IF(OR(O62&gt;0,#REF!&gt;0),"x","")))))</f>
        <v>x</v>
      </c>
      <c r="V62" s="188" t="str">
        <f>IF(T62="X","x",IF(T62="y","x",IF(T62="xx","x",IF(#REF!&gt;0,"x",""))))</f>
        <v>x</v>
      </c>
      <c r="W62" s="188" t="str">
        <f>IF(T62="X","x",IF(#REF!&gt;0,"x",""))</f>
        <v>x</v>
      </c>
    </row>
    <row r="63" spans="1:24" ht="33.75" x14ac:dyDescent="0.2">
      <c r="A63" s="140"/>
      <c r="B63" s="173">
        <v>95875</v>
      </c>
      <c r="C63" s="134" t="s">
        <v>134</v>
      </c>
      <c r="D63" s="393" t="s">
        <v>353</v>
      </c>
      <c r="E63" s="359"/>
      <c r="F63" s="138"/>
      <c r="G63" s="141"/>
      <c r="H63" s="142"/>
      <c r="I63" s="156">
        <v>2.5299999999999998</v>
      </c>
      <c r="J63" s="156">
        <f>IF(ISBLANK(I63),"",SUM(H63:I63))</f>
        <v>2.5299999999999998</v>
      </c>
      <c r="K63" s="157">
        <f t="shared" ref="K63" si="49">IF(ISBLANK(I63),0,ROUND(J63*(1+$F$10)*(1+$F$11*E63),2))</f>
        <v>3.03</v>
      </c>
      <c r="L63" s="158" t="s">
        <v>355</v>
      </c>
      <c r="M63" s="382">
        <f>ROUND(M62*30,2)</f>
        <v>36135.9</v>
      </c>
      <c r="N63" s="382">
        <f t="shared" ref="N63" si="50">K63</f>
        <v>3.03</v>
      </c>
      <c r="O63" s="159">
        <f t="shared" ref="O63" si="51">IF(ISBLANK(N63),0,ROUND(M63*N63,2))</f>
        <v>109491.78</v>
      </c>
      <c r="P63" s="662"/>
      <c r="Q63" s="674"/>
      <c r="R63" s="676">
        <f t="shared" si="5"/>
        <v>0</v>
      </c>
      <c r="S63" s="159"/>
      <c r="T63" s="161" t="s">
        <v>188</v>
      </c>
      <c r="U63" s="188" t="s">
        <v>188</v>
      </c>
      <c r="V63" s="188" t="str">
        <f>IF(T63="X","x",IF(T63="y","x",IF(T63="xx","x",IF(#REF!&gt;0,"x",""))))</f>
        <v>x</v>
      </c>
      <c r="W63" s="188" t="str">
        <f>IF(T63="X","x",IF(#REF!&gt;0,"x",""))</f>
        <v>x</v>
      </c>
    </row>
    <row r="64" spans="1:24" ht="33.75" x14ac:dyDescent="0.2">
      <c r="A64" s="140"/>
      <c r="B64" s="175">
        <v>93590</v>
      </c>
      <c r="C64" s="134" t="s">
        <v>134</v>
      </c>
      <c r="D64" s="393" t="s">
        <v>354</v>
      </c>
      <c r="E64" s="427"/>
      <c r="F64" s="428"/>
      <c r="G64" s="257"/>
      <c r="H64" s="155"/>
      <c r="I64" s="156">
        <v>1</v>
      </c>
      <c r="J64" s="156">
        <f>IF(ISBLANK(I64),"",SUM(H64:I64))</f>
        <v>1</v>
      </c>
      <c r="K64" s="157">
        <f t="shared" ref="K64" si="52">IF(ISBLANK(I64),0,ROUND(J64*(1+$F$10)*(1+$F$11*E64),2))</f>
        <v>1.2</v>
      </c>
      <c r="L64" s="158" t="s">
        <v>355</v>
      </c>
      <c r="M64" s="382">
        <f>ROUND(M62*55,2)</f>
        <v>66249.149999999994</v>
      </c>
      <c r="N64" s="382">
        <f t="shared" ref="N64" si="53">K64</f>
        <v>1.2</v>
      </c>
      <c r="O64" s="159">
        <f t="shared" ref="O64" si="54">IF(ISBLANK(N64),0,ROUND(M64*N64,2))</f>
        <v>79498.98</v>
      </c>
      <c r="P64" s="662"/>
      <c r="Q64" s="674"/>
      <c r="R64" s="676">
        <f t="shared" si="5"/>
        <v>0</v>
      </c>
      <c r="S64" s="159"/>
      <c r="T64" s="161" t="s">
        <v>188</v>
      </c>
      <c r="U64" s="188" t="s">
        <v>188</v>
      </c>
      <c r="V64" s="188" t="str">
        <f>IF(T64="X","x",IF(T64="y","x",IF(T64="xx","x",IF(#REF!&gt;0,"x",""))))</f>
        <v>x</v>
      </c>
      <c r="W64" s="188" t="str">
        <f>IF(T64="X","x",IF(#REF!&gt;0,"x",""))</f>
        <v>x</v>
      </c>
    </row>
    <row r="65" spans="1:23" ht="12" thickBot="1" x14ac:dyDescent="0.25">
      <c r="A65" s="286"/>
      <c r="B65" s="418"/>
      <c r="C65" s="430"/>
      <c r="D65" s="420"/>
      <c r="E65" s="431"/>
      <c r="F65" s="432"/>
      <c r="G65" s="433"/>
      <c r="H65" s="265"/>
      <c r="I65" s="265"/>
      <c r="J65" s="265"/>
      <c r="K65" s="266"/>
      <c r="L65" s="265"/>
      <c r="M65" s="434"/>
      <c r="N65" s="435"/>
      <c r="O65" s="384"/>
      <c r="P65" s="666"/>
      <c r="Q65" s="674"/>
      <c r="R65" s="676">
        <f t="shared" si="5"/>
        <v>0</v>
      </c>
      <c r="S65" s="159"/>
      <c r="U65" s="188"/>
      <c r="V65" s="188"/>
      <c r="W65" s="188"/>
    </row>
    <row r="66" spans="1:23" ht="12" thickBot="1" x14ac:dyDescent="0.25">
      <c r="A66" s="280" t="s">
        <v>43</v>
      </c>
      <c r="B66" s="498" t="s">
        <v>51</v>
      </c>
      <c r="C66" s="499"/>
      <c r="D66" s="495" t="s">
        <v>85</v>
      </c>
      <c r="E66" s="496"/>
      <c r="F66" s="497"/>
      <c r="G66" s="487"/>
      <c r="H66" s="488"/>
      <c r="I66" s="489"/>
      <c r="J66" s="489"/>
      <c r="K66" s="489"/>
      <c r="L66" s="489" t="s">
        <v>116</v>
      </c>
      <c r="M66" s="488"/>
      <c r="N66" s="480">
        <f t="shared" ref="N66:N67" si="55">K66</f>
        <v>0</v>
      </c>
      <c r="O66" s="492"/>
      <c r="P66" s="488">
        <f>SUM(O67:O71)</f>
        <v>324370.25</v>
      </c>
      <c r="Q66" s="668"/>
      <c r="R66" s="678"/>
      <c r="S66" s="677">
        <f>SUM(R67:R71)</f>
        <v>0</v>
      </c>
      <c r="T66" s="224" t="s">
        <v>34</v>
      </c>
      <c r="U66" s="188" t="str">
        <f>IF(T66="X","x",IF(T66="xx","x",IF(T66="xy","x",IF(T66="y","x",IF(OR(O66&gt;0,#REF!&gt;0),"x","")))))</f>
        <v>x</v>
      </c>
      <c r="V66" s="188" t="str">
        <f>IF(T66="X","x",IF(T66="y","x",IF(T66="xx","x",IF(#REF!&gt;0,"x",""))))</f>
        <v>x</v>
      </c>
      <c r="W66" s="188" t="str">
        <f>IF(T66="X","x",IF(#REF!&gt;0,"x",""))</f>
        <v>x</v>
      </c>
    </row>
    <row r="67" spans="1:23" x14ac:dyDescent="0.2">
      <c r="A67" s="140" t="s">
        <v>189</v>
      </c>
      <c r="B67" s="436" t="s">
        <v>189</v>
      </c>
      <c r="C67" s="133" t="s">
        <v>95</v>
      </c>
      <c r="D67" s="254" t="s">
        <v>190</v>
      </c>
      <c r="E67" s="255"/>
      <c r="F67" s="256"/>
      <c r="G67" s="257"/>
      <c r="H67" s="155"/>
      <c r="I67" s="225">
        <v>12.4</v>
      </c>
      <c r="J67" s="225">
        <f>IF(ISBLANK(I67),"",SUM(H67:I67))</f>
        <v>12.4</v>
      </c>
      <c r="K67" s="226">
        <f>IF(ISBLANK(I67),0,ROUND(J67*(1+$F$10)*(1+$F$11*E67),2))</f>
        <v>14.83</v>
      </c>
      <c r="L67" s="227" t="s">
        <v>18</v>
      </c>
      <c r="M67" s="382">
        <f>98+1831</f>
        <v>1929</v>
      </c>
      <c r="N67" s="382">
        <f t="shared" si="55"/>
        <v>14.83</v>
      </c>
      <c r="O67" s="228">
        <f t="shared" ref="O67:O70" si="56">IF(ISBLANK(N67),0,ROUND(M67*N67,2))</f>
        <v>28607.07</v>
      </c>
      <c r="P67" s="666"/>
      <c r="Q67" s="674"/>
      <c r="R67" s="676">
        <f t="shared" si="5"/>
        <v>0</v>
      </c>
      <c r="S67" s="159"/>
      <c r="T67" s="161" t="s">
        <v>188</v>
      </c>
      <c r="U67" s="188" t="str">
        <f>IF(T67="X","x",IF(T67="xx","x",IF(T67="xy","x",IF(T67="y","x",IF(OR(O67&gt;0,#REF!&gt;0),"x","")))))</f>
        <v>x</v>
      </c>
      <c r="V67" s="188" t="str">
        <f>IF(T67="X","x",IF(T67="y","x",IF(T67="xx","x",IF(#REF!&gt;0,"x",""))))</f>
        <v>x</v>
      </c>
      <c r="W67" s="188" t="str">
        <f>IF(T67="X","x",IF(#REF!&gt;0,"x",""))</f>
        <v>x</v>
      </c>
    </row>
    <row r="68" spans="1:23" x14ac:dyDescent="0.2">
      <c r="A68" s="140"/>
      <c r="B68" s="175">
        <v>810150</v>
      </c>
      <c r="C68" s="133" t="s">
        <v>47</v>
      </c>
      <c r="D68" s="135" t="s">
        <v>346</v>
      </c>
      <c r="E68" s="137"/>
      <c r="F68" s="143">
        <v>85</v>
      </c>
      <c r="G68" s="141">
        <v>9.8199999999999996E-2</v>
      </c>
      <c r="H68" s="155">
        <f t="shared" ref="H68:H70" si="57">IF(F68&lt;=30,(1.07*F68+2.68)*G68,((1.07*30+2.68)+1.07*(F68-30))*G68)</f>
        <v>9.1944659999999985</v>
      </c>
      <c r="I68" s="156">
        <v>46.42</v>
      </c>
      <c r="J68" s="156">
        <f t="shared" ref="J68" si="58">IF(ISBLANK(I68),"",SUM(H68:I68))</f>
        <v>55.614466</v>
      </c>
      <c r="K68" s="157">
        <f t="shared" ref="K68:K70" si="59">IF(ISBLANK(I68),0,ROUND(J68*(1+$F$10)*(1+$F$11*E68),2))</f>
        <v>66.53</v>
      </c>
      <c r="L68" s="158" t="s">
        <v>18</v>
      </c>
      <c r="M68" s="382">
        <f>2230+420</f>
        <v>2650</v>
      </c>
      <c r="N68" s="382">
        <f>K68</f>
        <v>66.53</v>
      </c>
      <c r="O68" s="159">
        <f t="shared" si="56"/>
        <v>176304.5</v>
      </c>
      <c r="P68" s="666"/>
      <c r="Q68" s="674"/>
      <c r="R68" s="676">
        <f t="shared" si="5"/>
        <v>0</v>
      </c>
      <c r="S68" s="159"/>
      <c r="T68" s="161" t="s">
        <v>34</v>
      </c>
      <c r="U68" s="188" t="s">
        <v>34</v>
      </c>
      <c r="V68" s="188" t="str">
        <f>IF(T68="X","x",IF(T68="y","x",IF(T68="xx","x",IF(#REF!&gt;0,"x",""))))</f>
        <v>x</v>
      </c>
      <c r="W68" s="188" t="str">
        <f>IF(T68="X","x",IF(#REF!&gt;0,"x",""))</f>
        <v>x</v>
      </c>
    </row>
    <row r="69" spans="1:23" x14ac:dyDescent="0.2">
      <c r="A69" s="140"/>
      <c r="B69" s="175">
        <v>810650</v>
      </c>
      <c r="C69" s="133" t="s">
        <v>47</v>
      </c>
      <c r="D69" s="135" t="s">
        <v>347</v>
      </c>
      <c r="E69" s="137"/>
      <c r="F69" s="143">
        <v>85</v>
      </c>
      <c r="G69" s="141">
        <v>7.2599999999999998E-2</v>
      </c>
      <c r="H69" s="155">
        <f t="shared" si="57"/>
        <v>6.7975379999999994</v>
      </c>
      <c r="I69" s="156">
        <v>39.090000000000003</v>
      </c>
      <c r="J69" s="156">
        <f t="shared" ref="J69:J70" si="60">IF(ISBLANK(I69),"",SUM(H69:I69))</f>
        <v>45.887538000000006</v>
      </c>
      <c r="K69" s="157">
        <f t="shared" si="59"/>
        <v>54.89</v>
      </c>
      <c r="L69" s="158" t="s">
        <v>18</v>
      </c>
      <c r="M69" s="382">
        <v>732</v>
      </c>
      <c r="N69" s="382">
        <f>K69</f>
        <v>54.89</v>
      </c>
      <c r="O69" s="159">
        <f t="shared" si="56"/>
        <v>40179.480000000003</v>
      </c>
      <c r="P69" s="666"/>
      <c r="Q69" s="674"/>
      <c r="R69" s="676">
        <f t="shared" si="5"/>
        <v>0</v>
      </c>
      <c r="S69" s="159"/>
      <c r="T69" s="161" t="s">
        <v>34</v>
      </c>
      <c r="U69" s="188" t="s">
        <v>34</v>
      </c>
      <c r="V69" s="188" t="str">
        <f>IF(T69="X","x",IF(T69="y","x",IF(T69="xx","x",IF(#REF!&gt;0,"x",""))))</f>
        <v>x</v>
      </c>
      <c r="W69" s="188" t="str">
        <f>IF(T69="X","x",IF(#REF!&gt;0,"x",""))</f>
        <v>x</v>
      </c>
    </row>
    <row r="70" spans="1:23" ht="12" thickBot="1" x14ac:dyDescent="0.25">
      <c r="A70" s="140"/>
      <c r="B70" s="243" t="s">
        <v>42</v>
      </c>
      <c r="C70" s="133" t="s">
        <v>47</v>
      </c>
      <c r="D70" s="135" t="s">
        <v>381</v>
      </c>
      <c r="E70" s="244"/>
      <c r="F70" s="143">
        <v>85</v>
      </c>
      <c r="G70" s="141">
        <v>3.4000000000000002E-2</v>
      </c>
      <c r="H70" s="155">
        <f t="shared" si="57"/>
        <v>3.1834199999999999</v>
      </c>
      <c r="I70" s="156">
        <v>36.270000000000003</v>
      </c>
      <c r="J70" s="156">
        <f t="shared" si="60"/>
        <v>39.453420000000001</v>
      </c>
      <c r="K70" s="157">
        <f t="shared" si="59"/>
        <v>47.19</v>
      </c>
      <c r="L70" s="158" t="s">
        <v>18</v>
      </c>
      <c r="M70" s="382">
        <v>1680</v>
      </c>
      <c r="N70" s="382">
        <f>K70</f>
        <v>47.19</v>
      </c>
      <c r="O70" s="159">
        <f t="shared" si="56"/>
        <v>79279.199999999997</v>
      </c>
      <c r="P70" s="666"/>
      <c r="Q70" s="674"/>
      <c r="R70" s="676">
        <f t="shared" si="5"/>
        <v>0</v>
      </c>
      <c r="S70" s="159"/>
      <c r="T70" s="161" t="s">
        <v>34</v>
      </c>
      <c r="U70" s="188" t="s">
        <v>34</v>
      </c>
      <c r="V70" s="188" t="s">
        <v>34</v>
      </c>
      <c r="W70" s="188" t="str">
        <f>IF(T70="X","x",IF(#REF!&gt;0,"x",""))</f>
        <v>x</v>
      </c>
    </row>
    <row r="71" spans="1:23" ht="12" thickBot="1" x14ac:dyDescent="0.25">
      <c r="A71" s="230" t="s">
        <v>42</v>
      </c>
      <c r="B71" s="371"/>
      <c r="C71" s="410"/>
      <c r="D71" s="261"/>
      <c r="E71" s="244"/>
      <c r="F71" s="263"/>
      <c r="G71" s="282"/>
      <c r="H71" s="283"/>
      <c r="I71" s="265"/>
      <c r="J71" s="265"/>
      <c r="K71" s="266"/>
      <c r="L71" s="259"/>
      <c r="M71" s="502"/>
      <c r="N71" s="502"/>
      <c r="O71" s="252"/>
      <c r="P71" s="666"/>
      <c r="Q71" s="674"/>
      <c r="R71" s="676">
        <f t="shared" si="5"/>
        <v>0</v>
      </c>
      <c r="S71" s="159"/>
      <c r="U71" s="188"/>
      <c r="V71" s="188"/>
      <c r="W71" s="188"/>
    </row>
    <row r="72" spans="1:23" ht="12" thickBot="1" x14ac:dyDescent="0.25">
      <c r="A72" s="162" t="s">
        <v>51</v>
      </c>
      <c r="B72" s="498" t="s">
        <v>78</v>
      </c>
      <c r="C72" s="499"/>
      <c r="D72" s="495" t="s">
        <v>132</v>
      </c>
      <c r="E72" s="496"/>
      <c r="F72" s="497"/>
      <c r="G72" s="487"/>
      <c r="H72" s="488"/>
      <c r="I72" s="489"/>
      <c r="J72" s="489"/>
      <c r="K72" s="489"/>
      <c r="L72" s="489" t="s">
        <v>116</v>
      </c>
      <c r="M72" s="488"/>
      <c r="N72" s="480">
        <f t="shared" ref="N72:N76" si="61">K72</f>
        <v>0</v>
      </c>
      <c r="O72" s="492"/>
      <c r="P72" s="488">
        <f>SUM(O73:O83)</f>
        <v>680805</v>
      </c>
      <c r="Q72" s="668"/>
      <c r="R72" s="678"/>
      <c r="S72" s="677">
        <f>SUM(R73:R83)</f>
        <v>0</v>
      </c>
      <c r="T72" s="224" t="s">
        <v>34</v>
      </c>
      <c r="U72" s="188" t="str">
        <f>IF(T72="X","x",IF(T72="xx","x",IF(T72="xy","x",IF(T72="y","x",IF(OR(O72&gt;0,#REF!&gt;0),"x","")))))</f>
        <v>x</v>
      </c>
      <c r="V72" s="188" t="str">
        <f>IF(T72="X","x",IF(T72="y","x",IF(T72="xx","x",IF(#REF!&gt;0,"x",""))))</f>
        <v>x</v>
      </c>
      <c r="W72" s="188" t="str">
        <f>IF(T72="X","x",IF(#REF!&gt;0,"x",""))</f>
        <v>x</v>
      </c>
    </row>
    <row r="73" spans="1:23" x14ac:dyDescent="0.2">
      <c r="B73" s="173" t="s">
        <v>382</v>
      </c>
      <c r="C73" s="134" t="s">
        <v>47</v>
      </c>
      <c r="D73" s="135" t="s">
        <v>45</v>
      </c>
      <c r="E73" s="137"/>
      <c r="F73" s="143"/>
      <c r="G73" s="139"/>
      <c r="H73" s="229"/>
      <c r="I73" s="225">
        <v>148.04</v>
      </c>
      <c r="J73" s="156">
        <f>IF(ISBLANK(I73),"",SUM(H73:I73))</f>
        <v>148.04</v>
      </c>
      <c r="K73" s="157">
        <f t="shared" ref="K73:K74" si="62">IF(ISBLANK(I73),0,ROUND(J73*(1+$F$10)*(1+$F$11*E73),2))</f>
        <v>177.09</v>
      </c>
      <c r="L73" s="158" t="s">
        <v>15</v>
      </c>
      <c r="M73" s="382">
        <v>14.5</v>
      </c>
      <c r="N73" s="382">
        <f>K73</f>
        <v>177.09</v>
      </c>
      <c r="O73" s="159">
        <f t="shared" ref="O73:O74" si="63">IF(ISBLANK(N73),0,ROUND(M73*N73,2))</f>
        <v>2567.81</v>
      </c>
      <c r="P73" s="667"/>
      <c r="Q73" s="675"/>
      <c r="R73" s="676">
        <f t="shared" si="5"/>
        <v>0</v>
      </c>
      <c r="S73" s="669"/>
      <c r="T73" s="224"/>
      <c r="U73" s="188"/>
      <c r="V73" s="188"/>
      <c r="W73" s="188"/>
    </row>
    <row r="74" spans="1:23" ht="33.75" x14ac:dyDescent="0.2">
      <c r="B74" s="134">
        <v>95875</v>
      </c>
      <c r="C74" s="134" t="s">
        <v>134</v>
      </c>
      <c r="D74" s="393" t="s">
        <v>383</v>
      </c>
      <c r="E74" s="466"/>
      <c r="F74" s="425"/>
      <c r="G74" s="467"/>
      <c r="H74" s="156"/>
      <c r="I74" s="156">
        <v>2.5299999999999998</v>
      </c>
      <c r="J74" s="156">
        <f>IF(ISBLANK(I74),"",SUM(H74:I74))</f>
        <v>2.5299999999999998</v>
      </c>
      <c r="K74" s="157">
        <f t="shared" si="62"/>
        <v>3.03</v>
      </c>
      <c r="L74" s="156" t="s">
        <v>15</v>
      </c>
      <c r="M74" s="501">
        <f>ROUND(M73*7.1,2)</f>
        <v>102.95</v>
      </c>
      <c r="N74" s="501">
        <f t="shared" ref="N74" si="64">K74</f>
        <v>3.03</v>
      </c>
      <c r="O74" s="159">
        <f t="shared" si="63"/>
        <v>311.94</v>
      </c>
      <c r="P74" s="667"/>
      <c r="Q74" s="675"/>
      <c r="R74" s="676">
        <f t="shared" si="5"/>
        <v>0</v>
      </c>
      <c r="S74" s="669"/>
      <c r="T74" s="224"/>
      <c r="U74" s="188"/>
      <c r="V74" s="188"/>
      <c r="W74" s="188"/>
    </row>
    <row r="75" spans="1:23" x14ac:dyDescent="0.2">
      <c r="A75" s="140">
        <v>810250</v>
      </c>
      <c r="B75" s="175" t="s">
        <v>199</v>
      </c>
      <c r="C75" s="133" t="s">
        <v>47</v>
      </c>
      <c r="D75" s="254" t="s">
        <v>96</v>
      </c>
      <c r="E75" s="255"/>
      <c r="F75" s="256">
        <v>85</v>
      </c>
      <c r="G75" s="257">
        <f>ROUND(0.017*2.34,4)</f>
        <v>3.9800000000000002E-2</v>
      </c>
      <c r="H75" s="155">
        <f>IF(F75&lt;=30,(1.07*F75+2.68)*G75,((1.07*30+2.68)+1.07*(F75-30))*G75)</f>
        <v>3.7264740000000001</v>
      </c>
      <c r="I75" s="225">
        <v>18.239999999999998</v>
      </c>
      <c r="J75" s="225">
        <f>IF(ISBLANK(I75),"",SUM(H75:I75))</f>
        <v>21.966473999999998</v>
      </c>
      <c r="K75" s="226">
        <f t="shared" ref="K75:K77" si="65">IF(ISBLANK(I75),0,ROUND(J75*(1+$F$10)*(1+$F$11*E75),2))</f>
        <v>26.28</v>
      </c>
      <c r="L75" s="227" t="s">
        <v>18</v>
      </c>
      <c r="M75" s="382">
        <f>4876+90.7</f>
        <v>4966.7</v>
      </c>
      <c r="N75" s="382">
        <f t="shared" si="61"/>
        <v>26.28</v>
      </c>
      <c r="O75" s="228">
        <f t="shared" ref="O75:O77" si="66">IF(ISBLANK(N75),0,ROUND(M75*N75,2))</f>
        <v>130524.88</v>
      </c>
      <c r="P75" s="666"/>
      <c r="Q75" s="674"/>
      <c r="R75" s="676">
        <f t="shared" si="5"/>
        <v>0</v>
      </c>
      <c r="S75" s="159"/>
      <c r="T75" s="161" t="s">
        <v>188</v>
      </c>
      <c r="U75" s="188" t="str">
        <f>IF(T75="X","x",IF(T75="xx","x",IF(T75="xy","x",IF(T75="y","x",IF(OR(O75&gt;0,#REF!&gt;0),"x","")))))</f>
        <v>x</v>
      </c>
      <c r="V75" s="188" t="str">
        <f>IF(T75="X","x",IF(T75="y","x",IF(T75="xx","x",IF(#REF!&gt;0,"x",""))))</f>
        <v>x</v>
      </c>
      <c r="W75" s="188" t="str">
        <f>IF(T75="X","x",IF(#REF!&gt;0,"x",""))</f>
        <v>x</v>
      </c>
    </row>
    <row r="76" spans="1:23" x14ac:dyDescent="0.2">
      <c r="A76" s="140">
        <v>100576</v>
      </c>
      <c r="B76" s="173" t="s">
        <v>220</v>
      </c>
      <c r="C76" s="134" t="s">
        <v>134</v>
      </c>
      <c r="D76" s="135" t="s">
        <v>46</v>
      </c>
      <c r="E76" s="137"/>
      <c r="F76" s="138">
        <v>0</v>
      </c>
      <c r="G76" s="141"/>
      <c r="H76" s="142">
        <f>IF(F76&lt;=30,(0.62*F76+6.29)*G76,((0.62*30+6.29)+0.62*(F76-30))*G76)</f>
        <v>0</v>
      </c>
      <c r="I76" s="156">
        <v>2.4300000000000002</v>
      </c>
      <c r="J76" s="156">
        <f>IF(ISBLANK(I76),"",SUM(H76:I76))</f>
        <v>2.4300000000000002</v>
      </c>
      <c r="K76" s="157">
        <f t="shared" si="65"/>
        <v>2.91</v>
      </c>
      <c r="L76" s="158" t="s">
        <v>17</v>
      </c>
      <c r="M76" s="382">
        <f>3646.35+124.75</f>
        <v>3771.1</v>
      </c>
      <c r="N76" s="382">
        <f t="shared" si="61"/>
        <v>2.91</v>
      </c>
      <c r="O76" s="159">
        <f t="shared" si="66"/>
        <v>10973.9</v>
      </c>
      <c r="P76" s="666"/>
      <c r="Q76" s="674"/>
      <c r="R76" s="676">
        <f t="shared" si="5"/>
        <v>0</v>
      </c>
      <c r="S76" s="159"/>
      <c r="T76" s="161" t="s">
        <v>34</v>
      </c>
      <c r="U76" s="188" t="str">
        <f>IF(T76="X","x",IF(T76="xx","x",IF(T76="xy","x",IF(T76="y","x",IF(OR(O76&gt;0,#REF!&gt;0),"x","")))))</f>
        <v>x</v>
      </c>
      <c r="V76" s="188" t="str">
        <f>IF(T76="X","x",IF(T76="y","x",IF(T76="xx","x",IF(#REF!&gt;0,"x",""))))</f>
        <v>x</v>
      </c>
      <c r="W76" s="188" t="str">
        <f>IF(T76="X","x",IF(#REF!&gt;0,"x",""))</f>
        <v>x</v>
      </c>
    </row>
    <row r="77" spans="1:23" x14ac:dyDescent="0.2">
      <c r="A77" s="140">
        <v>603900</v>
      </c>
      <c r="B77" s="173" t="s">
        <v>202</v>
      </c>
      <c r="C77" s="134" t="s">
        <v>47</v>
      </c>
      <c r="D77" s="135" t="s">
        <v>201</v>
      </c>
      <c r="E77" s="137"/>
      <c r="F77" s="143">
        <v>8.6</v>
      </c>
      <c r="G77" s="141">
        <v>1.5</v>
      </c>
      <c r="H77" s="142">
        <f>IF(F77&lt;=30,(1.07*F77+2.68)*G77,((1.07*30+2.68)+1.07*(F77-30))*G77)</f>
        <v>17.823</v>
      </c>
      <c r="I77" s="156">
        <v>121.73</v>
      </c>
      <c r="J77" s="156">
        <f>IF(ISBLANK(I77),"",SUM(H77:I77))</f>
        <v>139.553</v>
      </c>
      <c r="K77" s="157">
        <f t="shared" si="65"/>
        <v>166.93</v>
      </c>
      <c r="L77" s="158" t="s">
        <v>15</v>
      </c>
      <c r="M77" s="382">
        <f>ROUND(M76*0.05,2)</f>
        <v>188.56</v>
      </c>
      <c r="N77" s="382">
        <f t="shared" ref="N77" si="67">K77</f>
        <v>166.93</v>
      </c>
      <c r="O77" s="159">
        <f t="shared" si="66"/>
        <v>31476.32</v>
      </c>
      <c r="P77" s="666"/>
      <c r="Q77" s="674"/>
      <c r="R77" s="676">
        <f t="shared" si="5"/>
        <v>0</v>
      </c>
      <c r="S77" s="159"/>
      <c r="T77" s="161" t="s">
        <v>34</v>
      </c>
      <c r="U77" s="188" t="str">
        <f>IF(T77="X","x",IF(T77="xx","x",IF(T77="xy","x",IF(T77="y","x",IF(OR(O77&gt;0,#REF!&gt;0),"x","")))))</f>
        <v>x</v>
      </c>
      <c r="V77" s="188" t="str">
        <f>IF(T77="X","x",IF(T77="y","x",IF(T77="xx","x",IF(#REF!&gt;0,"x",""))))</f>
        <v>x</v>
      </c>
      <c r="W77" s="188" t="str">
        <f>IF(T77="X","x",IF(#REF!&gt;0,"x",""))</f>
        <v>x</v>
      </c>
    </row>
    <row r="78" spans="1:23" x14ac:dyDescent="0.2">
      <c r="A78" s="140">
        <v>534906</v>
      </c>
      <c r="B78" s="173" t="s">
        <v>197</v>
      </c>
      <c r="C78" s="134" t="s">
        <v>47</v>
      </c>
      <c r="D78" s="135" t="s">
        <v>232</v>
      </c>
      <c r="E78" s="137"/>
      <c r="F78" s="143">
        <v>85</v>
      </c>
      <c r="G78" s="141">
        <v>0.14000000000000001</v>
      </c>
      <c r="H78" s="155">
        <f t="shared" ref="H78:H80" si="68">IF(F78&lt;=30,(1.07*F78+2.68)*G78,((1.07*30+2.68)+1.07*(F78-30))*G78)</f>
        <v>13.1082</v>
      </c>
      <c r="I78" s="156">
        <v>78.16</v>
      </c>
      <c r="J78" s="156">
        <v>81.53</v>
      </c>
      <c r="K78" s="157">
        <f t="shared" ref="K78:K82" si="69">IF(ISBLANK(I78),0,ROUND(J78*(1+$F$10)*(1+$F$11*E78),2))</f>
        <v>97.53</v>
      </c>
      <c r="L78" s="158" t="s">
        <v>17</v>
      </c>
      <c r="M78" s="382">
        <f>1043+3.29+31.67</f>
        <v>1077.96</v>
      </c>
      <c r="N78" s="382">
        <f t="shared" ref="N78:N84" si="70">K78</f>
        <v>97.53</v>
      </c>
      <c r="O78" s="159">
        <f t="shared" ref="O78:O83" si="71">IF(ISBLANK(N78),0,ROUND(M78*N78,2))</f>
        <v>105133.44</v>
      </c>
      <c r="P78" s="666"/>
      <c r="Q78" s="674"/>
      <c r="R78" s="676">
        <f t="shared" si="5"/>
        <v>0</v>
      </c>
      <c r="S78" s="159"/>
      <c r="T78" s="161" t="s">
        <v>34</v>
      </c>
      <c r="U78" s="188" t="str">
        <f>IF(T78="X","x",IF(T78="xx","x",IF(T78="xy","x",IF(T78="y","x",IF(OR(O78&gt;0,#REF!&gt;0),"x","")))))</f>
        <v>x</v>
      </c>
      <c r="V78" s="188" t="str">
        <f>IF(T78="X","x",IF(T78="y","x",IF(T78="xx","x",IF(#REF!&gt;0,"x",""))))</f>
        <v>x</v>
      </c>
      <c r="W78" s="188" t="str">
        <f>IF(T78="X","x",IF(#REF!&gt;0,"x",""))</f>
        <v>x</v>
      </c>
    </row>
    <row r="79" spans="1:23" x14ac:dyDescent="0.2">
      <c r="A79" s="140">
        <v>534906</v>
      </c>
      <c r="B79" s="173" t="s">
        <v>198</v>
      </c>
      <c r="C79" s="134" t="s">
        <v>47</v>
      </c>
      <c r="D79" s="135" t="s">
        <v>186</v>
      </c>
      <c r="E79" s="137"/>
      <c r="F79" s="143">
        <v>85</v>
      </c>
      <c r="G79" s="141">
        <v>0.14000000000000001</v>
      </c>
      <c r="H79" s="155">
        <f t="shared" si="68"/>
        <v>13.1082</v>
      </c>
      <c r="I79" s="156">
        <v>80.040000000000006</v>
      </c>
      <c r="J79" s="156">
        <f t="shared" ref="J79:J80" si="72">IF(ISBLANK(I79),"",SUM(H79:I79))</f>
        <v>93.148200000000003</v>
      </c>
      <c r="K79" s="157">
        <f t="shared" si="69"/>
        <v>111.42</v>
      </c>
      <c r="L79" s="158" t="s">
        <v>17</v>
      </c>
      <c r="M79" s="382">
        <f>1695+89.79</f>
        <v>1784.79</v>
      </c>
      <c r="N79" s="382">
        <f t="shared" si="70"/>
        <v>111.42</v>
      </c>
      <c r="O79" s="159">
        <f t="shared" si="71"/>
        <v>198861.3</v>
      </c>
      <c r="P79" s="666"/>
      <c r="Q79" s="674"/>
      <c r="R79" s="676">
        <f t="shared" si="5"/>
        <v>0</v>
      </c>
      <c r="S79" s="159"/>
      <c r="T79" s="161" t="s">
        <v>34</v>
      </c>
      <c r="U79" s="188" t="str">
        <f>IF(T79="X","x",IF(T79="xx","x",IF(T79="xy","x",IF(T79="y","x",IF(OR(O79&gt;0,#REF!&gt;0),"x","")))))</f>
        <v>x</v>
      </c>
      <c r="V79" s="188" t="str">
        <f>IF(T79="X","x",IF(T79="y","x",IF(T79="xx","x",IF(#REF!&gt;0,"x",""))))</f>
        <v>x</v>
      </c>
      <c r="W79" s="188" t="str">
        <f>IF(T79="X","x",IF(#REF!&gt;0,"x",""))</f>
        <v>x</v>
      </c>
    </row>
    <row r="80" spans="1:23" x14ac:dyDescent="0.2">
      <c r="A80" s="140">
        <v>534908</v>
      </c>
      <c r="B80" s="173" t="s">
        <v>52</v>
      </c>
      <c r="C80" s="134" t="s">
        <v>47</v>
      </c>
      <c r="D80" s="135" t="s">
        <v>187</v>
      </c>
      <c r="E80" s="137"/>
      <c r="F80" s="143">
        <v>85</v>
      </c>
      <c r="G80" s="141">
        <v>0.18</v>
      </c>
      <c r="H80" s="155">
        <f t="shared" si="68"/>
        <v>16.853399999999997</v>
      </c>
      <c r="I80" s="156">
        <v>91.92</v>
      </c>
      <c r="J80" s="156">
        <f t="shared" si="72"/>
        <v>108.7734</v>
      </c>
      <c r="K80" s="157">
        <f t="shared" si="69"/>
        <v>130.11000000000001</v>
      </c>
      <c r="L80" s="158" t="s">
        <v>17</v>
      </c>
      <c r="M80" s="382">
        <v>909</v>
      </c>
      <c r="N80" s="382">
        <f t="shared" si="70"/>
        <v>130.11000000000001</v>
      </c>
      <c r="O80" s="159">
        <f t="shared" si="71"/>
        <v>118269.99</v>
      </c>
      <c r="P80" s="666"/>
      <c r="Q80" s="674"/>
      <c r="R80" s="676">
        <f t="shared" si="5"/>
        <v>0</v>
      </c>
      <c r="S80" s="159"/>
      <c r="T80" s="161" t="s">
        <v>34</v>
      </c>
      <c r="U80" s="188" t="str">
        <f>IF(T80="X","x",IF(T80="xx","x",IF(T80="xy","x",IF(T80="y","x",IF(OR(O80&gt;0,#REF!&gt;0),"x","")))))</f>
        <v>x</v>
      </c>
      <c r="V80" s="188" t="str">
        <f>IF(T80="X","x",IF(T80="y","x",IF(T80="xx","x",IF(#REF!&gt;0,"x",""))))</f>
        <v>x</v>
      </c>
      <c r="W80" s="188" t="str">
        <f>IF(T80="X","x",IF(#REF!&gt;0,"x",""))</f>
        <v>x</v>
      </c>
    </row>
    <row r="81" spans="1:23" ht="22.5" x14ac:dyDescent="0.2">
      <c r="A81" s="140">
        <v>98504</v>
      </c>
      <c r="B81" s="173">
        <v>103946</v>
      </c>
      <c r="C81" s="134" t="s">
        <v>134</v>
      </c>
      <c r="D81" s="135" t="s">
        <v>320</v>
      </c>
      <c r="E81" s="137"/>
      <c r="F81" s="143"/>
      <c r="G81" s="141"/>
      <c r="H81" s="142">
        <v>0</v>
      </c>
      <c r="I81" s="156">
        <v>13.74</v>
      </c>
      <c r="J81" s="156">
        <f t="shared" ref="J81:J82" si="73">IF(ISBLANK(I81),"",SUM(H81:I81))</f>
        <v>13.74</v>
      </c>
      <c r="K81" s="157">
        <f t="shared" si="69"/>
        <v>16.440000000000001</v>
      </c>
      <c r="L81" s="158" t="s">
        <v>17</v>
      </c>
      <c r="M81" s="382">
        <f>1929.55+310</f>
        <v>2239.5500000000002</v>
      </c>
      <c r="N81" s="382">
        <f t="shared" si="70"/>
        <v>16.440000000000001</v>
      </c>
      <c r="O81" s="159">
        <f t="shared" si="71"/>
        <v>36818.199999999997</v>
      </c>
      <c r="P81" s="666"/>
      <c r="Q81" s="674"/>
      <c r="R81" s="676">
        <f t="shared" si="5"/>
        <v>0</v>
      </c>
      <c r="S81" s="159"/>
      <c r="T81" s="161" t="s">
        <v>188</v>
      </c>
      <c r="U81" s="188" t="s">
        <v>34</v>
      </c>
      <c r="V81" s="188" t="str">
        <f>IF(T81="X","x",IF(T81="y","x",IF(T81="xx","x",IF(#REF!&gt;0,"x",""))))</f>
        <v>x</v>
      </c>
      <c r="W81" s="188" t="str">
        <f>IF(T81="X","x",IF(#REF!&gt;0,"x",""))</f>
        <v>x</v>
      </c>
    </row>
    <row r="82" spans="1:23" x14ac:dyDescent="0.2">
      <c r="A82" s="280">
        <v>98505</v>
      </c>
      <c r="B82" s="173">
        <v>800100</v>
      </c>
      <c r="C82" s="134" t="s">
        <v>47</v>
      </c>
      <c r="D82" s="135" t="s">
        <v>319</v>
      </c>
      <c r="E82" s="137"/>
      <c r="F82" s="143"/>
      <c r="G82" s="141"/>
      <c r="H82" s="142">
        <v>0</v>
      </c>
      <c r="I82" s="156">
        <v>7.75</v>
      </c>
      <c r="J82" s="156">
        <f t="shared" si="73"/>
        <v>7.75</v>
      </c>
      <c r="K82" s="157">
        <f t="shared" si="69"/>
        <v>9.27</v>
      </c>
      <c r="L82" s="158" t="s">
        <v>17</v>
      </c>
      <c r="M82" s="382">
        <v>4947.92</v>
      </c>
      <c r="N82" s="382">
        <f t="shared" si="70"/>
        <v>9.27</v>
      </c>
      <c r="O82" s="159">
        <f t="shared" si="71"/>
        <v>45867.22</v>
      </c>
      <c r="P82" s="666"/>
      <c r="Q82" s="674"/>
      <c r="R82" s="676">
        <f t="shared" si="5"/>
        <v>0</v>
      </c>
      <c r="S82" s="159"/>
      <c r="T82" s="161" t="s">
        <v>34</v>
      </c>
      <c r="U82" s="188" t="s">
        <v>34</v>
      </c>
      <c r="V82" s="188" t="str">
        <f>IF(T82="X","x",IF(T82="y","x",IF(T82="xx","x",IF(#REF!&gt;0,"x",""))))</f>
        <v>x</v>
      </c>
      <c r="W82" s="188" t="str">
        <f>IF(T82="X","x",IF(#REF!&gt;0,"x",""))</f>
        <v>x</v>
      </c>
    </row>
    <row r="83" spans="1:23" ht="12" thickBot="1" x14ac:dyDescent="0.25">
      <c r="A83" s="140">
        <v>800000</v>
      </c>
      <c r="B83" s="173"/>
      <c r="C83" s="134"/>
      <c r="D83" s="135"/>
      <c r="E83" s="137"/>
      <c r="F83" s="143"/>
      <c r="G83" s="141"/>
      <c r="H83" s="142"/>
      <c r="I83" s="156"/>
      <c r="J83" s="156"/>
      <c r="K83" s="157"/>
      <c r="L83" s="158"/>
      <c r="M83" s="382"/>
      <c r="N83" s="382"/>
      <c r="O83" s="159">
        <f t="shared" si="71"/>
        <v>0</v>
      </c>
      <c r="P83" s="666"/>
      <c r="Q83" s="674"/>
      <c r="R83" s="676">
        <f t="shared" si="5"/>
        <v>0</v>
      </c>
      <c r="S83" s="159"/>
      <c r="U83" s="188"/>
      <c r="V83" s="188"/>
      <c r="W83" s="188"/>
    </row>
    <row r="84" spans="1:23" ht="12" thickBot="1" x14ac:dyDescent="0.25">
      <c r="A84" s="162" t="s">
        <v>78</v>
      </c>
      <c r="B84" s="498" t="s">
        <v>64</v>
      </c>
      <c r="C84" s="499"/>
      <c r="D84" s="495" t="s">
        <v>90</v>
      </c>
      <c r="E84" s="496"/>
      <c r="F84" s="497"/>
      <c r="G84" s="487"/>
      <c r="H84" s="488"/>
      <c r="I84" s="489"/>
      <c r="J84" s="489"/>
      <c r="K84" s="489"/>
      <c r="L84" s="489" t="s">
        <v>116</v>
      </c>
      <c r="M84" s="488"/>
      <c r="N84" s="480">
        <f t="shared" si="70"/>
        <v>0</v>
      </c>
      <c r="O84" s="492"/>
      <c r="P84" s="488">
        <f>SUM(O85:O91)</f>
        <v>115091.76000000001</v>
      </c>
      <c r="Q84" s="668"/>
      <c r="R84" s="678"/>
      <c r="S84" s="677">
        <f>SUM(R85:R91)</f>
        <v>0</v>
      </c>
      <c r="T84" s="161" t="s">
        <v>34</v>
      </c>
      <c r="U84" s="162" t="str">
        <f>IF(T84="X","x",IF(T84="xx","x",IF(T84="xy","x",IF(T84="y","x",IF(OR(O84&gt;0,#REF!&gt;0),"x","")))))</f>
        <v>x</v>
      </c>
      <c r="V84" s="162" t="str">
        <f>IF(T84="X","x",IF(T84="y","x",IF(T84="xx","x",IF(#REF!&gt;0,"x",""))))</f>
        <v>x</v>
      </c>
      <c r="W84" s="162" t="str">
        <f>IF(T84="X","x",IF(#REF!&gt;0,"x",""))</f>
        <v>x</v>
      </c>
    </row>
    <row r="85" spans="1:23" ht="13.5" customHeight="1" x14ac:dyDescent="0.2">
      <c r="A85" s="140">
        <v>822000</v>
      </c>
      <c r="B85" s="175">
        <v>822000</v>
      </c>
      <c r="C85" s="133" t="s">
        <v>47</v>
      </c>
      <c r="D85" s="254" t="s">
        <v>97</v>
      </c>
      <c r="E85" s="255"/>
      <c r="F85" s="256"/>
      <c r="G85" s="257"/>
      <c r="H85" s="155"/>
      <c r="I85" s="225">
        <v>28.57</v>
      </c>
      <c r="J85" s="225">
        <f t="shared" ref="J85:J86" si="74">IF(ISBLANK(I85),"",SUM(H85:I85))</f>
        <v>28.57</v>
      </c>
      <c r="K85" s="226">
        <f t="shared" ref="K85:K90" si="75">IF(ISBLANK(I85),0,ROUND(J85*(1+$F$10)*(1+$F$11*E85),2))</f>
        <v>34.18</v>
      </c>
      <c r="L85" s="227" t="s">
        <v>17</v>
      </c>
      <c r="M85" s="382">
        <f>731.59+632.18+13.5</f>
        <v>1377.27</v>
      </c>
      <c r="N85" s="382">
        <f t="shared" ref="N85:N106" si="76">K85</f>
        <v>34.18</v>
      </c>
      <c r="O85" s="228">
        <f t="shared" ref="O85:O90" si="77">IF(ISBLANK(N85),0,ROUND(M85*N85,2))</f>
        <v>47075.09</v>
      </c>
      <c r="P85" s="666"/>
      <c r="Q85" s="674"/>
      <c r="R85" s="676">
        <f t="shared" ref="R84:R147" si="78">ROUND(Q85*M85,2)</f>
        <v>0</v>
      </c>
      <c r="S85" s="159"/>
      <c r="T85" s="161" t="s">
        <v>34</v>
      </c>
      <c r="U85" s="188" t="str">
        <f>IF(T85="X","x",IF(T85="xx","x",IF(T85="xy","x",IF(T85="y","x",IF(OR(O85&gt;0,#REF!&gt;0),"x","")))))</f>
        <v>x</v>
      </c>
      <c r="V85" s="188" t="str">
        <f>IF(T85="X","x",IF(T85="y","x",IF(T85="xx","x",IF(#REF!&gt;0,"x",""))))</f>
        <v>x</v>
      </c>
      <c r="W85" s="188" t="str">
        <f>IF(T85="X","x",IF(#REF!&gt;0,"x",""))</f>
        <v>x</v>
      </c>
    </row>
    <row r="86" spans="1:23" x14ac:dyDescent="0.2">
      <c r="A86" s="140">
        <v>821300</v>
      </c>
      <c r="B86" s="173">
        <v>821300</v>
      </c>
      <c r="C86" s="134" t="s">
        <v>47</v>
      </c>
      <c r="D86" s="135" t="s">
        <v>58</v>
      </c>
      <c r="E86" s="137"/>
      <c r="F86" s="143"/>
      <c r="G86" s="141"/>
      <c r="H86" s="142"/>
      <c r="I86" s="156">
        <v>404.77</v>
      </c>
      <c r="J86" s="156">
        <f t="shared" si="74"/>
        <v>404.77</v>
      </c>
      <c r="K86" s="157">
        <f t="shared" si="75"/>
        <v>484.19</v>
      </c>
      <c r="L86" s="158" t="s">
        <v>20</v>
      </c>
      <c r="M86" s="382">
        <v>25</v>
      </c>
      <c r="N86" s="382">
        <f t="shared" si="76"/>
        <v>484.19</v>
      </c>
      <c r="O86" s="159">
        <f t="shared" si="77"/>
        <v>12104.75</v>
      </c>
      <c r="P86" s="666"/>
      <c r="Q86" s="674"/>
      <c r="R86" s="676">
        <f t="shared" si="78"/>
        <v>0</v>
      </c>
      <c r="S86" s="159"/>
      <c r="T86" s="161" t="s">
        <v>34</v>
      </c>
      <c r="U86" s="188" t="str">
        <f>IF(T86="X","x",IF(T86="xx","x",IF(T86="xy","x",IF(T86="y","x",IF(OR(O86&gt;0,#REF!&gt;0),"x","")))))</f>
        <v>x</v>
      </c>
      <c r="V86" s="188" t="str">
        <f>IF(T86="X","x",IF(T86="y","x",IF(T86="xx","x",IF(#REF!&gt;0,"x",""))))</f>
        <v>x</v>
      </c>
      <c r="W86" s="188" t="str">
        <f>IF(T86="X","x",IF(#REF!&gt;0,"x",""))</f>
        <v>x</v>
      </c>
    </row>
    <row r="87" spans="1:23" x14ac:dyDescent="0.2">
      <c r="A87" s="140">
        <v>820000</v>
      </c>
      <c r="B87" s="173" t="s">
        <v>62</v>
      </c>
      <c r="C87" s="134" t="s">
        <v>47</v>
      </c>
      <c r="D87" s="135" t="s">
        <v>59</v>
      </c>
      <c r="E87" s="137"/>
      <c r="F87" s="143"/>
      <c r="G87" s="141"/>
      <c r="H87" s="142"/>
      <c r="I87" s="156">
        <f>536.39*0.1964+412.65</f>
        <v>517.99699599999997</v>
      </c>
      <c r="J87" s="156">
        <f>IF(ISBLANK(I87),"",SUM(H87:I87))</f>
        <v>517.99699599999997</v>
      </c>
      <c r="K87" s="157">
        <f t="shared" si="75"/>
        <v>619.63</v>
      </c>
      <c r="L87" s="158" t="s">
        <v>20</v>
      </c>
      <c r="M87" s="382">
        <v>7</v>
      </c>
      <c r="N87" s="382">
        <f t="shared" si="76"/>
        <v>619.63</v>
      </c>
      <c r="O87" s="159">
        <f t="shared" si="77"/>
        <v>4337.41</v>
      </c>
      <c r="P87" s="666"/>
      <c r="Q87" s="674"/>
      <c r="R87" s="676">
        <f t="shared" si="78"/>
        <v>0</v>
      </c>
      <c r="S87" s="159"/>
      <c r="T87" s="161" t="s">
        <v>34</v>
      </c>
      <c r="U87" s="188" t="str">
        <f>IF(T87="X","x",IF(T87="xx","x",IF(T87="xy","x",IF(T87="y","x",IF(OR(O87&gt;0,#REF!&gt;0),"x","")))))</f>
        <v>x</v>
      </c>
      <c r="V87" s="188" t="str">
        <f>IF(T87="X","x",IF(T87="y","x",IF(T87="xx","x",IF(#REF!&gt;0,"x",""))))</f>
        <v>x</v>
      </c>
      <c r="W87" s="188" t="str">
        <f>IF(T87="X","x",IF(#REF!&gt;0,"x",""))</f>
        <v>x</v>
      </c>
    </row>
    <row r="88" spans="1:23" x14ac:dyDescent="0.2">
      <c r="A88" s="140">
        <v>820000</v>
      </c>
      <c r="B88" s="173" t="s">
        <v>63</v>
      </c>
      <c r="C88" s="134" t="s">
        <v>47</v>
      </c>
      <c r="D88" s="135" t="s">
        <v>60</v>
      </c>
      <c r="E88" s="137"/>
      <c r="F88" s="143"/>
      <c r="G88" s="141"/>
      <c r="H88" s="142"/>
      <c r="I88" s="156">
        <f>536.39*0.216+412.65</f>
        <v>528.51023999999995</v>
      </c>
      <c r="J88" s="156">
        <f>IF(ISBLANK(I88),"",SUM(H88:I88))</f>
        <v>528.51023999999995</v>
      </c>
      <c r="K88" s="157">
        <f t="shared" si="75"/>
        <v>632.20000000000005</v>
      </c>
      <c r="L88" s="158" t="s">
        <v>20</v>
      </c>
      <c r="M88" s="382">
        <f>14+9</f>
        <v>23</v>
      </c>
      <c r="N88" s="382">
        <f t="shared" si="76"/>
        <v>632.20000000000005</v>
      </c>
      <c r="O88" s="159">
        <f t="shared" si="77"/>
        <v>14540.6</v>
      </c>
      <c r="P88" s="666"/>
      <c r="Q88" s="674"/>
      <c r="R88" s="676">
        <f t="shared" si="78"/>
        <v>0</v>
      </c>
      <c r="S88" s="159"/>
      <c r="T88" s="161" t="s">
        <v>34</v>
      </c>
      <c r="U88" s="188" t="str">
        <f>IF(T88="X","x",IF(T88="xx","x",IF(T88="xy","x",IF(T88="y","x",IF(OR(O88&gt;0,#REF!&gt;0),"x","")))))</f>
        <v>x</v>
      </c>
      <c r="V88" s="188" t="str">
        <f>IF(T88="X","x",IF(T88="y","x",IF(T88="xx","x",IF(#REF!&gt;0,"x",""))))</f>
        <v>x</v>
      </c>
      <c r="W88" s="188" t="str">
        <f>IF(T88="X","x",IF(#REF!&gt;0,"x",""))</f>
        <v>x</v>
      </c>
    </row>
    <row r="89" spans="1:23" x14ac:dyDescent="0.2">
      <c r="A89" s="140">
        <v>820000</v>
      </c>
      <c r="B89" s="173" t="s">
        <v>118</v>
      </c>
      <c r="C89" s="134" t="s">
        <v>47</v>
      </c>
      <c r="D89" s="135" t="s">
        <v>61</v>
      </c>
      <c r="E89" s="137"/>
      <c r="F89" s="143"/>
      <c r="G89" s="141"/>
      <c r="H89" s="142"/>
      <c r="I89" s="156">
        <f>536.39*0.2025+412.65</f>
        <v>521.26897499999995</v>
      </c>
      <c r="J89" s="156">
        <f>IF(ISBLANK(I89),"",SUM(H89:I89))</f>
        <v>521.26897499999995</v>
      </c>
      <c r="K89" s="157">
        <f t="shared" si="75"/>
        <v>623.54</v>
      </c>
      <c r="L89" s="158" t="s">
        <v>20</v>
      </c>
      <c r="M89" s="501">
        <v>54</v>
      </c>
      <c r="N89" s="382">
        <f t="shared" si="76"/>
        <v>623.54</v>
      </c>
      <c r="O89" s="160">
        <f t="shared" si="77"/>
        <v>33671.160000000003</v>
      </c>
      <c r="P89" s="666"/>
      <c r="Q89" s="674"/>
      <c r="R89" s="676">
        <f t="shared" si="78"/>
        <v>0</v>
      </c>
      <c r="S89" s="159"/>
      <c r="T89" s="161" t="s">
        <v>34</v>
      </c>
      <c r="U89" s="188" t="str">
        <f>IF(T89="X","x",IF(T89="xx","x",IF(T89="xy","x",IF(T89="y","x",IF(OR(O89&gt;0,#REF!&gt;0),"x","")))))</f>
        <v>x</v>
      </c>
      <c r="V89" s="188" t="str">
        <f>IF(T89="X","x",IF(T89="y","x",IF(T89="xx","x",IF(#REF!&gt;0,"x",""))))</f>
        <v>x</v>
      </c>
      <c r="W89" s="188" t="str">
        <f>IF(T89="X","x",IF(#REF!&gt;0,"x",""))</f>
        <v>x</v>
      </c>
    </row>
    <row r="90" spans="1:23" ht="11.25" customHeight="1" x14ac:dyDescent="0.2">
      <c r="A90" s="140">
        <v>820000</v>
      </c>
      <c r="B90" s="173" t="s">
        <v>193</v>
      </c>
      <c r="C90" s="134" t="s">
        <v>195</v>
      </c>
      <c r="D90" s="135" t="s">
        <v>194</v>
      </c>
      <c r="E90" s="137"/>
      <c r="F90" s="143"/>
      <c r="G90" s="141"/>
      <c r="H90" s="142"/>
      <c r="I90" s="156">
        <v>112.45</v>
      </c>
      <c r="J90" s="156">
        <f>IF(ISBLANK(I90),"",SUM(H90:I90))</f>
        <v>112.45</v>
      </c>
      <c r="K90" s="157">
        <f t="shared" si="75"/>
        <v>134.51</v>
      </c>
      <c r="L90" s="158" t="s">
        <v>20</v>
      </c>
      <c r="M90" s="382">
        <v>25</v>
      </c>
      <c r="N90" s="382">
        <f t="shared" si="76"/>
        <v>134.51</v>
      </c>
      <c r="O90" s="160">
        <f t="shared" si="77"/>
        <v>3362.75</v>
      </c>
      <c r="P90" s="666"/>
      <c r="Q90" s="674"/>
      <c r="R90" s="676">
        <f t="shared" si="78"/>
        <v>0</v>
      </c>
      <c r="S90" s="159"/>
      <c r="T90" s="161" t="s">
        <v>34</v>
      </c>
      <c r="U90" s="188" t="str">
        <f>IF(T90="X","x",IF(T90="xx","x",IF(T90="xy","x",IF(T90="y","x",IF(OR(O90&gt;0,#REF!&gt;0),"x","")))))</f>
        <v>x</v>
      </c>
      <c r="V90" s="188" t="str">
        <f>IF(T90="X","x",IF(T90="y","x",IF(T90="xx","x",IF(#REF!&gt;0,"x",""))))</f>
        <v>x</v>
      </c>
      <c r="W90" s="188" t="str">
        <f>IF(T90="X","x",IF(#REF!&gt;0,"x",""))</f>
        <v>x</v>
      </c>
    </row>
    <row r="91" spans="1:23" ht="12" thickBot="1" x14ac:dyDescent="0.25">
      <c r="A91" s="230" t="s">
        <v>42</v>
      </c>
      <c r="B91" s="371" t="s">
        <v>42</v>
      </c>
      <c r="C91" s="372" t="s">
        <v>42</v>
      </c>
      <c r="D91" s="369"/>
      <c r="E91" s="244"/>
      <c r="F91" s="245"/>
      <c r="G91" s="246"/>
      <c r="H91" s="247"/>
      <c r="I91" s="248"/>
      <c r="J91" s="249"/>
      <c r="K91" s="364">
        <f t="shared" ref="K91" si="79">IF(ISBLANK(J91),0,ROUND(J91*(1+$F$10)*(1+$F$11*E91),2))</f>
        <v>0</v>
      </c>
      <c r="L91" s="251" t="s">
        <v>116</v>
      </c>
      <c r="M91" s="502"/>
      <c r="N91" s="502">
        <f t="shared" si="76"/>
        <v>0</v>
      </c>
      <c r="O91" s="252">
        <f t="shared" ref="O91" si="80">IF(ISBLANK(N91),0,ROUND(M91*N91,2))</f>
        <v>0</v>
      </c>
      <c r="P91" s="666"/>
      <c r="Q91" s="674"/>
      <c r="R91" s="676">
        <f t="shared" si="78"/>
        <v>0</v>
      </c>
      <c r="S91" s="159"/>
      <c r="T91" s="161" t="s">
        <v>34</v>
      </c>
      <c r="U91" s="188" t="str">
        <f>IF(T91="X","x",IF(T91="xx","x",IF(T91="xy","x",IF(T91="y","x",IF(OR(O91&gt;0,#REF!&gt;0),"x","")))))</f>
        <v>x</v>
      </c>
      <c r="V91" s="188" t="str">
        <f>IF(T91="X","x",IF(T91="y","x",IF(T91="xx","x",IF(#REF!&gt;0,"x",""))))</f>
        <v>x</v>
      </c>
      <c r="W91" s="188" t="str">
        <f>IF(T91="X","x",IF(#REF!&gt;0,"x",""))</f>
        <v>x</v>
      </c>
    </row>
    <row r="92" spans="1:23" ht="12" thickBot="1" x14ac:dyDescent="0.25">
      <c r="A92" s="162" t="s">
        <v>64</v>
      </c>
      <c r="B92" s="498" t="s">
        <v>92</v>
      </c>
      <c r="C92" s="499"/>
      <c r="D92" s="495" t="s">
        <v>244</v>
      </c>
      <c r="E92" s="496"/>
      <c r="F92" s="497"/>
      <c r="G92" s="487"/>
      <c r="H92" s="489"/>
      <c r="I92" s="489"/>
      <c r="J92" s="489"/>
      <c r="K92" s="489"/>
      <c r="L92" s="489" t="s">
        <v>116</v>
      </c>
      <c r="M92" s="488"/>
      <c r="N92" s="480">
        <f t="shared" si="76"/>
        <v>0</v>
      </c>
      <c r="O92" s="492"/>
      <c r="P92" s="488">
        <f>SUM(O93:O125)/2</f>
        <v>66126.709999999992</v>
      </c>
      <c r="Q92" s="668"/>
      <c r="R92" s="678"/>
      <c r="S92" s="677">
        <f>SUM(R93:R125)</f>
        <v>0</v>
      </c>
      <c r="T92" s="224" t="s">
        <v>188</v>
      </c>
      <c r="U92" s="188" t="str">
        <f>IF(T92="X","x",IF(T92="xx","x",IF(T92="xy","x",IF(T92="y","x",IF(OR(O92&gt;0,#REF!&gt;0),"x","")))))</f>
        <v>x</v>
      </c>
      <c r="V92" s="188" t="str">
        <f>IF(T92="X","x",IF(T92="y","x",IF(T92="xx","x",IF(#REF!&gt;0,"x",""))))</f>
        <v>x</v>
      </c>
      <c r="W92" s="188" t="str">
        <f>IF(T92="X","x",IF(#REF!&gt;0,"x",""))</f>
        <v>x</v>
      </c>
    </row>
    <row r="93" spans="1:23" ht="12" thickBot="1" x14ac:dyDescent="0.25">
      <c r="A93" s="230" t="s">
        <v>42</v>
      </c>
      <c r="B93" s="526" t="s">
        <v>410</v>
      </c>
      <c r="C93" s="527" t="s">
        <v>42</v>
      </c>
      <c r="D93" s="528" t="s">
        <v>245</v>
      </c>
      <c r="E93" s="529"/>
      <c r="F93" s="530"/>
      <c r="G93" s="531"/>
      <c r="H93" s="532"/>
      <c r="I93" s="533"/>
      <c r="J93" s="534"/>
      <c r="K93" s="535">
        <f>IF(ISBLANK(J93),0,ROUND(J93*(1+$F$10)*(1+$F$11*E93),2))</f>
        <v>0</v>
      </c>
      <c r="L93" s="536" t="s">
        <v>116</v>
      </c>
      <c r="M93" s="523"/>
      <c r="N93" s="523">
        <f t="shared" si="76"/>
        <v>0</v>
      </c>
      <c r="O93" s="524">
        <f>SUM(O94:O102)</f>
        <v>21294.14</v>
      </c>
      <c r="P93" s="666"/>
      <c r="Q93" s="674"/>
      <c r="R93" s="676">
        <f t="shared" si="78"/>
        <v>0</v>
      </c>
      <c r="S93" s="159"/>
      <c r="T93" s="161" t="s">
        <v>188</v>
      </c>
      <c r="U93" s="188" t="s">
        <v>188</v>
      </c>
      <c r="V93" s="188" t="str">
        <f>IF(T93="X","x",IF(T93="y","x",IF(T93="xx","x",IF(#REF!&gt;0,"x",""))))</f>
        <v>x</v>
      </c>
      <c r="W93" s="188" t="str">
        <f>IF(T93="X","x",IF(#REF!&gt;0,"x",""))</f>
        <v>x</v>
      </c>
    </row>
    <row r="94" spans="1:23" x14ac:dyDescent="0.2">
      <c r="A94" s="230"/>
      <c r="B94" s="175" t="s">
        <v>228</v>
      </c>
      <c r="C94" s="133" t="s">
        <v>47</v>
      </c>
      <c r="D94" s="254" t="s">
        <v>229</v>
      </c>
      <c r="E94" s="255"/>
      <c r="F94" s="256"/>
      <c r="G94" s="257"/>
      <c r="H94" s="155">
        <f>IF(F94&lt;=30,(0.62*F94+6.29)*G94,((0.62*30+6.29)+0.62*(F94-30))*G94)</f>
        <v>0</v>
      </c>
      <c r="I94" s="225">
        <v>57.74</v>
      </c>
      <c r="J94" s="225">
        <f>IF(ISBLANK(I94),"",SUM(H94:I94))</f>
        <v>57.74</v>
      </c>
      <c r="K94" s="226">
        <f>IF(ISBLANK(I94),0,ROUND(J94*(1+$F$10)*(1+$F$11*E94),2))</f>
        <v>69.069999999999993</v>
      </c>
      <c r="L94" s="227" t="s">
        <v>17</v>
      </c>
      <c r="M94" s="382">
        <f>21.12+15.84</f>
        <v>36.96</v>
      </c>
      <c r="N94" s="382">
        <f>K94</f>
        <v>69.069999999999993</v>
      </c>
      <c r="O94" s="228">
        <f>IF(ISBLANK(N94),0,ROUND(M94*N94,2))</f>
        <v>2552.83</v>
      </c>
      <c r="P94" s="666"/>
      <c r="Q94" s="674"/>
      <c r="R94" s="676">
        <f t="shared" si="78"/>
        <v>0</v>
      </c>
      <c r="S94" s="159"/>
      <c r="T94" s="161" t="s">
        <v>34</v>
      </c>
      <c r="U94" s="188" t="s">
        <v>188</v>
      </c>
      <c r="V94" s="188" t="s">
        <v>188</v>
      </c>
      <c r="W94" s="188" t="s">
        <v>188</v>
      </c>
    </row>
    <row r="95" spans="1:23" ht="22.5" x14ac:dyDescent="0.2">
      <c r="A95" s="230" t="s">
        <v>42</v>
      </c>
      <c r="B95" s="231" t="s">
        <v>247</v>
      </c>
      <c r="C95" s="172" t="s">
        <v>134</v>
      </c>
      <c r="D95" s="240" t="s">
        <v>248</v>
      </c>
      <c r="E95" s="233"/>
      <c r="F95" s="234"/>
      <c r="G95" s="235"/>
      <c r="H95" s="236"/>
      <c r="I95" s="156">
        <v>96.73</v>
      </c>
      <c r="J95" s="156">
        <f>IF(ISBLANK(I95),"",SUM(H95:I95))</f>
        <v>96.73</v>
      </c>
      <c r="K95" s="157">
        <f>IF(ISBLANK(I95),0,ROUND(J95*(1+$F$10)*(1+$F$11*E95),2))</f>
        <v>115.71</v>
      </c>
      <c r="L95" s="158" t="s">
        <v>18</v>
      </c>
      <c r="M95" s="382">
        <v>54</v>
      </c>
      <c r="N95" s="382">
        <f>K95</f>
        <v>115.71</v>
      </c>
      <c r="O95" s="159">
        <f>IF(ISBLANK(N95),0,ROUND(M95*N95,2))</f>
        <v>6248.34</v>
      </c>
      <c r="P95" s="666"/>
      <c r="Q95" s="674"/>
      <c r="R95" s="676">
        <f t="shared" si="78"/>
        <v>0</v>
      </c>
      <c r="S95" s="159"/>
      <c r="T95" s="161" t="s">
        <v>34</v>
      </c>
      <c r="U95" s="188" t="str">
        <f>IF(T95="X","x",IF(T95="xx","x",IF(T95="xy","x",IF(T95="y","x",IF(OR(O95&gt;0,#REF!&gt;0),"x","")))))</f>
        <v>x</v>
      </c>
      <c r="V95" s="188" t="str">
        <f>IF(T95="X","x",IF(T95="y","x",IF(T95="xx","x",IF(#REF!&gt;0,"x",""))))</f>
        <v>x</v>
      </c>
      <c r="W95" s="188" t="str">
        <f>IF(T95="X","x",IF(#REF!&gt;0,"x",""))</f>
        <v>x</v>
      </c>
    </row>
    <row r="96" spans="1:23" x14ac:dyDescent="0.2">
      <c r="A96" s="230" t="s">
        <v>42</v>
      </c>
      <c r="B96" s="173" t="s">
        <v>221</v>
      </c>
      <c r="C96" s="134" t="s">
        <v>47</v>
      </c>
      <c r="D96" s="135" t="s">
        <v>56</v>
      </c>
      <c r="E96" s="137"/>
      <c r="F96" s="143"/>
      <c r="G96" s="141"/>
      <c r="H96" s="142">
        <f>IF(F96&lt;=30,(0.62*F96+6.29)*G96,((0.62*30+6.29)+0.62*(F96-30))*G96)</f>
        <v>0</v>
      </c>
      <c r="I96" s="156">
        <v>17.84</v>
      </c>
      <c r="J96" s="156">
        <f>IF(ISBLANK(I96),"",SUM(H96:I96))</f>
        <v>17.84</v>
      </c>
      <c r="K96" s="157">
        <f t="shared" ref="K96:K102" si="81">IF(ISBLANK(I96),0,ROUND(J96*(1+$F$10)*(1+$F$11*E96),2))</f>
        <v>21.34</v>
      </c>
      <c r="L96" s="158" t="s">
        <v>21</v>
      </c>
      <c r="M96" s="382">
        <f>54.2+40.7+94.8</f>
        <v>189.7</v>
      </c>
      <c r="N96" s="382">
        <f t="shared" si="76"/>
        <v>21.34</v>
      </c>
      <c r="O96" s="159">
        <f t="shared" ref="O96:O106" si="82">IF(ISBLANK(N96),0,ROUND(M96*N96,2))</f>
        <v>4048.2</v>
      </c>
      <c r="P96" s="666"/>
      <c r="Q96" s="674"/>
      <c r="R96" s="676">
        <f t="shared" si="78"/>
        <v>0</v>
      </c>
      <c r="S96" s="159"/>
      <c r="T96" s="161" t="s">
        <v>188</v>
      </c>
      <c r="U96" s="188" t="str">
        <f>IF(T96="X","x",IF(T96="xx","x",IF(T96="xy","x",IF(T96="y","x",IF(OR(O96&gt;0,#REF!&gt;0),"x","")))))</f>
        <v>x</v>
      </c>
      <c r="V96" s="188" t="str">
        <f>IF(T96="X","x",IF(T96="y","x",IF(T96="xx","x",IF(#REF!&gt;0,"x",""))))</f>
        <v>x</v>
      </c>
      <c r="W96" s="188" t="str">
        <f>IF(T96="X","x",IF(#REF!&gt;0,"x",""))</f>
        <v>x</v>
      </c>
    </row>
    <row r="97" spans="1:23" ht="12" thickBot="1" x14ac:dyDescent="0.25">
      <c r="A97" s="230" t="s">
        <v>42</v>
      </c>
      <c r="B97" s="173" t="s">
        <v>222</v>
      </c>
      <c r="C97" s="134" t="s">
        <v>47</v>
      </c>
      <c r="D97" s="135" t="s">
        <v>57</v>
      </c>
      <c r="E97" s="137"/>
      <c r="F97" s="143"/>
      <c r="G97" s="141"/>
      <c r="H97" s="142">
        <f>IF(F97&lt;=30,(0.62*F97+6.29)*G97,((0.62*30+6.29)+0.62*(F97-30))*G97)</f>
        <v>0</v>
      </c>
      <c r="I97" s="156">
        <v>19.490000000000002</v>
      </c>
      <c r="J97" s="156">
        <f>IF(ISBLANK(I97),"",SUM(H97:I97))</f>
        <v>19.490000000000002</v>
      </c>
      <c r="K97" s="157">
        <f t="shared" si="81"/>
        <v>23.31</v>
      </c>
      <c r="L97" s="158" t="s">
        <v>21</v>
      </c>
      <c r="M97" s="382">
        <f>45.1+33.8+31.42</f>
        <v>110.32000000000001</v>
      </c>
      <c r="N97" s="382">
        <f t="shared" si="76"/>
        <v>23.31</v>
      </c>
      <c r="O97" s="159">
        <f t="shared" si="82"/>
        <v>2571.56</v>
      </c>
      <c r="P97" s="666"/>
      <c r="Q97" s="674"/>
      <c r="R97" s="676">
        <f t="shared" si="78"/>
        <v>0</v>
      </c>
      <c r="S97" s="159"/>
      <c r="T97" s="161" t="s">
        <v>188</v>
      </c>
      <c r="U97" s="188" t="str">
        <f>IF(T97="X","x",IF(T97="xx","x",IF(T97="xy","x",IF(T97="y","x",IF(OR(O97&gt;0,#REF!&gt;0),"x","")))))</f>
        <v>x</v>
      </c>
      <c r="V97" s="188" t="str">
        <f>IF(T97="X","x",IF(T97="y","x",IF(T97="xx","x",IF(#REF!&gt;0,"x",""))))</f>
        <v>x</v>
      </c>
      <c r="W97" s="188" t="str">
        <f>IF(T97="X","x",IF(#REF!&gt;0,"x",""))</f>
        <v>x</v>
      </c>
    </row>
    <row r="98" spans="1:23" x14ac:dyDescent="0.2">
      <c r="A98" s="230" t="s">
        <v>42</v>
      </c>
      <c r="B98" s="174">
        <v>742500</v>
      </c>
      <c r="C98" s="154" t="s">
        <v>47</v>
      </c>
      <c r="D98" s="148" t="s">
        <v>246</v>
      </c>
      <c r="E98" s="149"/>
      <c r="F98" s="285"/>
      <c r="G98" s="151"/>
      <c r="H98" s="152">
        <f>SUM(H99:H102)</f>
        <v>114.483</v>
      </c>
      <c r="I98" s="268">
        <v>533.26</v>
      </c>
      <c r="J98" s="268">
        <f>IF(ISBLANK(I98),"",SUM(H98:I98))</f>
        <v>647.74299999999994</v>
      </c>
      <c r="K98" s="269">
        <f t="shared" si="81"/>
        <v>774.83</v>
      </c>
      <c r="L98" s="270" t="s">
        <v>15</v>
      </c>
      <c r="M98" s="503">
        <f>2.82+2.11+2.65</f>
        <v>7.58</v>
      </c>
      <c r="N98" s="382">
        <f t="shared" si="76"/>
        <v>774.83</v>
      </c>
      <c r="O98" s="271">
        <f t="shared" si="82"/>
        <v>5873.21</v>
      </c>
      <c r="P98" s="666"/>
      <c r="Q98" s="674"/>
      <c r="R98" s="676">
        <f t="shared" si="78"/>
        <v>0</v>
      </c>
      <c r="S98" s="159"/>
      <c r="T98" s="161" t="s">
        <v>188</v>
      </c>
      <c r="U98" s="188" t="str">
        <f>IF(T98="X","x",IF(T98="xx","x",IF(T98="xy","x",IF(T98="y","x",IF(OR(O98&gt;0,#REF!&gt;0),"x","")))))</f>
        <v>x</v>
      </c>
      <c r="V98" s="188" t="str">
        <f>IF(T98="X","x",IF(T98="y","x",IF(T98="xx","x",IF(#REF!&gt;0,"x",""))))</f>
        <v>x</v>
      </c>
      <c r="W98" s="188" t="str">
        <f>IF(T98="X","x",IF(#REF!&gt;0,"x",""))</f>
        <v>x</v>
      </c>
    </row>
    <row r="99" spans="1:23" x14ac:dyDescent="0.2">
      <c r="A99" s="230" t="s">
        <v>42</v>
      </c>
      <c r="B99" s="173" t="s">
        <v>33</v>
      </c>
      <c r="C99" s="134"/>
      <c r="D99" s="294" t="s">
        <v>49</v>
      </c>
      <c r="E99" s="137"/>
      <c r="F99" s="143">
        <v>215</v>
      </c>
      <c r="G99" s="141">
        <v>0.12</v>
      </c>
      <c r="H99" s="155">
        <f>IF(F99&lt;=30,(0.78*F99+7.82)*G99,((0.78*30+7.82)+0.78*(F99-30))*G99)</f>
        <v>21.0624</v>
      </c>
      <c r="I99" s="156">
        <v>0</v>
      </c>
      <c r="J99" s="156"/>
      <c r="K99" s="157">
        <f t="shared" si="81"/>
        <v>0</v>
      </c>
      <c r="L99" s="158" t="s">
        <v>15</v>
      </c>
      <c r="M99" s="284"/>
      <c r="N99" s="382">
        <f t="shared" si="76"/>
        <v>0</v>
      </c>
      <c r="O99" s="160">
        <f t="shared" si="82"/>
        <v>0</v>
      </c>
      <c r="P99" s="666"/>
      <c r="Q99" s="674"/>
      <c r="R99" s="676">
        <f t="shared" si="78"/>
        <v>0</v>
      </c>
      <c r="S99" s="159"/>
      <c r="T99" s="161" t="s">
        <v>188</v>
      </c>
      <c r="U99" s="188" t="str">
        <f>IF(T99="X","x",IF(T99="xx","x",IF(T99="xy","x",IF(T99="y","x",IF(OR(O99&gt;0,#REF!&gt;0),"x","")))))</f>
        <v>x</v>
      </c>
      <c r="V99" s="188" t="str">
        <f>IF(T99="X","x",IF(T99="y","x",IF(T99="xx","x",IF(#REF!&gt;0,"x",""))))</f>
        <v>x</v>
      </c>
      <c r="W99" s="188" t="str">
        <f>IF(T99="X","x",IF(#REF!&gt;0,"x",""))</f>
        <v>x</v>
      </c>
    </row>
    <row r="100" spans="1:23" x14ac:dyDescent="0.2">
      <c r="A100" s="230" t="s">
        <v>42</v>
      </c>
      <c r="B100" s="173" t="s">
        <v>33</v>
      </c>
      <c r="C100" s="134"/>
      <c r="D100" s="294" t="s">
        <v>53</v>
      </c>
      <c r="E100" s="137"/>
      <c r="F100" s="143">
        <v>85</v>
      </c>
      <c r="G100" s="141">
        <v>0.87</v>
      </c>
      <c r="H100" s="142">
        <f>IF(F100&lt;=30,(1.07*F100+2.68)*G100,((1.07*30+2.68)+1.07*(F100-30))*G100)</f>
        <v>81.458100000000002</v>
      </c>
      <c r="I100" s="156">
        <v>0</v>
      </c>
      <c r="J100" s="156"/>
      <c r="K100" s="157">
        <f t="shared" si="81"/>
        <v>0</v>
      </c>
      <c r="L100" s="158" t="s">
        <v>15</v>
      </c>
      <c r="M100" s="284"/>
      <c r="N100" s="382">
        <f t="shared" si="76"/>
        <v>0</v>
      </c>
      <c r="O100" s="160">
        <f t="shared" si="82"/>
        <v>0</v>
      </c>
      <c r="P100" s="666"/>
      <c r="Q100" s="674"/>
      <c r="R100" s="676">
        <f t="shared" si="78"/>
        <v>0</v>
      </c>
      <c r="S100" s="159"/>
      <c r="T100" s="161" t="s">
        <v>188</v>
      </c>
      <c r="U100" s="188" t="str">
        <f>IF(T100="X","x",IF(T100="xx","x",IF(T100="xy","x",IF(T100="y","x",IF(OR(O100&gt;0,#REF!&gt;0),"x","")))))</f>
        <v>x</v>
      </c>
      <c r="V100" s="188" t="str">
        <f>IF(T100="X","x",IF(T100="y","x",IF(T100="xx","x",IF(#REF!&gt;0,"x",""))))</f>
        <v>x</v>
      </c>
      <c r="W100" s="188" t="str">
        <f>IF(T100="X","x",IF(#REF!&gt;0,"x",""))</f>
        <v>x</v>
      </c>
    </row>
    <row r="101" spans="1:23" x14ac:dyDescent="0.2">
      <c r="A101" s="230" t="s">
        <v>42</v>
      </c>
      <c r="B101" s="173" t="s">
        <v>33</v>
      </c>
      <c r="C101" s="134"/>
      <c r="D101" s="294" t="s">
        <v>54</v>
      </c>
      <c r="E101" s="137"/>
      <c r="F101" s="143">
        <v>1</v>
      </c>
      <c r="G101" s="141">
        <v>1.1000000000000001</v>
      </c>
      <c r="H101" s="142">
        <f>IF(F101&lt;=30,(1.07*F101+2.68)*G101,((1.07*30+2.68)+1.07*(F101-30))*G101)</f>
        <v>4.125</v>
      </c>
      <c r="I101" s="156">
        <v>0</v>
      </c>
      <c r="J101" s="156"/>
      <c r="K101" s="157">
        <f t="shared" si="81"/>
        <v>0</v>
      </c>
      <c r="L101" s="158" t="s">
        <v>15</v>
      </c>
      <c r="M101" s="284"/>
      <c r="N101" s="382">
        <f t="shared" si="76"/>
        <v>0</v>
      </c>
      <c r="O101" s="160">
        <f t="shared" si="82"/>
        <v>0</v>
      </c>
      <c r="P101" s="666"/>
      <c r="Q101" s="674"/>
      <c r="R101" s="676">
        <f t="shared" si="78"/>
        <v>0</v>
      </c>
      <c r="S101" s="159"/>
      <c r="T101" s="161" t="s">
        <v>188</v>
      </c>
      <c r="U101" s="188" t="str">
        <f>IF(T101="X","x",IF(T101="xx","x",IF(T101="xy","x",IF(T101="y","x",IF(OR(O101&gt;0,#REF!&gt;0),"x","")))))</f>
        <v>x</v>
      </c>
      <c r="V101" s="188" t="str">
        <f>IF(T101="X","x",IF(T101="y","x",IF(T101="xx","x",IF(#REF!&gt;0,"x",""))))</f>
        <v>x</v>
      </c>
      <c r="W101" s="188" t="str">
        <f>IF(T101="X","x",IF(#REF!&gt;0,"x",""))</f>
        <v>x</v>
      </c>
    </row>
    <row r="102" spans="1:23" ht="12" thickBot="1" x14ac:dyDescent="0.25">
      <c r="A102" s="230" t="s">
        <v>42</v>
      </c>
      <c r="B102" s="281" t="s">
        <v>33</v>
      </c>
      <c r="C102" s="354"/>
      <c r="D102" s="360" t="s">
        <v>55</v>
      </c>
      <c r="E102" s="262"/>
      <c r="F102" s="263">
        <v>1</v>
      </c>
      <c r="G102" s="282">
        <f>SUM(G98:G101)</f>
        <v>2.09</v>
      </c>
      <c r="H102" s="264">
        <f>IF(F102&lt;=30,(1.07*F102+2.68)*G102,((1.07*30+2.68)+1.07*(F102-30))*G102)</f>
        <v>7.8374999999999995</v>
      </c>
      <c r="I102" s="265">
        <v>0</v>
      </c>
      <c r="J102" s="265"/>
      <c r="K102" s="266">
        <f t="shared" si="81"/>
        <v>0</v>
      </c>
      <c r="L102" s="259" t="s">
        <v>15</v>
      </c>
      <c r="M102" s="361"/>
      <c r="N102" s="502">
        <f t="shared" si="76"/>
        <v>0</v>
      </c>
      <c r="O102" s="253">
        <f t="shared" si="82"/>
        <v>0</v>
      </c>
      <c r="P102" s="666"/>
      <c r="Q102" s="674"/>
      <c r="R102" s="676">
        <f t="shared" si="78"/>
        <v>0</v>
      </c>
      <c r="S102" s="159"/>
      <c r="T102" s="161" t="s">
        <v>188</v>
      </c>
      <c r="U102" s="188" t="str">
        <f>IF(T102="X","x",IF(T102="xx","x",IF(T102="xy","x",IF(T102="y","x",IF(OR(O102&gt;0,#REF!&gt;0),"x","")))))</f>
        <v>x</v>
      </c>
      <c r="V102" s="188" t="str">
        <f>IF(T102="X","x",IF(T102="y","x",IF(T102="xx","x",IF(#REF!&gt;0,"x",""))))</f>
        <v>x</v>
      </c>
      <c r="W102" s="188" t="str">
        <f>IF(T102="X","x",IF(#REF!&gt;0,"x",""))</f>
        <v>x</v>
      </c>
    </row>
    <row r="103" spans="1:23" ht="12" thickBot="1" x14ac:dyDescent="0.25">
      <c r="A103" s="230" t="s">
        <v>42</v>
      </c>
      <c r="B103" s="526" t="s">
        <v>411</v>
      </c>
      <c r="C103" s="527"/>
      <c r="D103" s="528" t="s">
        <v>249</v>
      </c>
      <c r="E103" s="529"/>
      <c r="F103" s="530"/>
      <c r="G103" s="531"/>
      <c r="H103" s="532"/>
      <c r="I103" s="533"/>
      <c r="J103" s="534"/>
      <c r="K103" s="535">
        <f>IF(ISBLANK(J103),0,ROUND(J103*(1+$F$10)*(1+$F$11*E103),2))</f>
        <v>0</v>
      </c>
      <c r="L103" s="536" t="s">
        <v>116</v>
      </c>
      <c r="M103" s="523"/>
      <c r="N103" s="523">
        <f t="shared" si="76"/>
        <v>0</v>
      </c>
      <c r="O103" s="524">
        <f>SUM(O104:O111)</f>
        <v>9821.2799999999988</v>
      </c>
      <c r="P103" s="666"/>
      <c r="Q103" s="674"/>
      <c r="R103" s="676">
        <f t="shared" si="78"/>
        <v>0</v>
      </c>
      <c r="S103" s="159"/>
      <c r="T103" s="161" t="s">
        <v>188</v>
      </c>
      <c r="U103" s="188" t="s">
        <v>188</v>
      </c>
      <c r="V103" s="188" t="str">
        <f>IF(T103="X","x",IF(T103="y","x",IF(T103="xx","x",IF(#REF!&gt;0,"x",""))))</f>
        <v>x</v>
      </c>
      <c r="W103" s="188" t="str">
        <f>IF(T103="X","x",IF(#REF!&gt;0,"x",""))</f>
        <v>x</v>
      </c>
    </row>
    <row r="104" spans="1:23" x14ac:dyDescent="0.2">
      <c r="A104" s="230" t="s">
        <v>42</v>
      </c>
      <c r="B104" s="175" t="s">
        <v>228</v>
      </c>
      <c r="C104" s="133" t="s">
        <v>47</v>
      </c>
      <c r="D104" s="254" t="s">
        <v>229</v>
      </c>
      <c r="E104" s="255"/>
      <c r="F104" s="256"/>
      <c r="G104" s="257"/>
      <c r="H104" s="155">
        <f>IF(F104&lt;=30,(0.62*F104+6.29)*G104,((0.62*30+6.29)+0.62*(F104-30))*G104)</f>
        <v>0</v>
      </c>
      <c r="I104" s="225">
        <v>57.74</v>
      </c>
      <c r="J104" s="225">
        <f>IF(ISBLANK(I104),"",SUM(H104:I104))</f>
        <v>57.74</v>
      </c>
      <c r="K104" s="226">
        <f t="shared" ref="K104:K111" si="83">IF(ISBLANK(I104),0,ROUND(J104*(1+$F$10)*(1+$F$11*E104),2))</f>
        <v>69.069999999999993</v>
      </c>
      <c r="L104" s="227" t="s">
        <v>17</v>
      </c>
      <c r="M104" s="382">
        <f>25.2+14.4</f>
        <v>39.6</v>
      </c>
      <c r="N104" s="382">
        <f t="shared" si="76"/>
        <v>69.069999999999993</v>
      </c>
      <c r="O104" s="228">
        <f t="shared" si="82"/>
        <v>2735.17</v>
      </c>
      <c r="P104" s="666"/>
      <c r="Q104" s="674"/>
      <c r="R104" s="676">
        <f t="shared" si="78"/>
        <v>0</v>
      </c>
      <c r="S104" s="159"/>
      <c r="T104" s="161" t="s">
        <v>188</v>
      </c>
      <c r="U104" s="188" t="str">
        <f>IF(T104="X","x",IF(T104="xx","x",IF(T104="xy","x",IF(T104="y","x",IF(OR(O104&gt;0,#REF!&gt;0),"x","")))))</f>
        <v>x</v>
      </c>
      <c r="V104" s="188" t="str">
        <f>IF(T104="X","x",IF(T104="y","x",IF(T104="xx","x",IF(#REF!&gt;0,"x",""))))</f>
        <v>x</v>
      </c>
      <c r="W104" s="188" t="str">
        <f>IF(T104="X","x",IF(#REF!&gt;0,"x",""))</f>
        <v>x</v>
      </c>
    </row>
    <row r="105" spans="1:23" x14ac:dyDescent="0.2">
      <c r="A105" s="230" t="s">
        <v>42</v>
      </c>
      <c r="B105" s="173" t="s">
        <v>221</v>
      </c>
      <c r="C105" s="134" t="s">
        <v>47</v>
      </c>
      <c r="D105" s="135" t="s">
        <v>56</v>
      </c>
      <c r="E105" s="137"/>
      <c r="F105" s="143"/>
      <c r="G105" s="141"/>
      <c r="H105" s="142">
        <f>IF(F105&lt;=30,(0.62*F105+6.29)*G105,((0.62*30+6.29)+0.62*(F105-30))*G105)</f>
        <v>0</v>
      </c>
      <c r="I105" s="156">
        <v>17.84</v>
      </c>
      <c r="J105" s="156">
        <f>IF(ISBLANK(I105),"",SUM(H105:I105))</f>
        <v>17.84</v>
      </c>
      <c r="K105" s="157">
        <f t="shared" si="83"/>
        <v>21.34</v>
      </c>
      <c r="L105" s="158" t="s">
        <v>21</v>
      </c>
      <c r="M105" s="382">
        <f>82.9+64.9</f>
        <v>147.80000000000001</v>
      </c>
      <c r="N105" s="382">
        <f t="shared" si="76"/>
        <v>21.34</v>
      </c>
      <c r="O105" s="159">
        <f t="shared" si="82"/>
        <v>3154.05</v>
      </c>
      <c r="P105" s="666"/>
      <c r="Q105" s="674"/>
      <c r="R105" s="676">
        <f t="shared" si="78"/>
        <v>0</v>
      </c>
      <c r="S105" s="159"/>
      <c r="T105" s="161" t="s">
        <v>188</v>
      </c>
      <c r="U105" s="188" t="str">
        <f>IF(T105="X","x",IF(T105="xx","x",IF(T105="xy","x",IF(T105="y","x",IF(OR(O105&gt;0,#REF!&gt;0),"x","")))))</f>
        <v>x</v>
      </c>
      <c r="V105" s="188" t="str">
        <f>IF(T105="X","x",IF(T105="y","x",IF(T105="xx","x",IF(#REF!&gt;0,"x",""))))</f>
        <v>x</v>
      </c>
      <c r="W105" s="188" t="str">
        <f>IF(T105="X","x",IF(#REF!&gt;0,"x",""))</f>
        <v>x</v>
      </c>
    </row>
    <row r="106" spans="1:23" ht="12" thickBot="1" x14ac:dyDescent="0.25">
      <c r="A106" s="230" t="s">
        <v>42</v>
      </c>
      <c r="B106" s="173" t="s">
        <v>222</v>
      </c>
      <c r="C106" s="134" t="s">
        <v>47</v>
      </c>
      <c r="D106" s="135" t="s">
        <v>57</v>
      </c>
      <c r="E106" s="137"/>
      <c r="F106" s="143"/>
      <c r="G106" s="141"/>
      <c r="H106" s="142">
        <f>IF(F106&lt;=30,(0.62*F106+6.29)*G106,((0.62*30+6.29)+0.62*(F106-30))*G106)</f>
        <v>0</v>
      </c>
      <c r="I106" s="156">
        <v>19.490000000000002</v>
      </c>
      <c r="J106" s="156">
        <f>IF(ISBLANK(I106),"",SUM(H106:I106))</f>
        <v>19.490000000000002</v>
      </c>
      <c r="K106" s="157">
        <f t="shared" si="83"/>
        <v>23.31</v>
      </c>
      <c r="L106" s="158" t="s">
        <v>21</v>
      </c>
      <c r="M106" s="382">
        <f>48+27.4</f>
        <v>75.400000000000006</v>
      </c>
      <c r="N106" s="382">
        <f t="shared" si="76"/>
        <v>23.31</v>
      </c>
      <c r="O106" s="159">
        <f t="shared" si="82"/>
        <v>1757.57</v>
      </c>
      <c r="P106" s="666"/>
      <c r="Q106" s="674"/>
      <c r="R106" s="676">
        <f t="shared" si="78"/>
        <v>0</v>
      </c>
      <c r="S106" s="159"/>
      <c r="T106" s="161" t="s">
        <v>188</v>
      </c>
      <c r="U106" s="188" t="str">
        <f>IF(T106="X","x",IF(T106="xx","x",IF(T106="xy","x",IF(T106="y","x",IF(OR(O106&gt;0,#REF!&gt;0),"x","")))))</f>
        <v>x</v>
      </c>
      <c r="V106" s="188" t="str">
        <f>IF(T106="X","x",IF(T106="y","x",IF(T106="xx","x",IF(#REF!&gt;0,"x",""))))</f>
        <v>x</v>
      </c>
      <c r="W106" s="188" t="str">
        <f>IF(T106="X","x",IF(#REF!&gt;0,"x",""))</f>
        <v>x</v>
      </c>
    </row>
    <row r="107" spans="1:23" x14ac:dyDescent="0.2">
      <c r="A107" s="230" t="s">
        <v>42</v>
      </c>
      <c r="B107" s="174">
        <v>743000</v>
      </c>
      <c r="C107" s="154" t="s">
        <v>47</v>
      </c>
      <c r="D107" s="148" t="s">
        <v>250</v>
      </c>
      <c r="E107" s="149"/>
      <c r="F107" s="285"/>
      <c r="G107" s="151"/>
      <c r="H107" s="152">
        <f>SUM(H108:H111)</f>
        <v>131.47888</v>
      </c>
      <c r="I107" s="268">
        <v>557.09</v>
      </c>
      <c r="J107" s="268">
        <f>IF(ISBLANK(I107),"",SUM(H107:I107))</f>
        <v>688.56888000000004</v>
      </c>
      <c r="K107" s="269">
        <f t="shared" si="83"/>
        <v>823.67</v>
      </c>
      <c r="L107" s="270" t="s">
        <v>15</v>
      </c>
      <c r="M107" s="503">
        <f>1.68+0.96</f>
        <v>2.6399999999999997</v>
      </c>
      <c r="N107" s="382">
        <f>K107</f>
        <v>823.67</v>
      </c>
      <c r="O107" s="271">
        <f>IF(ISBLANK(N107),0,ROUND(M107*N107,2))</f>
        <v>2174.4899999999998</v>
      </c>
      <c r="P107" s="666"/>
      <c r="Q107" s="674"/>
      <c r="R107" s="676">
        <f t="shared" si="78"/>
        <v>0</v>
      </c>
      <c r="S107" s="159"/>
      <c r="T107" s="161" t="s">
        <v>188</v>
      </c>
      <c r="U107" s="188" t="str">
        <f>IF(T107="X","x",IF(T107="xx","x",IF(T107="xy","x",IF(T107="y","x",IF(OR(O107&gt;0,#REF!&gt;0),"x","")))))</f>
        <v>x</v>
      </c>
      <c r="V107" s="188" t="str">
        <f>IF(T107="X","x",IF(T107="y","x",IF(T107="xx","x",IF(#REF!&gt;0,"x",""))))</f>
        <v>x</v>
      </c>
      <c r="W107" s="188" t="str">
        <f>IF(T107="X","x",IF(#REF!&gt;0,"x",""))</f>
        <v>x</v>
      </c>
    </row>
    <row r="108" spans="1:23" x14ac:dyDescent="0.2">
      <c r="A108" s="230" t="s">
        <v>42</v>
      </c>
      <c r="B108" s="173" t="s">
        <v>33</v>
      </c>
      <c r="C108" s="134"/>
      <c r="D108" s="294" t="s">
        <v>49</v>
      </c>
      <c r="E108" s="137"/>
      <c r="F108" s="143">
        <v>215</v>
      </c>
      <c r="G108" s="141">
        <v>0.12</v>
      </c>
      <c r="H108" s="155">
        <f>IF(F108&lt;=30,(0.78*F108+7.82)*G108,((0.78*30+7.82)+0.78*(F108-30))*G108)</f>
        <v>21.0624</v>
      </c>
      <c r="I108" s="156">
        <v>0</v>
      </c>
      <c r="J108" s="156"/>
      <c r="K108" s="157">
        <f t="shared" si="83"/>
        <v>0</v>
      </c>
      <c r="L108" s="158" t="s">
        <v>15</v>
      </c>
      <c r="M108" s="284"/>
      <c r="N108" s="382">
        <f>K108</f>
        <v>0</v>
      </c>
      <c r="O108" s="160">
        <f>IF(ISBLANK(N108),0,ROUND(M108*N108,2))</f>
        <v>0</v>
      </c>
      <c r="P108" s="666"/>
      <c r="Q108" s="674"/>
      <c r="R108" s="676">
        <f t="shared" si="78"/>
        <v>0</v>
      </c>
      <c r="S108" s="159"/>
      <c r="T108" s="161" t="s">
        <v>188</v>
      </c>
      <c r="U108" s="188" t="str">
        <f>IF(T108="X","x",IF(T108="xx","x",IF(T108="xy","x",IF(T108="y","x",IF(OR(O108&gt;0,#REF!&gt;0),"x","")))))</f>
        <v>x</v>
      </c>
      <c r="V108" s="188" t="str">
        <f>IF(T108="X","x",IF(T108="y","x",IF(T108="xx","x",IF(#REF!&gt;0,"x",""))))</f>
        <v>x</v>
      </c>
      <c r="W108" s="188" t="str">
        <f>IF(T108="X","x",IF(#REF!&gt;0,"x",""))</f>
        <v>x</v>
      </c>
    </row>
    <row r="109" spans="1:23" x14ac:dyDescent="0.2">
      <c r="A109" s="230" t="s">
        <v>42</v>
      </c>
      <c r="B109" s="173" t="s">
        <v>33</v>
      </c>
      <c r="C109" s="134"/>
      <c r="D109" s="294" t="s">
        <v>53</v>
      </c>
      <c r="E109" s="137"/>
      <c r="F109" s="143">
        <v>85</v>
      </c>
      <c r="G109" s="141">
        <v>0.87</v>
      </c>
      <c r="H109" s="142">
        <f>IF(F109&lt;=30,(1.07*F109+2.68)*G109,((1.07*30+2.68)+1.07*(F109-30))*G109)</f>
        <v>81.458100000000002</v>
      </c>
      <c r="I109" s="156">
        <v>0</v>
      </c>
      <c r="J109" s="156"/>
      <c r="K109" s="157">
        <f t="shared" si="83"/>
        <v>0</v>
      </c>
      <c r="L109" s="158" t="s">
        <v>15</v>
      </c>
      <c r="M109" s="284"/>
      <c r="N109" s="382">
        <f>K109</f>
        <v>0</v>
      </c>
      <c r="O109" s="160">
        <f>IF(ISBLANK(N109),0,ROUND(M109*N109,2))</f>
        <v>0</v>
      </c>
      <c r="P109" s="666"/>
      <c r="Q109" s="674"/>
      <c r="R109" s="676">
        <f t="shared" si="78"/>
        <v>0</v>
      </c>
      <c r="S109" s="159"/>
      <c r="T109" s="161" t="s">
        <v>188</v>
      </c>
      <c r="U109" s="188" t="str">
        <f>IF(T109="X","x",IF(T109="xx","x",IF(T109="xy","x",IF(T109="y","x",IF(OR(O109&gt;0,#REF!&gt;0),"x","")))))</f>
        <v>x</v>
      </c>
      <c r="V109" s="188" t="str">
        <f>IF(T109="X","x",IF(T109="y","x",IF(T109="xx","x",IF(#REF!&gt;0,"x",""))))</f>
        <v>x</v>
      </c>
      <c r="W109" s="188" t="str">
        <f>IF(T109="X","x",IF(#REF!&gt;0,"x",""))</f>
        <v>x</v>
      </c>
    </row>
    <row r="110" spans="1:23" x14ac:dyDescent="0.2">
      <c r="A110" s="230" t="s">
        <v>42</v>
      </c>
      <c r="B110" s="173" t="s">
        <v>33</v>
      </c>
      <c r="C110" s="134"/>
      <c r="D110" s="294" t="s">
        <v>54</v>
      </c>
      <c r="E110" s="137"/>
      <c r="F110" s="143">
        <v>1</v>
      </c>
      <c r="G110" s="141">
        <v>1.1000000000000001</v>
      </c>
      <c r="H110" s="142">
        <f>IF(F110&lt;=30,(1.07*F110+2.68)*G110,((1.07*30+2.68)+1.07*(F110-30))*G110)</f>
        <v>4.125</v>
      </c>
      <c r="I110" s="156">
        <v>0</v>
      </c>
      <c r="J110" s="156"/>
      <c r="K110" s="157">
        <f t="shared" si="83"/>
        <v>0</v>
      </c>
      <c r="L110" s="158" t="s">
        <v>15</v>
      </c>
      <c r="M110" s="284"/>
      <c r="N110" s="382">
        <f>K110</f>
        <v>0</v>
      </c>
      <c r="O110" s="160">
        <f>IF(ISBLANK(N110),0,ROUND(M110*N110,2))</f>
        <v>0</v>
      </c>
      <c r="P110" s="666"/>
      <c r="Q110" s="674"/>
      <c r="R110" s="676">
        <f t="shared" si="78"/>
        <v>0</v>
      </c>
      <c r="S110" s="159"/>
      <c r="T110" s="161" t="s">
        <v>188</v>
      </c>
      <c r="U110" s="188" t="str">
        <f>IF(T110="X","x",IF(T110="xx","x",IF(T110="xy","x",IF(T110="y","x",IF(OR(O110&gt;0,#REF!&gt;0),"x","")))))</f>
        <v>x</v>
      </c>
      <c r="V110" s="188" t="str">
        <f>IF(T110="X","x",IF(T110="y","x",IF(T110="xx","x",IF(#REF!&gt;0,"x",""))))</f>
        <v>x</v>
      </c>
      <c r="W110" s="188" t="str">
        <f>IF(T110="X","x",IF(#REF!&gt;0,"x",""))</f>
        <v>x</v>
      </c>
    </row>
    <row r="111" spans="1:23" ht="12" thickBot="1" x14ac:dyDescent="0.25">
      <c r="A111" s="230" t="s">
        <v>42</v>
      </c>
      <c r="B111" s="281" t="s">
        <v>33</v>
      </c>
      <c r="C111" s="354"/>
      <c r="D111" s="360" t="s">
        <v>55</v>
      </c>
      <c r="E111" s="262"/>
      <c r="F111" s="263">
        <v>8.6</v>
      </c>
      <c r="G111" s="282">
        <f>SUM(G107:G110)</f>
        <v>2.09</v>
      </c>
      <c r="H111" s="264">
        <f>IF(F111&lt;=30,(1.07*F111+2.68)*G111,((1.07*30+2.68)+1.07*(F111-30))*G111)</f>
        <v>24.833379999999998</v>
      </c>
      <c r="I111" s="265">
        <v>0</v>
      </c>
      <c r="J111" s="265"/>
      <c r="K111" s="266">
        <f t="shared" si="83"/>
        <v>0</v>
      </c>
      <c r="L111" s="259" t="s">
        <v>15</v>
      </c>
      <c r="M111" s="361"/>
      <c r="N111" s="502">
        <f>K111</f>
        <v>0</v>
      </c>
      <c r="O111" s="253">
        <f>IF(ISBLANK(N111),0,ROUND(M111*N111,2))</f>
        <v>0</v>
      </c>
      <c r="P111" s="666"/>
      <c r="Q111" s="674"/>
      <c r="R111" s="676">
        <f t="shared" si="78"/>
        <v>0</v>
      </c>
      <c r="S111" s="159"/>
      <c r="T111" s="161" t="s">
        <v>188</v>
      </c>
      <c r="U111" s="188" t="str">
        <f>IF(T111="X","x",IF(T111="xx","x",IF(T111="xy","x",IF(T111="y","x",IF(OR(O111&gt;0,#REF!&gt;0),"x","")))))</f>
        <v>x</v>
      </c>
      <c r="V111" s="188" t="str">
        <f>IF(T111="X","x",IF(T111="y","x",IF(T111="xx","x",IF(#REF!&gt;0,"x",""))))</f>
        <v>x</v>
      </c>
      <c r="W111" s="188" t="str">
        <f>IF(T111="X","x",IF(#REF!&gt;0,"x",""))</f>
        <v>x</v>
      </c>
    </row>
    <row r="112" spans="1:23" ht="12" thickBot="1" x14ac:dyDescent="0.25">
      <c r="A112" s="230" t="s">
        <v>42</v>
      </c>
      <c r="B112" s="526" t="s">
        <v>420</v>
      </c>
      <c r="C112" s="527" t="s">
        <v>42</v>
      </c>
      <c r="D112" s="528" t="s">
        <v>251</v>
      </c>
      <c r="E112" s="529"/>
      <c r="F112" s="530"/>
      <c r="G112" s="531"/>
      <c r="H112" s="532"/>
      <c r="I112" s="533">
        <v>0</v>
      </c>
      <c r="J112" s="534"/>
      <c r="K112" s="535">
        <f>IF(ISBLANK(J112),0,ROUND(J112*(1+$F$10)*(1+$F$11*E112),2))</f>
        <v>0</v>
      </c>
      <c r="L112" s="536" t="s">
        <v>116</v>
      </c>
      <c r="M112" s="523"/>
      <c r="N112" s="523">
        <f t="shared" ref="N112:N120" si="84">K112</f>
        <v>0</v>
      </c>
      <c r="O112" s="524">
        <f>SUM(O113:O120)</f>
        <v>19671.810000000001</v>
      </c>
      <c r="P112" s="666"/>
      <c r="Q112" s="674"/>
      <c r="R112" s="676">
        <f t="shared" si="78"/>
        <v>0</v>
      </c>
      <c r="S112" s="159"/>
      <c r="T112" s="161" t="s">
        <v>188</v>
      </c>
      <c r="U112" s="188" t="str">
        <f>IF(T112="X","x",IF(T112="xx","x",IF(T112="xy","x",IF(T112="y","x",IF(OR(O112&gt;0,#REF!&gt;0),"x","")))))</f>
        <v>x</v>
      </c>
      <c r="V112" s="188" t="str">
        <f>IF(T112="X","x",IF(T112="y","x",IF(T112="xx","x",IF(#REF!&gt;0,"x",""))))</f>
        <v>x</v>
      </c>
      <c r="W112" s="188" t="str">
        <f>IF(T112="X","x",IF(#REF!&gt;0,"x",""))</f>
        <v>x</v>
      </c>
    </row>
    <row r="113" spans="1:24" x14ac:dyDescent="0.2">
      <c r="A113" s="230" t="s">
        <v>42</v>
      </c>
      <c r="B113" s="175" t="s">
        <v>228</v>
      </c>
      <c r="C113" s="133" t="s">
        <v>47</v>
      </c>
      <c r="D113" s="254" t="s">
        <v>229</v>
      </c>
      <c r="E113" s="255"/>
      <c r="F113" s="256"/>
      <c r="G113" s="257"/>
      <c r="H113" s="155">
        <f>IF(F113&lt;=30,(0.62*F113+6.29)*G113,((0.62*30+6.29)+0.62*(F113-30))*G113)</f>
        <v>0</v>
      </c>
      <c r="I113" s="225">
        <v>57.74</v>
      </c>
      <c r="J113" s="225">
        <f>IF(ISBLANK(I113),"",SUM(H113:I113))</f>
        <v>57.74</v>
      </c>
      <c r="K113" s="226">
        <f t="shared" ref="K113:K120" si="85">IF(ISBLANK(I113),0,ROUND(J113*(1+$F$10)*(1+$F$11*E113),2))</f>
        <v>69.069999999999993</v>
      </c>
      <c r="L113" s="227" t="s">
        <v>17</v>
      </c>
      <c r="M113" s="382">
        <f>25.28+25.28+24.26+12.76</f>
        <v>87.580000000000013</v>
      </c>
      <c r="N113" s="382">
        <f t="shared" si="84"/>
        <v>69.069999999999993</v>
      </c>
      <c r="O113" s="228">
        <f t="shared" ref="O113:O120" si="86">IF(ISBLANK(N113),0,ROUND(M113*N113,2))</f>
        <v>6049.15</v>
      </c>
      <c r="P113" s="666"/>
      <c r="Q113" s="674"/>
      <c r="R113" s="676">
        <f t="shared" si="78"/>
        <v>0</v>
      </c>
      <c r="S113" s="159"/>
      <c r="T113" s="161" t="s">
        <v>188</v>
      </c>
      <c r="U113" s="188" t="str">
        <f>IF(T113="X","x",IF(T113="xx","x",IF(T113="xy","x",IF(T113="y","x",IF(OR(O113&gt;0,#REF!&gt;0),"x","")))))</f>
        <v>x</v>
      </c>
      <c r="V113" s="188" t="str">
        <f>IF(T113="X","x",IF(T113="y","x",IF(T113="xx","x",IF(#REF!&gt;0,"x",""))))</f>
        <v>x</v>
      </c>
      <c r="W113" s="188" t="str">
        <f>IF(T113="X","x",IF(#REF!&gt;0,"x",""))</f>
        <v>x</v>
      </c>
    </row>
    <row r="114" spans="1:24" x14ac:dyDescent="0.2">
      <c r="A114" s="230" t="s">
        <v>42</v>
      </c>
      <c r="B114" s="173" t="s">
        <v>221</v>
      </c>
      <c r="C114" s="134" t="s">
        <v>47</v>
      </c>
      <c r="D114" s="135" t="s">
        <v>56</v>
      </c>
      <c r="E114" s="137"/>
      <c r="F114" s="143"/>
      <c r="G114" s="141"/>
      <c r="H114" s="142">
        <f>IF(F114&lt;=30,(0.62*F114+6.29)*G114,((0.62*30+6.29)+0.62*(F114-30))*G114)</f>
        <v>0</v>
      </c>
      <c r="I114" s="156">
        <v>17.84</v>
      </c>
      <c r="J114" s="156">
        <f>IF(ISBLANK(I114),"",SUM(H114:I114))</f>
        <v>17.84</v>
      </c>
      <c r="K114" s="157">
        <f t="shared" si="85"/>
        <v>21.34</v>
      </c>
      <c r="L114" s="158" t="s">
        <v>21</v>
      </c>
      <c r="M114" s="382">
        <f>70.5+70.1+70.1+38.9</f>
        <v>249.6</v>
      </c>
      <c r="N114" s="382">
        <f t="shared" si="84"/>
        <v>21.34</v>
      </c>
      <c r="O114" s="159">
        <f t="shared" si="86"/>
        <v>5326.46</v>
      </c>
      <c r="P114" s="666"/>
      <c r="Q114" s="674"/>
      <c r="R114" s="676">
        <f t="shared" si="78"/>
        <v>0</v>
      </c>
      <c r="S114" s="159"/>
      <c r="T114" s="161" t="s">
        <v>188</v>
      </c>
      <c r="U114" s="188" t="str">
        <f>IF(T114="X","x",IF(T114="xx","x",IF(T114="xy","x",IF(T114="y","x",IF(OR(O114&gt;0,#REF!&gt;0),"x","")))))</f>
        <v>x</v>
      </c>
      <c r="V114" s="188" t="str">
        <f>IF(T114="X","x",IF(T114="y","x",IF(T114="xx","x",IF(#REF!&gt;0,"x",""))))</f>
        <v>x</v>
      </c>
      <c r="W114" s="188" t="str">
        <f>IF(T114="X","x",IF(#REF!&gt;0,"x",""))</f>
        <v>x</v>
      </c>
    </row>
    <row r="115" spans="1:24" ht="12" thickBot="1" x14ac:dyDescent="0.25">
      <c r="A115" s="230" t="s">
        <v>42</v>
      </c>
      <c r="B115" s="173" t="s">
        <v>222</v>
      </c>
      <c r="C115" s="134" t="s">
        <v>47</v>
      </c>
      <c r="D115" s="135" t="s">
        <v>57</v>
      </c>
      <c r="E115" s="137"/>
      <c r="F115" s="143"/>
      <c r="G115" s="141"/>
      <c r="H115" s="142">
        <f>IF(F115&lt;=30,(0.62*F115+6.29)*G115,((0.62*30+6.29)+0.62*(F115-30))*G115)</f>
        <v>0</v>
      </c>
      <c r="I115" s="156">
        <v>19.490000000000002</v>
      </c>
      <c r="J115" s="156">
        <f>IF(ISBLANK(I115),"",SUM(H115:I115))</f>
        <v>19.490000000000002</v>
      </c>
      <c r="K115" s="157">
        <f t="shared" si="85"/>
        <v>23.31</v>
      </c>
      <c r="L115" s="158" t="s">
        <v>21</v>
      </c>
      <c r="M115" s="382">
        <f>32+32+36.1+23.3</f>
        <v>123.39999999999999</v>
      </c>
      <c r="N115" s="382">
        <f t="shared" si="84"/>
        <v>23.31</v>
      </c>
      <c r="O115" s="159">
        <f t="shared" si="86"/>
        <v>2876.45</v>
      </c>
      <c r="P115" s="666"/>
      <c r="Q115" s="674"/>
      <c r="R115" s="676">
        <f t="shared" si="78"/>
        <v>0</v>
      </c>
      <c r="S115" s="159"/>
      <c r="T115" s="161" t="s">
        <v>188</v>
      </c>
      <c r="U115" s="188" t="str">
        <f>IF(T115="X","x",IF(T115="xx","x",IF(T115="xy","x",IF(T115="y","x",IF(OR(O115&gt;0,#REF!&gt;0),"x","")))))</f>
        <v>x</v>
      </c>
      <c r="V115" s="188" t="str">
        <f>IF(T115="X","x",IF(T115="y","x",IF(T115="xx","x",IF(#REF!&gt;0,"x",""))))</f>
        <v>x</v>
      </c>
      <c r="W115" s="188" t="str">
        <f>IF(T115="X","x",IF(#REF!&gt;0,"x",""))</f>
        <v>x</v>
      </c>
    </row>
    <row r="116" spans="1:24" x14ac:dyDescent="0.2">
      <c r="A116" s="230" t="s">
        <v>42</v>
      </c>
      <c r="B116" s="174">
        <v>743000</v>
      </c>
      <c r="C116" s="154" t="s">
        <v>47</v>
      </c>
      <c r="D116" s="148" t="s">
        <v>250</v>
      </c>
      <c r="E116" s="149"/>
      <c r="F116" s="285"/>
      <c r="G116" s="151"/>
      <c r="H116" s="152">
        <f>SUM(H117:H120)</f>
        <v>131.47888</v>
      </c>
      <c r="I116" s="268">
        <v>557.09</v>
      </c>
      <c r="J116" s="268">
        <f>IF(ISBLANK(I116),"",SUM(H116:I116))</f>
        <v>688.56888000000004</v>
      </c>
      <c r="K116" s="269">
        <f t="shared" si="85"/>
        <v>823.67</v>
      </c>
      <c r="L116" s="270" t="s">
        <v>15</v>
      </c>
      <c r="M116" s="503">
        <f>1.9+1.9+1.82+0.96</f>
        <v>6.58</v>
      </c>
      <c r="N116" s="382">
        <f t="shared" si="84"/>
        <v>823.67</v>
      </c>
      <c r="O116" s="271">
        <f t="shared" si="86"/>
        <v>5419.75</v>
      </c>
      <c r="P116" s="666"/>
      <c r="Q116" s="674"/>
      <c r="R116" s="676">
        <f t="shared" si="78"/>
        <v>0</v>
      </c>
      <c r="S116" s="159"/>
      <c r="T116" s="161" t="s">
        <v>188</v>
      </c>
      <c r="U116" s="188" t="str">
        <f>IF(T116="X","x",IF(T116="xx","x",IF(T116="xy","x",IF(T116="y","x",IF(OR(O116&gt;0,#REF!&gt;0),"x","")))))</f>
        <v>x</v>
      </c>
      <c r="V116" s="188" t="str">
        <f>IF(T116="X","x",IF(T116="y","x",IF(T116="xx","x",IF(#REF!&gt;0,"x",""))))</f>
        <v>x</v>
      </c>
      <c r="W116" s="188" t="str">
        <f>IF(T116="X","x",IF(#REF!&gt;0,"x",""))</f>
        <v>x</v>
      </c>
    </row>
    <row r="117" spans="1:24" x14ac:dyDescent="0.2">
      <c r="A117" s="230" t="s">
        <v>42</v>
      </c>
      <c r="B117" s="173" t="s">
        <v>33</v>
      </c>
      <c r="C117" s="134"/>
      <c r="D117" s="294" t="s">
        <v>49</v>
      </c>
      <c r="E117" s="137"/>
      <c r="F117" s="143">
        <v>215</v>
      </c>
      <c r="G117" s="141">
        <v>0.12</v>
      </c>
      <c r="H117" s="155">
        <f>IF(F117&lt;=30,(0.78*F117+7.82)*G117,((0.78*30+7.82)+0.78*(F117-30))*G117)</f>
        <v>21.0624</v>
      </c>
      <c r="I117" s="156">
        <v>0</v>
      </c>
      <c r="J117" s="156"/>
      <c r="K117" s="157">
        <f t="shared" si="85"/>
        <v>0</v>
      </c>
      <c r="L117" s="158" t="s">
        <v>15</v>
      </c>
      <c r="M117" s="284"/>
      <c r="N117" s="382">
        <f t="shared" si="84"/>
        <v>0</v>
      </c>
      <c r="O117" s="160">
        <f t="shared" si="86"/>
        <v>0</v>
      </c>
      <c r="P117" s="666"/>
      <c r="Q117" s="674"/>
      <c r="R117" s="676">
        <f t="shared" si="78"/>
        <v>0</v>
      </c>
      <c r="S117" s="159"/>
      <c r="T117" s="161" t="s">
        <v>188</v>
      </c>
      <c r="U117" s="188" t="str">
        <f>IF(T117="X","x",IF(T117="xx","x",IF(T117="xy","x",IF(T117="y","x",IF(OR(O117&gt;0,#REF!&gt;0),"x","")))))</f>
        <v>x</v>
      </c>
      <c r="V117" s="188" t="str">
        <f>IF(T117="X","x",IF(T117="y","x",IF(T117="xx","x",IF(#REF!&gt;0,"x",""))))</f>
        <v>x</v>
      </c>
      <c r="W117" s="188" t="str">
        <f>IF(T117="X","x",IF(#REF!&gt;0,"x",""))</f>
        <v>x</v>
      </c>
    </row>
    <row r="118" spans="1:24" x14ac:dyDescent="0.2">
      <c r="A118" s="230" t="s">
        <v>42</v>
      </c>
      <c r="B118" s="173" t="s">
        <v>33</v>
      </c>
      <c r="C118" s="134"/>
      <c r="D118" s="294" t="s">
        <v>53</v>
      </c>
      <c r="E118" s="137"/>
      <c r="F118" s="143">
        <v>85</v>
      </c>
      <c r="G118" s="141">
        <v>0.87</v>
      </c>
      <c r="H118" s="142">
        <f>IF(F118&lt;=30,(1.07*F118+2.68)*G118,((1.07*30+2.68)+1.07*(F118-30))*G118)</f>
        <v>81.458100000000002</v>
      </c>
      <c r="I118" s="156">
        <v>0</v>
      </c>
      <c r="J118" s="156"/>
      <c r="K118" s="157">
        <f t="shared" si="85"/>
        <v>0</v>
      </c>
      <c r="L118" s="158" t="s">
        <v>15</v>
      </c>
      <c r="M118" s="284"/>
      <c r="N118" s="382">
        <f t="shared" si="84"/>
        <v>0</v>
      </c>
      <c r="O118" s="160">
        <f t="shared" si="86"/>
        <v>0</v>
      </c>
      <c r="P118" s="666"/>
      <c r="Q118" s="674"/>
      <c r="R118" s="676">
        <f t="shared" si="78"/>
        <v>0</v>
      </c>
      <c r="S118" s="159"/>
      <c r="T118" s="161" t="s">
        <v>188</v>
      </c>
      <c r="U118" s="188" t="str">
        <f>IF(T118="X","x",IF(T118="xx","x",IF(T118="xy","x",IF(T118="y","x",IF(OR(O118&gt;0,#REF!&gt;0),"x","")))))</f>
        <v>x</v>
      </c>
      <c r="V118" s="188" t="str">
        <f>IF(T118="X","x",IF(T118="y","x",IF(T118="xx","x",IF(#REF!&gt;0,"x",""))))</f>
        <v>x</v>
      </c>
      <c r="W118" s="188" t="str">
        <f>IF(T118="X","x",IF(#REF!&gt;0,"x",""))</f>
        <v>x</v>
      </c>
    </row>
    <row r="119" spans="1:24" x14ac:dyDescent="0.2">
      <c r="A119" s="230" t="s">
        <v>42</v>
      </c>
      <c r="B119" s="173" t="s">
        <v>33</v>
      </c>
      <c r="C119" s="134"/>
      <c r="D119" s="294" t="s">
        <v>54</v>
      </c>
      <c r="E119" s="137"/>
      <c r="F119" s="143">
        <v>1</v>
      </c>
      <c r="G119" s="141">
        <v>1.1000000000000001</v>
      </c>
      <c r="H119" s="142">
        <f>IF(F119&lt;=30,(1.07*F119+2.68)*G119,((1.07*30+2.68)+1.07*(F119-30))*G119)</f>
        <v>4.125</v>
      </c>
      <c r="I119" s="156">
        <v>0</v>
      </c>
      <c r="J119" s="156"/>
      <c r="K119" s="157">
        <f t="shared" si="85"/>
        <v>0</v>
      </c>
      <c r="L119" s="158" t="s">
        <v>15</v>
      </c>
      <c r="M119" s="284"/>
      <c r="N119" s="382">
        <f t="shared" si="84"/>
        <v>0</v>
      </c>
      <c r="O119" s="160">
        <f t="shared" si="86"/>
        <v>0</v>
      </c>
      <c r="P119" s="666"/>
      <c r="Q119" s="674"/>
      <c r="R119" s="676">
        <f t="shared" si="78"/>
        <v>0</v>
      </c>
      <c r="S119" s="159"/>
      <c r="T119" s="161" t="s">
        <v>188</v>
      </c>
      <c r="U119" s="188" t="str">
        <f>IF(T119="X","x",IF(T119="xx","x",IF(T119="xy","x",IF(T119="y","x",IF(OR(O119&gt;0,#REF!&gt;0),"x","")))))</f>
        <v>x</v>
      </c>
      <c r="V119" s="188" t="str">
        <f>IF(T119="X","x",IF(T119="y","x",IF(T119="xx","x",IF(#REF!&gt;0,"x",""))))</f>
        <v>x</v>
      </c>
      <c r="W119" s="188" t="str">
        <f>IF(T119="X","x",IF(#REF!&gt;0,"x",""))</f>
        <v>x</v>
      </c>
    </row>
    <row r="120" spans="1:24" ht="12" thickBot="1" x14ac:dyDescent="0.25">
      <c r="A120" s="230" t="s">
        <v>42</v>
      </c>
      <c r="B120" s="281" t="s">
        <v>33</v>
      </c>
      <c r="C120" s="354"/>
      <c r="D120" s="360" t="s">
        <v>55</v>
      </c>
      <c r="E120" s="262"/>
      <c r="F120" s="263">
        <v>8.6</v>
      </c>
      <c r="G120" s="282">
        <f>SUM(G116:G119)</f>
        <v>2.09</v>
      </c>
      <c r="H120" s="264">
        <f>IF(F120&lt;=30,(1.07*F120+2.68)*G120,((1.07*30+2.68)+1.07*(F120-30))*G120)</f>
        <v>24.833379999999998</v>
      </c>
      <c r="I120" s="265">
        <v>0</v>
      </c>
      <c r="J120" s="265"/>
      <c r="K120" s="266">
        <f t="shared" si="85"/>
        <v>0</v>
      </c>
      <c r="L120" s="259" t="s">
        <v>15</v>
      </c>
      <c r="M120" s="361"/>
      <c r="N120" s="502">
        <f t="shared" si="84"/>
        <v>0</v>
      </c>
      <c r="O120" s="253">
        <f t="shared" si="86"/>
        <v>0</v>
      </c>
      <c r="P120" s="666"/>
      <c r="Q120" s="674"/>
      <c r="R120" s="676">
        <f t="shared" si="78"/>
        <v>0</v>
      </c>
      <c r="S120" s="159"/>
      <c r="T120" s="161" t="s">
        <v>188</v>
      </c>
      <c r="U120" s="188" t="str">
        <f>IF(T120="X","x",IF(T120="xx","x",IF(T120="xy","x",IF(T120="y","x",IF(OR(O120&gt;0,#REF!&gt;0),"x","")))))</f>
        <v>x</v>
      </c>
      <c r="V120" s="188" t="str">
        <f>IF(T120="X","x",IF(T120="y","x",IF(T120="xx","x",IF(#REF!&gt;0,"x",""))))</f>
        <v>x</v>
      </c>
      <c r="W120" s="188" t="str">
        <f>IF(T120="X","x",IF(#REF!&gt;0,"x",""))</f>
        <v>x</v>
      </c>
    </row>
    <row r="121" spans="1:24" ht="12" thickBot="1" x14ac:dyDescent="0.25">
      <c r="A121" s="230"/>
      <c r="B121" s="537" t="s">
        <v>412</v>
      </c>
      <c r="C121" s="538"/>
      <c r="D121" s="539" t="s">
        <v>252</v>
      </c>
      <c r="E121" s="540"/>
      <c r="F121" s="541"/>
      <c r="G121" s="542"/>
      <c r="H121" s="543"/>
      <c r="I121" s="544"/>
      <c r="J121" s="544"/>
      <c r="K121" s="545"/>
      <c r="L121" s="546"/>
      <c r="M121" s="547"/>
      <c r="N121" s="523"/>
      <c r="O121" s="524">
        <f>SUM(O122)</f>
        <v>12270.68</v>
      </c>
      <c r="P121" s="666"/>
      <c r="Q121" s="674"/>
      <c r="R121" s="676">
        <f t="shared" si="78"/>
        <v>0</v>
      </c>
      <c r="S121" s="159"/>
      <c r="T121" s="161" t="s">
        <v>188</v>
      </c>
      <c r="U121" s="188" t="s">
        <v>188</v>
      </c>
      <c r="V121" s="188" t="str">
        <f>IF(T121="X","x",IF(T121="y","x",IF(T121="xx","x",IF(#REF!&gt;0,"x",""))))</f>
        <v>x</v>
      </c>
      <c r="W121" s="188" t="str">
        <f>IF(T121="X","x",IF(#REF!&gt;0,"x",""))</f>
        <v>x</v>
      </c>
    </row>
    <row r="122" spans="1:24" ht="23.25" thickBot="1" x14ac:dyDescent="0.25">
      <c r="A122" s="230"/>
      <c r="B122" s="409">
        <v>103341</v>
      </c>
      <c r="C122" s="410" t="s">
        <v>134</v>
      </c>
      <c r="D122" s="362" t="s">
        <v>253</v>
      </c>
      <c r="E122" s="346"/>
      <c r="F122" s="411"/>
      <c r="G122" s="412"/>
      <c r="H122" s="283"/>
      <c r="I122" s="383">
        <v>138.62</v>
      </c>
      <c r="J122" s="383">
        <f>IF(ISBLANK(I122),"",SUM(H122:I122))</f>
        <v>138.62</v>
      </c>
      <c r="K122" s="364">
        <f>IF(ISBLANK(I122),0,ROUND(J122*(1+$F$10)*(1+$F$11*E122),2))</f>
        <v>165.82</v>
      </c>
      <c r="L122" s="388" t="s">
        <v>17</v>
      </c>
      <c r="M122" s="502">
        <v>74</v>
      </c>
      <c r="N122" s="502">
        <f>K122</f>
        <v>165.82</v>
      </c>
      <c r="O122" s="389">
        <f>IF(ISBLANK(N122),0,ROUND(M122*N122,2))</f>
        <v>12270.68</v>
      </c>
      <c r="P122" s="666"/>
      <c r="Q122" s="674"/>
      <c r="R122" s="676">
        <f t="shared" si="78"/>
        <v>0</v>
      </c>
      <c r="S122" s="159"/>
      <c r="T122" s="161" t="s">
        <v>34</v>
      </c>
      <c r="U122" s="188" t="s">
        <v>188</v>
      </c>
      <c r="V122" s="188" t="s">
        <v>188</v>
      </c>
      <c r="W122" s="188" t="s">
        <v>188</v>
      </c>
    </row>
    <row r="123" spans="1:24" ht="12" thickBot="1" x14ac:dyDescent="0.25">
      <c r="A123" s="230"/>
      <c r="B123" s="537" t="s">
        <v>413</v>
      </c>
      <c r="C123" s="538"/>
      <c r="D123" s="581" t="s">
        <v>340</v>
      </c>
      <c r="E123" s="582"/>
      <c r="F123" s="544"/>
      <c r="G123" s="583"/>
      <c r="H123" s="544"/>
      <c r="I123" s="544"/>
      <c r="J123" s="544"/>
      <c r="K123" s="545"/>
      <c r="L123" s="544"/>
      <c r="M123" s="523"/>
      <c r="N123" s="523"/>
      <c r="O123" s="524">
        <f>SUM(O124:O125)</f>
        <v>3068.8</v>
      </c>
      <c r="P123" s="662"/>
      <c r="Q123" s="674"/>
      <c r="R123" s="676">
        <f t="shared" si="78"/>
        <v>0</v>
      </c>
      <c r="S123" s="159"/>
      <c r="T123" s="161" t="s">
        <v>188</v>
      </c>
      <c r="U123" s="188" t="s">
        <v>188</v>
      </c>
      <c r="V123" s="188" t="s">
        <v>188</v>
      </c>
      <c r="W123" s="188" t="s">
        <v>188</v>
      </c>
    </row>
    <row r="124" spans="1:24" ht="33.75" x14ac:dyDescent="0.2">
      <c r="A124" s="230"/>
      <c r="B124" s="133">
        <v>102722</v>
      </c>
      <c r="C124" s="133" t="s">
        <v>134</v>
      </c>
      <c r="D124" s="414" t="s">
        <v>396</v>
      </c>
      <c r="E124" s="468"/>
      <c r="F124" s="225"/>
      <c r="G124" s="415"/>
      <c r="H124" s="225"/>
      <c r="I124" s="225">
        <v>64.14</v>
      </c>
      <c r="J124" s="225">
        <f>IF(ISBLANK(I124),"",SUM(H124:I124))</f>
        <v>64.14</v>
      </c>
      <c r="K124" s="226">
        <f>IF(ISBLANK(I124),0,ROUND(J124*(1+$F$10)*(1+$F$11*E124),2))</f>
        <v>76.72</v>
      </c>
      <c r="L124" s="225" t="s">
        <v>17</v>
      </c>
      <c r="M124" s="382">
        <v>40</v>
      </c>
      <c r="N124" s="382">
        <f>K124</f>
        <v>76.72</v>
      </c>
      <c r="O124" s="228">
        <f>IF(ISBLANK(N124),0,ROUND(M124*N124,2))</f>
        <v>3068.8</v>
      </c>
      <c r="P124" s="662"/>
      <c r="Q124" s="674"/>
      <c r="R124" s="676">
        <f t="shared" si="78"/>
        <v>0</v>
      </c>
      <c r="S124" s="159"/>
      <c r="T124" s="161" t="s">
        <v>188</v>
      </c>
      <c r="U124" s="188" t="s">
        <v>188</v>
      </c>
      <c r="V124" s="188" t="s">
        <v>188</v>
      </c>
      <c r="W124" s="188" t="s">
        <v>188</v>
      </c>
    </row>
    <row r="125" spans="1:24" ht="12" thickBot="1" x14ac:dyDescent="0.25">
      <c r="A125" s="230"/>
      <c r="B125" s="409"/>
      <c r="C125" s="410"/>
      <c r="D125" s="362"/>
      <c r="E125" s="346"/>
      <c r="F125" s="411"/>
      <c r="G125" s="412"/>
      <c r="H125" s="283"/>
      <c r="I125" s="383"/>
      <c r="J125" s="383"/>
      <c r="K125" s="364"/>
      <c r="L125" s="388"/>
      <c r="M125" s="580"/>
      <c r="N125" s="502"/>
      <c r="O125" s="413"/>
      <c r="P125" s="666"/>
      <c r="Q125" s="674"/>
      <c r="R125" s="676"/>
      <c r="S125" s="159"/>
      <c r="T125" s="161" t="s">
        <v>188</v>
      </c>
      <c r="U125" s="188" t="s">
        <v>188</v>
      </c>
      <c r="V125" s="188" t="s">
        <v>188</v>
      </c>
      <c r="W125" s="188" t="s">
        <v>188</v>
      </c>
    </row>
    <row r="126" spans="1:24" ht="12" thickBot="1" x14ac:dyDescent="0.25">
      <c r="A126" s="230"/>
      <c r="B126" s="469">
        <v>10</v>
      </c>
      <c r="C126" s="470"/>
      <c r="D126" s="471" t="s">
        <v>254</v>
      </c>
      <c r="E126" s="472"/>
      <c r="F126" s="473"/>
      <c r="G126" s="474"/>
      <c r="H126" s="475"/>
      <c r="I126" s="476"/>
      <c r="J126" s="476"/>
      <c r="K126" s="477"/>
      <c r="L126" s="478"/>
      <c r="M126" s="479"/>
      <c r="N126" s="480"/>
      <c r="O126" s="481"/>
      <c r="P126" s="488">
        <f>SUM(O127:O133)</f>
        <v>877510.41999999993</v>
      </c>
      <c r="Q126" s="668"/>
      <c r="R126" s="678"/>
      <c r="S126" s="677">
        <f>SUM(R127:R134)</f>
        <v>0</v>
      </c>
      <c r="T126" s="161" t="s">
        <v>188</v>
      </c>
      <c r="U126" s="188" t="s">
        <v>188</v>
      </c>
      <c r="V126" s="188" t="s">
        <v>188</v>
      </c>
      <c r="W126" s="188" t="s">
        <v>188</v>
      </c>
      <c r="X126" s="162" t="s">
        <v>372</v>
      </c>
    </row>
    <row r="127" spans="1:24" x14ac:dyDescent="0.2">
      <c r="A127" s="230" t="s">
        <v>42</v>
      </c>
      <c r="B127" s="352" t="s">
        <v>277</v>
      </c>
      <c r="C127" s="353" t="s">
        <v>47</v>
      </c>
      <c r="D127" s="240" t="s">
        <v>356</v>
      </c>
      <c r="E127" s="355"/>
      <c r="F127" s="356"/>
      <c r="G127" s="357"/>
      <c r="H127" s="358"/>
      <c r="I127" s="225">
        <v>625.19000000000005</v>
      </c>
      <c r="J127" s="225">
        <f>IF(ISBLANK(I127),"",SUM(H127:I127))</f>
        <v>625.19000000000005</v>
      </c>
      <c r="K127" s="226">
        <f>IF(ISBLANK(I127),0,ROUND(J127*(1+$F$10)*(1+$F$11*E127),2))</f>
        <v>747.85</v>
      </c>
      <c r="L127" s="227" t="s">
        <v>17</v>
      </c>
      <c r="M127" s="382">
        <v>1060</v>
      </c>
      <c r="N127" s="382">
        <f>K127</f>
        <v>747.85</v>
      </c>
      <c r="O127" s="228">
        <f>IF(ISBLANK(N127),0,ROUND(M127*N127,2))</f>
        <v>792721</v>
      </c>
      <c r="P127" s="666"/>
      <c r="Q127" s="674"/>
      <c r="R127" s="676">
        <f t="shared" si="78"/>
        <v>0</v>
      </c>
      <c r="S127" s="159"/>
      <c r="T127" s="161" t="s">
        <v>34</v>
      </c>
      <c r="U127" s="188" t="str">
        <f>IF(T127="X","x",IF(T127="xx","x",IF(T127="xy","x",IF(T127="y","x",IF(OR(O127&gt;0,#REF!&gt;0),"x","")))))</f>
        <v>x</v>
      </c>
      <c r="V127" s="188" t="str">
        <f>IF(T127="X","x",IF(T127="y","x",IF(T127="xx","x",IF(#REF!&gt;0,"x",""))))</f>
        <v>x</v>
      </c>
      <c r="W127" s="188" t="str">
        <f>IF(T127="X","x",IF(#REF!&gt;0,"x",""))</f>
        <v>x</v>
      </c>
    </row>
    <row r="128" spans="1:24" ht="22.5" x14ac:dyDescent="0.2">
      <c r="A128" s="230" t="s">
        <v>42</v>
      </c>
      <c r="B128" s="173">
        <v>95875</v>
      </c>
      <c r="C128" s="134" t="s">
        <v>134</v>
      </c>
      <c r="D128" s="135" t="s">
        <v>278</v>
      </c>
      <c r="E128" s="137"/>
      <c r="F128" s="143"/>
      <c r="G128" s="141"/>
      <c r="H128" s="142"/>
      <c r="I128" s="225">
        <v>2.54</v>
      </c>
      <c r="J128" s="156">
        <f>IF(ISBLANK(I128),"",SUM(H128:I128))</f>
        <v>2.54</v>
      </c>
      <c r="K128" s="157">
        <f>IF(ISBLANK(I128),0,ROUND(J128*(1+$F$10)*(1+$F$11*E128),2))</f>
        <v>3.04</v>
      </c>
      <c r="L128" s="158" t="s">
        <v>255</v>
      </c>
      <c r="M128" s="382">
        <f>ROUND(M127*8.6,2)</f>
        <v>9116</v>
      </c>
      <c r="N128" s="382">
        <f>K128</f>
        <v>3.04</v>
      </c>
      <c r="O128" s="159">
        <f>IF(ISBLANK(N128),0,ROUND(M128*N128,2))</f>
        <v>27712.639999999999</v>
      </c>
      <c r="P128" s="666"/>
      <c r="Q128" s="674"/>
      <c r="R128" s="676">
        <f t="shared" si="78"/>
        <v>0</v>
      </c>
      <c r="S128" s="159"/>
      <c r="T128" s="161" t="s">
        <v>34</v>
      </c>
      <c r="U128" s="188" t="str">
        <f>IF(T128="X","x",IF(T128="xx","x",IF(T128="xy","x",IF(T128="y","x",IF(OR(O128&gt;0,#REF!&gt;0),"x","")))))</f>
        <v>x</v>
      </c>
      <c r="V128" s="188" t="str">
        <f>IF(T128="X","x",IF(T128="y","x",IF(T128="xx","x",IF(#REF!&gt;0,"x",""))))</f>
        <v>x</v>
      </c>
      <c r="W128" s="188" t="str">
        <f>IF(T128="X","x",IF(#REF!&gt;0,"x",""))</f>
        <v>x</v>
      </c>
    </row>
    <row r="129" spans="1:23" x14ac:dyDescent="0.2">
      <c r="A129" s="230"/>
      <c r="B129" s="173">
        <v>653600</v>
      </c>
      <c r="C129" s="353" t="s">
        <v>47</v>
      </c>
      <c r="D129" s="254" t="s">
        <v>284</v>
      </c>
      <c r="E129" s="359"/>
      <c r="F129" s="143"/>
      <c r="G129" s="141"/>
      <c r="H129" s="142"/>
      <c r="I129" s="225">
        <v>61.2</v>
      </c>
      <c r="J129" s="156">
        <f>IF(ISBLANK(I129),"",SUM(H129:I129))</f>
        <v>61.2</v>
      </c>
      <c r="K129" s="157">
        <f>IF(ISBLANK(I129),0,ROUND(J129*(1+$F$10)*(1+$F$11*E129),2))</f>
        <v>73.209999999999994</v>
      </c>
      <c r="L129" s="158" t="s">
        <v>18</v>
      </c>
      <c r="M129" s="382">
        <v>210</v>
      </c>
      <c r="N129" s="382">
        <f>K129</f>
        <v>73.209999999999994</v>
      </c>
      <c r="O129" s="159">
        <f>IF(ISBLANK(N129),0,ROUND(M129*N129,2))</f>
        <v>15374.1</v>
      </c>
      <c r="P129" s="666"/>
      <c r="Q129" s="674"/>
      <c r="R129" s="676">
        <f t="shared" si="78"/>
        <v>0</v>
      </c>
      <c r="S129" s="159"/>
      <c r="T129" s="161" t="s">
        <v>34</v>
      </c>
      <c r="U129" s="188" t="s">
        <v>34</v>
      </c>
      <c r="V129" s="188" t="s">
        <v>34</v>
      </c>
      <c r="W129" s="188" t="s">
        <v>34</v>
      </c>
    </row>
    <row r="130" spans="1:23" ht="22.5" x14ac:dyDescent="0.2">
      <c r="A130" s="230"/>
      <c r="B130" s="173">
        <v>90696</v>
      </c>
      <c r="C130" s="134" t="s">
        <v>134</v>
      </c>
      <c r="D130" s="254" t="s">
        <v>363</v>
      </c>
      <c r="E130" s="359"/>
      <c r="F130" s="143"/>
      <c r="G130" s="141"/>
      <c r="H130" s="142"/>
      <c r="I130" s="225">
        <v>158.35</v>
      </c>
      <c r="J130" s="156">
        <f t="shared" ref="J130:J131" si="87">IF(ISBLANK(I130),"",SUM(H130:I130))</f>
        <v>158.35</v>
      </c>
      <c r="K130" s="157">
        <f t="shared" ref="K130:K131" si="88">IF(ISBLANK(I130),0,ROUND(J130*(1+$F$10)*(1+$F$11*E130),2))</f>
        <v>189.42</v>
      </c>
      <c r="L130" s="158" t="s">
        <v>18</v>
      </c>
      <c r="M130" s="382">
        <v>20</v>
      </c>
      <c r="N130" s="382">
        <f t="shared" ref="N130:N131" si="89">K130</f>
        <v>189.42</v>
      </c>
      <c r="O130" s="159">
        <f t="shared" ref="O130:O131" si="90">IF(ISBLANK(N130),0,ROUND(M130*N130,2))</f>
        <v>3788.4</v>
      </c>
      <c r="P130" s="666"/>
      <c r="Q130" s="674"/>
      <c r="R130" s="676">
        <f t="shared" si="78"/>
        <v>0</v>
      </c>
      <c r="S130" s="159"/>
      <c r="T130" s="161" t="s">
        <v>34</v>
      </c>
      <c r="U130" s="188" t="s">
        <v>34</v>
      </c>
      <c r="V130" s="188" t="s">
        <v>34</v>
      </c>
      <c r="W130" s="188" t="s">
        <v>34</v>
      </c>
    </row>
    <row r="131" spans="1:23" ht="33.75" x14ac:dyDescent="0.2">
      <c r="A131" s="230"/>
      <c r="B131" s="281">
        <v>9836</v>
      </c>
      <c r="C131" s="354" t="s">
        <v>368</v>
      </c>
      <c r="D131" s="400" t="s">
        <v>360</v>
      </c>
      <c r="E131" s="363"/>
      <c r="F131" s="263"/>
      <c r="G131" s="282"/>
      <c r="H131" s="264"/>
      <c r="I131" s="383">
        <v>325.83999999999997</v>
      </c>
      <c r="J131" s="265">
        <f t="shared" si="87"/>
        <v>325.83999999999997</v>
      </c>
      <c r="K131" s="364">
        <f t="shared" si="88"/>
        <v>389.77</v>
      </c>
      <c r="L131" s="259" t="s">
        <v>191</v>
      </c>
      <c r="M131" s="502">
        <v>4</v>
      </c>
      <c r="N131" s="502">
        <f t="shared" si="89"/>
        <v>389.77</v>
      </c>
      <c r="O131" s="252">
        <f t="shared" si="90"/>
        <v>1559.08</v>
      </c>
      <c r="P131" s="666"/>
      <c r="Q131" s="674"/>
      <c r="R131" s="676">
        <f t="shared" si="78"/>
        <v>0</v>
      </c>
      <c r="S131" s="159"/>
      <c r="T131" s="161" t="s">
        <v>34</v>
      </c>
      <c r="U131" s="188" t="s">
        <v>34</v>
      </c>
      <c r="V131" s="188" t="s">
        <v>34</v>
      </c>
      <c r="W131" s="188" t="s">
        <v>34</v>
      </c>
    </row>
    <row r="132" spans="1:23" x14ac:dyDescent="0.2">
      <c r="A132" s="230"/>
      <c r="B132" s="281">
        <v>140046005</v>
      </c>
      <c r="C132" s="354" t="s">
        <v>259</v>
      </c>
      <c r="D132" s="400" t="s">
        <v>369</v>
      </c>
      <c r="E132" s="363"/>
      <c r="F132" s="263"/>
      <c r="G132" s="445"/>
      <c r="H132" s="156"/>
      <c r="I132" s="156">
        <v>47.51</v>
      </c>
      <c r="J132" s="156">
        <f t="shared" ref="J132" si="91">IF(ISBLANK(I132),"",SUM(H132:I132))</f>
        <v>47.51</v>
      </c>
      <c r="K132" s="157">
        <f t="shared" ref="K132" si="92">IF(ISBLANK(I132),0,ROUND(J132*(1+$F$10)*(1+$F$11*E132),2))</f>
        <v>56.83</v>
      </c>
      <c r="L132" s="156" t="s">
        <v>191</v>
      </c>
      <c r="M132" s="501">
        <v>4</v>
      </c>
      <c r="N132" s="501">
        <f t="shared" ref="N132" si="93">K132</f>
        <v>56.83</v>
      </c>
      <c r="O132" s="159">
        <f t="shared" ref="O132" si="94">IF(ISBLANK(N132),0,ROUND(M132*N132,2))</f>
        <v>227.32</v>
      </c>
      <c r="P132" s="662"/>
      <c r="Q132" s="674"/>
      <c r="R132" s="676">
        <f t="shared" si="78"/>
        <v>0</v>
      </c>
      <c r="S132" s="159"/>
      <c r="T132" s="161" t="s">
        <v>34</v>
      </c>
      <c r="U132" s="188" t="s">
        <v>34</v>
      </c>
      <c r="V132" s="188" t="s">
        <v>34</v>
      </c>
      <c r="W132" s="188" t="s">
        <v>34</v>
      </c>
    </row>
    <row r="133" spans="1:23" ht="33.75" x14ac:dyDescent="0.2">
      <c r="A133" s="230" t="s">
        <v>42</v>
      </c>
      <c r="B133" s="172" t="s">
        <v>370</v>
      </c>
      <c r="C133" s="134" t="s">
        <v>134</v>
      </c>
      <c r="D133" s="393" t="s">
        <v>371</v>
      </c>
      <c r="E133" s="398"/>
      <c r="F133" s="237"/>
      <c r="G133" s="399"/>
      <c r="H133" s="237"/>
      <c r="I133" s="156">
        <v>70.510000000000005</v>
      </c>
      <c r="J133" s="156">
        <f t="shared" ref="J133" si="95">IF(ISBLANK(I133),"",SUM(H133:I133))</f>
        <v>70.510000000000005</v>
      </c>
      <c r="K133" s="157">
        <f t="shared" ref="K133" si="96">IF(ISBLANK(I133),0,ROUND(J133*(1+$F$10)*(1+$F$11*E133),2))</f>
        <v>84.34</v>
      </c>
      <c r="L133" s="156" t="s">
        <v>15</v>
      </c>
      <c r="M133" s="501">
        <v>428.36</v>
      </c>
      <c r="N133" s="501">
        <f t="shared" ref="N133" si="97">K133</f>
        <v>84.34</v>
      </c>
      <c r="O133" s="159">
        <f t="shared" ref="O133" si="98">IF(ISBLANK(N133),0,ROUND(M133*N133,2))</f>
        <v>36127.879999999997</v>
      </c>
      <c r="P133" s="662"/>
      <c r="Q133" s="674"/>
      <c r="R133" s="676">
        <f t="shared" si="78"/>
        <v>0</v>
      </c>
      <c r="S133" s="159"/>
      <c r="T133" s="161" t="s">
        <v>188</v>
      </c>
      <c r="U133" s="188" t="str">
        <f>IF(T133="X","x",IF(T133="xx","x",IF(T133="xy","x",IF(T133="y","x",IF(OR(O133&gt;0,#REF!&gt;0),"x","")))))</f>
        <v>x</v>
      </c>
      <c r="V133" s="188" t="str">
        <f>IF(T133="X","x",IF(T133="y","x",IF(T133="xx","x",IF(#REF!&gt;0,"x",""))))</f>
        <v>x</v>
      </c>
      <c r="W133" s="188" t="str">
        <f>IF(T133="X","x",IF(#REF!&gt;0,"x",""))</f>
        <v>x</v>
      </c>
    </row>
    <row r="134" spans="1:23" ht="12" thickBot="1" x14ac:dyDescent="0.25">
      <c r="A134" s="230"/>
      <c r="B134" s="372"/>
      <c r="C134" s="354"/>
      <c r="D134" s="463"/>
      <c r="E134" s="447"/>
      <c r="F134" s="248"/>
      <c r="G134" s="448"/>
      <c r="H134" s="248"/>
      <c r="I134" s="265"/>
      <c r="J134" s="265"/>
      <c r="K134" s="266"/>
      <c r="L134" s="265"/>
      <c r="M134" s="462"/>
      <c r="N134" s="462"/>
      <c r="O134" s="252"/>
      <c r="P134" s="662"/>
      <c r="Q134" s="674"/>
      <c r="R134" s="676">
        <f t="shared" si="78"/>
        <v>0</v>
      </c>
      <c r="S134" s="159"/>
      <c r="U134" s="188"/>
      <c r="V134" s="188"/>
      <c r="W134" s="188"/>
    </row>
    <row r="135" spans="1:23" ht="12" thickBot="1" x14ac:dyDescent="0.25">
      <c r="A135" s="230" t="s">
        <v>42</v>
      </c>
      <c r="B135" s="482">
        <v>11</v>
      </c>
      <c r="C135" s="483"/>
      <c r="D135" s="484" t="s">
        <v>256</v>
      </c>
      <c r="E135" s="485"/>
      <c r="F135" s="486"/>
      <c r="G135" s="487"/>
      <c r="H135" s="488"/>
      <c r="I135" s="489"/>
      <c r="J135" s="477" t="str">
        <f t="shared" ref="J135:J144" si="99">IF(ISBLANK(I135),"",SUM(H135:I135))</f>
        <v/>
      </c>
      <c r="K135" s="477">
        <f t="shared" ref="K135" si="100">IF(ISBLANK(I135),0,ROUND(J135*(1+$F$10)*(1+$F$11*E135),2))</f>
        <v>0</v>
      </c>
      <c r="L135" s="490"/>
      <c r="M135" s="488"/>
      <c r="N135" s="491">
        <f t="shared" ref="N135:N191" si="101">K135</f>
        <v>0</v>
      </c>
      <c r="O135" s="492"/>
      <c r="P135" s="488">
        <f>SUM(O137:O152)</f>
        <v>260540.01</v>
      </c>
      <c r="Q135" s="668"/>
      <c r="R135" s="678"/>
      <c r="S135" s="677">
        <f>SUM(R136:R152)</f>
        <v>0</v>
      </c>
      <c r="T135" s="224" t="s">
        <v>188</v>
      </c>
      <c r="U135" s="188" t="str">
        <f>IF(T135="X","x",IF(T135="xx","x",IF(T135="xy","x",IF(T135="y","x",IF(OR(O135&gt;0,#REF!&gt;0),"x","")))))</f>
        <v>x</v>
      </c>
      <c r="V135" s="188" t="str">
        <f>IF(T135="X","x",IF(T135="y","x",IF(T135="xx","x",IF(#REF!&gt;0,"x",""))))</f>
        <v>x</v>
      </c>
      <c r="W135" s="188" t="str">
        <f>IF(T135="X","x",IF(#REF!&gt;0,"x",""))</f>
        <v>x</v>
      </c>
    </row>
    <row r="136" spans="1:23" ht="22.5" x14ac:dyDescent="0.2">
      <c r="A136" s="230"/>
      <c r="B136" s="133">
        <v>2001039</v>
      </c>
      <c r="C136" s="353" t="s">
        <v>259</v>
      </c>
      <c r="D136" s="437" t="s">
        <v>397</v>
      </c>
      <c r="E136" s="438"/>
      <c r="F136" s="439"/>
      <c r="G136" s="440"/>
      <c r="H136" s="439"/>
      <c r="I136" s="441">
        <v>2.36</v>
      </c>
      <c r="J136" s="225">
        <f t="shared" ref="J136" si="102">IF(ISBLANK(I136),"",SUM(H136:I136))</f>
        <v>2.36</v>
      </c>
      <c r="K136" s="226">
        <f>IF(ISBLANK(I136),0,ROUND(J136*(1+$F$10)*(1+$F$11*E136),2))</f>
        <v>2.82</v>
      </c>
      <c r="L136" s="227" t="s">
        <v>18</v>
      </c>
      <c r="M136" s="382">
        <f>M140+M141</f>
        <v>3210</v>
      </c>
      <c r="N136" s="382">
        <f t="shared" si="101"/>
        <v>2.82</v>
      </c>
      <c r="O136" s="228">
        <f t="shared" ref="O136" si="103">IF(ISBLANK(N136),0,ROUND(M136*N136,2))</f>
        <v>9052.2000000000007</v>
      </c>
      <c r="P136" s="663"/>
      <c r="Q136" s="675"/>
      <c r="R136" s="676">
        <f t="shared" si="78"/>
        <v>0</v>
      </c>
      <c r="S136" s="403"/>
      <c r="T136" s="224" t="s">
        <v>34</v>
      </c>
      <c r="U136" s="188" t="s">
        <v>34</v>
      </c>
      <c r="V136" s="188" t="s">
        <v>34</v>
      </c>
      <c r="W136" s="188" t="s">
        <v>34</v>
      </c>
    </row>
    <row r="137" spans="1:23" x14ac:dyDescent="0.2">
      <c r="A137" s="230"/>
      <c r="B137" s="352" t="s">
        <v>258</v>
      </c>
      <c r="C137" s="353" t="s">
        <v>259</v>
      </c>
      <c r="D137" s="240" t="s">
        <v>260</v>
      </c>
      <c r="E137" s="355"/>
      <c r="F137" s="356"/>
      <c r="G137" s="357"/>
      <c r="H137" s="358"/>
      <c r="I137" s="225">
        <v>18.05</v>
      </c>
      <c r="J137" s="225">
        <f t="shared" ref="J137" si="104">IF(ISBLANK(I137),"",SUM(H137:I137))</f>
        <v>18.05</v>
      </c>
      <c r="K137" s="226">
        <f>IF(ISBLANK(I137),0,ROUND(J137*(1+$F$10)*(1+$F$11*E137),2))</f>
        <v>21.59</v>
      </c>
      <c r="L137" s="227" t="s">
        <v>15</v>
      </c>
      <c r="M137" s="382">
        <v>1155.5999999999999</v>
      </c>
      <c r="N137" s="382">
        <f t="shared" si="101"/>
        <v>21.59</v>
      </c>
      <c r="O137" s="228">
        <f t="shared" ref="O137:O139" si="105">IF(ISBLANK(N137),0,ROUND(M137*N137,2))</f>
        <v>24949.4</v>
      </c>
      <c r="P137" s="663"/>
      <c r="Q137" s="675"/>
      <c r="R137" s="676">
        <f t="shared" si="78"/>
        <v>0</v>
      </c>
      <c r="S137" s="403"/>
      <c r="T137" s="224" t="s">
        <v>188</v>
      </c>
      <c r="U137" s="188" t="s">
        <v>188</v>
      </c>
      <c r="V137" s="188" t="s">
        <v>188</v>
      </c>
      <c r="W137" s="188" t="s">
        <v>188</v>
      </c>
    </row>
    <row r="138" spans="1:23" x14ac:dyDescent="0.2">
      <c r="A138" s="230"/>
      <c r="B138" s="173" t="s">
        <v>203</v>
      </c>
      <c r="C138" s="134" t="s">
        <v>47</v>
      </c>
      <c r="D138" s="135" t="s">
        <v>67</v>
      </c>
      <c r="E138" s="137"/>
      <c r="F138" s="143"/>
      <c r="G138" s="141"/>
      <c r="H138" s="142"/>
      <c r="I138" s="156">
        <v>15.95</v>
      </c>
      <c r="J138" s="156">
        <f>IF(ISBLANK(I138),"",SUM(H138:I138))*0.9</f>
        <v>14.355</v>
      </c>
      <c r="K138" s="157">
        <f t="shared" ref="K138" si="106">IF(ISBLANK(I138),0,ROUND(J138*(1+$F$10)*(1+$F$11*E138),2))</f>
        <v>17.170000000000002</v>
      </c>
      <c r="L138" s="158" t="s">
        <v>15</v>
      </c>
      <c r="M138" s="382">
        <f>M137-((3.14*0.0315^2*M137)+(3.14*0.01^2*M141))</f>
        <v>1151.8582375259998</v>
      </c>
      <c r="N138" s="382">
        <f t="shared" si="101"/>
        <v>17.170000000000002</v>
      </c>
      <c r="O138" s="159">
        <f t="shared" si="105"/>
        <v>19777.41</v>
      </c>
      <c r="P138" s="663"/>
      <c r="Q138" s="675"/>
      <c r="R138" s="676">
        <f t="shared" si="78"/>
        <v>0</v>
      </c>
      <c r="S138" s="403"/>
      <c r="T138" s="224" t="s">
        <v>188</v>
      </c>
      <c r="U138" s="188" t="s">
        <v>188</v>
      </c>
      <c r="V138" s="188" t="s">
        <v>188</v>
      </c>
      <c r="W138" s="188" t="s">
        <v>188</v>
      </c>
    </row>
    <row r="139" spans="1:23" x14ac:dyDescent="0.2">
      <c r="A139" s="230"/>
      <c r="B139" s="175">
        <v>4014002</v>
      </c>
      <c r="C139" s="353" t="s">
        <v>259</v>
      </c>
      <c r="D139" s="376" t="s">
        <v>298</v>
      </c>
      <c r="E139" s="375"/>
      <c r="F139" s="138"/>
      <c r="G139" s="139"/>
      <c r="H139" s="229"/>
      <c r="I139" s="156">
        <v>6.7</v>
      </c>
      <c r="J139" s="156">
        <f t="shared" ref="J139" si="107">IF(ISBLANK(I139),"",SUM(H139:I139))</f>
        <v>6.7</v>
      </c>
      <c r="K139" s="157">
        <f>IF(ISBLANK(I139),0,ROUND(J139*(1+$F$10)*(1+$F$11*E139),2))</f>
        <v>8.01</v>
      </c>
      <c r="L139" s="158" t="s">
        <v>15</v>
      </c>
      <c r="M139" s="382">
        <f>M138</f>
        <v>1151.8582375259998</v>
      </c>
      <c r="N139" s="382">
        <f t="shared" si="101"/>
        <v>8.01</v>
      </c>
      <c r="O139" s="159">
        <f t="shared" si="105"/>
        <v>9226.3799999999992</v>
      </c>
      <c r="P139" s="663"/>
      <c r="Q139" s="675"/>
      <c r="R139" s="676">
        <f t="shared" si="78"/>
        <v>0</v>
      </c>
      <c r="S139" s="403"/>
      <c r="T139" s="224" t="s">
        <v>188</v>
      </c>
      <c r="U139" s="188" t="s">
        <v>188</v>
      </c>
      <c r="V139" s="188" t="s">
        <v>188</v>
      </c>
      <c r="W139" s="188" t="s">
        <v>188</v>
      </c>
    </row>
    <row r="140" spans="1:23" ht="45" x14ac:dyDescent="0.2">
      <c r="A140" s="230"/>
      <c r="B140" s="173">
        <v>103374</v>
      </c>
      <c r="C140" s="134" t="s">
        <v>134</v>
      </c>
      <c r="D140" s="393" t="s">
        <v>315</v>
      </c>
      <c r="E140" s="398"/>
      <c r="F140" s="401"/>
      <c r="G140" s="402"/>
      <c r="H140" s="403"/>
      <c r="I140" s="156">
        <v>46.43</v>
      </c>
      <c r="J140" s="156">
        <f t="shared" ref="J140" si="108">IF(ISBLANK(I140),"",SUM(H140:I140))</f>
        <v>46.43</v>
      </c>
      <c r="K140" s="157">
        <f t="shared" ref="K140" si="109">IF(ISBLANK(I140),0,ROUND(J140*(1+$F$10)*(1+$F$11*E140),2))</f>
        <v>55.54</v>
      </c>
      <c r="L140" s="158" t="s">
        <v>18</v>
      </c>
      <c r="M140" s="382">
        <v>2760</v>
      </c>
      <c r="N140" s="382">
        <f t="shared" ref="N140" si="110">K140</f>
        <v>55.54</v>
      </c>
      <c r="O140" s="159">
        <f t="shared" ref="O140" si="111">IF(ISBLANK(N140),0,ROUND(M140*N140,2))</f>
        <v>153290.4</v>
      </c>
      <c r="P140" s="663"/>
      <c r="Q140" s="675"/>
      <c r="R140" s="676">
        <f t="shared" si="78"/>
        <v>0</v>
      </c>
      <c r="S140" s="403"/>
      <c r="T140" s="224" t="s">
        <v>188</v>
      </c>
      <c r="U140" s="188" t="s">
        <v>188</v>
      </c>
      <c r="V140" s="188" t="s">
        <v>188</v>
      </c>
      <c r="W140" s="188" t="s">
        <v>188</v>
      </c>
    </row>
    <row r="141" spans="1:23" ht="39" customHeight="1" x14ac:dyDescent="0.2">
      <c r="A141" s="230"/>
      <c r="B141" s="172" t="s">
        <v>318</v>
      </c>
      <c r="C141" s="134" t="s">
        <v>134</v>
      </c>
      <c r="D141" s="404" t="s">
        <v>341</v>
      </c>
      <c r="E141" s="398"/>
      <c r="F141" s="237"/>
      <c r="G141" s="399"/>
      <c r="H141" s="234"/>
      <c r="I141" s="156">
        <v>5.32</v>
      </c>
      <c r="J141" s="156">
        <f>IF(ISBLANK(I141),"",SUM(H141:I141))</f>
        <v>5.32</v>
      </c>
      <c r="K141" s="157">
        <f>IF(ISBLANK(I141),0,ROUND(J141*(1+$F$10)*(1+$F$11*E141),2))</f>
        <v>6.36</v>
      </c>
      <c r="L141" s="158" t="s">
        <v>18</v>
      </c>
      <c r="M141" s="501">
        <v>450</v>
      </c>
      <c r="N141" s="501">
        <f>K141</f>
        <v>6.36</v>
      </c>
      <c r="O141" s="159">
        <f t="shared" ref="O141" si="112">IF(ISBLANK(N141),0,ROUND(M141*N141,2))</f>
        <v>2862</v>
      </c>
      <c r="P141" s="662"/>
      <c r="Q141" s="674"/>
      <c r="R141" s="676">
        <f t="shared" si="78"/>
        <v>0</v>
      </c>
      <c r="S141" s="159"/>
      <c r="T141" s="161" t="s">
        <v>188</v>
      </c>
      <c r="U141" s="188" t="s">
        <v>188</v>
      </c>
      <c r="V141" s="188" t="s">
        <v>188</v>
      </c>
      <c r="W141" s="188" t="s">
        <v>188</v>
      </c>
    </row>
    <row r="142" spans="1:23" ht="22.5" x14ac:dyDescent="0.2">
      <c r="A142" s="230" t="s">
        <v>42</v>
      </c>
      <c r="B142" s="134">
        <v>104039</v>
      </c>
      <c r="C142" s="134" t="s">
        <v>134</v>
      </c>
      <c r="D142" s="393" t="s">
        <v>242</v>
      </c>
      <c r="E142" s="233"/>
      <c r="F142" s="234"/>
      <c r="G142" s="235"/>
      <c r="H142" s="236"/>
      <c r="I142" s="156">
        <v>74.510000000000005</v>
      </c>
      <c r="J142" s="238">
        <f t="shared" si="99"/>
        <v>74.510000000000005</v>
      </c>
      <c r="K142" s="157">
        <f t="shared" ref="K142:K143" si="113">IF(ISBLANK(J142),0,ROUND(J142*(1+$F$10)*(1+$F$11*E142),2))</f>
        <v>89.13</v>
      </c>
      <c r="L142" s="416" t="s">
        <v>20</v>
      </c>
      <c r="M142" s="501">
        <v>222</v>
      </c>
      <c r="N142" s="501">
        <f t="shared" si="101"/>
        <v>89.13</v>
      </c>
      <c r="O142" s="159">
        <f t="shared" ref="O142:O152" si="114">IF(ISBLANK(N142),0,ROUND(M142*N142,2))</f>
        <v>19786.86</v>
      </c>
      <c r="P142" s="666"/>
      <c r="Q142" s="674"/>
      <c r="R142" s="676">
        <f t="shared" si="78"/>
        <v>0</v>
      </c>
      <c r="S142" s="159"/>
      <c r="T142" s="161" t="s">
        <v>34</v>
      </c>
      <c r="U142" s="188" t="s">
        <v>34</v>
      </c>
      <c r="V142" s="188" t="s">
        <v>34</v>
      </c>
      <c r="W142" s="188" t="s">
        <v>34</v>
      </c>
    </row>
    <row r="143" spans="1:23" x14ac:dyDescent="0.2">
      <c r="A143" s="230" t="s">
        <v>42</v>
      </c>
      <c r="B143" s="417" t="s">
        <v>359</v>
      </c>
      <c r="C143" s="417" t="s">
        <v>265</v>
      </c>
      <c r="D143" s="393" t="s">
        <v>342</v>
      </c>
      <c r="E143" s="233"/>
      <c r="F143" s="234"/>
      <c r="G143" s="235"/>
      <c r="H143" s="236"/>
      <c r="I143" s="156">
        <v>94.81</v>
      </c>
      <c r="J143" s="238">
        <f t="shared" si="99"/>
        <v>94.81</v>
      </c>
      <c r="K143" s="226">
        <f t="shared" si="113"/>
        <v>113.41</v>
      </c>
      <c r="L143" s="416" t="s">
        <v>20</v>
      </c>
      <c r="M143" s="382">
        <v>24</v>
      </c>
      <c r="N143" s="382">
        <f t="shared" si="101"/>
        <v>113.41</v>
      </c>
      <c r="O143" s="159">
        <f t="shared" si="114"/>
        <v>2721.84</v>
      </c>
      <c r="P143" s="666"/>
      <c r="Q143" s="674"/>
      <c r="R143" s="676">
        <f t="shared" si="78"/>
        <v>0</v>
      </c>
      <c r="S143" s="159"/>
      <c r="T143" s="161" t="s">
        <v>188</v>
      </c>
      <c r="U143" s="188" t="s">
        <v>188</v>
      </c>
      <c r="V143" s="188" t="s">
        <v>188</v>
      </c>
      <c r="W143" s="188" t="s">
        <v>188</v>
      </c>
    </row>
    <row r="144" spans="1:23" x14ac:dyDescent="0.2">
      <c r="A144" s="230" t="s">
        <v>42</v>
      </c>
      <c r="B144" s="417" t="s">
        <v>359</v>
      </c>
      <c r="C144" s="417" t="s">
        <v>265</v>
      </c>
      <c r="D144" s="393" t="s">
        <v>343</v>
      </c>
      <c r="E144" s="233"/>
      <c r="F144" s="234"/>
      <c r="G144" s="235"/>
      <c r="H144" s="236"/>
      <c r="I144" s="156">
        <v>104.5</v>
      </c>
      <c r="J144" s="238">
        <f t="shared" si="99"/>
        <v>104.5</v>
      </c>
      <c r="K144" s="226">
        <f t="shared" ref="K144" si="115">IF(ISBLANK(J144),0,ROUND(J144*(1+$F$10)*(1+$F$11*E144),2))</f>
        <v>125</v>
      </c>
      <c r="L144" s="416" t="s">
        <v>20</v>
      </c>
      <c r="M144" s="382">
        <v>4</v>
      </c>
      <c r="N144" s="382">
        <f t="shared" ref="N144" si="116">K144</f>
        <v>125</v>
      </c>
      <c r="O144" s="159">
        <f t="shared" ref="O144" si="117">IF(ISBLANK(N144),0,ROUND(M144*N144,2))</f>
        <v>500</v>
      </c>
      <c r="P144" s="666"/>
      <c r="Q144" s="674"/>
      <c r="R144" s="676">
        <f t="shared" si="78"/>
        <v>0</v>
      </c>
      <c r="S144" s="159"/>
      <c r="T144" s="161" t="s">
        <v>188</v>
      </c>
      <c r="U144" s="188" t="s">
        <v>188</v>
      </c>
      <c r="V144" s="188" t="s">
        <v>188</v>
      </c>
      <c r="W144" s="188" t="s">
        <v>188</v>
      </c>
    </row>
    <row r="145" spans="1:24" x14ac:dyDescent="0.2">
      <c r="A145" s="230" t="s">
        <v>42</v>
      </c>
      <c r="B145" s="417" t="s">
        <v>359</v>
      </c>
      <c r="C145" s="417" t="s">
        <v>265</v>
      </c>
      <c r="D145" s="405" t="s">
        <v>344</v>
      </c>
      <c r="E145" s="233"/>
      <c r="F145" s="234"/>
      <c r="G145" s="235"/>
      <c r="H145" s="236"/>
      <c r="I145" s="156">
        <v>65.94</v>
      </c>
      <c r="J145" s="238">
        <f t="shared" ref="J145" si="118">IF(ISBLANK(I145),"",SUM(H145:I145))</f>
        <v>65.94</v>
      </c>
      <c r="K145" s="226">
        <f t="shared" ref="K145" si="119">IF(ISBLANK(J145),0,ROUND(J145*(1+$F$10)*(1+$F$11*E145),2))</f>
        <v>78.88</v>
      </c>
      <c r="L145" s="416" t="s">
        <v>20</v>
      </c>
      <c r="M145" s="382">
        <v>5</v>
      </c>
      <c r="N145" s="382">
        <f t="shared" ref="N145" si="120">K145</f>
        <v>78.88</v>
      </c>
      <c r="O145" s="159">
        <f t="shared" ref="O145" si="121">IF(ISBLANK(N145),0,ROUND(M145*N145,2))</f>
        <v>394.4</v>
      </c>
      <c r="P145" s="666"/>
      <c r="Q145" s="674"/>
      <c r="R145" s="676">
        <f t="shared" si="78"/>
        <v>0</v>
      </c>
      <c r="S145" s="159"/>
      <c r="T145" s="161" t="s">
        <v>188</v>
      </c>
      <c r="U145" s="188" t="s">
        <v>188</v>
      </c>
      <c r="V145" s="188" t="s">
        <v>188</v>
      </c>
      <c r="W145" s="188" t="s">
        <v>188</v>
      </c>
    </row>
    <row r="146" spans="1:24" x14ac:dyDescent="0.2">
      <c r="A146" s="230" t="s">
        <v>42</v>
      </c>
      <c r="B146" s="417" t="s">
        <v>359</v>
      </c>
      <c r="C146" s="417" t="s">
        <v>265</v>
      </c>
      <c r="D146" s="405" t="s">
        <v>345</v>
      </c>
      <c r="E146" s="233"/>
      <c r="F146" s="234"/>
      <c r="G146" s="235"/>
      <c r="H146" s="236"/>
      <c r="I146" s="156">
        <v>39.520000000000003</v>
      </c>
      <c r="J146" s="238">
        <f t="shared" ref="J146:J149" si="122">IF(ISBLANK(I146),"",SUM(H146:I146))</f>
        <v>39.520000000000003</v>
      </c>
      <c r="K146" s="226">
        <f t="shared" ref="K146:K147" si="123">IF(ISBLANK(J146),0,ROUND(J146*(1+$F$10)*(1+$F$11*E146),2))</f>
        <v>47.27</v>
      </c>
      <c r="L146" s="416" t="s">
        <v>20</v>
      </c>
      <c r="M146" s="382">
        <v>222</v>
      </c>
      <c r="N146" s="382">
        <f t="shared" ref="N146" si="124">K146</f>
        <v>47.27</v>
      </c>
      <c r="O146" s="159">
        <f t="shared" ref="O146" si="125">IF(ISBLANK(N146),0,ROUND(M146*N146,2))</f>
        <v>10493.94</v>
      </c>
      <c r="P146" s="666"/>
      <c r="Q146" s="674"/>
      <c r="R146" s="676">
        <f t="shared" si="78"/>
        <v>0</v>
      </c>
      <c r="S146" s="159"/>
      <c r="T146" s="161" t="s">
        <v>188</v>
      </c>
      <c r="U146" s="188" t="s">
        <v>188</v>
      </c>
      <c r="V146" s="188" t="s">
        <v>188</v>
      </c>
      <c r="W146" s="188" t="s">
        <v>188</v>
      </c>
    </row>
    <row r="147" spans="1:24" ht="22.5" x14ac:dyDescent="0.2">
      <c r="A147" s="230" t="s">
        <v>42</v>
      </c>
      <c r="B147" s="172" t="s">
        <v>310</v>
      </c>
      <c r="C147" s="353" t="s">
        <v>259</v>
      </c>
      <c r="D147" s="393" t="s">
        <v>317</v>
      </c>
      <c r="E147" s="233"/>
      <c r="F147" s="234"/>
      <c r="G147" s="235"/>
      <c r="H147" s="236"/>
      <c r="I147" s="156">
        <v>57.19</v>
      </c>
      <c r="J147" s="238">
        <f t="shared" si="122"/>
        <v>57.19</v>
      </c>
      <c r="K147" s="226">
        <f t="shared" si="123"/>
        <v>68.41</v>
      </c>
      <c r="L147" s="416" t="s">
        <v>20</v>
      </c>
      <c r="M147" s="382">
        <v>89</v>
      </c>
      <c r="N147" s="382">
        <f t="shared" si="101"/>
        <v>68.41</v>
      </c>
      <c r="O147" s="159">
        <f t="shared" si="114"/>
        <v>6088.49</v>
      </c>
      <c r="P147" s="666"/>
      <c r="Q147" s="674"/>
      <c r="R147" s="676">
        <f t="shared" si="78"/>
        <v>0</v>
      </c>
      <c r="S147" s="159"/>
      <c r="T147" s="161" t="s">
        <v>188</v>
      </c>
      <c r="U147" s="188" t="s">
        <v>188</v>
      </c>
      <c r="V147" s="188" t="s">
        <v>188</v>
      </c>
      <c r="W147" s="188" t="s">
        <v>188</v>
      </c>
    </row>
    <row r="148" spans="1:24" x14ac:dyDescent="0.2">
      <c r="A148" s="230" t="s">
        <v>42</v>
      </c>
      <c r="B148" s="417" t="s">
        <v>359</v>
      </c>
      <c r="C148" s="417" t="s">
        <v>265</v>
      </c>
      <c r="D148" s="443" t="s">
        <v>364</v>
      </c>
      <c r="E148" s="398"/>
      <c r="F148" s="237"/>
      <c r="G148" s="399"/>
      <c r="H148" s="237"/>
      <c r="I148" s="156">
        <v>105</v>
      </c>
      <c r="J148" s="156">
        <f t="shared" si="122"/>
        <v>105</v>
      </c>
      <c r="K148" s="157">
        <f t="shared" ref="K148:K149" si="126">IF(ISBLANK(I148),0,ROUND(J148*(1+$F$10)*(1+$F$11*E148),2))</f>
        <v>125.6</v>
      </c>
      <c r="L148" s="157" t="s">
        <v>18</v>
      </c>
      <c r="M148" s="501">
        <v>12</v>
      </c>
      <c r="N148" s="501">
        <f t="shared" si="101"/>
        <v>125.6</v>
      </c>
      <c r="O148" s="160">
        <f t="shared" si="114"/>
        <v>1507.2</v>
      </c>
      <c r="P148" s="666"/>
      <c r="Q148" s="674"/>
      <c r="R148" s="676">
        <f t="shared" ref="R148:R211" si="127">ROUND(Q148*M148,2)</f>
        <v>0</v>
      </c>
      <c r="S148" s="159"/>
      <c r="T148" s="161" t="s">
        <v>34</v>
      </c>
      <c r="U148" s="188" t="s">
        <v>34</v>
      </c>
      <c r="V148" s="188" t="s">
        <v>34</v>
      </c>
      <c r="W148" s="188" t="s">
        <v>34</v>
      </c>
    </row>
    <row r="149" spans="1:24" ht="45" x14ac:dyDescent="0.2">
      <c r="A149" s="230" t="s">
        <v>42</v>
      </c>
      <c r="B149" s="367" t="s">
        <v>366</v>
      </c>
      <c r="C149" s="353" t="s">
        <v>134</v>
      </c>
      <c r="D149" s="396" t="s">
        <v>365</v>
      </c>
      <c r="E149" s="398"/>
      <c r="F149" s="237"/>
      <c r="G149" s="399"/>
      <c r="H149" s="237"/>
      <c r="I149" s="156">
        <v>4.45</v>
      </c>
      <c r="J149" s="156">
        <f t="shared" si="122"/>
        <v>4.45</v>
      </c>
      <c r="K149" s="157">
        <f t="shared" si="126"/>
        <v>5.32</v>
      </c>
      <c r="L149" s="157" t="s">
        <v>18</v>
      </c>
      <c r="M149" s="501">
        <v>12</v>
      </c>
      <c r="N149" s="501">
        <f t="shared" si="101"/>
        <v>5.32</v>
      </c>
      <c r="O149" s="160">
        <f t="shared" si="114"/>
        <v>63.84</v>
      </c>
      <c r="P149" s="666"/>
      <c r="Q149" s="674"/>
      <c r="R149" s="676">
        <f t="shared" si="127"/>
        <v>0</v>
      </c>
      <c r="S149" s="159"/>
      <c r="T149" s="161" t="s">
        <v>34</v>
      </c>
      <c r="U149" s="188" t="s">
        <v>34</v>
      </c>
      <c r="V149" s="188" t="s">
        <v>34</v>
      </c>
      <c r="W149" s="188" t="s">
        <v>34</v>
      </c>
    </row>
    <row r="150" spans="1:24" ht="25.5" x14ac:dyDescent="0.2">
      <c r="A150" s="230" t="s">
        <v>42</v>
      </c>
      <c r="B150" s="134" t="s">
        <v>359</v>
      </c>
      <c r="C150" s="134" t="s">
        <v>265</v>
      </c>
      <c r="D150" s="444" t="s">
        <v>367</v>
      </c>
      <c r="E150" s="233"/>
      <c r="F150" s="234"/>
      <c r="G150" s="235"/>
      <c r="H150" s="236"/>
      <c r="I150" s="156">
        <v>78</v>
      </c>
      <c r="J150" s="156">
        <f t="shared" ref="J150" si="128">IF(ISBLANK(I150),"",SUM(H150:I150))</f>
        <v>78</v>
      </c>
      <c r="K150" s="157">
        <f t="shared" ref="K150" si="129">IF(ISBLANK(I150),0,ROUND(J150*(1+$F$10)*(1+$F$11*E150),2))</f>
        <v>93.3</v>
      </c>
      <c r="L150" s="157" t="s">
        <v>18</v>
      </c>
      <c r="M150" s="501">
        <v>13</v>
      </c>
      <c r="N150" s="501">
        <f t="shared" ref="N150" si="130">K150</f>
        <v>93.3</v>
      </c>
      <c r="O150" s="160">
        <f t="shared" ref="O150" si="131">IF(ISBLANK(N150),0,ROUND(M150*N150,2))</f>
        <v>1212.9000000000001</v>
      </c>
      <c r="P150" s="666"/>
      <c r="Q150" s="674"/>
      <c r="R150" s="676">
        <f t="shared" si="127"/>
        <v>0</v>
      </c>
      <c r="S150" s="159"/>
      <c r="T150" s="161" t="s">
        <v>188</v>
      </c>
      <c r="U150" s="188" t="s">
        <v>188</v>
      </c>
      <c r="V150" s="188" t="s">
        <v>188</v>
      </c>
      <c r="W150" s="188" t="s">
        <v>188</v>
      </c>
    </row>
    <row r="151" spans="1:24" ht="18" customHeight="1" x14ac:dyDescent="0.2">
      <c r="A151" s="230" t="s">
        <v>42</v>
      </c>
      <c r="B151" s="584" t="s">
        <v>265</v>
      </c>
      <c r="C151" s="584" t="s">
        <v>399</v>
      </c>
      <c r="D151" s="406" t="s">
        <v>398</v>
      </c>
      <c r="E151" s="233"/>
      <c r="F151" s="234"/>
      <c r="G151" s="235"/>
      <c r="H151" s="236"/>
      <c r="I151" s="156">
        <v>1281.55</v>
      </c>
      <c r="J151" s="156">
        <f t="shared" ref="J151" si="132">IF(ISBLANK(I151),"",SUM(H151:I151))</f>
        <v>1281.55</v>
      </c>
      <c r="K151" s="157">
        <f t="shared" ref="K151" si="133">IF(ISBLANK(I151),0,ROUND(J151*(1+$F$10)*(1+$F$11*E151),2))</f>
        <v>1532.99</v>
      </c>
      <c r="L151" s="157" t="s">
        <v>18</v>
      </c>
      <c r="M151" s="501">
        <v>5</v>
      </c>
      <c r="N151" s="501">
        <f t="shared" ref="N151" si="134">K151</f>
        <v>1532.99</v>
      </c>
      <c r="O151" s="160">
        <f t="shared" ref="O151" si="135">IF(ISBLANK(N151),0,ROUND(M151*N151,2))</f>
        <v>7664.95</v>
      </c>
      <c r="P151" s="666"/>
      <c r="Q151" s="674"/>
      <c r="R151" s="676">
        <f t="shared" si="127"/>
        <v>0</v>
      </c>
      <c r="S151" s="159"/>
      <c r="T151" s="161" t="s">
        <v>34</v>
      </c>
      <c r="U151" s="188" t="s">
        <v>34</v>
      </c>
      <c r="V151" s="188" t="s">
        <v>34</v>
      </c>
      <c r="W151" s="188" t="s">
        <v>34</v>
      </c>
    </row>
    <row r="152" spans="1:24" ht="12" thickBot="1" x14ac:dyDescent="0.25">
      <c r="A152" s="230" t="s">
        <v>42</v>
      </c>
      <c r="B152" s="350"/>
      <c r="C152" s="351"/>
      <c r="D152" s="349"/>
      <c r="E152" s="233"/>
      <c r="F152" s="234"/>
      <c r="G152" s="235"/>
      <c r="H152" s="236"/>
      <c r="I152" s="237"/>
      <c r="J152" s="238"/>
      <c r="K152" s="241"/>
      <c r="L152" s="239"/>
      <c r="M152" s="382"/>
      <c r="N152" s="382">
        <f t="shared" si="101"/>
        <v>0</v>
      </c>
      <c r="O152" s="159">
        <f t="shared" si="114"/>
        <v>0</v>
      </c>
      <c r="P152" s="666"/>
      <c r="Q152" s="674"/>
      <c r="R152" s="676">
        <f t="shared" si="127"/>
        <v>0</v>
      </c>
      <c r="S152" s="159"/>
      <c r="U152" s="188"/>
      <c r="V152" s="188"/>
      <c r="W152" s="188"/>
    </row>
    <row r="153" spans="1:24" ht="12" thickBot="1" x14ac:dyDescent="0.25">
      <c r="A153" s="230"/>
      <c r="B153" s="548" t="s">
        <v>414</v>
      </c>
      <c r="C153" s="549"/>
      <c r="D153" s="550" t="s">
        <v>257</v>
      </c>
      <c r="E153" s="551"/>
      <c r="F153" s="552"/>
      <c r="G153" s="553"/>
      <c r="H153" s="554"/>
      <c r="I153" s="555"/>
      <c r="J153" s="556"/>
      <c r="K153" s="557"/>
      <c r="L153" s="490"/>
      <c r="M153" s="480"/>
      <c r="N153" s="480"/>
      <c r="O153" s="481"/>
      <c r="P153" s="488">
        <f>SUM(O154:O187)/2</f>
        <v>1010474.8299999997</v>
      </c>
      <c r="Q153" s="668"/>
      <c r="R153" s="678"/>
      <c r="S153" s="677">
        <f>SUM(R154:R187)</f>
        <v>0</v>
      </c>
      <c r="T153" s="161" t="s">
        <v>188</v>
      </c>
      <c r="U153" s="188" t="s">
        <v>34</v>
      </c>
      <c r="V153" s="188" t="s">
        <v>34</v>
      </c>
      <c r="W153" s="188" t="s">
        <v>34</v>
      </c>
    </row>
    <row r="154" spans="1:24" ht="12" thickBot="1" x14ac:dyDescent="0.25">
      <c r="A154" s="230"/>
      <c r="B154" s="537" t="s">
        <v>415</v>
      </c>
      <c r="C154" s="527"/>
      <c r="D154" s="558" t="s">
        <v>373</v>
      </c>
      <c r="E154" s="559"/>
      <c r="F154" s="533"/>
      <c r="G154" s="560"/>
      <c r="H154" s="533"/>
      <c r="I154" s="544"/>
      <c r="J154" s="544"/>
      <c r="K154" s="545"/>
      <c r="L154" s="546"/>
      <c r="M154" s="523"/>
      <c r="N154" s="523"/>
      <c r="O154" s="524">
        <f>SUM(O155:O174)</f>
        <v>704152.17999999993</v>
      </c>
      <c r="P154" s="665"/>
      <c r="Q154" s="675"/>
      <c r="R154" s="676"/>
      <c r="S154" s="669"/>
      <c r="T154" s="161" t="s">
        <v>34</v>
      </c>
      <c r="U154" s="188" t="s">
        <v>34</v>
      </c>
      <c r="V154" s="188" t="s">
        <v>34</v>
      </c>
      <c r="W154" s="188" t="s">
        <v>34</v>
      </c>
    </row>
    <row r="155" spans="1:24" ht="22.5" x14ac:dyDescent="0.2">
      <c r="A155" s="230"/>
      <c r="B155" s="133">
        <v>2001039</v>
      </c>
      <c r="C155" s="353" t="s">
        <v>259</v>
      </c>
      <c r="D155" s="437" t="s">
        <v>297</v>
      </c>
      <c r="E155" s="438"/>
      <c r="F155" s="439"/>
      <c r="G155" s="440"/>
      <c r="H155" s="439"/>
      <c r="I155" s="441">
        <v>2.36</v>
      </c>
      <c r="J155" s="225">
        <f t="shared" ref="J155" si="136">IF(ISBLANK(I155),"",SUM(H155:I155))</f>
        <v>2.36</v>
      </c>
      <c r="K155" s="226">
        <f>IF(ISBLANK(I155),0,ROUND(J155*(1+$F$10)*(1+$F$11*E155),2))</f>
        <v>2.82</v>
      </c>
      <c r="L155" s="227" t="s">
        <v>18</v>
      </c>
      <c r="M155" s="382">
        <v>2755</v>
      </c>
      <c r="N155" s="382">
        <f t="shared" ref="N155" si="137">K155</f>
        <v>2.82</v>
      </c>
      <c r="O155" s="228">
        <f t="shared" ref="O155" si="138">IF(ISBLANK(N155),0,ROUND(M155*N155,2))</f>
        <v>7769.1</v>
      </c>
      <c r="P155" s="665"/>
      <c r="Q155" s="675"/>
      <c r="R155" s="676">
        <f t="shared" si="127"/>
        <v>0</v>
      </c>
      <c r="S155" s="669"/>
      <c r="U155" s="188"/>
      <c r="V155" s="188"/>
      <c r="W155" s="188"/>
      <c r="X155" s="394"/>
    </row>
    <row r="156" spans="1:24" x14ac:dyDescent="0.2">
      <c r="A156" s="230"/>
      <c r="B156" s="352" t="s">
        <v>258</v>
      </c>
      <c r="C156" s="353" t="s">
        <v>259</v>
      </c>
      <c r="D156" s="240" t="s">
        <v>260</v>
      </c>
      <c r="E156" s="355"/>
      <c r="F156" s="356"/>
      <c r="G156" s="357"/>
      <c r="H156" s="358"/>
      <c r="I156" s="225">
        <v>18.05</v>
      </c>
      <c r="J156" s="225">
        <f t="shared" ref="J156:J162" si="139">IF(ISBLANK(I156),"",SUM(H156:I156))</f>
        <v>18.05</v>
      </c>
      <c r="K156" s="226">
        <f>IF(ISBLANK(I156),0,ROUND(J156*(1+$F$10)*(1+$F$11*E156),2))</f>
        <v>21.59</v>
      </c>
      <c r="L156" s="227" t="s">
        <v>15</v>
      </c>
      <c r="M156" s="382">
        <v>1439.2</v>
      </c>
      <c r="N156" s="382">
        <f t="shared" ref="N156:N162" si="140">K156</f>
        <v>21.59</v>
      </c>
      <c r="O156" s="228">
        <f t="shared" ref="O156:O173" si="141">IF(ISBLANK(N156),0,ROUND(M156*N156,2))</f>
        <v>31072.33</v>
      </c>
      <c r="P156" s="666"/>
      <c r="Q156" s="674"/>
      <c r="R156" s="676">
        <f t="shared" si="127"/>
        <v>0</v>
      </c>
      <c r="S156" s="159"/>
      <c r="T156" s="161" t="s">
        <v>34</v>
      </c>
      <c r="U156" s="188" t="s">
        <v>34</v>
      </c>
      <c r="V156" s="188" t="s">
        <v>34</v>
      </c>
      <c r="W156" s="188" t="s">
        <v>34</v>
      </c>
    </row>
    <row r="157" spans="1:24" ht="22.5" x14ac:dyDescent="0.2">
      <c r="A157" s="230"/>
      <c r="B157" s="350" t="s">
        <v>240</v>
      </c>
      <c r="C157" s="133" t="s">
        <v>134</v>
      </c>
      <c r="D157" s="349" t="s">
        <v>241</v>
      </c>
      <c r="E157" s="233"/>
      <c r="F157" s="234"/>
      <c r="G157" s="235"/>
      <c r="H157" s="236"/>
      <c r="I157" s="156">
        <v>57.61</v>
      </c>
      <c r="J157" s="238">
        <f t="shared" si="139"/>
        <v>57.61</v>
      </c>
      <c r="K157" s="226">
        <f>IF(ISBLANK(J157),0,ROUND(J157*(1+$F$10)*(1+$F$11*E157),2))</f>
        <v>68.91</v>
      </c>
      <c r="L157" s="239" t="s">
        <v>18</v>
      </c>
      <c r="M157" s="382">
        <v>555</v>
      </c>
      <c r="N157" s="382">
        <f t="shared" si="140"/>
        <v>68.91</v>
      </c>
      <c r="O157" s="159">
        <f>IF(ISBLANK(N157),0,ROUND(M157*N157,2))</f>
        <v>38245.050000000003</v>
      </c>
      <c r="P157" s="666"/>
      <c r="Q157" s="674"/>
      <c r="R157" s="676">
        <f t="shared" si="127"/>
        <v>0</v>
      </c>
      <c r="S157" s="159"/>
      <c r="T157" s="161" t="s">
        <v>34</v>
      </c>
      <c r="U157" s="188" t="s">
        <v>34</v>
      </c>
      <c r="V157" s="188" t="s">
        <v>34</v>
      </c>
      <c r="W157" s="188" t="s">
        <v>34</v>
      </c>
      <c r="X157" s="394"/>
    </row>
    <row r="158" spans="1:24" ht="22.5" x14ac:dyDescent="0.2">
      <c r="A158" s="230"/>
      <c r="B158" s="377">
        <v>104086</v>
      </c>
      <c r="C158" s="133" t="s">
        <v>134</v>
      </c>
      <c r="D158" s="365" t="s">
        <v>239</v>
      </c>
      <c r="E158" s="355"/>
      <c r="F158" s="356"/>
      <c r="G158" s="357"/>
      <c r="H158" s="358"/>
      <c r="I158" s="225">
        <v>103.39</v>
      </c>
      <c r="J158" s="225">
        <f t="shared" si="139"/>
        <v>103.39</v>
      </c>
      <c r="K158" s="226">
        <f>IF(ISBLANK(I158),0,ROUND(J158*(1+$F$10)*(1+$F$11*E158),2))</f>
        <v>123.68</v>
      </c>
      <c r="L158" s="227" t="s">
        <v>18</v>
      </c>
      <c r="M158" s="382">
        <f>2755+30</f>
        <v>2785</v>
      </c>
      <c r="N158" s="382">
        <f t="shared" si="140"/>
        <v>123.68</v>
      </c>
      <c r="O158" s="159">
        <f t="shared" si="141"/>
        <v>344448.8</v>
      </c>
      <c r="P158" s="666"/>
      <c r="Q158" s="674"/>
      <c r="R158" s="676">
        <f t="shared" si="127"/>
        <v>0</v>
      </c>
      <c r="S158" s="159"/>
      <c r="T158" s="161" t="s">
        <v>34</v>
      </c>
      <c r="U158" s="188" t="s">
        <v>34</v>
      </c>
      <c r="V158" s="188" t="s">
        <v>34</v>
      </c>
      <c r="W158" s="188" t="s">
        <v>34</v>
      </c>
    </row>
    <row r="159" spans="1:24" ht="12" customHeight="1" x14ac:dyDescent="0.2">
      <c r="A159" s="230"/>
      <c r="B159" s="173" t="s">
        <v>203</v>
      </c>
      <c r="C159" s="134" t="s">
        <v>47</v>
      </c>
      <c r="D159" s="135" t="s">
        <v>67</v>
      </c>
      <c r="E159" s="137"/>
      <c r="F159" s="143"/>
      <c r="G159" s="141"/>
      <c r="H159" s="142"/>
      <c r="I159" s="156">
        <v>15.95</v>
      </c>
      <c r="J159" s="156">
        <f>IF(ISBLANK(I159),"",SUM(H159:I159))*0.9</f>
        <v>14.355</v>
      </c>
      <c r="K159" s="157">
        <f t="shared" ref="K159" si="142">IF(ISBLANK(I159),0,ROUND(J159*(1+$F$10)*(1+$F$11*E159),2))</f>
        <v>17.170000000000002</v>
      </c>
      <c r="L159" s="158" t="s">
        <v>15</v>
      </c>
      <c r="M159" s="382">
        <v>1396.52</v>
      </c>
      <c r="N159" s="382">
        <f t="shared" si="140"/>
        <v>17.170000000000002</v>
      </c>
      <c r="O159" s="159">
        <f t="shared" si="141"/>
        <v>23978.25</v>
      </c>
      <c r="P159" s="666"/>
      <c r="Q159" s="674"/>
      <c r="R159" s="676">
        <f t="shared" si="127"/>
        <v>0</v>
      </c>
      <c r="S159" s="159"/>
      <c r="T159" s="161" t="s">
        <v>34</v>
      </c>
      <c r="U159" s="188" t="s">
        <v>34</v>
      </c>
      <c r="V159" s="188" t="s">
        <v>34</v>
      </c>
      <c r="W159" s="188" t="s">
        <v>34</v>
      </c>
    </row>
    <row r="160" spans="1:24" ht="16.5" customHeight="1" x14ac:dyDescent="0.2">
      <c r="A160" s="230"/>
      <c r="B160" s="175">
        <v>4014002</v>
      </c>
      <c r="C160" s="353" t="s">
        <v>259</v>
      </c>
      <c r="D160" s="376" t="s">
        <v>298</v>
      </c>
      <c r="E160" s="375"/>
      <c r="F160" s="138"/>
      <c r="G160" s="139"/>
      <c r="H160" s="229"/>
      <c r="I160" s="156">
        <v>6.7</v>
      </c>
      <c r="J160" s="156">
        <f t="shared" ref="J160" si="143">IF(ISBLANK(I160),"",SUM(H160:I160))</f>
        <v>6.7</v>
      </c>
      <c r="K160" s="157">
        <f>IF(ISBLANK(I160),0,ROUND(J160*(1+$F$10)*(1+$F$11*E160),2))</f>
        <v>8.01</v>
      </c>
      <c r="L160" s="158" t="s">
        <v>15</v>
      </c>
      <c r="M160" s="382">
        <f>M159</f>
        <v>1396.52</v>
      </c>
      <c r="N160" s="382">
        <f t="shared" ref="N160" si="144">K160</f>
        <v>8.01</v>
      </c>
      <c r="O160" s="159">
        <f t="shared" ref="O160" si="145">IF(ISBLANK(N160),0,ROUND(M160*N160,2))</f>
        <v>11186.13</v>
      </c>
      <c r="P160" s="666"/>
      <c r="Q160" s="674"/>
      <c r="R160" s="676">
        <f t="shared" si="127"/>
        <v>0</v>
      </c>
      <c r="S160" s="159"/>
      <c r="T160" s="161" t="s">
        <v>188</v>
      </c>
      <c r="U160" s="188" t="s">
        <v>188</v>
      </c>
      <c r="V160" s="188" t="s">
        <v>188</v>
      </c>
      <c r="W160" s="188" t="s">
        <v>188</v>
      </c>
    </row>
    <row r="161" spans="1:24" x14ac:dyDescent="0.2">
      <c r="A161" s="230"/>
      <c r="B161" s="352" t="s">
        <v>267</v>
      </c>
      <c r="C161" s="353" t="s">
        <v>259</v>
      </c>
      <c r="D161" s="370" t="s">
        <v>268</v>
      </c>
      <c r="E161" s="233"/>
      <c r="F161" s="234"/>
      <c r="G161" s="235"/>
      <c r="H161" s="236"/>
      <c r="I161" s="156">
        <v>52.74</v>
      </c>
      <c r="J161" s="156">
        <f t="shared" si="139"/>
        <v>52.74</v>
      </c>
      <c r="K161" s="157">
        <f>IF(ISBLANK(I161),0,ROUND(J161*(1+$F$10)*(1+$F$11*E161),2))</f>
        <v>63.09</v>
      </c>
      <c r="L161" s="158" t="s">
        <v>191</v>
      </c>
      <c r="M161" s="382">
        <v>13</v>
      </c>
      <c r="N161" s="382">
        <f t="shared" si="140"/>
        <v>63.09</v>
      </c>
      <c r="O161" s="159">
        <f t="shared" si="141"/>
        <v>820.17</v>
      </c>
      <c r="P161" s="666"/>
      <c r="Q161" s="674"/>
      <c r="R161" s="676">
        <f t="shared" si="127"/>
        <v>0</v>
      </c>
      <c r="S161" s="159"/>
      <c r="T161" s="161" t="s">
        <v>188</v>
      </c>
      <c r="U161" s="188" t="s">
        <v>188</v>
      </c>
      <c r="V161" s="188" t="s">
        <v>188</v>
      </c>
      <c r="W161" s="188" t="s">
        <v>188</v>
      </c>
    </row>
    <row r="162" spans="1:24" x14ac:dyDescent="0.2">
      <c r="A162" s="230"/>
      <c r="B162" s="352" t="s">
        <v>269</v>
      </c>
      <c r="C162" s="353" t="s">
        <v>259</v>
      </c>
      <c r="D162" s="240" t="s">
        <v>270</v>
      </c>
      <c r="E162" s="233"/>
      <c r="F162" s="234"/>
      <c r="G162" s="235"/>
      <c r="H162" s="236"/>
      <c r="I162" s="156">
        <v>155.88</v>
      </c>
      <c r="J162" s="156">
        <f t="shared" si="139"/>
        <v>155.88</v>
      </c>
      <c r="K162" s="157">
        <f>IF(ISBLANK(I162),0,ROUND(J162*(1+$F$10)*(1+$F$11*E162),2))</f>
        <v>186.46</v>
      </c>
      <c r="L162" s="158" t="s">
        <v>191</v>
      </c>
      <c r="M162" s="382">
        <v>5</v>
      </c>
      <c r="N162" s="382">
        <f t="shared" si="140"/>
        <v>186.46</v>
      </c>
      <c r="O162" s="159">
        <f t="shared" si="141"/>
        <v>932.3</v>
      </c>
      <c r="P162" s="666"/>
      <c r="Q162" s="674"/>
      <c r="R162" s="676">
        <f t="shared" si="127"/>
        <v>0</v>
      </c>
      <c r="S162" s="159"/>
      <c r="T162" s="161" t="s">
        <v>188</v>
      </c>
      <c r="U162" s="188" t="s">
        <v>188</v>
      </c>
      <c r="V162" s="188" t="s">
        <v>188</v>
      </c>
      <c r="W162" s="188" t="s">
        <v>188</v>
      </c>
    </row>
    <row r="163" spans="1:24" x14ac:dyDescent="0.2">
      <c r="A163" s="230"/>
      <c r="B163" s="352" t="s">
        <v>271</v>
      </c>
      <c r="C163" s="353" t="s">
        <v>259</v>
      </c>
      <c r="D163" s="240" t="s">
        <v>314</v>
      </c>
      <c r="E163" s="233"/>
      <c r="F163" s="234"/>
      <c r="G163" s="235"/>
      <c r="H163" s="236"/>
      <c r="I163" s="156">
        <v>883.62</v>
      </c>
      <c r="J163" s="156">
        <f>IF(ISBLANK(I163),"",SUM(H163:I163))</f>
        <v>883.62</v>
      </c>
      <c r="K163" s="157">
        <f>IF(ISBLANK(I163),0,ROUND(J163*(1+$F$10)*(1+$F$11*E163),2))</f>
        <v>1056.99</v>
      </c>
      <c r="L163" s="158" t="s">
        <v>191</v>
      </c>
      <c r="M163" s="382">
        <v>44</v>
      </c>
      <c r="N163" s="382">
        <f>K163</f>
        <v>1056.99</v>
      </c>
      <c r="O163" s="159">
        <f>IF(ISBLANK(N163),0,ROUND(M163*N163,2))</f>
        <v>46507.56</v>
      </c>
      <c r="P163" s="666"/>
      <c r="Q163" s="674"/>
      <c r="R163" s="676">
        <f t="shared" si="127"/>
        <v>0</v>
      </c>
      <c r="S163" s="159"/>
      <c r="T163" s="161" t="s">
        <v>188</v>
      </c>
      <c r="U163" s="188" t="s">
        <v>188</v>
      </c>
      <c r="V163" s="188" t="s">
        <v>188</v>
      </c>
      <c r="W163" s="188" t="s">
        <v>188</v>
      </c>
    </row>
    <row r="164" spans="1:24" x14ac:dyDescent="0.2">
      <c r="A164" s="230"/>
      <c r="B164" s="352" t="s">
        <v>272</v>
      </c>
      <c r="C164" s="353" t="s">
        <v>259</v>
      </c>
      <c r="D164" s="240" t="s">
        <v>273</v>
      </c>
      <c r="E164" s="233"/>
      <c r="F164" s="234"/>
      <c r="G164" s="235"/>
      <c r="H164" s="236"/>
      <c r="I164" s="156">
        <v>585.15</v>
      </c>
      <c r="J164" s="156">
        <f>IF(ISBLANK(I164),"",SUM(H164:I164))</f>
        <v>585.15</v>
      </c>
      <c r="K164" s="157">
        <f>IF(ISBLANK(I164),0,ROUND(J164*(1+$F$10)*(1+$F$11*E164),2))</f>
        <v>699.96</v>
      </c>
      <c r="L164" s="158" t="s">
        <v>24</v>
      </c>
      <c r="M164" s="382">
        <v>19.93</v>
      </c>
      <c r="N164" s="382">
        <f>K164</f>
        <v>699.96</v>
      </c>
      <c r="O164" s="159">
        <f>IF(ISBLANK(N164),0,ROUND(M164*N164,2))</f>
        <v>13950.2</v>
      </c>
      <c r="P164" s="666"/>
      <c r="Q164" s="674"/>
      <c r="R164" s="676">
        <f t="shared" si="127"/>
        <v>0</v>
      </c>
      <c r="S164" s="159"/>
      <c r="T164" s="161" t="s">
        <v>188</v>
      </c>
      <c r="U164" s="188" t="s">
        <v>188</v>
      </c>
      <c r="V164" s="188" t="s">
        <v>188</v>
      </c>
      <c r="W164" s="188" t="s">
        <v>188</v>
      </c>
    </row>
    <row r="165" spans="1:24" ht="22.5" x14ac:dyDescent="0.2">
      <c r="A165" s="230"/>
      <c r="B165" s="231" t="s">
        <v>295</v>
      </c>
      <c r="C165" s="172" t="s">
        <v>134</v>
      </c>
      <c r="D165" s="287" t="s">
        <v>296</v>
      </c>
      <c r="E165" s="233"/>
      <c r="F165" s="234"/>
      <c r="G165" s="235"/>
      <c r="H165" s="236"/>
      <c r="I165" s="156">
        <v>755.42</v>
      </c>
      <c r="J165" s="156">
        <f t="shared" ref="J165" si="146">IF(ISBLANK(I165),"",SUM(H165:I165))</f>
        <v>755.42</v>
      </c>
      <c r="K165" s="157">
        <f t="shared" ref="K165" si="147">IF(ISBLANK(I165),0,ROUND(J165*(1+$F$10)*(1+$F$11*E165),2))</f>
        <v>903.63</v>
      </c>
      <c r="L165" s="158" t="s">
        <v>191</v>
      </c>
      <c r="M165" s="382">
        <v>42</v>
      </c>
      <c r="N165" s="382">
        <f t="shared" ref="N165" si="148">K165</f>
        <v>903.63</v>
      </c>
      <c r="O165" s="159">
        <f t="shared" ref="O165" si="149">IF(ISBLANK(N165),0,ROUND(M165*N165,2))</f>
        <v>37952.46</v>
      </c>
      <c r="P165" s="666"/>
      <c r="Q165" s="674"/>
      <c r="R165" s="676">
        <f t="shared" si="127"/>
        <v>0</v>
      </c>
      <c r="S165" s="159"/>
      <c r="T165" s="161" t="s">
        <v>188</v>
      </c>
      <c r="U165" s="188" t="s">
        <v>188</v>
      </c>
      <c r="V165" s="188" t="s">
        <v>188</v>
      </c>
      <c r="W165" s="188" t="s">
        <v>188</v>
      </c>
    </row>
    <row r="166" spans="1:24" ht="27" customHeight="1" x14ac:dyDescent="0.2">
      <c r="A166" s="230"/>
      <c r="B166" s="352" t="s">
        <v>362</v>
      </c>
      <c r="C166" s="172" t="s">
        <v>134</v>
      </c>
      <c r="D166" s="240" t="s">
        <v>361</v>
      </c>
      <c r="E166" s="233"/>
      <c r="F166" s="234"/>
      <c r="G166" s="235"/>
      <c r="H166" s="236"/>
      <c r="I166" s="156">
        <v>106.8</v>
      </c>
      <c r="J166" s="156">
        <f t="shared" ref="J166:J173" si="150">IF(ISBLANK(I166),"",SUM(H166:I166))</f>
        <v>106.8</v>
      </c>
      <c r="K166" s="226">
        <f t="shared" ref="K166:K173" si="151">IF(ISBLANK(I166),0,ROUND(J166*(1+$F$10)*(1+$F$11*E166),2))</f>
        <v>127.75</v>
      </c>
      <c r="L166" s="158" t="s">
        <v>191</v>
      </c>
      <c r="M166" s="382">
        <v>222</v>
      </c>
      <c r="N166" s="382">
        <f t="shared" ref="N166:N173" si="152">K166</f>
        <v>127.75</v>
      </c>
      <c r="O166" s="159">
        <f t="shared" si="141"/>
        <v>28360.5</v>
      </c>
      <c r="P166" s="666"/>
      <c r="Q166" s="674"/>
      <c r="R166" s="676">
        <f t="shared" si="127"/>
        <v>0</v>
      </c>
      <c r="S166" s="159"/>
      <c r="T166" s="161" t="s">
        <v>188</v>
      </c>
      <c r="U166" s="188" t="s">
        <v>188</v>
      </c>
      <c r="V166" s="188" t="s">
        <v>188</v>
      </c>
      <c r="W166" s="188" t="s">
        <v>188</v>
      </c>
    </row>
    <row r="167" spans="1:24" ht="22.5" x14ac:dyDescent="0.2">
      <c r="A167" s="230"/>
      <c r="B167" s="352" t="s">
        <v>299</v>
      </c>
      <c r="C167" s="353" t="s">
        <v>259</v>
      </c>
      <c r="D167" s="240" t="s">
        <v>300</v>
      </c>
      <c r="E167" s="233"/>
      <c r="F167" s="234"/>
      <c r="G167" s="235"/>
      <c r="H167" s="236"/>
      <c r="I167" s="156">
        <v>15.41</v>
      </c>
      <c r="J167" s="156">
        <f t="shared" si="150"/>
        <v>15.41</v>
      </c>
      <c r="K167" s="226">
        <f t="shared" si="151"/>
        <v>18.43</v>
      </c>
      <c r="L167" s="158" t="s">
        <v>191</v>
      </c>
      <c r="M167" s="382">
        <v>222</v>
      </c>
      <c r="N167" s="382">
        <f t="shared" si="152"/>
        <v>18.43</v>
      </c>
      <c r="O167" s="159">
        <f t="shared" ref="O167" si="153">IF(ISBLANK(N167),0,ROUND(M167*N167,2))</f>
        <v>4091.46</v>
      </c>
      <c r="P167" s="666"/>
      <c r="Q167" s="674"/>
      <c r="R167" s="676">
        <f t="shared" si="127"/>
        <v>0</v>
      </c>
      <c r="S167" s="159"/>
      <c r="T167" s="161" t="s">
        <v>34</v>
      </c>
      <c r="U167" s="188" t="s">
        <v>34</v>
      </c>
      <c r="V167" s="188" t="s">
        <v>34</v>
      </c>
      <c r="W167" s="188" t="s">
        <v>34</v>
      </c>
    </row>
    <row r="168" spans="1:24" ht="33.75" x14ac:dyDescent="0.2">
      <c r="A168" s="230"/>
      <c r="B168" s="352" t="s">
        <v>312</v>
      </c>
      <c r="C168" s="172" t="s">
        <v>134</v>
      </c>
      <c r="D168" s="396" t="s">
        <v>313</v>
      </c>
      <c r="E168" s="233"/>
      <c r="F168" s="234"/>
      <c r="G168" s="235"/>
      <c r="H168" s="236"/>
      <c r="I168" s="156">
        <v>58.97</v>
      </c>
      <c r="J168" s="156">
        <f t="shared" si="150"/>
        <v>58.97</v>
      </c>
      <c r="K168" s="226">
        <f t="shared" si="151"/>
        <v>70.540000000000006</v>
      </c>
      <c r="L168" s="158" t="s">
        <v>191</v>
      </c>
      <c r="M168" s="382">
        <v>222</v>
      </c>
      <c r="N168" s="382">
        <f t="shared" si="152"/>
        <v>70.540000000000006</v>
      </c>
      <c r="O168" s="159">
        <f t="shared" ref="O168" si="154">IF(ISBLANK(N168),0,ROUND(M168*N168,2))</f>
        <v>15659.88</v>
      </c>
      <c r="P168" s="666"/>
      <c r="Q168" s="674"/>
      <c r="R168" s="676">
        <f t="shared" si="127"/>
        <v>0</v>
      </c>
      <c r="S168" s="159"/>
      <c r="T168" s="161" t="s">
        <v>34</v>
      </c>
      <c r="U168" s="188" t="s">
        <v>34</v>
      </c>
      <c r="V168" s="188" t="s">
        <v>34</v>
      </c>
      <c r="W168" s="188" t="s">
        <v>34</v>
      </c>
    </row>
    <row r="169" spans="1:24" ht="33.75" x14ac:dyDescent="0.2">
      <c r="A169" s="230"/>
      <c r="B169" s="352" t="s">
        <v>302</v>
      </c>
      <c r="C169" s="172" t="s">
        <v>134</v>
      </c>
      <c r="D169" s="240" t="s">
        <v>303</v>
      </c>
      <c r="E169" s="233"/>
      <c r="F169" s="234"/>
      <c r="G169" s="235"/>
      <c r="H169" s="236"/>
      <c r="I169" s="156">
        <v>20.61</v>
      </c>
      <c r="J169" s="156">
        <f t="shared" si="150"/>
        <v>20.61</v>
      </c>
      <c r="K169" s="226">
        <f t="shared" si="151"/>
        <v>24.65</v>
      </c>
      <c r="L169" s="158" t="s">
        <v>191</v>
      </c>
      <c r="M169" s="382">
        <v>222</v>
      </c>
      <c r="N169" s="382">
        <f t="shared" si="152"/>
        <v>24.65</v>
      </c>
      <c r="O169" s="159">
        <f t="shared" si="141"/>
        <v>5472.3</v>
      </c>
      <c r="P169" s="666"/>
      <c r="Q169" s="674"/>
      <c r="R169" s="676">
        <f t="shared" si="127"/>
        <v>0</v>
      </c>
      <c r="S169" s="159"/>
      <c r="T169" s="161" t="s">
        <v>34</v>
      </c>
      <c r="U169" s="188" t="s">
        <v>34</v>
      </c>
      <c r="V169" s="188" t="s">
        <v>34</v>
      </c>
      <c r="W169" s="188" t="s">
        <v>34</v>
      </c>
    </row>
    <row r="170" spans="1:24" ht="22.5" x14ac:dyDescent="0.2">
      <c r="A170" s="230"/>
      <c r="B170" s="352" t="s">
        <v>307</v>
      </c>
      <c r="C170" s="397" t="s">
        <v>308</v>
      </c>
      <c r="D170" s="395" t="s">
        <v>304</v>
      </c>
      <c r="E170" s="233"/>
      <c r="F170" s="234"/>
      <c r="G170" s="235"/>
      <c r="H170" s="236"/>
      <c r="I170" s="156">
        <v>118.16</v>
      </c>
      <c r="J170" s="156">
        <f t="shared" si="150"/>
        <v>118.16</v>
      </c>
      <c r="K170" s="226">
        <f t="shared" si="151"/>
        <v>141.34</v>
      </c>
      <c r="L170" s="158" t="s">
        <v>191</v>
      </c>
      <c r="M170" s="382">
        <v>222</v>
      </c>
      <c r="N170" s="382">
        <f t="shared" si="152"/>
        <v>141.34</v>
      </c>
      <c r="O170" s="159">
        <f t="shared" ref="O170" si="155">IF(ISBLANK(N170),0,ROUND(M170*N170,2))</f>
        <v>31377.48</v>
      </c>
      <c r="P170" s="666"/>
      <c r="Q170" s="674"/>
      <c r="R170" s="676">
        <f t="shared" si="127"/>
        <v>0</v>
      </c>
      <c r="S170" s="159"/>
      <c r="T170" s="161" t="s">
        <v>34</v>
      </c>
      <c r="U170" s="188" t="s">
        <v>34</v>
      </c>
      <c r="V170" s="188" t="s">
        <v>34</v>
      </c>
      <c r="W170" s="188" t="s">
        <v>34</v>
      </c>
      <c r="X170" s="394"/>
    </row>
    <row r="171" spans="1:24" ht="22.5" x14ac:dyDescent="0.2">
      <c r="A171" s="230"/>
      <c r="B171" s="352" t="s">
        <v>306</v>
      </c>
      <c r="C171" s="172" t="s">
        <v>134</v>
      </c>
      <c r="D171" s="396" t="s">
        <v>305</v>
      </c>
      <c r="E171" s="233"/>
      <c r="F171" s="234"/>
      <c r="G171" s="235"/>
      <c r="H171" s="236"/>
      <c r="I171" s="156">
        <v>76.05</v>
      </c>
      <c r="J171" s="156">
        <f t="shared" si="150"/>
        <v>76.05</v>
      </c>
      <c r="K171" s="226">
        <f t="shared" si="151"/>
        <v>90.97</v>
      </c>
      <c r="L171" s="158" t="s">
        <v>191</v>
      </c>
      <c r="M171" s="382">
        <v>222</v>
      </c>
      <c r="N171" s="382">
        <f t="shared" si="152"/>
        <v>90.97</v>
      </c>
      <c r="O171" s="159">
        <f t="shared" si="141"/>
        <v>20195.34</v>
      </c>
      <c r="P171" s="666"/>
      <c r="Q171" s="674"/>
      <c r="R171" s="676">
        <f t="shared" si="127"/>
        <v>0</v>
      </c>
      <c r="S171" s="159"/>
      <c r="T171" s="161" t="s">
        <v>34</v>
      </c>
      <c r="U171" s="188" t="s">
        <v>34</v>
      </c>
      <c r="V171" s="188" t="s">
        <v>34</v>
      </c>
      <c r="W171" s="188" t="s">
        <v>34</v>
      </c>
    </row>
    <row r="172" spans="1:24" ht="45" x14ac:dyDescent="0.2">
      <c r="A172" s="230"/>
      <c r="B172" s="352" t="s">
        <v>309</v>
      </c>
      <c r="C172" s="353" t="s">
        <v>134</v>
      </c>
      <c r="D172" s="393" t="s">
        <v>316</v>
      </c>
      <c r="E172" s="233"/>
      <c r="F172" s="234"/>
      <c r="G172" s="235"/>
      <c r="H172" s="236"/>
      <c r="I172" s="156">
        <v>124.54</v>
      </c>
      <c r="J172" s="156">
        <f t="shared" si="150"/>
        <v>124.54</v>
      </c>
      <c r="K172" s="226">
        <f t="shared" si="151"/>
        <v>148.97</v>
      </c>
      <c r="L172" s="158" t="s">
        <v>191</v>
      </c>
      <c r="M172" s="382">
        <v>279</v>
      </c>
      <c r="N172" s="382">
        <f t="shared" si="152"/>
        <v>148.97</v>
      </c>
      <c r="O172" s="159">
        <f t="shared" si="141"/>
        <v>41562.629999999997</v>
      </c>
      <c r="P172" s="666"/>
      <c r="Q172" s="674"/>
      <c r="R172" s="676">
        <f t="shared" si="127"/>
        <v>0</v>
      </c>
      <c r="S172" s="159"/>
      <c r="T172" s="161" t="s">
        <v>188</v>
      </c>
      <c r="U172" s="188" t="s">
        <v>188</v>
      </c>
      <c r="V172" s="188" t="s">
        <v>188</v>
      </c>
      <c r="W172" s="188" t="s">
        <v>188</v>
      </c>
    </row>
    <row r="173" spans="1:24" ht="22.5" x14ac:dyDescent="0.2">
      <c r="A173" s="230"/>
      <c r="B173" s="172" t="s">
        <v>310</v>
      </c>
      <c r="C173" s="353" t="s">
        <v>259</v>
      </c>
      <c r="D173" s="396" t="s">
        <v>311</v>
      </c>
      <c r="E173" s="398"/>
      <c r="F173" s="237"/>
      <c r="G173" s="399"/>
      <c r="H173" s="237"/>
      <c r="I173" s="156">
        <v>79.45</v>
      </c>
      <c r="J173" s="156">
        <f t="shared" si="150"/>
        <v>79.45</v>
      </c>
      <c r="K173" s="157">
        <f t="shared" si="151"/>
        <v>95.04</v>
      </c>
      <c r="L173" s="158" t="s">
        <v>191</v>
      </c>
      <c r="M173" s="501">
        <v>6</v>
      </c>
      <c r="N173" s="501">
        <f t="shared" si="152"/>
        <v>95.04</v>
      </c>
      <c r="O173" s="159">
        <f t="shared" si="141"/>
        <v>570.24</v>
      </c>
      <c r="P173" s="666"/>
      <c r="Q173" s="674"/>
      <c r="R173" s="676">
        <f t="shared" si="127"/>
        <v>0</v>
      </c>
      <c r="S173" s="159"/>
      <c r="T173" s="161" t="s">
        <v>34</v>
      </c>
      <c r="U173" s="188" t="s">
        <v>34</v>
      </c>
      <c r="V173" s="188" t="s">
        <v>34</v>
      </c>
      <c r="W173" s="188" t="s">
        <v>34</v>
      </c>
    </row>
    <row r="174" spans="1:24" ht="12" thickBot="1" x14ac:dyDescent="0.25">
      <c r="A174" s="230"/>
      <c r="B174" s="367"/>
      <c r="C174" s="368"/>
      <c r="D174" s="446"/>
      <c r="E174" s="447"/>
      <c r="F174" s="248"/>
      <c r="G174" s="448"/>
      <c r="H174" s="248"/>
      <c r="I174" s="265"/>
      <c r="J174" s="265"/>
      <c r="K174" s="266"/>
      <c r="L174" s="266"/>
      <c r="M174" s="561"/>
      <c r="N174" s="561"/>
      <c r="O174" s="253"/>
      <c r="P174" s="662"/>
      <c r="Q174" s="674"/>
      <c r="R174" s="676">
        <f t="shared" si="127"/>
        <v>0</v>
      </c>
      <c r="S174" s="159"/>
      <c r="U174" s="188"/>
      <c r="V174" s="188"/>
      <c r="W174" s="188"/>
    </row>
    <row r="175" spans="1:24" ht="12" thickBot="1" x14ac:dyDescent="0.25">
      <c r="A175" s="230"/>
      <c r="B175" s="526" t="s">
        <v>416</v>
      </c>
      <c r="C175" s="562"/>
      <c r="D175" s="528" t="s">
        <v>261</v>
      </c>
      <c r="E175" s="529"/>
      <c r="F175" s="563"/>
      <c r="G175" s="564"/>
      <c r="H175" s="565"/>
      <c r="I175" s="566"/>
      <c r="J175" s="535"/>
      <c r="K175" s="535"/>
      <c r="L175" s="536"/>
      <c r="M175" s="567"/>
      <c r="N175" s="567"/>
      <c r="O175" s="524">
        <f>SUM(O176:O184)</f>
        <v>17063.699999999997</v>
      </c>
      <c r="P175" s="591"/>
      <c r="Q175" s="675"/>
      <c r="R175" s="676"/>
      <c r="S175" s="403"/>
      <c r="T175" s="161" t="s">
        <v>34</v>
      </c>
      <c r="U175" s="188" t="s">
        <v>34</v>
      </c>
      <c r="V175" s="188" t="s">
        <v>34</v>
      </c>
      <c r="W175" s="188" t="s">
        <v>34</v>
      </c>
    </row>
    <row r="176" spans="1:24" x14ac:dyDescent="0.2">
      <c r="A176" s="230"/>
      <c r="B176" s="352" t="s">
        <v>262</v>
      </c>
      <c r="C176" s="353" t="s">
        <v>47</v>
      </c>
      <c r="D176" s="240" t="s">
        <v>263</v>
      </c>
      <c r="E176" s="355"/>
      <c r="F176" s="356"/>
      <c r="G176" s="357"/>
      <c r="H176" s="358"/>
      <c r="I176" s="156">
        <v>71.23</v>
      </c>
      <c r="J176" s="156">
        <f>IF(ISBLANK(I176),"",SUM(H176:I176))</f>
        <v>71.23</v>
      </c>
      <c r="K176" s="157">
        <f t="shared" ref="K176:K183" si="156">IF(ISBLANK(I176),0,ROUND(J176*(1+$F$10)*(1+$F$11*E176),2))</f>
        <v>85.21</v>
      </c>
      <c r="L176" s="158" t="s">
        <v>17</v>
      </c>
      <c r="M176" s="382">
        <f>49.22+14.94</f>
        <v>64.16</v>
      </c>
      <c r="N176" s="382">
        <f t="shared" ref="N176:N183" si="157">K176</f>
        <v>85.21</v>
      </c>
      <c r="O176" s="159">
        <f>IF(ISBLANK(N176),0,ROUND(M176*N176,2))</f>
        <v>5467.07</v>
      </c>
      <c r="P176" s="666"/>
      <c r="Q176" s="674"/>
      <c r="R176" s="676">
        <f t="shared" si="127"/>
        <v>0</v>
      </c>
      <c r="S176" s="159"/>
      <c r="T176" s="161" t="s">
        <v>34</v>
      </c>
      <c r="U176" s="188" t="s">
        <v>34</v>
      </c>
      <c r="V176" s="188" t="s">
        <v>34</v>
      </c>
      <c r="W176" s="188" t="s">
        <v>34</v>
      </c>
    </row>
    <row r="177" spans="1:23" x14ac:dyDescent="0.2">
      <c r="A177" s="230" t="s">
        <v>42</v>
      </c>
      <c r="B177" s="173" t="s">
        <v>221</v>
      </c>
      <c r="C177" s="134" t="s">
        <v>47</v>
      </c>
      <c r="D177" s="135" t="s">
        <v>56</v>
      </c>
      <c r="E177" s="137"/>
      <c r="F177" s="143"/>
      <c r="G177" s="141"/>
      <c r="H177" s="142">
        <f>IF(F177&lt;=30,(0.62*F177+6.29)*G177,((0.62*30+6.29)+0.62*(F177-30))*G177)</f>
        <v>0</v>
      </c>
      <c r="I177" s="156">
        <v>17.84</v>
      </c>
      <c r="J177" s="156">
        <f>IF(ISBLANK(I177),"",SUM(H177:I177))</f>
        <v>17.84</v>
      </c>
      <c r="K177" s="157">
        <f t="shared" si="156"/>
        <v>21.34</v>
      </c>
      <c r="L177" s="158" t="s">
        <v>21</v>
      </c>
      <c r="M177" s="382">
        <f>252.8+37.6</f>
        <v>290.40000000000003</v>
      </c>
      <c r="N177" s="382">
        <f t="shared" si="157"/>
        <v>21.34</v>
      </c>
      <c r="O177" s="159">
        <f t="shared" ref="O177:O193" si="158">IF(ISBLANK(N177),0,ROUND(M177*N177,2))</f>
        <v>6197.14</v>
      </c>
      <c r="P177" s="666"/>
      <c r="Q177" s="674"/>
      <c r="R177" s="676">
        <f t="shared" si="127"/>
        <v>0</v>
      </c>
      <c r="S177" s="159"/>
      <c r="T177" s="161" t="s">
        <v>34</v>
      </c>
      <c r="U177" s="188" t="str">
        <f>IF(T177="X","x",IF(T177="xx","x",IF(T177="xy","x",IF(T177="y","x",IF(OR(O177&gt;0,#REF!&gt;0),"x","")))))</f>
        <v>x</v>
      </c>
      <c r="V177" s="188" t="str">
        <f>IF(T177="X","x",IF(T177="y","x",IF(T177="xx","x",IF(#REF!&gt;0,"x",""))))</f>
        <v>x</v>
      </c>
      <c r="W177" s="188" t="str">
        <f>IF(T177="X","x",IF(#REF!&gt;0,"x",""))</f>
        <v>x</v>
      </c>
    </row>
    <row r="178" spans="1:23" ht="12" thickBot="1" x14ac:dyDescent="0.25">
      <c r="A178" s="230" t="s">
        <v>42</v>
      </c>
      <c r="B178" s="173" t="s">
        <v>222</v>
      </c>
      <c r="C178" s="134" t="s">
        <v>47</v>
      </c>
      <c r="D178" s="135" t="s">
        <v>57</v>
      </c>
      <c r="E178" s="137"/>
      <c r="F178" s="143"/>
      <c r="G178" s="141"/>
      <c r="H178" s="142">
        <f>IF(F178&lt;=30,(0.62*F178+6.29)*G178,((0.62*30+6.29)+0.62*(F178-30))*G178)</f>
        <v>0</v>
      </c>
      <c r="I178" s="156">
        <v>19.490000000000002</v>
      </c>
      <c r="J178" s="156">
        <f>IF(ISBLANK(I178),"",SUM(H178:I178))</f>
        <v>19.490000000000002</v>
      </c>
      <c r="K178" s="157">
        <f t="shared" si="156"/>
        <v>23.31</v>
      </c>
      <c r="L178" s="158" t="s">
        <v>21</v>
      </c>
      <c r="M178" s="382">
        <f>37.4+17.4</f>
        <v>54.8</v>
      </c>
      <c r="N178" s="382">
        <f t="shared" si="157"/>
        <v>23.31</v>
      </c>
      <c r="O178" s="159">
        <f t="shared" si="158"/>
        <v>1277.3900000000001</v>
      </c>
      <c r="P178" s="666"/>
      <c r="Q178" s="674"/>
      <c r="R178" s="676">
        <f t="shared" si="127"/>
        <v>0</v>
      </c>
      <c r="S178" s="159"/>
      <c r="T178" s="161" t="s">
        <v>34</v>
      </c>
      <c r="U178" s="188" t="str">
        <f>IF(T178="X","x",IF(T178="xx","x",IF(T178="xy","x",IF(T178="y","x",IF(OR(O178&gt;0,#REF!&gt;0),"x","")))))</f>
        <v>x</v>
      </c>
      <c r="V178" s="188" t="str">
        <f>IF(T178="X","x",IF(T178="y","x",IF(T178="xx","x",IF(#REF!&gt;0,"x",""))))</f>
        <v>x</v>
      </c>
      <c r="W178" s="188" t="str">
        <f>IF(T178="X","x",IF(#REF!&gt;0,"x",""))</f>
        <v>x</v>
      </c>
    </row>
    <row r="179" spans="1:23" x14ac:dyDescent="0.2">
      <c r="A179" s="230" t="s">
        <v>42</v>
      </c>
      <c r="B179" s="174">
        <v>742500</v>
      </c>
      <c r="C179" s="154" t="s">
        <v>47</v>
      </c>
      <c r="D179" s="148" t="s">
        <v>246</v>
      </c>
      <c r="E179" s="149"/>
      <c r="F179" s="285"/>
      <c r="G179" s="151"/>
      <c r="H179" s="152">
        <f>SUM(H180:H183)</f>
        <v>114.483</v>
      </c>
      <c r="I179" s="268">
        <v>533.26</v>
      </c>
      <c r="J179" s="268">
        <f>IF(ISBLANK(I179),"",SUM(H179:I179))</f>
        <v>647.74299999999994</v>
      </c>
      <c r="K179" s="269">
        <f t="shared" si="156"/>
        <v>774.83</v>
      </c>
      <c r="L179" s="270" t="s">
        <v>15</v>
      </c>
      <c r="M179" s="503">
        <f>3.72+1.6</f>
        <v>5.32</v>
      </c>
      <c r="N179" s="382">
        <f t="shared" si="157"/>
        <v>774.83</v>
      </c>
      <c r="O179" s="159">
        <f t="shared" si="158"/>
        <v>4122.1000000000004</v>
      </c>
      <c r="P179" s="666"/>
      <c r="Q179" s="674"/>
      <c r="R179" s="676">
        <f t="shared" si="127"/>
        <v>0</v>
      </c>
      <c r="S179" s="159"/>
      <c r="T179" s="161" t="s">
        <v>34</v>
      </c>
      <c r="U179" s="188" t="str">
        <f>IF(T179="X","x",IF(T179="xx","x",IF(T179="xy","x",IF(T179="y","x",IF(OR(O179&gt;0,#REF!&gt;0),"x","")))))</f>
        <v>x</v>
      </c>
      <c r="V179" s="188" t="str">
        <f>IF(T179="X","x",IF(T179="y","x",IF(T179="xx","x",IF(#REF!&gt;0,"x",""))))</f>
        <v>x</v>
      </c>
      <c r="W179" s="188" t="str">
        <f>IF(T179="X","x",IF(#REF!&gt;0,"x",""))</f>
        <v>x</v>
      </c>
    </row>
    <row r="180" spans="1:23" x14ac:dyDescent="0.2">
      <c r="A180" s="230" t="s">
        <v>42</v>
      </c>
      <c r="B180" s="173" t="s">
        <v>33</v>
      </c>
      <c r="C180" s="134"/>
      <c r="D180" s="373" t="s">
        <v>49</v>
      </c>
      <c r="E180" s="359"/>
      <c r="F180" s="143">
        <v>215</v>
      </c>
      <c r="G180" s="141">
        <v>0.12</v>
      </c>
      <c r="H180" s="155">
        <f>IF(F180&lt;=30,(0.78*F180+7.82)*G180,((0.78*30+7.82)+0.78*(F180-30))*G180)</f>
        <v>21.0624</v>
      </c>
      <c r="I180" s="156">
        <v>0</v>
      </c>
      <c r="J180" s="156"/>
      <c r="K180" s="157">
        <f t="shared" si="156"/>
        <v>0</v>
      </c>
      <c r="L180" s="449" t="s">
        <v>15</v>
      </c>
      <c r="M180" s="451"/>
      <c r="N180" s="501">
        <f t="shared" si="157"/>
        <v>0</v>
      </c>
      <c r="O180" s="159">
        <f t="shared" si="158"/>
        <v>0</v>
      </c>
      <c r="P180" s="662"/>
      <c r="Q180" s="674"/>
      <c r="R180" s="676">
        <f t="shared" si="127"/>
        <v>0</v>
      </c>
      <c r="S180" s="159"/>
      <c r="T180" s="161" t="s">
        <v>34</v>
      </c>
      <c r="U180" s="188" t="str">
        <f>IF(T180="X","x",IF(T180="xx","x",IF(T180="xy","x",IF(T180="y","x",IF(OR(O180&gt;0,#REF!&gt;0),"x","")))))</f>
        <v>x</v>
      </c>
      <c r="V180" s="188" t="str">
        <f>IF(T180="X","x",IF(T180="y","x",IF(T180="xx","x",IF(#REF!&gt;0,"x",""))))</f>
        <v>x</v>
      </c>
      <c r="W180" s="188" t="str">
        <f>IF(T180="X","x",IF(#REF!&gt;0,"x",""))</f>
        <v>x</v>
      </c>
    </row>
    <row r="181" spans="1:23" x14ac:dyDescent="0.2">
      <c r="A181" s="230" t="s">
        <v>42</v>
      </c>
      <c r="B181" s="173" t="s">
        <v>33</v>
      </c>
      <c r="C181" s="134"/>
      <c r="D181" s="373" t="s">
        <v>53</v>
      </c>
      <c r="E181" s="359"/>
      <c r="F181" s="143">
        <v>85</v>
      </c>
      <c r="G181" s="141">
        <v>0.87</v>
      </c>
      <c r="H181" s="142">
        <f>IF(F181&lt;=30,(1.07*F181+2.68)*G181,((1.07*30+2.68)+1.07*(F181-30))*G181)</f>
        <v>81.458100000000002</v>
      </c>
      <c r="I181" s="156">
        <v>0</v>
      </c>
      <c r="J181" s="156"/>
      <c r="K181" s="157">
        <f t="shared" si="156"/>
        <v>0</v>
      </c>
      <c r="L181" s="449" t="s">
        <v>15</v>
      </c>
      <c r="M181" s="451"/>
      <c r="N181" s="501">
        <f t="shared" si="157"/>
        <v>0</v>
      </c>
      <c r="O181" s="159">
        <f t="shared" si="158"/>
        <v>0</v>
      </c>
      <c r="P181" s="662"/>
      <c r="Q181" s="674"/>
      <c r="R181" s="676">
        <f t="shared" si="127"/>
        <v>0</v>
      </c>
      <c r="S181" s="159"/>
      <c r="T181" s="161" t="s">
        <v>34</v>
      </c>
      <c r="U181" s="188" t="str">
        <f>IF(T181="X","x",IF(T181="xx","x",IF(T181="xy","x",IF(T181="y","x",IF(OR(O181&gt;0,#REF!&gt;0),"x","")))))</f>
        <v>x</v>
      </c>
      <c r="V181" s="188" t="str">
        <f>IF(T181="X","x",IF(T181="y","x",IF(T181="xx","x",IF(#REF!&gt;0,"x",""))))</f>
        <v>x</v>
      </c>
      <c r="W181" s="188" t="str">
        <f>IF(T181="X","x",IF(#REF!&gt;0,"x",""))</f>
        <v>x</v>
      </c>
    </row>
    <row r="182" spans="1:23" x14ac:dyDescent="0.2">
      <c r="A182" s="230"/>
      <c r="B182" s="173" t="s">
        <v>33</v>
      </c>
      <c r="C182" s="134"/>
      <c r="D182" s="373" t="s">
        <v>54</v>
      </c>
      <c r="E182" s="359"/>
      <c r="F182" s="143">
        <v>1</v>
      </c>
      <c r="G182" s="141">
        <v>1.1000000000000001</v>
      </c>
      <c r="H182" s="142">
        <f>IF(F182&lt;=30,(1.07*F182+2.68)*G182,((1.07*30+2.68)+1.07*(F182-30))*G182)</f>
        <v>4.125</v>
      </c>
      <c r="I182" s="156">
        <v>0</v>
      </c>
      <c r="J182" s="156"/>
      <c r="K182" s="157">
        <f t="shared" si="156"/>
        <v>0</v>
      </c>
      <c r="L182" s="449" t="s">
        <v>15</v>
      </c>
      <c r="M182" s="451"/>
      <c r="N182" s="501">
        <f t="shared" si="157"/>
        <v>0</v>
      </c>
      <c r="O182" s="159"/>
      <c r="P182" s="662"/>
      <c r="Q182" s="674"/>
      <c r="R182" s="676">
        <f t="shared" si="127"/>
        <v>0</v>
      </c>
      <c r="S182" s="159"/>
      <c r="T182" s="161" t="s">
        <v>34</v>
      </c>
      <c r="U182" s="188"/>
      <c r="V182" s="188" t="str">
        <f>IF(T182="X","x",IF(T182="y","x",IF(T182="xx","x",IF(#REF!&gt;0,"x",""))))</f>
        <v>x</v>
      </c>
      <c r="W182" s="188" t="str">
        <f>IF(T182="X","x",IF(#REF!&gt;0,"x",""))</f>
        <v>x</v>
      </c>
    </row>
    <row r="183" spans="1:23" x14ac:dyDescent="0.2">
      <c r="A183" s="230" t="s">
        <v>42</v>
      </c>
      <c r="B183" s="281" t="s">
        <v>33</v>
      </c>
      <c r="C183" s="354"/>
      <c r="D183" s="373" t="s">
        <v>55</v>
      </c>
      <c r="E183" s="363"/>
      <c r="F183" s="263">
        <v>1</v>
      </c>
      <c r="G183" s="282">
        <f>SUM(G179:G182)</f>
        <v>2.09</v>
      </c>
      <c r="H183" s="264">
        <f>IF(F183&lt;=30,(1.07*F183+2.68)*G183,((1.07*30+2.68)+1.07*(F183-30))*G183)</f>
        <v>7.8374999999999995</v>
      </c>
      <c r="I183" s="265">
        <v>0</v>
      </c>
      <c r="J183" s="265"/>
      <c r="K183" s="157">
        <f t="shared" si="156"/>
        <v>0</v>
      </c>
      <c r="L183" s="429" t="s">
        <v>15</v>
      </c>
      <c r="M183" s="451"/>
      <c r="N183" s="501">
        <f t="shared" si="157"/>
        <v>0</v>
      </c>
      <c r="O183" s="159">
        <f t="shared" si="158"/>
        <v>0</v>
      </c>
      <c r="P183" s="662"/>
      <c r="Q183" s="674"/>
      <c r="R183" s="676">
        <f t="shared" si="127"/>
        <v>0</v>
      </c>
      <c r="S183" s="159"/>
      <c r="T183" s="161" t="s">
        <v>34</v>
      </c>
      <c r="U183" s="188" t="str">
        <f>IF(T183="X","x",IF(T183="xx","x",IF(T183="xy","x",IF(T183="y","x",IF(OR(O183&gt;0,#REF!&gt;0),"x","")))))</f>
        <v>x</v>
      </c>
      <c r="V183" s="188" t="str">
        <f>IF(T183="X","x",IF(T183="y","x",IF(T183="xx","x",IF(#REF!&gt;0,"x",""))))</f>
        <v>x</v>
      </c>
      <c r="W183" s="188" t="str">
        <f>IF(T183="X","x",IF(#REF!&gt;0,"x",""))</f>
        <v>x</v>
      </c>
    </row>
    <row r="184" spans="1:23" ht="12" thickBot="1" x14ac:dyDescent="0.25">
      <c r="A184" s="230" t="s">
        <v>42</v>
      </c>
      <c r="B184" s="371" t="s">
        <v>42</v>
      </c>
      <c r="C184" s="372" t="s">
        <v>42</v>
      </c>
      <c r="D184" s="374"/>
      <c r="E184" s="244"/>
      <c r="F184" s="245"/>
      <c r="G184" s="246"/>
      <c r="H184" s="247"/>
      <c r="I184" s="248"/>
      <c r="J184" s="249"/>
      <c r="K184" s="392">
        <f>IF(ISBLANK(J184),0,ROUND(J184*(1+$F$10)*(1+$F$11*E184),2))</f>
        <v>0</v>
      </c>
      <c r="L184" s="450" t="s">
        <v>116</v>
      </c>
      <c r="M184" s="561"/>
      <c r="N184" s="561">
        <f t="shared" si="101"/>
        <v>0</v>
      </c>
      <c r="O184" s="252">
        <f t="shared" si="158"/>
        <v>0</v>
      </c>
      <c r="P184" s="662"/>
      <c r="Q184" s="674"/>
      <c r="R184" s="676">
        <f t="shared" si="127"/>
        <v>0</v>
      </c>
      <c r="S184" s="159"/>
      <c r="U184" s="188"/>
      <c r="V184" s="188"/>
      <c r="W184" s="188"/>
    </row>
    <row r="185" spans="1:23" ht="12" thickBot="1" x14ac:dyDescent="0.25">
      <c r="A185" s="230"/>
      <c r="B185" s="526" t="s">
        <v>417</v>
      </c>
      <c r="C185" s="562"/>
      <c r="D185" s="558" t="s">
        <v>264</v>
      </c>
      <c r="E185" s="529"/>
      <c r="F185" s="563"/>
      <c r="G185" s="564"/>
      <c r="H185" s="565"/>
      <c r="I185" s="566"/>
      <c r="J185" s="535"/>
      <c r="K185" s="535"/>
      <c r="L185" s="536"/>
      <c r="M185" s="567"/>
      <c r="N185" s="567"/>
      <c r="O185" s="524">
        <f>SUM(O186:O187)</f>
        <v>289258.95</v>
      </c>
      <c r="P185" s="591"/>
      <c r="Q185" s="675"/>
      <c r="R185" s="676"/>
      <c r="S185" s="403">
        <f>SUM(R186:R187)</f>
        <v>0</v>
      </c>
      <c r="T185" s="161" t="s">
        <v>188</v>
      </c>
      <c r="U185" s="188" t="s">
        <v>188</v>
      </c>
      <c r="V185" s="188" t="s">
        <v>188</v>
      </c>
      <c r="W185" s="188" t="s">
        <v>188</v>
      </c>
    </row>
    <row r="186" spans="1:23" ht="33.75" x14ac:dyDescent="0.2">
      <c r="A186" s="230"/>
      <c r="B186" s="353" t="s">
        <v>266</v>
      </c>
      <c r="C186" s="353" t="s">
        <v>265</v>
      </c>
      <c r="D186" s="287" t="s">
        <v>358</v>
      </c>
      <c r="E186" s="390"/>
      <c r="F186" s="366"/>
      <c r="G186" s="391"/>
      <c r="H186" s="225">
        <f>SUM(H188:H190)</f>
        <v>0</v>
      </c>
      <c r="I186" s="225">
        <f>((249650+4000)+(194817.94+37000)+(251487.84+15800))/3</f>
        <v>250918.59333333335</v>
      </c>
      <c r="J186" s="225">
        <f>IF(ISBLANK(I186),"",SUM(H186:I186))</f>
        <v>250918.59333333335</v>
      </c>
      <c r="K186" s="226">
        <f>IF(ISBLANK(I186),0,ROUND(J186*(1+$F$9)*(1+$F$11*E186),2))</f>
        <v>289258.95</v>
      </c>
      <c r="L186" s="225" t="s">
        <v>191</v>
      </c>
      <c r="M186" s="382">
        <v>1</v>
      </c>
      <c r="N186" s="382">
        <f>K186</f>
        <v>289258.95</v>
      </c>
      <c r="O186" s="228">
        <f>IF(ISBLANK(N186),0,ROUND(M186*N186,2))</f>
        <v>289258.95</v>
      </c>
      <c r="P186" s="662"/>
      <c r="Q186" s="674"/>
      <c r="R186" s="676">
        <f t="shared" si="127"/>
        <v>0</v>
      </c>
      <c r="S186" s="159"/>
      <c r="T186" s="161" t="s">
        <v>188</v>
      </c>
      <c r="U186" s="188" t="s">
        <v>188</v>
      </c>
      <c r="V186" s="188" t="s">
        <v>188</v>
      </c>
      <c r="W186" s="188" t="s">
        <v>188</v>
      </c>
    </row>
    <row r="187" spans="1:23" ht="12" thickBot="1" x14ac:dyDescent="0.25">
      <c r="A187" s="230"/>
      <c r="B187" s="368"/>
      <c r="C187" s="368"/>
      <c r="D187" s="385"/>
      <c r="E187" s="199"/>
      <c r="F187" s="386"/>
      <c r="G187" s="387"/>
      <c r="H187" s="383"/>
      <c r="I187" s="383"/>
      <c r="J187" s="383"/>
      <c r="K187" s="364"/>
      <c r="L187" s="388"/>
      <c r="M187" s="579"/>
      <c r="N187" s="502"/>
      <c r="O187" s="389"/>
      <c r="P187" s="666"/>
      <c r="Q187" s="674"/>
      <c r="R187" s="676"/>
      <c r="S187" s="159"/>
      <c r="U187" s="188"/>
      <c r="V187" s="188"/>
      <c r="W187" s="188"/>
    </row>
    <row r="188" spans="1:23" ht="12" thickBot="1" x14ac:dyDescent="0.25">
      <c r="A188" s="230" t="s">
        <v>42</v>
      </c>
      <c r="B188" s="498" t="s">
        <v>418</v>
      </c>
      <c r="C188" s="499"/>
      <c r="D188" s="495" t="s">
        <v>86</v>
      </c>
      <c r="E188" s="496"/>
      <c r="F188" s="497"/>
      <c r="G188" s="487"/>
      <c r="H188" s="488"/>
      <c r="I188" s="489"/>
      <c r="J188" s="489"/>
      <c r="K188" s="489"/>
      <c r="L188" s="489" t="s">
        <v>116</v>
      </c>
      <c r="M188" s="488"/>
      <c r="N188" s="480">
        <f t="shared" si="101"/>
        <v>0</v>
      </c>
      <c r="O188" s="492"/>
      <c r="P188" s="488">
        <f>SUM(O189:O267)/2</f>
        <v>1227903.1800000002</v>
      </c>
      <c r="Q188" s="668"/>
      <c r="R188" s="678"/>
      <c r="S188" s="677">
        <f>SUM(R190:R268)</f>
        <v>0</v>
      </c>
      <c r="T188" s="224" t="s">
        <v>34</v>
      </c>
      <c r="U188" s="188" t="str">
        <f>IF(T188="X","x",IF(T188="xx","x",IF(T188="xy","x",IF(T188="y","x",IF(OR(O188&gt;0,#REF!&gt;0),"x","")))))</f>
        <v>x</v>
      </c>
      <c r="V188" s="188" t="str">
        <f>IF(T188="X","x",IF(T188="y","x",IF(T188="xx","x",IF(#REF!&gt;0,"x",""))))</f>
        <v>x</v>
      </c>
      <c r="W188" s="188" t="str">
        <f>IF(T188="X","x",IF(#REF!&gt;0,"x",""))</f>
        <v>x</v>
      </c>
    </row>
    <row r="189" spans="1:23" ht="12" thickBot="1" x14ac:dyDescent="0.25">
      <c r="A189" s="230"/>
      <c r="B189" s="515" t="s">
        <v>419</v>
      </c>
      <c r="C189" s="568"/>
      <c r="D189" s="569" t="s">
        <v>393</v>
      </c>
      <c r="E189" s="570"/>
      <c r="F189" s="571"/>
      <c r="G189" s="572"/>
      <c r="H189" s="573"/>
      <c r="I189" s="574"/>
      <c r="J189" s="574"/>
      <c r="K189" s="574"/>
      <c r="L189" s="574"/>
      <c r="M189" s="574"/>
      <c r="N189" s="523"/>
      <c r="O189" s="575">
        <f>SUM(O190:O262)</f>
        <v>1216425.4099999999</v>
      </c>
      <c r="P189" s="573"/>
      <c r="Q189" s="670"/>
      <c r="R189" s="676"/>
      <c r="S189" s="669"/>
      <c r="T189" s="224"/>
      <c r="U189" s="188"/>
      <c r="V189" s="188"/>
      <c r="W189" s="188"/>
    </row>
    <row r="190" spans="1:23" x14ac:dyDescent="0.2">
      <c r="A190" s="140">
        <v>600300</v>
      </c>
      <c r="B190" s="175">
        <v>600300</v>
      </c>
      <c r="C190" s="133" t="s">
        <v>47</v>
      </c>
      <c r="D190" s="254" t="s">
        <v>65</v>
      </c>
      <c r="E190" s="255"/>
      <c r="F190" s="256">
        <v>0</v>
      </c>
      <c r="G190" s="257">
        <v>0</v>
      </c>
      <c r="H190" s="155">
        <f t="shared" ref="H190:H191" si="159">IF(F190&lt;=30,(0.62*F190+6.29)*G190,((0.62*30+6.29)+0.62*(F190-30))*G190)</f>
        <v>0</v>
      </c>
      <c r="I190" s="225">
        <v>12.45</v>
      </c>
      <c r="J190" s="225">
        <f t="shared" ref="J190:J191" si="160">IF(ISBLANK(I190),"",SUM(H190:I190))</f>
        <v>12.45</v>
      </c>
      <c r="K190" s="226">
        <f t="shared" ref="K190:K194" si="161">IF(ISBLANK(I190),0,ROUND(J190*(1+$F$10)*(1+$F$11*E190),2))</f>
        <v>14.89</v>
      </c>
      <c r="L190" s="227" t="s">
        <v>15</v>
      </c>
      <c r="M190" s="382">
        <f>2239.4+246.2</f>
        <v>2485.6</v>
      </c>
      <c r="N190" s="382">
        <f t="shared" si="101"/>
        <v>14.89</v>
      </c>
      <c r="O190" s="228">
        <f t="shared" si="158"/>
        <v>37010.58</v>
      </c>
      <c r="P190" s="666"/>
      <c r="Q190" s="674"/>
      <c r="R190" s="676">
        <f t="shared" si="127"/>
        <v>0</v>
      </c>
      <c r="S190" s="159"/>
      <c r="T190" s="161" t="s">
        <v>34</v>
      </c>
      <c r="U190" s="188" t="str">
        <f>IF(T190="X","x",IF(T190="xx","x",IF(T190="xy","x",IF(T190="y","x",IF(OR(O190&gt;0,#REF!&gt;0),"x","")))))</f>
        <v>x</v>
      </c>
      <c r="V190" s="188" t="str">
        <f>IF(T190="X","x",IF(T190="y","x",IF(T190="xx","x",IF(#REF!&gt;0,"x",""))))</f>
        <v>x</v>
      </c>
      <c r="W190" s="188" t="str">
        <f>IF(T190="X","x",IF(#REF!&gt;0,"x",""))</f>
        <v>x</v>
      </c>
    </row>
    <row r="191" spans="1:23" x14ac:dyDescent="0.2">
      <c r="A191" s="140">
        <v>600500</v>
      </c>
      <c r="B191" s="173">
        <v>600500</v>
      </c>
      <c r="C191" s="134" t="s">
        <v>47</v>
      </c>
      <c r="D191" s="135" t="s">
        <v>66</v>
      </c>
      <c r="E191" s="137"/>
      <c r="F191" s="143">
        <v>0</v>
      </c>
      <c r="G191" s="141"/>
      <c r="H191" s="142">
        <f t="shared" si="159"/>
        <v>0</v>
      </c>
      <c r="I191" s="156">
        <v>76.27000000000001</v>
      </c>
      <c r="J191" s="156">
        <f t="shared" si="160"/>
        <v>76.27000000000001</v>
      </c>
      <c r="K191" s="157">
        <f t="shared" si="161"/>
        <v>91.23</v>
      </c>
      <c r="L191" s="158" t="s">
        <v>15</v>
      </c>
      <c r="M191" s="382">
        <v>15</v>
      </c>
      <c r="N191" s="382">
        <f t="shared" si="101"/>
        <v>91.23</v>
      </c>
      <c r="O191" s="159">
        <f t="shared" si="158"/>
        <v>1368.45</v>
      </c>
      <c r="P191" s="666"/>
      <c r="Q191" s="674"/>
      <c r="R191" s="676">
        <f t="shared" si="127"/>
        <v>0</v>
      </c>
      <c r="S191" s="159"/>
      <c r="T191" s="161" t="s">
        <v>34</v>
      </c>
      <c r="U191" s="188" t="s">
        <v>34</v>
      </c>
      <c r="V191" s="188" t="s">
        <v>34</v>
      </c>
      <c r="W191" s="188" t="s">
        <v>34</v>
      </c>
    </row>
    <row r="192" spans="1:23" x14ac:dyDescent="0.2">
      <c r="A192" s="140">
        <v>601200</v>
      </c>
      <c r="B192" s="173" t="s">
        <v>203</v>
      </c>
      <c r="C192" s="134" t="s">
        <v>47</v>
      </c>
      <c r="D192" s="135" t="s">
        <v>67</v>
      </c>
      <c r="E192" s="137"/>
      <c r="F192" s="143"/>
      <c r="G192" s="141"/>
      <c r="H192" s="142"/>
      <c r="I192" s="156">
        <v>15.95</v>
      </c>
      <c r="J192" s="156">
        <f>IF(ISBLANK(I192),"",SUM(H192:I192))*0.9</f>
        <v>14.355</v>
      </c>
      <c r="K192" s="157">
        <f t="shared" si="161"/>
        <v>17.170000000000002</v>
      </c>
      <c r="L192" s="158" t="s">
        <v>192</v>
      </c>
      <c r="M192" s="382">
        <f>1643+127.61</f>
        <v>1770.61</v>
      </c>
      <c r="N192" s="382">
        <f t="shared" ref="N192:N194" si="162">K192</f>
        <v>17.170000000000002</v>
      </c>
      <c r="O192" s="159">
        <f t="shared" si="158"/>
        <v>30401.37</v>
      </c>
      <c r="P192" s="666"/>
      <c r="Q192" s="674"/>
      <c r="R192" s="676">
        <f t="shared" si="127"/>
        <v>0</v>
      </c>
      <c r="S192" s="159"/>
      <c r="T192" s="161" t="s">
        <v>34</v>
      </c>
      <c r="U192" s="188" t="s">
        <v>34</v>
      </c>
      <c r="V192" s="188" t="s">
        <v>34</v>
      </c>
      <c r="W192" s="188" t="s">
        <v>34</v>
      </c>
    </row>
    <row r="193" spans="1:24" x14ac:dyDescent="0.2">
      <c r="A193" s="140">
        <v>97623</v>
      </c>
      <c r="B193" s="175">
        <v>4014002</v>
      </c>
      <c r="C193" s="353" t="s">
        <v>259</v>
      </c>
      <c r="D193" s="376" t="s">
        <v>298</v>
      </c>
      <c r="E193" s="375"/>
      <c r="F193" s="138"/>
      <c r="G193" s="139"/>
      <c r="H193" s="229"/>
      <c r="I193" s="156">
        <v>6.7</v>
      </c>
      <c r="J193" s="156">
        <f t="shared" ref="J193" si="163">IF(ISBLANK(I193),"",SUM(H193:I193))</f>
        <v>6.7</v>
      </c>
      <c r="K193" s="157">
        <f>IF(ISBLANK(I193),0,ROUND(J193*(1+$F$10)*(1+$F$11*E193),2))</f>
        <v>8.01</v>
      </c>
      <c r="L193" s="158" t="s">
        <v>15</v>
      </c>
      <c r="M193" s="382">
        <f>M192</f>
        <v>1770.61</v>
      </c>
      <c r="N193" s="382">
        <f t="shared" si="162"/>
        <v>8.01</v>
      </c>
      <c r="O193" s="159">
        <f t="shared" si="158"/>
        <v>14182.59</v>
      </c>
      <c r="P193" s="666"/>
      <c r="Q193" s="674"/>
      <c r="R193" s="676">
        <f t="shared" si="127"/>
        <v>0</v>
      </c>
      <c r="S193" s="159"/>
      <c r="T193" s="161" t="s">
        <v>34</v>
      </c>
      <c r="U193" s="188" t="s">
        <v>34</v>
      </c>
      <c r="V193" s="188" t="s">
        <v>34</v>
      </c>
      <c r="W193" s="188" t="s">
        <v>34</v>
      </c>
    </row>
    <row r="194" spans="1:24" x14ac:dyDescent="0.2">
      <c r="A194" s="140" t="s">
        <v>211</v>
      </c>
      <c r="B194" s="173" t="s">
        <v>223</v>
      </c>
      <c r="C194" s="134" t="s">
        <v>47</v>
      </c>
      <c r="D194" s="135" t="s">
        <v>68</v>
      </c>
      <c r="E194" s="137"/>
      <c r="F194" s="143">
        <v>8.6</v>
      </c>
      <c r="G194" s="141">
        <v>1.5</v>
      </c>
      <c r="H194" s="142">
        <f t="shared" ref="H194" si="164">IF(F194&lt;=30,(1.07*F194+2.68)*G194,((1.07*30+2.68)+1.07*(F194-30))*G194)</f>
        <v>17.823</v>
      </c>
      <c r="I194" s="156">
        <v>131.84</v>
      </c>
      <c r="J194" s="156">
        <f>IF(ISBLANK(I194),"",SUM(H194:I194))</f>
        <v>149.66300000000001</v>
      </c>
      <c r="K194" s="157">
        <f t="shared" si="161"/>
        <v>179.03</v>
      </c>
      <c r="L194" s="158" t="s">
        <v>15</v>
      </c>
      <c r="M194" s="382">
        <v>162.1</v>
      </c>
      <c r="N194" s="382">
        <f t="shared" si="162"/>
        <v>179.03</v>
      </c>
      <c r="O194" s="159">
        <f t="shared" ref="O194" si="165">IF(ISBLANK(N194),0,ROUND(M194*N194,2))</f>
        <v>29020.76</v>
      </c>
      <c r="P194" s="666"/>
      <c r="Q194" s="674"/>
      <c r="R194" s="676">
        <f t="shared" si="127"/>
        <v>0</v>
      </c>
      <c r="S194" s="159"/>
      <c r="T194" s="161" t="s">
        <v>34</v>
      </c>
      <c r="U194" s="188" t="str">
        <f>IF(T194="X","x",IF(T194="xx","x",IF(T194="xy","x",IF(T194="y","x",IF(OR(O194&gt;0,#REF!&gt;0),"x","")))))</f>
        <v>x</v>
      </c>
      <c r="V194" s="188" t="str">
        <f>IF(T194="X","x",IF(T194="y","x",IF(T194="xx","x",IF(#REF!&gt;0,"x",""))))</f>
        <v>x</v>
      </c>
      <c r="W194" s="188" t="str">
        <f>IF(T194="X","x",IF(#REF!&gt;0,"x",""))</f>
        <v>x</v>
      </c>
    </row>
    <row r="195" spans="1:24" x14ac:dyDescent="0.2">
      <c r="A195" s="140">
        <v>610400</v>
      </c>
      <c r="B195" s="173" t="s">
        <v>204</v>
      </c>
      <c r="C195" s="134" t="s">
        <v>47</v>
      </c>
      <c r="D195" s="135" t="s">
        <v>279</v>
      </c>
      <c r="E195" s="137"/>
      <c r="F195" s="143"/>
      <c r="G195" s="141"/>
      <c r="H195" s="142">
        <f>SUM(H196:H198)</f>
        <v>2.5768080000000002</v>
      </c>
      <c r="I195" s="156">
        <v>124.35</v>
      </c>
      <c r="J195" s="156">
        <f>IF(ISBLANK(I195),"",SUM(H195:I195))</f>
        <v>126.92680799999999</v>
      </c>
      <c r="K195" s="157">
        <f t="shared" ref="K195:K206" si="166">IF(ISBLANK(I195),0,ROUND(J195*(1+$F$10)*(1+$F$11*E195),2))</f>
        <v>151.83000000000001</v>
      </c>
      <c r="L195" s="158" t="s">
        <v>18</v>
      </c>
      <c r="M195" s="382">
        <v>411</v>
      </c>
      <c r="N195" s="382">
        <f t="shared" ref="N195:N214" si="167">K195</f>
        <v>151.83000000000001</v>
      </c>
      <c r="O195" s="159">
        <f t="shared" ref="O195:O199" si="168">IF(ISBLANK(N195),0,ROUND(M195*N195,2))</f>
        <v>62402.13</v>
      </c>
      <c r="P195" s="666"/>
      <c r="Q195" s="674"/>
      <c r="R195" s="676">
        <f t="shared" si="127"/>
        <v>0</v>
      </c>
      <c r="S195" s="159"/>
      <c r="T195" s="161" t="s">
        <v>34</v>
      </c>
      <c r="U195" s="188" t="str">
        <f>IF(T195="X","x",IF(T195="xx","x",IF(T195="xy","x",IF(T195="y","x",IF(OR(O195&gt;0,#REF!&gt;0),"x","")))))</f>
        <v>x</v>
      </c>
      <c r="V195" s="188" t="str">
        <f>IF(T195="X","x",IF(T195="y","x",IF(T195="xx","x",IF(#REF!&gt;0,"x",""))))</f>
        <v>x</v>
      </c>
      <c r="W195" s="188" t="str">
        <f>IF(T195="X","x",IF(#REF!&gt;0,"x",""))</f>
        <v>x</v>
      </c>
      <c r="X195" s="394"/>
    </row>
    <row r="196" spans="1:24" x14ac:dyDescent="0.2">
      <c r="A196" s="140" t="s">
        <v>33</v>
      </c>
      <c r="B196" s="173" t="s">
        <v>33</v>
      </c>
      <c r="C196" s="134"/>
      <c r="D196" s="294" t="s">
        <v>49</v>
      </c>
      <c r="E196" s="137"/>
      <c r="F196" s="143">
        <v>215</v>
      </c>
      <c r="G196" s="141">
        <v>1.9E-3</v>
      </c>
      <c r="H196" s="142">
        <f>IF(F196&lt;=30,(0.78*F196+7.82)*G196,((0.78*30+7.82)+0.78*(F196-30))*G196)</f>
        <v>0.33348800000000001</v>
      </c>
      <c r="I196" s="156"/>
      <c r="J196" s="156"/>
      <c r="K196" s="157">
        <f t="shared" si="166"/>
        <v>0</v>
      </c>
      <c r="L196" s="158"/>
      <c r="M196" s="176"/>
      <c r="N196" s="382">
        <f t="shared" si="167"/>
        <v>0</v>
      </c>
      <c r="O196" s="159">
        <f t="shared" si="168"/>
        <v>0</v>
      </c>
      <c r="P196" s="666"/>
      <c r="Q196" s="674"/>
      <c r="R196" s="676">
        <f t="shared" si="127"/>
        <v>0</v>
      </c>
      <c r="S196" s="159"/>
      <c r="T196" s="161" t="s">
        <v>34</v>
      </c>
      <c r="U196" s="188" t="str">
        <f>IF(T196="X","x",IF(T196="xx","x",IF(T196="xy","x",IF(T196="y","x",IF(OR(O196&gt;0,#REF!&gt;0),"x","")))))</f>
        <v>x</v>
      </c>
      <c r="V196" s="188" t="str">
        <f>IF(T196="X","x",IF(T196="y","x",IF(T196="xx","x",IF(#REF!&gt;0,"x",""))))</f>
        <v>x</v>
      </c>
      <c r="W196" s="188" t="str">
        <f>IF(T196="X","x",IF(#REF!&gt;0,"x",""))</f>
        <v>x</v>
      </c>
    </row>
    <row r="197" spans="1:24" x14ac:dyDescent="0.2">
      <c r="A197" s="140" t="s">
        <v>33</v>
      </c>
      <c r="B197" s="173" t="s">
        <v>33</v>
      </c>
      <c r="C197" s="134"/>
      <c r="D197" s="294" t="s">
        <v>53</v>
      </c>
      <c r="E197" s="137"/>
      <c r="F197" s="143">
        <v>85</v>
      </c>
      <c r="G197" s="141">
        <v>0.01</v>
      </c>
      <c r="H197" s="142">
        <f>IF(F197&lt;=30,(1.07*F197+2.68)*G197,((1.07*30+2.68)+1.07*(F197-30))*G197)</f>
        <v>0.93630000000000002</v>
      </c>
      <c r="I197" s="156"/>
      <c r="J197" s="156"/>
      <c r="K197" s="157">
        <f t="shared" si="166"/>
        <v>0</v>
      </c>
      <c r="L197" s="158"/>
      <c r="M197" s="176"/>
      <c r="N197" s="382">
        <f t="shared" si="167"/>
        <v>0</v>
      </c>
      <c r="O197" s="159">
        <f t="shared" si="168"/>
        <v>0</v>
      </c>
      <c r="P197" s="666"/>
      <c r="Q197" s="674"/>
      <c r="R197" s="676">
        <f t="shared" si="127"/>
        <v>0</v>
      </c>
      <c r="S197" s="159"/>
      <c r="T197" s="161" t="s">
        <v>34</v>
      </c>
      <c r="U197" s="188" t="str">
        <f>IF(T197="X","x",IF(T197="xx","x",IF(T197="xy","x",IF(T197="y","x",IF(OR(O197&gt;0,#REF!&gt;0),"x","")))))</f>
        <v>x</v>
      </c>
      <c r="V197" s="188" t="str">
        <f>IF(T197="X","x",IF(T197="y","x",IF(T197="xx","x",IF(#REF!&gt;0,"x",""))))</f>
        <v>x</v>
      </c>
      <c r="W197" s="188" t="str">
        <f>IF(T197="X","x",IF(#REF!&gt;0,"x",""))</f>
        <v>x</v>
      </c>
    </row>
    <row r="198" spans="1:24" x14ac:dyDescent="0.2">
      <c r="A198" s="140" t="s">
        <v>33</v>
      </c>
      <c r="B198" s="173" t="s">
        <v>33</v>
      </c>
      <c r="C198" s="134"/>
      <c r="D198" s="294" t="s">
        <v>69</v>
      </c>
      <c r="E198" s="137"/>
      <c r="F198" s="143">
        <v>8.6</v>
      </c>
      <c r="G198" s="141">
        <v>0.11</v>
      </c>
      <c r="H198" s="142">
        <f>IF(F198&lt;=30,(1.07*F198+2.68)*G198,((1.07*30+2.68)+1.07*(F198-30))*G198)</f>
        <v>1.3070200000000001</v>
      </c>
      <c r="I198" s="156"/>
      <c r="J198" s="156"/>
      <c r="K198" s="157">
        <f t="shared" si="166"/>
        <v>0</v>
      </c>
      <c r="L198" s="158"/>
      <c r="M198" s="176"/>
      <c r="N198" s="382">
        <f t="shared" si="167"/>
        <v>0</v>
      </c>
      <c r="O198" s="159">
        <f t="shared" si="168"/>
        <v>0</v>
      </c>
      <c r="P198" s="666"/>
      <c r="Q198" s="674"/>
      <c r="R198" s="676">
        <f t="shared" si="127"/>
        <v>0</v>
      </c>
      <c r="S198" s="159"/>
      <c r="T198" s="161" t="s">
        <v>34</v>
      </c>
      <c r="U198" s="188" t="str">
        <f>IF(T198="X","x",IF(T198="xx","x",IF(T198="xy","x",IF(T198="y","x",IF(OR(O198&gt;0,#REF!&gt;0),"x","")))))</f>
        <v>x</v>
      </c>
      <c r="V198" s="188" t="str">
        <f>IF(T198="X","x",IF(T198="y","x",IF(T198="xx","x",IF(#REF!&gt;0,"x",""))))</f>
        <v>x</v>
      </c>
      <c r="W198" s="188" t="str">
        <f>IF(T198="X","x",IF(#REF!&gt;0,"x",""))</f>
        <v>x</v>
      </c>
    </row>
    <row r="199" spans="1:24" x14ac:dyDescent="0.2">
      <c r="A199" s="140">
        <v>610600</v>
      </c>
      <c r="B199" s="173" t="s">
        <v>205</v>
      </c>
      <c r="C199" s="134" t="s">
        <v>47</v>
      </c>
      <c r="D199" s="135" t="s">
        <v>286</v>
      </c>
      <c r="E199" s="137"/>
      <c r="F199" s="143"/>
      <c r="G199" s="141"/>
      <c r="H199" s="142">
        <f>SUM(H200:H202)</f>
        <v>6.3449740000000006</v>
      </c>
      <c r="I199" s="156">
        <v>265.89999999999998</v>
      </c>
      <c r="J199" s="156">
        <f>IF(ISBLANK(I199),"",SUM(H199:I199))</f>
        <v>272.24497399999996</v>
      </c>
      <c r="K199" s="157">
        <f t="shared" si="166"/>
        <v>325.66000000000003</v>
      </c>
      <c r="L199" s="158" t="s">
        <v>18</v>
      </c>
      <c r="M199" s="382">
        <v>956</v>
      </c>
      <c r="N199" s="382">
        <f t="shared" si="167"/>
        <v>325.66000000000003</v>
      </c>
      <c r="O199" s="159">
        <f t="shared" si="168"/>
        <v>311330.96000000002</v>
      </c>
      <c r="P199" s="666"/>
      <c r="Q199" s="674"/>
      <c r="R199" s="676">
        <f t="shared" si="127"/>
        <v>0</v>
      </c>
      <c r="S199" s="159"/>
      <c r="T199" s="161" t="s">
        <v>34</v>
      </c>
      <c r="U199" s="188" t="str">
        <f>IF(T199="X","x",IF(T199="xx","x",IF(T199="xy","x",IF(T199="y","x",IF(OR(O199&gt;0,#REF!&gt;0),"x","")))))</f>
        <v>x</v>
      </c>
      <c r="V199" s="188" t="str">
        <f>IF(T199="X","x",IF(T199="y","x",IF(T199="xx","x",IF(#REF!&gt;0,"x",""))))</f>
        <v>x</v>
      </c>
      <c r="W199" s="188" t="str">
        <f>IF(T199="X","x",IF(#REF!&gt;0,"x",""))</f>
        <v>x</v>
      </c>
    </row>
    <row r="200" spans="1:24" x14ac:dyDescent="0.2">
      <c r="A200" s="140" t="s">
        <v>33</v>
      </c>
      <c r="B200" s="173" t="s">
        <v>33</v>
      </c>
      <c r="C200" s="134"/>
      <c r="D200" s="294" t="s">
        <v>49</v>
      </c>
      <c r="E200" s="137"/>
      <c r="F200" s="143">
        <v>215</v>
      </c>
      <c r="G200" s="141">
        <v>2.5999999999999999E-3</v>
      </c>
      <c r="H200" s="142">
        <f>IF(F200&lt;=30,(0.78*F200+7.82)*G200,((0.78*30+7.82)+0.78*(F200-30))*G200)</f>
        <v>0.45635199999999998</v>
      </c>
      <c r="I200" s="156"/>
      <c r="J200" s="156"/>
      <c r="K200" s="157">
        <f t="shared" si="166"/>
        <v>0</v>
      </c>
      <c r="L200" s="158"/>
      <c r="M200" s="176"/>
      <c r="N200" s="382">
        <f t="shared" si="167"/>
        <v>0</v>
      </c>
      <c r="O200" s="159">
        <f t="shared" ref="O200:O214" si="169">IF(ISBLANK(N200),0,ROUND(M200*N200,2))</f>
        <v>0</v>
      </c>
      <c r="P200" s="666"/>
      <c r="Q200" s="674"/>
      <c r="R200" s="676">
        <f t="shared" si="127"/>
        <v>0</v>
      </c>
      <c r="S200" s="159"/>
      <c r="T200" s="161" t="s">
        <v>34</v>
      </c>
      <c r="U200" s="188" t="str">
        <f>IF(T200="X","x",IF(T200="xx","x",IF(T200="xy","x",IF(T200="y","x",IF(OR(O200&gt;0,#REF!&gt;0),"x","")))))</f>
        <v>x</v>
      </c>
      <c r="V200" s="188" t="str">
        <f>IF(T200="X","x",IF(T200="y","x",IF(T200="xx","x",IF(#REF!&gt;0,"x",""))))</f>
        <v>x</v>
      </c>
      <c r="W200" s="188" t="str">
        <f>IF(T200="X","x",IF(#REF!&gt;0,"x",""))</f>
        <v>x</v>
      </c>
    </row>
    <row r="201" spans="1:24" x14ac:dyDescent="0.2">
      <c r="A201" s="140" t="s">
        <v>33</v>
      </c>
      <c r="B201" s="173" t="s">
        <v>33</v>
      </c>
      <c r="C201" s="134"/>
      <c r="D201" s="294" t="s">
        <v>53</v>
      </c>
      <c r="E201" s="137"/>
      <c r="F201" s="143">
        <v>85</v>
      </c>
      <c r="G201" s="141">
        <v>1.34E-2</v>
      </c>
      <c r="H201" s="142">
        <f>IF(F201&lt;=30,(1.07*F201+2.68)*G201,((1.07*30+2.68)+1.07*(F201-30))*G201)</f>
        <v>1.254642</v>
      </c>
      <c r="I201" s="156"/>
      <c r="J201" s="156"/>
      <c r="K201" s="157">
        <f t="shared" si="166"/>
        <v>0</v>
      </c>
      <c r="L201" s="158"/>
      <c r="M201" s="176"/>
      <c r="N201" s="382">
        <f t="shared" si="167"/>
        <v>0</v>
      </c>
      <c r="O201" s="159">
        <f t="shared" si="169"/>
        <v>0</v>
      </c>
      <c r="P201" s="666"/>
      <c r="Q201" s="674"/>
      <c r="R201" s="676">
        <f t="shared" si="127"/>
        <v>0</v>
      </c>
      <c r="S201" s="159"/>
      <c r="T201" s="161" t="s">
        <v>34</v>
      </c>
      <c r="U201" s="188" t="str">
        <f>IF(T201="X","x",IF(T201="xx","x",IF(T201="xy","x",IF(T201="y","x",IF(OR(O201&gt;0,#REF!&gt;0),"x","")))))</f>
        <v>x</v>
      </c>
      <c r="V201" s="188" t="str">
        <f>IF(T201="X","x",IF(T201="y","x",IF(T201="xx","x",IF(#REF!&gt;0,"x",""))))</f>
        <v>x</v>
      </c>
      <c r="W201" s="188" t="str">
        <f>IF(T201="X","x",IF(#REF!&gt;0,"x",""))</f>
        <v>x</v>
      </c>
    </row>
    <row r="202" spans="1:24" x14ac:dyDescent="0.2">
      <c r="A202" s="140" t="s">
        <v>33</v>
      </c>
      <c r="B202" s="173" t="s">
        <v>33</v>
      </c>
      <c r="C202" s="134"/>
      <c r="D202" s="294" t="s">
        <v>69</v>
      </c>
      <c r="E202" s="137"/>
      <c r="F202" s="143">
        <v>8.6</v>
      </c>
      <c r="G202" s="141">
        <v>0.39</v>
      </c>
      <c r="H202" s="142">
        <f>IF(F202&lt;=30,(1.07*F202+2.68)*G202,((1.07*30+2.68)+1.07*(F202-30))*G202)</f>
        <v>4.6339800000000002</v>
      </c>
      <c r="I202" s="156"/>
      <c r="J202" s="156"/>
      <c r="K202" s="157">
        <f t="shared" si="166"/>
        <v>0</v>
      </c>
      <c r="L202" s="158"/>
      <c r="M202" s="176"/>
      <c r="N202" s="382">
        <f t="shared" si="167"/>
        <v>0</v>
      </c>
      <c r="O202" s="159">
        <f t="shared" si="169"/>
        <v>0</v>
      </c>
      <c r="P202" s="666"/>
      <c r="Q202" s="674"/>
      <c r="R202" s="676">
        <f t="shared" si="127"/>
        <v>0</v>
      </c>
      <c r="S202" s="159"/>
      <c r="T202" s="161" t="s">
        <v>34</v>
      </c>
      <c r="U202" s="188" t="str">
        <f>IF(T202="X","x",IF(T202="xx","x",IF(T202="xy","x",IF(T202="y","x",IF(OR(O202&gt;0,#REF!&gt;0),"x","")))))</f>
        <v>x</v>
      </c>
      <c r="V202" s="188" t="str">
        <f>IF(T202="X","x",IF(T202="y","x",IF(T202="xx","x",IF(#REF!&gt;0,"x",""))))</f>
        <v>x</v>
      </c>
      <c r="W202" s="188" t="str">
        <f>IF(T202="X","x",IF(#REF!&gt;0,"x",""))</f>
        <v>x</v>
      </c>
    </row>
    <row r="203" spans="1:24" x14ac:dyDescent="0.2">
      <c r="A203" s="140">
        <v>610800</v>
      </c>
      <c r="B203" s="173" t="s">
        <v>206</v>
      </c>
      <c r="C203" s="134" t="s">
        <v>47</v>
      </c>
      <c r="D203" s="135" t="s">
        <v>285</v>
      </c>
      <c r="E203" s="137"/>
      <c r="F203" s="143"/>
      <c r="G203" s="141"/>
      <c r="H203" s="142">
        <f>SUM(H204:H206)</f>
        <v>20.687328000000001</v>
      </c>
      <c r="I203" s="156">
        <v>443.6</v>
      </c>
      <c r="J203" s="156">
        <f>IF(ISBLANK(I203),"",SUM(H203:I203))</f>
        <v>464.287328</v>
      </c>
      <c r="K203" s="157">
        <f t="shared" si="166"/>
        <v>555.38</v>
      </c>
      <c r="L203" s="158" t="s">
        <v>18</v>
      </c>
      <c r="M203" s="382">
        <f>190+10</f>
        <v>200</v>
      </c>
      <c r="N203" s="382">
        <f t="shared" si="167"/>
        <v>555.38</v>
      </c>
      <c r="O203" s="159">
        <f t="shared" si="169"/>
        <v>111076</v>
      </c>
      <c r="P203" s="666"/>
      <c r="Q203" s="674"/>
      <c r="R203" s="676">
        <f t="shared" si="127"/>
        <v>0</v>
      </c>
      <c r="S203" s="159"/>
      <c r="T203" s="161" t="s">
        <v>34</v>
      </c>
      <c r="U203" s="188" t="str">
        <f>IF(T203="X","x",IF(T203="xx","x",IF(T203="xy","x",IF(T203="y","x",IF(OR(O203&gt;0,#REF!&gt;0),"x","")))))</f>
        <v>x</v>
      </c>
      <c r="V203" s="188" t="str">
        <f>IF(T203="X","x",IF(T203="y","x",IF(T203="xx","x",IF(#REF!&gt;0,"x",""))))</f>
        <v>x</v>
      </c>
      <c r="W203" s="188" t="str">
        <f>IF(T203="X","x",IF(#REF!&gt;0,"x",""))</f>
        <v>x</v>
      </c>
    </row>
    <row r="204" spans="1:24" x14ac:dyDescent="0.2">
      <c r="A204" s="140" t="s">
        <v>33</v>
      </c>
      <c r="B204" s="173" t="s">
        <v>33</v>
      </c>
      <c r="C204" s="134"/>
      <c r="D204" s="294" t="s">
        <v>49</v>
      </c>
      <c r="E204" s="137"/>
      <c r="F204" s="143">
        <v>500</v>
      </c>
      <c r="G204" s="141">
        <v>3.2000000000000002E-3</v>
      </c>
      <c r="H204" s="142">
        <f>IF(F204&lt;=30,(0.78*F204+7.82)*G204,((0.78*30+7.82)+0.78*(F204-30))*G204)</f>
        <v>1.2730240000000002</v>
      </c>
      <c r="I204" s="156"/>
      <c r="J204" s="156"/>
      <c r="K204" s="157">
        <f t="shared" si="166"/>
        <v>0</v>
      </c>
      <c r="L204" s="158"/>
      <c r="M204" s="176"/>
      <c r="N204" s="382">
        <f t="shared" si="167"/>
        <v>0</v>
      </c>
      <c r="O204" s="159">
        <f t="shared" si="169"/>
        <v>0</v>
      </c>
      <c r="P204" s="666"/>
      <c r="Q204" s="674"/>
      <c r="R204" s="676">
        <f t="shared" si="127"/>
        <v>0</v>
      </c>
      <c r="S204" s="159"/>
      <c r="T204" s="161" t="s">
        <v>34</v>
      </c>
      <c r="U204" s="188" t="str">
        <f>IF(T204="X","x",IF(T204="xx","x",IF(T204="xy","x",IF(T204="y","x",IF(OR(O204&gt;0,#REF!&gt;0),"x","")))))</f>
        <v>x</v>
      </c>
      <c r="V204" s="188" t="str">
        <f>IF(T204="X","x",IF(T204="y","x",IF(T204="xx","x",IF(#REF!&gt;0,"x",""))))</f>
        <v>x</v>
      </c>
      <c r="W204" s="188" t="str">
        <f>IF(T204="X","x",IF(#REF!&gt;0,"x",""))</f>
        <v>x</v>
      </c>
    </row>
    <row r="205" spans="1:24" x14ac:dyDescent="0.2">
      <c r="A205" s="140" t="s">
        <v>33</v>
      </c>
      <c r="B205" s="173" t="s">
        <v>33</v>
      </c>
      <c r="C205" s="134"/>
      <c r="D205" s="294" t="s">
        <v>53</v>
      </c>
      <c r="E205" s="137"/>
      <c r="F205" s="143">
        <v>180</v>
      </c>
      <c r="G205" s="141">
        <v>1.6799999999999999E-2</v>
      </c>
      <c r="H205" s="142">
        <f>IF(F205&lt;=30,(1.07*F205+2.68)*G205,((1.07*30+2.68)+1.07*(F205-30))*G205)</f>
        <v>3.2807039999999996</v>
      </c>
      <c r="I205" s="156"/>
      <c r="J205" s="156"/>
      <c r="K205" s="157">
        <f t="shared" si="166"/>
        <v>0</v>
      </c>
      <c r="L205" s="158"/>
      <c r="M205" s="176"/>
      <c r="N205" s="382">
        <f t="shared" si="167"/>
        <v>0</v>
      </c>
      <c r="O205" s="159">
        <f t="shared" si="169"/>
        <v>0</v>
      </c>
      <c r="P205" s="666"/>
      <c r="Q205" s="674"/>
      <c r="R205" s="676">
        <f t="shared" si="127"/>
        <v>0</v>
      </c>
      <c r="S205" s="159"/>
      <c r="T205" s="161" t="s">
        <v>34</v>
      </c>
      <c r="U205" s="188" t="str">
        <f>IF(T205="X","x",IF(T205="xx","x",IF(T205="xy","x",IF(T205="y","x",IF(OR(O205&gt;0,#REF!&gt;0),"x","")))))</f>
        <v>x</v>
      </c>
      <c r="V205" s="188" t="str">
        <f>IF(T205="X","x",IF(T205="y","x",IF(T205="xx","x",IF(#REF!&gt;0,"x",""))))</f>
        <v>x</v>
      </c>
      <c r="W205" s="188" t="str">
        <f>IF(T205="X","x",IF(#REF!&gt;0,"x",""))</f>
        <v>x</v>
      </c>
    </row>
    <row r="206" spans="1:24" x14ac:dyDescent="0.2">
      <c r="A206" s="140" t="s">
        <v>33</v>
      </c>
      <c r="B206" s="173" t="s">
        <v>33</v>
      </c>
      <c r="C206" s="134"/>
      <c r="D206" s="294" t="s">
        <v>69</v>
      </c>
      <c r="E206" s="137"/>
      <c r="F206" s="143">
        <v>20</v>
      </c>
      <c r="G206" s="141">
        <v>0.67</v>
      </c>
      <c r="H206" s="142">
        <f>IF(F206&lt;=30,(1.07*F206+2.68)*G206,((1.07*30+2.68)+1.07*(F206-30))*G206)</f>
        <v>16.133600000000001</v>
      </c>
      <c r="I206" s="156"/>
      <c r="J206" s="156"/>
      <c r="K206" s="157">
        <f t="shared" si="166"/>
        <v>0</v>
      </c>
      <c r="L206" s="158"/>
      <c r="M206" s="176"/>
      <c r="N206" s="382">
        <f t="shared" si="167"/>
        <v>0</v>
      </c>
      <c r="O206" s="159">
        <f t="shared" si="169"/>
        <v>0</v>
      </c>
      <c r="P206" s="666"/>
      <c r="Q206" s="674"/>
      <c r="R206" s="676">
        <f t="shared" si="127"/>
        <v>0</v>
      </c>
      <c r="S206" s="159"/>
      <c r="T206" s="161" t="s">
        <v>34</v>
      </c>
      <c r="U206" s="188" t="str">
        <f>IF(T206="X","x",IF(T206="xx","x",IF(T206="xy","x",IF(T206="y","x",IF(OR(O206&gt;0,#REF!&gt;0),"x","")))))</f>
        <v>x</v>
      </c>
      <c r="V206" s="188" t="str">
        <f>IF(T206="X","x",IF(T206="y","x",IF(T206="xx","x",IF(#REF!&gt;0,"x",""))))</f>
        <v>x</v>
      </c>
      <c r="W206" s="188" t="str">
        <f>IF(T206="X","x",IF(#REF!&gt;0,"x",""))</f>
        <v>x</v>
      </c>
    </row>
    <row r="207" spans="1:24" x14ac:dyDescent="0.2">
      <c r="A207" s="140">
        <v>611000</v>
      </c>
      <c r="B207" s="173" t="s">
        <v>207</v>
      </c>
      <c r="C207" s="134" t="s">
        <v>47</v>
      </c>
      <c r="D207" s="135" t="s">
        <v>287</v>
      </c>
      <c r="E207" s="137"/>
      <c r="F207" s="143"/>
      <c r="G207" s="141"/>
      <c r="H207" s="142">
        <f>SUM(H208:H210)</f>
        <v>15.083971999999999</v>
      </c>
      <c r="I207" s="156">
        <v>712.8</v>
      </c>
      <c r="J207" s="156">
        <f>IF(ISBLANK(I207),"",SUM(H207:I207))</f>
        <v>727.88397199999997</v>
      </c>
      <c r="K207" s="157">
        <f t="shared" ref="K207:K214" si="170">IF(ISBLANK(I207),0,ROUND(J207*(1+$F$10)*(1+$F$11*E207),2))</f>
        <v>870.69</v>
      </c>
      <c r="L207" s="158" t="s">
        <v>18</v>
      </c>
      <c r="M207" s="382">
        <v>175</v>
      </c>
      <c r="N207" s="382">
        <f t="shared" si="167"/>
        <v>870.69</v>
      </c>
      <c r="O207" s="159">
        <f t="shared" si="169"/>
        <v>152370.75</v>
      </c>
      <c r="P207" s="666"/>
      <c r="Q207" s="674"/>
      <c r="R207" s="676">
        <f t="shared" si="127"/>
        <v>0</v>
      </c>
      <c r="S207" s="159"/>
      <c r="T207" s="161" t="s">
        <v>34</v>
      </c>
      <c r="U207" s="188" t="str">
        <f>IF(T207="X","x",IF(T207="xx","x",IF(T207="xy","x",IF(T207="y","x",IF(OR(O207&gt;0,#REF!&gt;0),"x","")))))</f>
        <v>x</v>
      </c>
      <c r="V207" s="188" t="str">
        <f>IF(T207="X","x",IF(T207="y","x",IF(T207="xx","x",IF(#REF!&gt;0,"x",""))))</f>
        <v>x</v>
      </c>
      <c r="W207" s="188" t="str">
        <f>IF(T207="X","x",IF(#REF!&gt;0,"x",""))</f>
        <v>x</v>
      </c>
    </row>
    <row r="208" spans="1:24" x14ac:dyDescent="0.2">
      <c r="A208" s="140" t="s">
        <v>33</v>
      </c>
      <c r="B208" s="173" t="s">
        <v>33</v>
      </c>
      <c r="C208" s="134"/>
      <c r="D208" s="294" t="s">
        <v>49</v>
      </c>
      <c r="E208" s="137"/>
      <c r="F208" s="143">
        <v>215</v>
      </c>
      <c r="G208" s="141">
        <v>4.7999999999999996E-3</v>
      </c>
      <c r="H208" s="142">
        <f>IF(F208&lt;=30,(0.78*F208+7.82)*G208,((0.78*30+7.82)+0.78*(F208-30))*G208)</f>
        <v>0.84249600000000002</v>
      </c>
      <c r="I208" s="156"/>
      <c r="J208" s="156"/>
      <c r="K208" s="157">
        <f t="shared" si="170"/>
        <v>0</v>
      </c>
      <c r="L208" s="158"/>
      <c r="M208" s="176"/>
      <c r="N208" s="382">
        <f t="shared" si="167"/>
        <v>0</v>
      </c>
      <c r="O208" s="159">
        <f t="shared" si="169"/>
        <v>0</v>
      </c>
      <c r="P208" s="666"/>
      <c r="Q208" s="674"/>
      <c r="R208" s="676">
        <f t="shared" si="127"/>
        <v>0</v>
      </c>
      <c r="S208" s="159"/>
      <c r="T208" s="161" t="s">
        <v>34</v>
      </c>
      <c r="U208" s="188" t="str">
        <f>IF(T208="X","x",IF(T208="xx","x",IF(T208="xy","x",IF(T208="y","x",IF(OR(O208&gt;0,#REF!&gt;0),"x","")))))</f>
        <v>x</v>
      </c>
      <c r="V208" s="188" t="str">
        <f>IF(T208="X","x",IF(T208="y","x",IF(T208="xx","x",IF(#REF!&gt;0,"x",""))))</f>
        <v>x</v>
      </c>
      <c r="W208" s="188" t="str">
        <f>IF(T208="X","x",IF(#REF!&gt;0,"x",""))</f>
        <v>x</v>
      </c>
    </row>
    <row r="209" spans="1:23" x14ac:dyDescent="0.2">
      <c r="A209" s="140" t="s">
        <v>33</v>
      </c>
      <c r="B209" s="173" t="s">
        <v>33</v>
      </c>
      <c r="C209" s="134"/>
      <c r="D209" s="294" t="s">
        <v>53</v>
      </c>
      <c r="E209" s="137"/>
      <c r="F209" s="143">
        <v>85</v>
      </c>
      <c r="G209" s="141">
        <v>2.52E-2</v>
      </c>
      <c r="H209" s="142">
        <f>IF(F209&lt;=30,(1.07*F209+2.68)*G209,((1.07*30+2.68)+1.07*(F209-30))*G209)</f>
        <v>2.3594759999999999</v>
      </c>
      <c r="I209" s="156"/>
      <c r="J209" s="156"/>
      <c r="K209" s="157">
        <f t="shared" si="170"/>
        <v>0</v>
      </c>
      <c r="L209" s="158"/>
      <c r="M209" s="176"/>
      <c r="N209" s="382">
        <f t="shared" si="167"/>
        <v>0</v>
      </c>
      <c r="O209" s="159">
        <f t="shared" si="169"/>
        <v>0</v>
      </c>
      <c r="P209" s="666"/>
      <c r="Q209" s="674"/>
      <c r="R209" s="676">
        <f t="shared" si="127"/>
        <v>0</v>
      </c>
      <c r="S209" s="159"/>
      <c r="T209" s="161" t="s">
        <v>34</v>
      </c>
      <c r="U209" s="188" t="str">
        <f>IF(T209="X","x",IF(T209="xx","x",IF(T209="xy","x",IF(T209="y","x",IF(OR(O209&gt;0,#REF!&gt;0),"x","")))))</f>
        <v>x</v>
      </c>
      <c r="V209" s="188" t="str">
        <f>IF(T209="X","x",IF(T209="y","x",IF(T209="xx","x",IF(#REF!&gt;0,"x",""))))</f>
        <v>x</v>
      </c>
      <c r="W209" s="188" t="str">
        <f>IF(T209="X","x",IF(#REF!&gt;0,"x",""))</f>
        <v>x</v>
      </c>
    </row>
    <row r="210" spans="1:23" x14ac:dyDescent="0.2">
      <c r="A210" s="140" t="s">
        <v>33</v>
      </c>
      <c r="B210" s="173" t="s">
        <v>33</v>
      </c>
      <c r="C210" s="134"/>
      <c r="D210" s="294" t="s">
        <v>69</v>
      </c>
      <c r="E210" s="137"/>
      <c r="F210" s="143">
        <v>8.6</v>
      </c>
      <c r="G210" s="141">
        <v>1</v>
      </c>
      <c r="H210" s="142">
        <f>IF(F210&lt;=30,(1.07*F210+2.68)*G210,((1.07*30+2.68)+1.07*(F210-30))*G210)</f>
        <v>11.882</v>
      </c>
      <c r="I210" s="156"/>
      <c r="J210" s="156"/>
      <c r="K210" s="157">
        <f t="shared" si="170"/>
        <v>0</v>
      </c>
      <c r="L210" s="158"/>
      <c r="M210" s="176"/>
      <c r="N210" s="382">
        <f t="shared" si="167"/>
        <v>0</v>
      </c>
      <c r="O210" s="159">
        <f t="shared" si="169"/>
        <v>0</v>
      </c>
      <c r="P210" s="666"/>
      <c r="Q210" s="674"/>
      <c r="R210" s="676">
        <f t="shared" si="127"/>
        <v>0</v>
      </c>
      <c r="S210" s="159"/>
      <c r="T210" s="161" t="s">
        <v>34</v>
      </c>
      <c r="U210" s="188" t="str">
        <f>IF(T210="X","x",IF(T210="xx","x",IF(T210="xy","x",IF(T210="y","x",IF(OR(O210&gt;0,#REF!&gt;0),"x","")))))</f>
        <v>x</v>
      </c>
      <c r="V210" s="188" t="str">
        <f>IF(T210="X","x",IF(T210="y","x",IF(T210="xx","x",IF(#REF!&gt;0,"x",""))))</f>
        <v>x</v>
      </c>
      <c r="W210" s="188" t="str">
        <f>IF(T210="X","x",IF(#REF!&gt;0,"x",""))</f>
        <v>x</v>
      </c>
    </row>
    <row r="211" spans="1:23" x14ac:dyDescent="0.2">
      <c r="A211" s="140"/>
      <c r="B211" s="173" t="s">
        <v>207</v>
      </c>
      <c r="C211" s="134" t="s">
        <v>47</v>
      </c>
      <c r="D211" s="135" t="s">
        <v>385</v>
      </c>
      <c r="E211" s="137"/>
      <c r="F211" s="143"/>
      <c r="G211" s="141"/>
      <c r="H211" s="142">
        <f>SUM(H212:H214)</f>
        <v>15.083971999999999</v>
      </c>
      <c r="I211" s="156">
        <v>812.99</v>
      </c>
      <c r="J211" s="156">
        <f>IF(ISBLANK(I211),"",SUM(H211:I211))</f>
        <v>828.07397200000003</v>
      </c>
      <c r="K211" s="157">
        <f t="shared" si="170"/>
        <v>990.54</v>
      </c>
      <c r="L211" s="158" t="s">
        <v>18</v>
      </c>
      <c r="M211" s="382">
        <v>60</v>
      </c>
      <c r="N211" s="382">
        <f t="shared" si="167"/>
        <v>990.54</v>
      </c>
      <c r="O211" s="159">
        <f t="shared" si="169"/>
        <v>59432.4</v>
      </c>
      <c r="P211" s="666"/>
      <c r="Q211" s="674"/>
      <c r="R211" s="676">
        <f t="shared" si="127"/>
        <v>0</v>
      </c>
      <c r="S211" s="159"/>
      <c r="T211" s="161" t="s">
        <v>34</v>
      </c>
      <c r="U211" s="188" t="str">
        <f>IF(T211="X","x",IF(T211="xx","x",IF(T211="xy","x",IF(T211="y","x",IF(OR(O211&gt;0,#REF!&gt;0),"x","")))))</f>
        <v>x</v>
      </c>
      <c r="V211" s="188" t="str">
        <f>IF(T211="X","x",IF(T211="y","x",IF(T211="xx","x",IF(#REF!&gt;0,"x",""))))</f>
        <v>x</v>
      </c>
      <c r="W211" s="188" t="str">
        <f>IF(T211="X","x",IF(#REF!&gt;0,"x",""))</f>
        <v>x</v>
      </c>
    </row>
    <row r="212" spans="1:23" x14ac:dyDescent="0.2">
      <c r="A212" s="140"/>
      <c r="B212" s="173" t="s">
        <v>33</v>
      </c>
      <c r="C212" s="134"/>
      <c r="D212" s="294" t="s">
        <v>49</v>
      </c>
      <c r="E212" s="137"/>
      <c r="F212" s="143">
        <v>215</v>
      </c>
      <c r="G212" s="141">
        <v>4.7999999999999996E-3</v>
      </c>
      <c r="H212" s="142">
        <f>IF(F212&lt;=30,(0.78*F212+7.82)*G212,((0.78*30+7.82)+0.78*(F212-30))*G212)</f>
        <v>0.84249600000000002</v>
      </c>
      <c r="I212" s="156"/>
      <c r="J212" s="156"/>
      <c r="K212" s="157">
        <f t="shared" si="170"/>
        <v>0</v>
      </c>
      <c r="L212" s="158"/>
      <c r="M212" s="176"/>
      <c r="N212" s="382">
        <f t="shared" si="167"/>
        <v>0</v>
      </c>
      <c r="O212" s="159">
        <f t="shared" si="169"/>
        <v>0</v>
      </c>
      <c r="P212" s="666"/>
      <c r="Q212" s="674"/>
      <c r="R212" s="676">
        <f t="shared" ref="R212:R275" si="171">ROUND(Q212*M212,2)</f>
        <v>0</v>
      </c>
      <c r="S212" s="159"/>
      <c r="T212" s="161" t="s">
        <v>34</v>
      </c>
      <c r="U212" s="188" t="s">
        <v>34</v>
      </c>
      <c r="V212" s="188" t="str">
        <f>IF(T212="X","x",IF(T212="y","x",IF(T212="xx","x",IF(#REF!&gt;0,"x",""))))</f>
        <v>x</v>
      </c>
      <c r="W212" s="188" t="str">
        <f>IF(T212="X","x",IF(#REF!&gt;0,"x",""))</f>
        <v>x</v>
      </c>
    </row>
    <row r="213" spans="1:23" x14ac:dyDescent="0.2">
      <c r="A213" s="140"/>
      <c r="B213" s="173" t="s">
        <v>33</v>
      </c>
      <c r="C213" s="134"/>
      <c r="D213" s="294" t="s">
        <v>53</v>
      </c>
      <c r="E213" s="137"/>
      <c r="F213" s="143">
        <v>85</v>
      </c>
      <c r="G213" s="141">
        <v>2.52E-2</v>
      </c>
      <c r="H213" s="142">
        <f>IF(F213&lt;=30,(1.07*F213+2.68)*G213,((1.07*30+2.68)+1.07*(F213-30))*G213)</f>
        <v>2.3594759999999999</v>
      </c>
      <c r="I213" s="156"/>
      <c r="J213" s="156"/>
      <c r="K213" s="157">
        <f t="shared" si="170"/>
        <v>0</v>
      </c>
      <c r="L213" s="158"/>
      <c r="M213" s="176"/>
      <c r="N213" s="382">
        <f t="shared" si="167"/>
        <v>0</v>
      </c>
      <c r="O213" s="159">
        <f t="shared" si="169"/>
        <v>0</v>
      </c>
      <c r="P213" s="666"/>
      <c r="Q213" s="674"/>
      <c r="R213" s="676">
        <f t="shared" si="171"/>
        <v>0</v>
      </c>
      <c r="S213" s="159"/>
      <c r="T213" s="161" t="s">
        <v>34</v>
      </c>
      <c r="U213" s="188" t="s">
        <v>34</v>
      </c>
      <c r="V213" s="188" t="str">
        <f>IF(T213="X","x",IF(T213="y","x",IF(T213="xx","x",IF(#REF!&gt;0,"x",""))))</f>
        <v>x</v>
      </c>
      <c r="W213" s="188" t="str">
        <f>IF(T213="X","x",IF(#REF!&gt;0,"x",""))</f>
        <v>x</v>
      </c>
    </row>
    <row r="214" spans="1:23" x14ac:dyDescent="0.2">
      <c r="A214" s="140"/>
      <c r="B214" s="173" t="s">
        <v>33</v>
      </c>
      <c r="C214" s="134"/>
      <c r="D214" s="294" t="s">
        <v>69</v>
      </c>
      <c r="E214" s="137"/>
      <c r="F214" s="143">
        <v>8.6</v>
      </c>
      <c r="G214" s="141">
        <v>1</v>
      </c>
      <c r="H214" s="142">
        <f>IF(F214&lt;=30,(1.07*F214+2.68)*G214,((1.07*30+2.68)+1.07*(F214-30))*G214)</f>
        <v>11.882</v>
      </c>
      <c r="I214" s="156"/>
      <c r="J214" s="156"/>
      <c r="K214" s="157">
        <f t="shared" si="170"/>
        <v>0</v>
      </c>
      <c r="L214" s="158"/>
      <c r="M214" s="176"/>
      <c r="N214" s="382">
        <f t="shared" si="167"/>
        <v>0</v>
      </c>
      <c r="O214" s="159">
        <f t="shared" si="169"/>
        <v>0</v>
      </c>
      <c r="P214" s="666"/>
      <c r="Q214" s="674"/>
      <c r="R214" s="676">
        <f t="shared" si="171"/>
        <v>0</v>
      </c>
      <c r="S214" s="159"/>
      <c r="T214" s="161" t="s">
        <v>34</v>
      </c>
      <c r="U214" s="188" t="s">
        <v>34</v>
      </c>
      <c r="V214" s="188" t="str">
        <f>IF(T214="X","x",IF(T214="y","x",IF(T214="xx","x",IF(#REF!&gt;0,"x",""))))</f>
        <v>x</v>
      </c>
      <c r="W214" s="188" t="str">
        <f>IF(T214="X","x",IF(#REF!&gt;0,"x",""))</f>
        <v>x</v>
      </c>
    </row>
    <row r="215" spans="1:23" x14ac:dyDescent="0.2">
      <c r="A215" s="140"/>
      <c r="B215" s="173" t="s">
        <v>207</v>
      </c>
      <c r="C215" s="134" t="s">
        <v>47</v>
      </c>
      <c r="D215" s="135" t="s">
        <v>384</v>
      </c>
      <c r="E215" s="137"/>
      <c r="F215" s="143"/>
      <c r="G215" s="141"/>
      <c r="H215" s="142">
        <f>SUM(H216:H218)</f>
        <v>15.083971999999999</v>
      </c>
      <c r="I215" s="156">
        <v>1313.27</v>
      </c>
      <c r="J215" s="156">
        <f>IF(ISBLANK(I215),"",SUM(H215:I215))</f>
        <v>1328.3539719999999</v>
      </c>
      <c r="K215" s="157">
        <f t="shared" ref="K215:K218" si="172">IF(ISBLANK(I215),0,ROUND(J215*(1+$F$10)*(1+$F$11*E215),2))</f>
        <v>1588.98</v>
      </c>
      <c r="L215" s="158" t="s">
        <v>18</v>
      </c>
      <c r="M215" s="382">
        <v>60</v>
      </c>
      <c r="N215" s="382">
        <f t="shared" ref="N215:N218" si="173">K215</f>
        <v>1588.98</v>
      </c>
      <c r="O215" s="159">
        <f t="shared" ref="O215:O218" si="174">IF(ISBLANK(N215),0,ROUND(M215*N215,2))</f>
        <v>95338.8</v>
      </c>
      <c r="P215" s="666"/>
      <c r="Q215" s="674"/>
      <c r="R215" s="676">
        <f t="shared" si="171"/>
        <v>0</v>
      </c>
      <c r="S215" s="159"/>
      <c r="T215" s="161" t="s">
        <v>34</v>
      </c>
      <c r="U215" s="188" t="str">
        <f>IF(T215="X","x",IF(T215="xx","x",IF(T215="xy","x",IF(T215="y","x",IF(OR(O215&gt;0,#REF!&gt;0),"x","")))))</f>
        <v>x</v>
      </c>
      <c r="V215" s="188" t="str">
        <f>IF(T215="X","x",IF(T215="y","x",IF(T215="xx","x",IF(#REF!&gt;0,"x",""))))</f>
        <v>x</v>
      </c>
      <c r="W215" s="188" t="str">
        <f>IF(T215="X","x",IF(#REF!&gt;0,"x",""))</f>
        <v>x</v>
      </c>
    </row>
    <row r="216" spans="1:23" x14ac:dyDescent="0.2">
      <c r="A216" s="140"/>
      <c r="B216" s="173" t="s">
        <v>33</v>
      </c>
      <c r="C216" s="134"/>
      <c r="D216" s="294" t="s">
        <v>49</v>
      </c>
      <c r="E216" s="137"/>
      <c r="F216" s="143">
        <v>215</v>
      </c>
      <c r="G216" s="141">
        <v>4.7999999999999996E-3</v>
      </c>
      <c r="H216" s="142">
        <f>IF(F216&lt;=30,(0.78*F216+7.82)*G216,((0.78*30+7.82)+0.78*(F216-30))*G216)</f>
        <v>0.84249600000000002</v>
      </c>
      <c r="I216" s="156"/>
      <c r="J216" s="156"/>
      <c r="K216" s="157">
        <f t="shared" si="172"/>
        <v>0</v>
      </c>
      <c r="L216" s="158"/>
      <c r="M216" s="176"/>
      <c r="N216" s="382">
        <f t="shared" si="173"/>
        <v>0</v>
      </c>
      <c r="O216" s="159">
        <f t="shared" si="174"/>
        <v>0</v>
      </c>
      <c r="P216" s="666"/>
      <c r="Q216" s="674"/>
      <c r="R216" s="676">
        <f t="shared" si="171"/>
        <v>0</v>
      </c>
      <c r="S216" s="159"/>
      <c r="T216" s="161" t="s">
        <v>34</v>
      </c>
      <c r="U216" s="188" t="s">
        <v>34</v>
      </c>
      <c r="V216" s="188" t="str">
        <f>IF(T216="X","x",IF(T216="y","x",IF(T216="xx","x",IF(#REF!&gt;0,"x",""))))</f>
        <v>x</v>
      </c>
      <c r="W216" s="188" t="str">
        <f>IF(T216="X","x",IF(#REF!&gt;0,"x",""))</f>
        <v>x</v>
      </c>
    </row>
    <row r="217" spans="1:23" x14ac:dyDescent="0.2">
      <c r="A217" s="140"/>
      <c r="B217" s="173" t="s">
        <v>33</v>
      </c>
      <c r="C217" s="134"/>
      <c r="D217" s="294" t="s">
        <v>53</v>
      </c>
      <c r="E217" s="137"/>
      <c r="F217" s="143">
        <v>85</v>
      </c>
      <c r="G217" s="141">
        <v>2.52E-2</v>
      </c>
      <c r="H217" s="142">
        <f>IF(F217&lt;=30,(1.07*F217+2.68)*G217,((1.07*30+2.68)+1.07*(F217-30))*G217)</f>
        <v>2.3594759999999999</v>
      </c>
      <c r="I217" s="156"/>
      <c r="J217" s="156"/>
      <c r="K217" s="157">
        <f t="shared" si="172"/>
        <v>0</v>
      </c>
      <c r="L217" s="158"/>
      <c r="M217" s="176"/>
      <c r="N217" s="382">
        <f t="shared" si="173"/>
        <v>0</v>
      </c>
      <c r="O217" s="159">
        <f t="shared" si="174"/>
        <v>0</v>
      </c>
      <c r="P217" s="666"/>
      <c r="Q217" s="674"/>
      <c r="R217" s="676">
        <f t="shared" si="171"/>
        <v>0</v>
      </c>
      <c r="S217" s="159"/>
      <c r="T217" s="161" t="s">
        <v>34</v>
      </c>
      <c r="U217" s="188" t="s">
        <v>34</v>
      </c>
      <c r="V217" s="188" t="str">
        <f>IF(T217="X","x",IF(T217="y","x",IF(T217="xx","x",IF(#REF!&gt;0,"x",""))))</f>
        <v>x</v>
      </c>
      <c r="W217" s="188" t="str">
        <f>IF(T217="X","x",IF(#REF!&gt;0,"x",""))</f>
        <v>x</v>
      </c>
    </row>
    <row r="218" spans="1:23" x14ac:dyDescent="0.2">
      <c r="A218" s="140"/>
      <c r="B218" s="173" t="s">
        <v>33</v>
      </c>
      <c r="C218" s="134"/>
      <c r="D218" s="294" t="s">
        <v>69</v>
      </c>
      <c r="E218" s="137"/>
      <c r="F218" s="143">
        <v>8.6</v>
      </c>
      <c r="G218" s="141">
        <v>1</v>
      </c>
      <c r="H218" s="142">
        <f>IF(F218&lt;=30,(1.07*F218+2.68)*G218,((1.07*30+2.68)+1.07*(F218-30))*G218)</f>
        <v>11.882</v>
      </c>
      <c r="I218" s="156"/>
      <c r="J218" s="156"/>
      <c r="K218" s="157">
        <f t="shared" si="172"/>
        <v>0</v>
      </c>
      <c r="L218" s="158"/>
      <c r="M218" s="176"/>
      <c r="N218" s="382">
        <f t="shared" si="173"/>
        <v>0</v>
      </c>
      <c r="O218" s="159">
        <f t="shared" si="174"/>
        <v>0</v>
      </c>
      <c r="P218" s="666"/>
      <c r="Q218" s="674"/>
      <c r="R218" s="676">
        <f t="shared" si="171"/>
        <v>0</v>
      </c>
      <c r="S218" s="159"/>
      <c r="T218" s="161" t="s">
        <v>34</v>
      </c>
      <c r="U218" s="188" t="s">
        <v>188</v>
      </c>
      <c r="V218" s="188" t="str">
        <f>IF(T218="X","x",IF(T218="y","x",IF(T218="xx","x",IF(#REF!&gt;0,"x",""))))</f>
        <v>x</v>
      </c>
      <c r="W218" s="188" t="str">
        <f>IF(T218="X","x",IF(#REF!&gt;0,"x",""))</f>
        <v>x</v>
      </c>
    </row>
    <row r="219" spans="1:23" ht="22.5" x14ac:dyDescent="0.2">
      <c r="A219" s="140"/>
      <c r="B219" s="173" t="s">
        <v>394</v>
      </c>
      <c r="C219" s="134" t="s">
        <v>150</v>
      </c>
      <c r="D219" s="135" t="s">
        <v>395</v>
      </c>
      <c r="E219" s="137"/>
      <c r="F219" s="143"/>
      <c r="G219" s="141"/>
      <c r="H219" s="142"/>
      <c r="I219" s="156">
        <v>232.82</v>
      </c>
      <c r="J219" s="156">
        <f>IF(ISBLANK(I219),"",SUM(H219:I219))</f>
        <v>232.82</v>
      </c>
      <c r="K219" s="157">
        <f t="shared" ref="K219" si="175">IF(ISBLANK(I219),0,ROUND(J219*(1+$F$10)*(1+$F$11*E219),2))</f>
        <v>278.5</v>
      </c>
      <c r="L219" s="158" t="s">
        <v>18</v>
      </c>
      <c r="M219" s="382">
        <v>15</v>
      </c>
      <c r="N219" s="382">
        <f t="shared" ref="N219" si="176">K219</f>
        <v>278.5</v>
      </c>
      <c r="O219" s="159">
        <f t="shared" ref="O219" si="177">IF(ISBLANK(N219),0,ROUND(M219*N219,2))</f>
        <v>4177.5</v>
      </c>
      <c r="P219" s="666"/>
      <c r="Q219" s="674"/>
      <c r="R219" s="676">
        <f t="shared" si="171"/>
        <v>0</v>
      </c>
      <c r="S219" s="159"/>
      <c r="T219" s="161" t="s">
        <v>188</v>
      </c>
      <c r="U219" s="188" t="s">
        <v>188</v>
      </c>
      <c r="V219" s="188" t="str">
        <f>IF(T219="X","x",IF(T219="y","x",IF(T219="xx","x",IF(#REF!&gt;0,"x",""))))</f>
        <v>x</v>
      </c>
      <c r="W219" s="188" t="str">
        <f>IF(T219="X","x",IF(#REF!&gt;0,"x",""))</f>
        <v>x</v>
      </c>
    </row>
    <row r="220" spans="1:23" x14ac:dyDescent="0.2">
      <c r="A220" s="140" t="s">
        <v>26</v>
      </c>
      <c r="B220" s="173" t="s">
        <v>26</v>
      </c>
      <c r="C220" s="134" t="s">
        <v>47</v>
      </c>
      <c r="D220" s="135" t="s">
        <v>72</v>
      </c>
      <c r="E220" s="137"/>
      <c r="F220" s="143"/>
      <c r="G220" s="141"/>
      <c r="H220" s="142">
        <f>SUM(H221:H225)</f>
        <v>212.81121954000002</v>
      </c>
      <c r="I220" s="156">
        <v>1094.76</v>
      </c>
      <c r="J220" s="156">
        <f>IF(ISBLANK(I220),"",SUM(H220:I220))</f>
        <v>1307.5712195400001</v>
      </c>
      <c r="K220" s="157">
        <f t="shared" ref="K220:K231" si="178">IF(ISBLANK(I220),0,ROUND(J220*(1+$F$10)*(1+$F$11*E220),2))</f>
        <v>1564.12</v>
      </c>
      <c r="L220" s="158" t="s">
        <v>20</v>
      </c>
      <c r="M220" s="382">
        <f>42+12</f>
        <v>54</v>
      </c>
      <c r="N220" s="382">
        <f t="shared" ref="N220:N229" si="179">K220</f>
        <v>1564.12</v>
      </c>
      <c r="O220" s="159">
        <f t="shared" ref="O220:O231" si="180">IF(ISBLANK(N220),0,ROUND(M220*N220,2))</f>
        <v>84462.48</v>
      </c>
      <c r="P220" s="666"/>
      <c r="Q220" s="674"/>
      <c r="R220" s="676">
        <f t="shared" si="171"/>
        <v>0</v>
      </c>
      <c r="S220" s="159"/>
      <c r="T220" s="161" t="s">
        <v>188</v>
      </c>
      <c r="U220" s="188" t="str">
        <f>IF(T220="X","x",IF(T220="xx","x",IF(T220="xy","x",IF(T220="y","x",IF(OR(O220&gt;0,#REF!&gt;0),"x","")))))</f>
        <v>x</v>
      </c>
      <c r="V220" s="188" t="str">
        <f>IF(T220="X","x",IF(T220="y","x",IF(T220="xx","x",IF(#REF!&gt;0,"x",""))))</f>
        <v>x</v>
      </c>
      <c r="W220" s="188" t="str">
        <f>IF(T220="X","x",IF(#REF!&gt;0,"x",""))</f>
        <v>x</v>
      </c>
    </row>
    <row r="221" spans="1:23" x14ac:dyDescent="0.2">
      <c r="A221" s="140" t="s">
        <v>33</v>
      </c>
      <c r="B221" s="173" t="s">
        <v>33</v>
      </c>
      <c r="C221" s="134"/>
      <c r="D221" s="294" t="s">
        <v>49</v>
      </c>
      <c r="E221" s="137"/>
      <c r="F221" s="143">
        <v>215</v>
      </c>
      <c r="G221" s="141">
        <f>VLOOKUP(D220,[2]_dren_comp!$C$3:$L$79,4,FALSE)</f>
        <v>0.43266000000000004</v>
      </c>
      <c r="H221" s="142">
        <f>IF(F221&lt;=30,(0.78*F221+7.82)*G221,((0.78*30+7.82)+0.78*(F221-30))*G221)</f>
        <v>75.940483200000017</v>
      </c>
      <c r="I221" s="156"/>
      <c r="J221" s="156"/>
      <c r="K221" s="157">
        <f t="shared" si="178"/>
        <v>0</v>
      </c>
      <c r="L221" s="158"/>
      <c r="M221" s="176"/>
      <c r="N221" s="382">
        <f t="shared" si="179"/>
        <v>0</v>
      </c>
      <c r="O221" s="159">
        <f t="shared" si="180"/>
        <v>0</v>
      </c>
      <c r="P221" s="666"/>
      <c r="Q221" s="674"/>
      <c r="R221" s="676">
        <f t="shared" si="171"/>
        <v>0</v>
      </c>
      <c r="S221" s="159"/>
      <c r="T221" s="161" t="s">
        <v>188</v>
      </c>
      <c r="U221" s="188" t="str">
        <f>IF(T221="X","x",IF(T221="xx","x",IF(T221="xy","x",IF(T221="y","x",IF(OR(O221&gt;0,#REF!&gt;0),"x","")))))</f>
        <v>x</v>
      </c>
      <c r="V221" s="188" t="str">
        <f>IF(T221="X","x",IF(T221="y","x",IF(T221="xx","x",IF(#REF!&gt;0,"x",""))))</f>
        <v>x</v>
      </c>
      <c r="W221" s="188" t="str">
        <f>IF(T221="X","x",IF(#REF!&gt;0,"x",""))</f>
        <v>x</v>
      </c>
    </row>
    <row r="222" spans="1:23" x14ac:dyDescent="0.2">
      <c r="A222" s="140" t="s">
        <v>33</v>
      </c>
      <c r="B222" s="173" t="s">
        <v>33</v>
      </c>
      <c r="C222" s="134"/>
      <c r="D222" s="294" t="s">
        <v>53</v>
      </c>
      <c r="E222" s="137"/>
      <c r="F222" s="143">
        <v>85</v>
      </c>
      <c r="G222" s="141">
        <f>VLOOKUP(D220,[2]_dren_comp!$C$3:$L$79,5,FALSE)</f>
        <v>1.26997</v>
      </c>
      <c r="H222" s="142">
        <f>IF(F222&lt;=30,(1.07*F222+2.68)*G222,((1.07*30+2.68)+1.07*(F222-30))*G222)</f>
        <v>118.90729109999999</v>
      </c>
      <c r="I222" s="156"/>
      <c r="J222" s="156"/>
      <c r="K222" s="157">
        <f t="shared" si="178"/>
        <v>0</v>
      </c>
      <c r="L222" s="158"/>
      <c r="M222" s="176"/>
      <c r="N222" s="382">
        <f t="shared" si="179"/>
        <v>0</v>
      </c>
      <c r="O222" s="159">
        <f t="shared" si="180"/>
        <v>0</v>
      </c>
      <c r="P222" s="666"/>
      <c r="Q222" s="674"/>
      <c r="R222" s="676">
        <f t="shared" si="171"/>
        <v>0</v>
      </c>
      <c r="S222" s="159"/>
      <c r="T222" s="161" t="s">
        <v>188</v>
      </c>
      <c r="U222" s="188" t="str">
        <f>IF(T222="X","x",IF(T222="xx","x",IF(T222="xy","x",IF(T222="y","x",IF(OR(O222&gt;0,#REF!&gt;0),"x","")))))</f>
        <v>x</v>
      </c>
      <c r="V222" s="188" t="str">
        <f>IF(T222="X","x",IF(T222="y","x",IF(T222="xx","x",IF(#REF!&gt;0,"x",""))))</f>
        <v>x</v>
      </c>
      <c r="W222" s="188" t="str">
        <f>IF(T222="X","x",IF(#REF!&gt;0,"x",""))</f>
        <v>x</v>
      </c>
    </row>
    <row r="223" spans="1:23" x14ac:dyDescent="0.2">
      <c r="A223" s="140" t="s">
        <v>33</v>
      </c>
      <c r="B223" s="173" t="s">
        <v>33</v>
      </c>
      <c r="C223" s="134"/>
      <c r="D223" s="294" t="s">
        <v>54</v>
      </c>
      <c r="E223" s="137"/>
      <c r="F223" s="143">
        <v>8.6</v>
      </c>
      <c r="G223" s="141">
        <f>VLOOKUP(D220,[2]_dren_comp!$C$3:$L$79,6,FALSE)</f>
        <v>1.5118200000000002</v>
      </c>
      <c r="H223" s="142">
        <f>IF(F223&lt;=30,(1.07*F223+2.68)*G223,((1.07*30+2.68)+1.07*(F223-30))*G223)</f>
        <v>17.963445240000002</v>
      </c>
      <c r="I223" s="156"/>
      <c r="J223" s="156"/>
      <c r="K223" s="157">
        <f t="shared" si="178"/>
        <v>0</v>
      </c>
      <c r="L223" s="158"/>
      <c r="M223" s="176"/>
      <c r="N223" s="382">
        <f t="shared" si="179"/>
        <v>0</v>
      </c>
      <c r="O223" s="159">
        <f t="shared" si="180"/>
        <v>0</v>
      </c>
      <c r="P223" s="666"/>
      <c r="Q223" s="674"/>
      <c r="R223" s="676">
        <f t="shared" si="171"/>
        <v>0</v>
      </c>
      <c r="S223" s="159"/>
      <c r="T223" s="161" t="s">
        <v>188</v>
      </c>
      <c r="U223" s="188" t="str">
        <f>IF(T223="X","x",IF(T223="xx","x",IF(T223="xy","x",IF(T223="y","x",IF(OR(O223&gt;0,#REF!&gt;0),"x","")))))</f>
        <v>x</v>
      </c>
      <c r="V223" s="188" t="str">
        <f>IF(T223="X","x",IF(T223="y","x",IF(T223="xx","x",IF(#REF!&gt;0,"x",""))))</f>
        <v>x</v>
      </c>
      <c r="W223" s="188" t="str">
        <f>IF(T223="X","x",IF(#REF!&gt;0,"x",""))</f>
        <v>x</v>
      </c>
    </row>
    <row r="224" spans="1:23" x14ac:dyDescent="0.2">
      <c r="A224" s="140" t="s">
        <v>33</v>
      </c>
      <c r="B224" s="173" t="s">
        <v>33</v>
      </c>
      <c r="C224" s="134"/>
      <c r="D224" s="294" t="s">
        <v>282</v>
      </c>
      <c r="E224" s="137"/>
      <c r="F224" s="143">
        <v>8.6</v>
      </c>
      <c r="G224" s="141"/>
      <c r="H224" s="142">
        <f>IF(F224&lt;=30,(1.07*F224+2.68)*G224,((1.07*30+2.68)+1.07*(F224-30))*G224)</f>
        <v>0</v>
      </c>
      <c r="I224" s="156"/>
      <c r="J224" s="156"/>
      <c r="K224" s="157">
        <f t="shared" si="178"/>
        <v>0</v>
      </c>
      <c r="L224" s="158"/>
      <c r="M224" s="176"/>
      <c r="N224" s="382">
        <f t="shared" si="179"/>
        <v>0</v>
      </c>
      <c r="O224" s="159">
        <f t="shared" si="180"/>
        <v>0</v>
      </c>
      <c r="P224" s="666"/>
      <c r="Q224" s="674"/>
      <c r="R224" s="676">
        <f t="shared" si="171"/>
        <v>0</v>
      </c>
      <c r="S224" s="159"/>
      <c r="T224" s="161" t="s">
        <v>188</v>
      </c>
      <c r="U224" s="188" t="str">
        <f>IF(T224="X","x",IF(T224="xx","x",IF(T224="xy","x",IF(T224="y","x",IF(OR(O224&gt;0,#REF!&gt;0),"x","")))))</f>
        <v>x</v>
      </c>
      <c r="V224" s="188" t="str">
        <f>IF(T224="X","x",IF(T224="y","x",IF(T224="xx","x",IF(#REF!&gt;0,"x",""))))</f>
        <v>x</v>
      </c>
      <c r="W224" s="188" t="str">
        <f>IF(T224="X","x",IF(#REF!&gt;0,"x",""))</f>
        <v>x</v>
      </c>
    </row>
    <row r="225" spans="1:23" x14ac:dyDescent="0.2">
      <c r="A225" s="140" t="s">
        <v>33</v>
      </c>
      <c r="B225" s="173" t="s">
        <v>33</v>
      </c>
      <c r="C225" s="134"/>
      <c r="D225" s="294" t="s">
        <v>71</v>
      </c>
      <c r="E225" s="137"/>
      <c r="F225" s="143">
        <v>215</v>
      </c>
      <c r="G225" s="141"/>
      <c r="H225" s="142">
        <f>IF(F225&lt;=30,(0.78*F225+7.82)*G225,((0.78*30+7.82)+0.78*(F225-30))*G225)</f>
        <v>0</v>
      </c>
      <c r="I225" s="156"/>
      <c r="J225" s="156"/>
      <c r="K225" s="157">
        <f t="shared" si="178"/>
        <v>0</v>
      </c>
      <c r="L225" s="158"/>
      <c r="M225" s="176"/>
      <c r="N225" s="382">
        <f t="shared" si="179"/>
        <v>0</v>
      </c>
      <c r="O225" s="159">
        <f t="shared" si="180"/>
        <v>0</v>
      </c>
      <c r="P225" s="666"/>
      <c r="Q225" s="674"/>
      <c r="R225" s="676">
        <f t="shared" si="171"/>
        <v>0</v>
      </c>
      <c r="S225" s="159"/>
      <c r="T225" s="161" t="s">
        <v>188</v>
      </c>
      <c r="U225" s="188" t="str">
        <f>IF(T225="X","x",IF(T225="xx","x",IF(T225="xy","x",IF(T225="y","x",IF(OR(O225&gt;0,#REF!&gt;0),"x","")))))</f>
        <v>x</v>
      </c>
      <c r="V225" s="188" t="str">
        <f>IF(T225="X","x",IF(T225="y","x",IF(T225="xx","x",IF(#REF!&gt;0,"x",""))))</f>
        <v>x</v>
      </c>
      <c r="W225" s="188" t="str">
        <f>IF(T225="X","x",IF(#REF!&gt;0,"x",""))</f>
        <v>x</v>
      </c>
    </row>
    <row r="226" spans="1:23" x14ac:dyDescent="0.2">
      <c r="A226" s="140" t="s">
        <v>27</v>
      </c>
      <c r="B226" s="173" t="s">
        <v>27</v>
      </c>
      <c r="C226" s="134" t="s">
        <v>47</v>
      </c>
      <c r="D226" s="135" t="s">
        <v>73</v>
      </c>
      <c r="E226" s="137"/>
      <c r="F226" s="143"/>
      <c r="G226" s="141"/>
      <c r="H226" s="142">
        <f>SUM(H227:H231)</f>
        <v>264.73469004000003</v>
      </c>
      <c r="I226" s="156">
        <v>1275.71</v>
      </c>
      <c r="J226" s="156">
        <f>IF(ISBLANK(I226),"",SUM(H226:I226))</f>
        <v>1540.4446900400001</v>
      </c>
      <c r="K226" s="157">
        <f t="shared" si="178"/>
        <v>1842.68</v>
      </c>
      <c r="L226" s="158" t="s">
        <v>20</v>
      </c>
      <c r="M226" s="382">
        <v>7</v>
      </c>
      <c r="N226" s="382">
        <f t="shared" si="179"/>
        <v>1842.68</v>
      </c>
      <c r="O226" s="159">
        <f t="shared" si="180"/>
        <v>12898.76</v>
      </c>
      <c r="P226" s="666"/>
      <c r="Q226" s="674"/>
      <c r="R226" s="676">
        <f t="shared" si="171"/>
        <v>0</v>
      </c>
      <c r="S226" s="159"/>
      <c r="T226" s="161" t="s">
        <v>188</v>
      </c>
      <c r="U226" s="188" t="str">
        <f>IF(T226="X","x",IF(T226="xx","x",IF(T226="xy","x",IF(T226="y","x",IF(OR(O226&gt;0,#REF!&gt;0),"x","")))))</f>
        <v>x</v>
      </c>
      <c r="V226" s="188" t="str">
        <f>IF(T226="X","x",IF(T226="y","x",IF(T226="xx","x",IF(#REF!&gt;0,"x",""))))</f>
        <v>x</v>
      </c>
      <c r="W226" s="188" t="str">
        <f>IF(T226="X","x",IF(#REF!&gt;0,"x",""))</f>
        <v>x</v>
      </c>
    </row>
    <row r="227" spans="1:23" x14ac:dyDescent="0.2">
      <c r="A227" s="140" t="s">
        <v>33</v>
      </c>
      <c r="B227" s="173" t="s">
        <v>33</v>
      </c>
      <c r="C227" s="134"/>
      <c r="D227" s="294" t="s">
        <v>49</v>
      </c>
      <c r="E227" s="137"/>
      <c r="F227" s="143">
        <v>215</v>
      </c>
      <c r="G227" s="141">
        <f>VLOOKUP(D226,[2]_dren_comp!$C$3:$L$79,4,FALSE)</f>
        <v>0.54156000000000004</v>
      </c>
      <c r="H227" s="142">
        <f>IF(F227&lt;=30,(0.78*F227+7.82)*G227,((0.78*30+7.82)+0.78*(F227-30))*G227)</f>
        <v>95.054611200000011</v>
      </c>
      <c r="I227" s="156"/>
      <c r="J227" s="156"/>
      <c r="K227" s="157">
        <f t="shared" si="178"/>
        <v>0</v>
      </c>
      <c r="L227" s="158"/>
      <c r="M227" s="176"/>
      <c r="N227" s="382">
        <f t="shared" si="179"/>
        <v>0</v>
      </c>
      <c r="O227" s="159">
        <f t="shared" si="180"/>
        <v>0</v>
      </c>
      <c r="P227" s="666"/>
      <c r="Q227" s="674"/>
      <c r="R227" s="676">
        <f t="shared" si="171"/>
        <v>0</v>
      </c>
      <c r="S227" s="159"/>
      <c r="T227" s="161" t="s">
        <v>188</v>
      </c>
      <c r="U227" s="188" t="str">
        <f>IF(T227="X","x",IF(T227="xx","x",IF(T227="xy","x",IF(T227="y","x",IF(OR(O227&gt;0,#REF!&gt;0),"x","")))))</f>
        <v>x</v>
      </c>
      <c r="V227" s="188" t="str">
        <f>IF(T227="X","x",IF(T227="y","x",IF(T227="xx","x",IF(#REF!&gt;0,"x",""))))</f>
        <v>x</v>
      </c>
      <c r="W227" s="188" t="str">
        <f>IF(T227="X","x",IF(#REF!&gt;0,"x",""))</f>
        <v>x</v>
      </c>
    </row>
    <row r="228" spans="1:23" x14ac:dyDescent="0.2">
      <c r="A228" s="140" t="s">
        <v>33</v>
      </c>
      <c r="B228" s="173" t="s">
        <v>33</v>
      </c>
      <c r="C228" s="134"/>
      <c r="D228" s="294" t="s">
        <v>53</v>
      </c>
      <c r="E228" s="137"/>
      <c r="F228" s="143">
        <v>85</v>
      </c>
      <c r="G228" s="141">
        <f>VLOOKUP(D226,[2]_dren_comp!$C$3:$L$79,5,FALSE)</f>
        <v>1.5739000000000001</v>
      </c>
      <c r="H228" s="142">
        <f>IF(F228&lt;=30,(1.07*F228+2.68)*G228,((1.07*30+2.68)+1.07*(F228-30))*G228)</f>
        <v>147.36425700000001</v>
      </c>
      <c r="I228" s="156"/>
      <c r="J228" s="156"/>
      <c r="K228" s="157">
        <f t="shared" si="178"/>
        <v>0</v>
      </c>
      <c r="L228" s="158"/>
      <c r="M228" s="176"/>
      <c r="N228" s="382">
        <f t="shared" si="179"/>
        <v>0</v>
      </c>
      <c r="O228" s="159">
        <f t="shared" si="180"/>
        <v>0</v>
      </c>
      <c r="P228" s="666"/>
      <c r="Q228" s="674"/>
      <c r="R228" s="676">
        <f t="shared" si="171"/>
        <v>0</v>
      </c>
      <c r="S228" s="159"/>
      <c r="T228" s="161" t="s">
        <v>188</v>
      </c>
      <c r="U228" s="188" t="str">
        <f>IF(T228="X","x",IF(T228="xx","x",IF(T228="xy","x",IF(T228="y","x",IF(OR(O228&gt;0,#REF!&gt;0),"x","")))))</f>
        <v>x</v>
      </c>
      <c r="V228" s="188" t="str">
        <f>IF(T228="X","x",IF(T228="y","x",IF(T228="xx","x",IF(#REF!&gt;0,"x",""))))</f>
        <v>x</v>
      </c>
      <c r="W228" s="188" t="str">
        <f>IF(T228="X","x",IF(#REF!&gt;0,"x",""))</f>
        <v>x</v>
      </c>
    </row>
    <row r="229" spans="1:23" x14ac:dyDescent="0.2">
      <c r="A229" s="140" t="s">
        <v>33</v>
      </c>
      <c r="B229" s="173" t="s">
        <v>33</v>
      </c>
      <c r="C229" s="134"/>
      <c r="D229" s="294" t="s">
        <v>54</v>
      </c>
      <c r="E229" s="137"/>
      <c r="F229" s="143">
        <v>8.6</v>
      </c>
      <c r="G229" s="141">
        <f>VLOOKUP(D226,[2]_dren_comp!$C$3:$L$79,6,FALSE)</f>
        <v>1.8781200000000002</v>
      </c>
      <c r="H229" s="142">
        <f>IF(F229&lt;=30,(1.07*F229+2.68)*G229,((1.07*30+2.68)+1.07*(F229-30))*G229)</f>
        <v>22.315821840000002</v>
      </c>
      <c r="I229" s="156"/>
      <c r="J229" s="156"/>
      <c r="K229" s="157">
        <f t="shared" si="178"/>
        <v>0</v>
      </c>
      <c r="L229" s="158"/>
      <c r="M229" s="176"/>
      <c r="N229" s="382">
        <f t="shared" si="179"/>
        <v>0</v>
      </c>
      <c r="O229" s="159">
        <f t="shared" si="180"/>
        <v>0</v>
      </c>
      <c r="P229" s="666"/>
      <c r="Q229" s="674"/>
      <c r="R229" s="676">
        <f t="shared" si="171"/>
        <v>0</v>
      </c>
      <c r="S229" s="159"/>
      <c r="T229" s="161" t="s">
        <v>188</v>
      </c>
      <c r="U229" s="188" t="str">
        <f>IF(T229="X","x",IF(T229="xx","x",IF(T229="xy","x",IF(T229="y","x",IF(OR(O229&gt;0,#REF!&gt;0),"x","")))))</f>
        <v>x</v>
      </c>
      <c r="V229" s="188" t="str">
        <f>IF(T229="X","x",IF(T229="y","x",IF(T229="xx","x",IF(#REF!&gt;0,"x",""))))</f>
        <v>x</v>
      </c>
      <c r="W229" s="188" t="str">
        <f>IF(T229="X","x",IF(#REF!&gt;0,"x",""))</f>
        <v>x</v>
      </c>
    </row>
    <row r="230" spans="1:23" x14ac:dyDescent="0.2">
      <c r="A230" s="140" t="s">
        <v>33</v>
      </c>
      <c r="B230" s="173" t="s">
        <v>33</v>
      </c>
      <c r="C230" s="134"/>
      <c r="D230" s="294" t="s">
        <v>283</v>
      </c>
      <c r="E230" s="137"/>
      <c r="F230" s="143">
        <v>8.6</v>
      </c>
      <c r="G230" s="141"/>
      <c r="H230" s="142">
        <f>IF(F230&lt;=30,(1.07*F230+2.68)*G230,((1.07*30+2.68)+1.07*(F230-30))*G230)</f>
        <v>0</v>
      </c>
      <c r="I230" s="156"/>
      <c r="J230" s="156"/>
      <c r="K230" s="157">
        <f t="shared" si="178"/>
        <v>0</v>
      </c>
      <c r="L230" s="158"/>
      <c r="M230" s="176"/>
      <c r="N230" s="382">
        <f t="shared" ref="N230:N231" si="181">K230</f>
        <v>0</v>
      </c>
      <c r="O230" s="159">
        <f t="shared" si="180"/>
        <v>0</v>
      </c>
      <c r="P230" s="666"/>
      <c r="Q230" s="674"/>
      <c r="R230" s="676">
        <f t="shared" si="171"/>
        <v>0</v>
      </c>
      <c r="S230" s="159"/>
      <c r="T230" s="161" t="s">
        <v>188</v>
      </c>
      <c r="U230" s="188" t="str">
        <f>IF(T230="X","x",IF(T230="xx","x",IF(T230="xy","x",IF(T230="y","x",IF(OR(O230&gt;0,#REF!&gt;0),"x","")))))</f>
        <v>x</v>
      </c>
      <c r="V230" s="188" t="str">
        <f>IF(T230="X","x",IF(T230="y","x",IF(T230="xx","x",IF(#REF!&gt;0,"x",""))))</f>
        <v>x</v>
      </c>
      <c r="W230" s="188" t="str">
        <f>IF(T230="X","x",IF(#REF!&gt;0,"x",""))</f>
        <v>x</v>
      </c>
    </row>
    <row r="231" spans="1:23" x14ac:dyDescent="0.2">
      <c r="A231" s="140" t="s">
        <v>33</v>
      </c>
      <c r="B231" s="173" t="s">
        <v>33</v>
      </c>
      <c r="C231" s="134"/>
      <c r="D231" s="294" t="s">
        <v>71</v>
      </c>
      <c r="E231" s="137"/>
      <c r="F231" s="143">
        <v>215</v>
      </c>
      <c r="G231" s="141"/>
      <c r="H231" s="142">
        <f>IF(F231&lt;=30,(0.78*F231+7.82)*G231,((0.78*30+7.82)+0.78*(F231-30))*G231)</f>
        <v>0</v>
      </c>
      <c r="I231" s="156"/>
      <c r="J231" s="156"/>
      <c r="K231" s="157">
        <f t="shared" si="178"/>
        <v>0</v>
      </c>
      <c r="L231" s="158"/>
      <c r="M231" s="176"/>
      <c r="N231" s="382">
        <f t="shared" si="181"/>
        <v>0</v>
      </c>
      <c r="O231" s="159">
        <f t="shared" si="180"/>
        <v>0</v>
      </c>
      <c r="P231" s="666"/>
      <c r="Q231" s="674"/>
      <c r="R231" s="676">
        <f t="shared" si="171"/>
        <v>0</v>
      </c>
      <c r="S231" s="159"/>
      <c r="T231" s="161" t="s">
        <v>188</v>
      </c>
      <c r="U231" s="188" t="str">
        <f>IF(T231="X","x",IF(T231="xx","x",IF(T231="xy","x",IF(T231="y","x",IF(OR(O231&gt;0,#REF!&gt;0),"x","")))))</f>
        <v>x</v>
      </c>
      <c r="V231" s="188" t="str">
        <f>IF(T231="X","x",IF(T231="y","x",IF(T231="xx","x",IF(#REF!&gt;0,"x",""))))</f>
        <v>x</v>
      </c>
      <c r="W231" s="188" t="str">
        <f>IF(T231="X","x",IF(#REF!&gt;0,"x",""))</f>
        <v>x</v>
      </c>
    </row>
    <row r="232" spans="1:23" x14ac:dyDescent="0.2">
      <c r="A232" s="140" t="s">
        <v>28</v>
      </c>
      <c r="B232" s="173" t="s">
        <v>28</v>
      </c>
      <c r="C232" s="134" t="s">
        <v>47</v>
      </c>
      <c r="D232" s="135" t="s">
        <v>30</v>
      </c>
      <c r="E232" s="137"/>
      <c r="F232" s="143"/>
      <c r="G232" s="141"/>
      <c r="H232" s="142">
        <f>SUM(H233:H237)</f>
        <v>249.03299340000001</v>
      </c>
      <c r="I232" s="156">
        <v>1617.51</v>
      </c>
      <c r="J232" s="156">
        <f>IF(ISBLANK(I232),"",SUM(H232:I232))</f>
        <v>1866.5429933999999</v>
      </c>
      <c r="K232" s="157">
        <f t="shared" ref="K232:K243" si="182">IF(ISBLANK(I232),0,ROUND(J232*(1+$F$10)*(1+$F$11*E232),2))</f>
        <v>2232.7600000000002</v>
      </c>
      <c r="L232" s="158" t="s">
        <v>20</v>
      </c>
      <c r="M232" s="382">
        <v>21</v>
      </c>
      <c r="N232" s="382">
        <f t="shared" ref="N232:N233" si="183">K232</f>
        <v>2232.7600000000002</v>
      </c>
      <c r="O232" s="159">
        <f t="shared" ref="O232:O243" si="184">IF(ISBLANK(N232),0,ROUND(M232*N232,2))</f>
        <v>46887.96</v>
      </c>
      <c r="P232" s="666"/>
      <c r="Q232" s="674"/>
      <c r="R232" s="676">
        <f t="shared" si="171"/>
        <v>0</v>
      </c>
      <c r="S232" s="159"/>
      <c r="T232" s="161" t="s">
        <v>34</v>
      </c>
      <c r="U232" s="188" t="s">
        <v>34</v>
      </c>
      <c r="V232" s="188" t="s">
        <v>34</v>
      </c>
      <c r="W232" s="188" t="s">
        <v>34</v>
      </c>
    </row>
    <row r="233" spans="1:23" x14ac:dyDescent="0.2">
      <c r="A233" s="140" t="s">
        <v>33</v>
      </c>
      <c r="B233" s="173" t="s">
        <v>33</v>
      </c>
      <c r="C233" s="134"/>
      <c r="D233" s="294" t="s">
        <v>49</v>
      </c>
      <c r="E233" s="137"/>
      <c r="F233" s="143">
        <v>215</v>
      </c>
      <c r="G233" s="141">
        <f>VLOOKUP(D232,[2]_dren_comp!$C$3:$L$79,4,FALSE)</f>
        <v>0.50459999999999994</v>
      </c>
      <c r="H233" s="142">
        <f>IF(F233&lt;=30,(0.78*F233+7.82)*G233,((0.78*30+7.82)+0.78*(F233-30))*G233)</f>
        <v>88.567391999999998</v>
      </c>
      <c r="I233" s="156"/>
      <c r="J233" s="156"/>
      <c r="K233" s="157">
        <f t="shared" si="182"/>
        <v>0</v>
      </c>
      <c r="L233" s="158"/>
      <c r="M233" s="176"/>
      <c r="N233" s="382">
        <f t="shared" si="183"/>
        <v>0</v>
      </c>
      <c r="O233" s="159">
        <f t="shared" si="184"/>
        <v>0</v>
      </c>
      <c r="P233" s="666"/>
      <c r="Q233" s="674"/>
      <c r="R233" s="676">
        <f t="shared" si="171"/>
        <v>0</v>
      </c>
      <c r="S233" s="159"/>
      <c r="T233" s="161" t="s">
        <v>34</v>
      </c>
      <c r="U233" s="188" t="s">
        <v>34</v>
      </c>
      <c r="V233" s="188" t="s">
        <v>34</v>
      </c>
      <c r="W233" s="188" t="s">
        <v>34</v>
      </c>
    </row>
    <row r="234" spans="1:23" x14ac:dyDescent="0.2">
      <c r="A234" s="140" t="s">
        <v>33</v>
      </c>
      <c r="B234" s="173" t="s">
        <v>33</v>
      </c>
      <c r="C234" s="134"/>
      <c r="D234" s="294" t="s">
        <v>53</v>
      </c>
      <c r="E234" s="137"/>
      <c r="F234" s="143">
        <v>85</v>
      </c>
      <c r="G234" s="141">
        <f>VLOOKUP(D232,[2]_dren_comp!$C$3:$L$79,5,FALSE)</f>
        <v>1.48915</v>
      </c>
      <c r="H234" s="142">
        <f>IF(F234&lt;=30,(1.07*F234+2.68)*G234,((1.07*30+2.68)+1.07*(F234-30))*G234)</f>
        <v>139.4291145</v>
      </c>
      <c r="I234" s="156"/>
      <c r="J234" s="156"/>
      <c r="K234" s="157">
        <f t="shared" si="182"/>
        <v>0</v>
      </c>
      <c r="L234" s="158"/>
      <c r="M234" s="176"/>
      <c r="N234" s="382">
        <f t="shared" ref="N234:N247" si="185">K234</f>
        <v>0</v>
      </c>
      <c r="O234" s="159">
        <f t="shared" si="184"/>
        <v>0</v>
      </c>
      <c r="P234" s="666"/>
      <c r="Q234" s="674"/>
      <c r="R234" s="676">
        <f t="shared" si="171"/>
        <v>0</v>
      </c>
      <c r="S234" s="159"/>
      <c r="T234" s="161" t="s">
        <v>34</v>
      </c>
      <c r="U234" s="188" t="s">
        <v>34</v>
      </c>
      <c r="V234" s="188" t="s">
        <v>34</v>
      </c>
      <c r="W234" s="188" t="s">
        <v>34</v>
      </c>
    </row>
    <row r="235" spans="1:23" x14ac:dyDescent="0.2">
      <c r="A235" s="140" t="s">
        <v>33</v>
      </c>
      <c r="B235" s="173" t="s">
        <v>33</v>
      </c>
      <c r="C235" s="134"/>
      <c r="D235" s="294" t="s">
        <v>54</v>
      </c>
      <c r="E235" s="137"/>
      <c r="F235" s="143">
        <v>8.6</v>
      </c>
      <c r="G235" s="141">
        <f>VLOOKUP(D232,[2]_dren_comp!$C$3:$L$79,6,FALSE)</f>
        <v>1.7704500000000001</v>
      </c>
      <c r="H235" s="142">
        <f>IF(F235&lt;=30,(1.07*F235+2.68)*G235,((1.07*30+2.68)+1.07*(F235-30))*G235)</f>
        <v>21.0364869</v>
      </c>
      <c r="I235" s="156"/>
      <c r="J235" s="156"/>
      <c r="K235" s="157">
        <f t="shared" si="182"/>
        <v>0</v>
      </c>
      <c r="L235" s="158"/>
      <c r="M235" s="176"/>
      <c r="N235" s="382">
        <f t="shared" si="185"/>
        <v>0</v>
      </c>
      <c r="O235" s="159">
        <f t="shared" si="184"/>
        <v>0</v>
      </c>
      <c r="P235" s="666"/>
      <c r="Q235" s="674"/>
      <c r="R235" s="676">
        <f t="shared" si="171"/>
        <v>0</v>
      </c>
      <c r="S235" s="159"/>
      <c r="T235" s="161" t="s">
        <v>34</v>
      </c>
      <c r="U235" s="188" t="s">
        <v>34</v>
      </c>
      <c r="V235" s="188" t="s">
        <v>34</v>
      </c>
      <c r="W235" s="188"/>
    </row>
    <row r="236" spans="1:23" x14ac:dyDescent="0.2">
      <c r="A236" s="140" t="s">
        <v>33</v>
      </c>
      <c r="B236" s="173" t="s">
        <v>33</v>
      </c>
      <c r="C236" s="134"/>
      <c r="D236" s="294" t="s">
        <v>70</v>
      </c>
      <c r="E236" s="137"/>
      <c r="F236" s="143">
        <v>0</v>
      </c>
      <c r="G236" s="141"/>
      <c r="H236" s="142">
        <f>IF(F236&lt;=30,(1.07*F236+2.68)*G236,((1.07*30+2.68)+1.07*(F236-30))*G236)</f>
        <v>0</v>
      </c>
      <c r="I236" s="156"/>
      <c r="J236" s="156"/>
      <c r="K236" s="157">
        <f t="shared" si="182"/>
        <v>0</v>
      </c>
      <c r="L236" s="158"/>
      <c r="M236" s="176"/>
      <c r="N236" s="382">
        <f t="shared" si="185"/>
        <v>0</v>
      </c>
      <c r="O236" s="159">
        <f t="shared" si="184"/>
        <v>0</v>
      </c>
      <c r="P236" s="666"/>
      <c r="Q236" s="674"/>
      <c r="R236" s="676">
        <f t="shared" si="171"/>
        <v>0</v>
      </c>
      <c r="S236" s="159"/>
      <c r="U236" s="188"/>
      <c r="V236" s="188"/>
      <c r="W236" s="188"/>
    </row>
    <row r="237" spans="1:23" x14ac:dyDescent="0.2">
      <c r="A237" s="140" t="s">
        <v>33</v>
      </c>
      <c r="B237" s="173" t="s">
        <v>33</v>
      </c>
      <c r="C237" s="134"/>
      <c r="D237" s="294" t="s">
        <v>71</v>
      </c>
      <c r="E237" s="137"/>
      <c r="F237" s="143">
        <v>0</v>
      </c>
      <c r="G237" s="141"/>
      <c r="H237" s="142">
        <f>IF(F237&lt;=30,(0.78*F237+7.82)*G237,((0.78*30+7.82)+0.78*(F237-30))*G237)</f>
        <v>0</v>
      </c>
      <c r="I237" s="156"/>
      <c r="J237" s="156"/>
      <c r="K237" s="157">
        <f t="shared" si="182"/>
        <v>0</v>
      </c>
      <c r="L237" s="158"/>
      <c r="M237" s="176"/>
      <c r="N237" s="382">
        <f t="shared" si="185"/>
        <v>0</v>
      </c>
      <c r="O237" s="159">
        <f t="shared" si="184"/>
        <v>0</v>
      </c>
      <c r="P237" s="666"/>
      <c r="Q237" s="674"/>
      <c r="R237" s="676">
        <f t="shared" si="171"/>
        <v>0</v>
      </c>
      <c r="S237" s="159"/>
      <c r="U237" s="188"/>
      <c r="V237" s="188"/>
      <c r="W237" s="188"/>
    </row>
    <row r="238" spans="1:23" x14ac:dyDescent="0.2">
      <c r="A238" s="140" t="s">
        <v>29</v>
      </c>
      <c r="B238" s="173" t="s">
        <v>29</v>
      </c>
      <c r="C238" s="134" t="s">
        <v>47</v>
      </c>
      <c r="D238" s="135" t="s">
        <v>31</v>
      </c>
      <c r="E238" s="137"/>
      <c r="F238" s="143"/>
      <c r="G238" s="141"/>
      <c r="H238" s="142">
        <f>SUM(H239:H243)</f>
        <v>395.69441921999999</v>
      </c>
      <c r="I238" s="156">
        <v>2093.33</v>
      </c>
      <c r="J238" s="156">
        <f>IF(ISBLANK(I238),"",SUM(H238:I238))</f>
        <v>2489.0244192199998</v>
      </c>
      <c r="K238" s="157">
        <f t="shared" si="182"/>
        <v>2977.37</v>
      </c>
      <c r="L238" s="158" t="s">
        <v>20</v>
      </c>
      <c r="M238" s="382">
        <v>10</v>
      </c>
      <c r="N238" s="382">
        <f t="shared" si="185"/>
        <v>2977.37</v>
      </c>
      <c r="O238" s="159">
        <f t="shared" si="184"/>
        <v>29773.7</v>
      </c>
      <c r="P238" s="666"/>
      <c r="Q238" s="674"/>
      <c r="R238" s="676">
        <f t="shared" si="171"/>
        <v>0</v>
      </c>
      <c r="S238" s="159"/>
      <c r="T238" s="161" t="s">
        <v>34</v>
      </c>
      <c r="U238" s="188" t="s">
        <v>34</v>
      </c>
      <c r="V238" s="188" t="s">
        <v>34</v>
      </c>
      <c r="W238" s="188" t="s">
        <v>34</v>
      </c>
    </row>
    <row r="239" spans="1:23" x14ac:dyDescent="0.2">
      <c r="A239" s="140" t="s">
        <v>33</v>
      </c>
      <c r="B239" s="173" t="s">
        <v>33</v>
      </c>
      <c r="C239" s="134"/>
      <c r="D239" s="294" t="s">
        <v>49</v>
      </c>
      <c r="E239" s="137"/>
      <c r="F239" s="143">
        <v>215</v>
      </c>
      <c r="G239" s="141">
        <f>VLOOKUP(D238,[2]_dren_comp!$C$3:$L$79,4,FALSE)</f>
        <v>0.80657999999999996</v>
      </c>
      <c r="H239" s="142">
        <f>IF(F239&lt;=30,(0.78*F239+7.82)*G239,((0.78*30+7.82)+0.78*(F239-30))*G239)</f>
        <v>141.57092159999999</v>
      </c>
      <c r="I239" s="156"/>
      <c r="J239" s="156"/>
      <c r="K239" s="157">
        <f t="shared" si="182"/>
        <v>0</v>
      </c>
      <c r="L239" s="158"/>
      <c r="M239" s="176"/>
      <c r="N239" s="382">
        <f t="shared" si="185"/>
        <v>0</v>
      </c>
      <c r="O239" s="159">
        <f t="shared" si="184"/>
        <v>0</v>
      </c>
      <c r="P239" s="666"/>
      <c r="Q239" s="674"/>
      <c r="R239" s="676">
        <f t="shared" si="171"/>
        <v>0</v>
      </c>
      <c r="S239" s="159"/>
      <c r="T239" s="161" t="s">
        <v>34</v>
      </c>
      <c r="U239" s="188" t="s">
        <v>34</v>
      </c>
      <c r="V239" s="188" t="s">
        <v>34</v>
      </c>
      <c r="W239" s="188" t="s">
        <v>34</v>
      </c>
    </row>
    <row r="240" spans="1:23" x14ac:dyDescent="0.2">
      <c r="A240" s="140" t="s">
        <v>33</v>
      </c>
      <c r="B240" s="173" t="s">
        <v>33</v>
      </c>
      <c r="C240" s="134"/>
      <c r="D240" s="294" t="s">
        <v>53</v>
      </c>
      <c r="E240" s="137"/>
      <c r="F240" s="143">
        <v>85</v>
      </c>
      <c r="G240" s="141">
        <f>VLOOKUP(D238,[2]_dren_comp!$C$3:$L$79,5,FALSE)</f>
        <v>2.3575999999999997</v>
      </c>
      <c r="H240" s="142">
        <f>IF(F240&lt;=30,(1.07*F240+2.68)*G240,((1.07*30+2.68)+1.07*(F240-30))*G240)</f>
        <v>220.74208799999997</v>
      </c>
      <c r="I240" s="156"/>
      <c r="J240" s="156"/>
      <c r="K240" s="157">
        <f t="shared" si="182"/>
        <v>0</v>
      </c>
      <c r="L240" s="158"/>
      <c r="M240" s="176"/>
      <c r="N240" s="382">
        <f t="shared" si="185"/>
        <v>0</v>
      </c>
      <c r="O240" s="159">
        <f t="shared" si="184"/>
        <v>0</v>
      </c>
      <c r="P240" s="666"/>
      <c r="Q240" s="674"/>
      <c r="R240" s="676">
        <f t="shared" si="171"/>
        <v>0</v>
      </c>
      <c r="S240" s="159"/>
      <c r="T240" s="161" t="s">
        <v>34</v>
      </c>
      <c r="U240" s="188" t="s">
        <v>34</v>
      </c>
      <c r="V240" s="188" t="s">
        <v>34</v>
      </c>
      <c r="W240" s="188" t="s">
        <v>34</v>
      </c>
    </row>
    <row r="241" spans="1:23" x14ac:dyDescent="0.2">
      <c r="A241" s="140" t="s">
        <v>33</v>
      </c>
      <c r="B241" s="173" t="s">
        <v>33</v>
      </c>
      <c r="C241" s="134"/>
      <c r="D241" s="294" t="s">
        <v>54</v>
      </c>
      <c r="E241" s="137"/>
      <c r="F241" s="143">
        <v>8.6</v>
      </c>
      <c r="G241" s="141">
        <f>VLOOKUP(D238,[2]_dren_comp!$C$3:$L$79,6,FALSE)</f>
        <v>2.8094099999999997</v>
      </c>
      <c r="H241" s="142">
        <f>IF(F241&lt;=30,(1.07*F241+2.68)*G241,((1.07*30+2.68)+1.07*(F241-30))*G241)</f>
        <v>33.381409619999999</v>
      </c>
      <c r="I241" s="156"/>
      <c r="J241" s="156"/>
      <c r="K241" s="157">
        <f t="shared" si="182"/>
        <v>0</v>
      </c>
      <c r="L241" s="158"/>
      <c r="M241" s="176"/>
      <c r="N241" s="382">
        <f t="shared" si="185"/>
        <v>0</v>
      </c>
      <c r="O241" s="159">
        <f t="shared" si="184"/>
        <v>0</v>
      </c>
      <c r="P241" s="666"/>
      <c r="Q241" s="674"/>
      <c r="R241" s="676">
        <f t="shared" si="171"/>
        <v>0</v>
      </c>
      <c r="S241" s="159"/>
      <c r="T241" s="161" t="s">
        <v>34</v>
      </c>
      <c r="U241" s="188" t="s">
        <v>34</v>
      </c>
      <c r="V241" s="188" t="s">
        <v>34</v>
      </c>
      <c r="W241" s="188" t="s">
        <v>34</v>
      </c>
    </row>
    <row r="242" spans="1:23" x14ac:dyDescent="0.2">
      <c r="A242" s="140" t="s">
        <v>33</v>
      </c>
      <c r="B242" s="173" t="s">
        <v>33</v>
      </c>
      <c r="C242" s="134"/>
      <c r="D242" s="294" t="s">
        <v>70</v>
      </c>
      <c r="E242" s="137"/>
      <c r="F242" s="143">
        <v>0</v>
      </c>
      <c r="G242" s="141"/>
      <c r="H242" s="142">
        <f>IF(F242&lt;=30,(1.07*F242+2.68)*G242,((1.07*30+2.68)+1.07*(F242-30))*G242)</f>
        <v>0</v>
      </c>
      <c r="I242" s="156"/>
      <c r="J242" s="156"/>
      <c r="K242" s="157">
        <f t="shared" si="182"/>
        <v>0</v>
      </c>
      <c r="L242" s="158"/>
      <c r="M242" s="176"/>
      <c r="N242" s="382">
        <f t="shared" si="185"/>
        <v>0</v>
      </c>
      <c r="O242" s="159">
        <f t="shared" si="184"/>
        <v>0</v>
      </c>
      <c r="P242" s="666"/>
      <c r="Q242" s="674"/>
      <c r="R242" s="676">
        <f t="shared" si="171"/>
        <v>0</v>
      </c>
      <c r="S242" s="159"/>
      <c r="U242" s="188"/>
      <c r="V242" s="188"/>
      <c r="W242" s="188"/>
    </row>
    <row r="243" spans="1:23" x14ac:dyDescent="0.2">
      <c r="A243" s="140" t="s">
        <v>33</v>
      </c>
      <c r="B243" s="173" t="s">
        <v>33</v>
      </c>
      <c r="C243" s="134"/>
      <c r="D243" s="294" t="s">
        <v>71</v>
      </c>
      <c r="E243" s="137"/>
      <c r="F243" s="143">
        <v>0</v>
      </c>
      <c r="G243" s="141"/>
      <c r="H243" s="142">
        <f>IF(F243&lt;=30,(0.78*F243+7.82)*G243,((0.78*30+7.82)+0.78*(F243-30))*G243)</f>
        <v>0</v>
      </c>
      <c r="I243" s="156"/>
      <c r="J243" s="156"/>
      <c r="K243" s="157">
        <f t="shared" si="182"/>
        <v>0</v>
      </c>
      <c r="L243" s="158"/>
      <c r="M243" s="176"/>
      <c r="N243" s="382">
        <f t="shared" si="185"/>
        <v>0</v>
      </c>
      <c r="O243" s="159">
        <f t="shared" si="184"/>
        <v>0</v>
      </c>
      <c r="P243" s="666"/>
      <c r="Q243" s="674"/>
      <c r="R243" s="676">
        <f t="shared" si="171"/>
        <v>0</v>
      </c>
      <c r="S243" s="159"/>
      <c r="U243" s="188"/>
      <c r="V243" s="188"/>
      <c r="W243" s="188"/>
    </row>
    <row r="244" spans="1:23" x14ac:dyDescent="0.2">
      <c r="A244" s="140" t="s">
        <v>22</v>
      </c>
      <c r="B244" s="173" t="s">
        <v>288</v>
      </c>
      <c r="C244" s="134" t="s">
        <v>47</v>
      </c>
      <c r="D244" s="135" t="s">
        <v>293</v>
      </c>
      <c r="E244" s="137"/>
      <c r="F244" s="143"/>
      <c r="G244" s="141"/>
      <c r="H244" s="142">
        <f>SUM(H245:H247)</f>
        <v>243.15092059999998</v>
      </c>
      <c r="I244" s="156">
        <v>1286.48</v>
      </c>
      <c r="J244" s="156">
        <f t="shared" ref="J244" si="186">IF(ISBLANK(I244),"",SUM(H244:I244))</f>
        <v>1529.6309206000001</v>
      </c>
      <c r="K244" s="157">
        <f t="shared" ref="K244:K251" si="187">IF(ISBLANK(I244),0,ROUND(J244*(1+$F$10)*(1+$F$11*E244),2))</f>
        <v>1829.74</v>
      </c>
      <c r="L244" s="158" t="s">
        <v>20</v>
      </c>
      <c r="M244" s="382">
        <v>1</v>
      </c>
      <c r="N244" s="382">
        <f t="shared" si="185"/>
        <v>1829.74</v>
      </c>
      <c r="O244" s="159">
        <f t="shared" ref="O244:O251" si="188">IF(ISBLANK(N244),0,ROUND(M244*N244,2))</f>
        <v>1829.74</v>
      </c>
      <c r="P244" s="666"/>
      <c r="Q244" s="674"/>
      <c r="R244" s="676">
        <f t="shared" si="171"/>
        <v>0</v>
      </c>
      <c r="S244" s="159"/>
      <c r="T244" s="161" t="s">
        <v>188</v>
      </c>
      <c r="U244" s="188" t="s">
        <v>188</v>
      </c>
      <c r="V244" s="188" t="s">
        <v>188</v>
      </c>
      <c r="W244" s="188" t="s">
        <v>188</v>
      </c>
    </row>
    <row r="245" spans="1:23" x14ac:dyDescent="0.2">
      <c r="A245" s="140" t="s">
        <v>33</v>
      </c>
      <c r="B245" s="173" t="s">
        <v>33</v>
      </c>
      <c r="C245" s="134"/>
      <c r="D245" s="294" t="s">
        <v>49</v>
      </c>
      <c r="E245" s="137"/>
      <c r="F245" s="143">
        <v>215</v>
      </c>
      <c r="G245" s="141">
        <v>0.4153</v>
      </c>
      <c r="H245" s="142">
        <f>IF(F245&lt;=30,(0.78*F245+7.82)*G245,((0.78*30+7.82)+0.78*(F245-30))*G245)</f>
        <v>72.893456</v>
      </c>
      <c r="I245" s="156">
        <v>0</v>
      </c>
      <c r="J245" s="156"/>
      <c r="K245" s="157">
        <f t="shared" si="187"/>
        <v>0</v>
      </c>
      <c r="L245" s="158"/>
      <c r="M245" s="176"/>
      <c r="N245" s="382">
        <f t="shared" si="185"/>
        <v>0</v>
      </c>
      <c r="O245" s="159">
        <f t="shared" si="188"/>
        <v>0</v>
      </c>
      <c r="P245" s="666"/>
      <c r="Q245" s="674"/>
      <c r="R245" s="676">
        <f t="shared" si="171"/>
        <v>0</v>
      </c>
      <c r="S245" s="159"/>
      <c r="U245" s="188"/>
      <c r="V245" s="188"/>
      <c r="W245" s="188"/>
    </row>
    <row r="246" spans="1:23" x14ac:dyDescent="0.2">
      <c r="A246" s="140" t="s">
        <v>33</v>
      </c>
      <c r="B246" s="173" t="s">
        <v>33</v>
      </c>
      <c r="C246" s="134"/>
      <c r="D246" s="294" t="s">
        <v>53</v>
      </c>
      <c r="E246" s="137"/>
      <c r="F246" s="143">
        <v>85</v>
      </c>
      <c r="G246" s="141">
        <v>1.4762999999999999</v>
      </c>
      <c r="H246" s="142">
        <f t="shared" ref="H246:H247" si="189">IF(F246&lt;=30,(1.07*F246+2.68)*G246,((1.07*30+2.68)+1.07*(F246-30))*G246)</f>
        <v>138.22596899999999</v>
      </c>
      <c r="I246" s="156">
        <v>0</v>
      </c>
      <c r="J246" s="156"/>
      <c r="K246" s="157">
        <f t="shared" si="187"/>
        <v>0</v>
      </c>
      <c r="L246" s="158"/>
      <c r="M246" s="176"/>
      <c r="N246" s="382">
        <f t="shared" si="185"/>
        <v>0</v>
      </c>
      <c r="O246" s="159">
        <f t="shared" si="188"/>
        <v>0</v>
      </c>
      <c r="P246" s="666"/>
      <c r="Q246" s="674"/>
      <c r="R246" s="676">
        <f t="shared" si="171"/>
        <v>0</v>
      </c>
      <c r="S246" s="159"/>
      <c r="U246" s="188"/>
      <c r="V246" s="188"/>
      <c r="W246" s="188"/>
    </row>
    <row r="247" spans="1:23" x14ac:dyDescent="0.2">
      <c r="A247" s="140" t="s">
        <v>33</v>
      </c>
      <c r="B247" s="173" t="s">
        <v>33</v>
      </c>
      <c r="C247" s="134"/>
      <c r="D247" s="294" t="s">
        <v>54</v>
      </c>
      <c r="E247" s="137"/>
      <c r="F247" s="143">
        <v>8.6</v>
      </c>
      <c r="G247" s="141">
        <v>2.6958000000000002</v>
      </c>
      <c r="H247" s="142">
        <f t="shared" si="189"/>
        <v>32.0314956</v>
      </c>
      <c r="I247" s="156">
        <v>0</v>
      </c>
      <c r="J247" s="156"/>
      <c r="K247" s="157">
        <f t="shared" si="187"/>
        <v>0</v>
      </c>
      <c r="L247" s="158"/>
      <c r="M247" s="176"/>
      <c r="N247" s="382">
        <f t="shared" si="185"/>
        <v>0</v>
      </c>
      <c r="O247" s="159">
        <f t="shared" si="188"/>
        <v>0</v>
      </c>
      <c r="P247" s="666"/>
      <c r="Q247" s="674"/>
      <c r="R247" s="676">
        <f t="shared" si="171"/>
        <v>0</v>
      </c>
      <c r="S247" s="159"/>
      <c r="U247" s="188"/>
      <c r="V247" s="188"/>
      <c r="W247" s="188"/>
    </row>
    <row r="248" spans="1:23" x14ac:dyDescent="0.2">
      <c r="A248" s="140" t="s">
        <v>23</v>
      </c>
      <c r="B248" s="173">
        <v>620700</v>
      </c>
      <c r="C248" s="134" t="s">
        <v>47</v>
      </c>
      <c r="D248" s="135" t="s">
        <v>294</v>
      </c>
      <c r="E248" s="137"/>
      <c r="F248" s="143"/>
      <c r="G248" s="141"/>
      <c r="H248" s="142">
        <f>SUM(H249:H251)</f>
        <v>364.87003159999995</v>
      </c>
      <c r="I248" s="156">
        <v>1838.07</v>
      </c>
      <c r="J248" s="156">
        <f t="shared" ref="J248" si="190">IF(ISBLANK(I248),"",SUM(H248:I248))</f>
        <v>2202.9400316000001</v>
      </c>
      <c r="K248" s="157">
        <f t="shared" si="187"/>
        <v>2635.16</v>
      </c>
      <c r="L248" s="158" t="s">
        <v>20</v>
      </c>
      <c r="M248" s="382">
        <v>1</v>
      </c>
      <c r="N248" s="382">
        <f t="shared" ref="N248:N251" si="191">K248</f>
        <v>2635.16</v>
      </c>
      <c r="O248" s="159">
        <f t="shared" si="188"/>
        <v>2635.16</v>
      </c>
      <c r="P248" s="666"/>
      <c r="Q248" s="674"/>
      <c r="R248" s="676">
        <f t="shared" si="171"/>
        <v>0</v>
      </c>
      <c r="S248" s="159"/>
      <c r="T248" s="161" t="s">
        <v>188</v>
      </c>
      <c r="U248" s="188" t="s">
        <v>188</v>
      </c>
      <c r="V248" s="188" t="s">
        <v>188</v>
      </c>
      <c r="W248" s="188" t="s">
        <v>188</v>
      </c>
    </row>
    <row r="249" spans="1:23" x14ac:dyDescent="0.2">
      <c r="A249" s="140" t="s">
        <v>33</v>
      </c>
      <c r="B249" s="173" t="s">
        <v>33</v>
      </c>
      <c r="C249" s="134"/>
      <c r="D249" s="294" t="s">
        <v>49</v>
      </c>
      <c r="E249" s="137"/>
      <c r="F249" s="143">
        <v>215</v>
      </c>
      <c r="G249" s="141" t="s">
        <v>289</v>
      </c>
      <c r="H249" s="142">
        <f>IF(F249&lt;=30,(0.78*F249+7.82)*G249,((0.78*30+7.82)+0.78*(F249-30))*G249)</f>
        <v>109.366512</v>
      </c>
      <c r="I249" s="156">
        <v>0</v>
      </c>
      <c r="J249" s="156"/>
      <c r="K249" s="157">
        <f t="shared" si="187"/>
        <v>0</v>
      </c>
      <c r="L249" s="158"/>
      <c r="M249" s="176"/>
      <c r="N249" s="382">
        <f t="shared" si="191"/>
        <v>0</v>
      </c>
      <c r="O249" s="159">
        <f t="shared" si="188"/>
        <v>0</v>
      </c>
      <c r="P249" s="666"/>
      <c r="Q249" s="674"/>
      <c r="R249" s="676">
        <f t="shared" si="171"/>
        <v>0</v>
      </c>
      <c r="S249" s="159"/>
      <c r="U249" s="188"/>
      <c r="V249" s="188"/>
      <c r="W249" s="188"/>
    </row>
    <row r="250" spans="1:23" x14ac:dyDescent="0.2">
      <c r="A250" s="140" t="s">
        <v>33</v>
      </c>
      <c r="B250" s="173" t="s">
        <v>33</v>
      </c>
      <c r="C250" s="134"/>
      <c r="D250" s="294" t="s">
        <v>53</v>
      </c>
      <c r="E250" s="137"/>
      <c r="F250" s="143">
        <v>85</v>
      </c>
      <c r="G250" s="141" t="s">
        <v>290</v>
      </c>
      <c r="H250" s="142">
        <f t="shared" ref="H250:H251" si="192">IF(F250&lt;=30,(1.07*F250+2.68)*G250,((1.07*30+2.68)+1.07*(F250-30))*G250)</f>
        <v>207.437265</v>
      </c>
      <c r="I250" s="156">
        <v>0</v>
      </c>
      <c r="J250" s="156"/>
      <c r="K250" s="157">
        <f t="shared" si="187"/>
        <v>0</v>
      </c>
      <c r="L250" s="158"/>
      <c r="M250" s="176"/>
      <c r="N250" s="382">
        <f t="shared" si="191"/>
        <v>0</v>
      </c>
      <c r="O250" s="159">
        <f t="shared" si="188"/>
        <v>0</v>
      </c>
      <c r="P250" s="666"/>
      <c r="Q250" s="674"/>
      <c r="R250" s="676">
        <f t="shared" si="171"/>
        <v>0</v>
      </c>
      <c r="S250" s="159"/>
      <c r="U250" s="188"/>
      <c r="V250" s="188"/>
      <c r="W250" s="188"/>
    </row>
    <row r="251" spans="1:23" x14ac:dyDescent="0.2">
      <c r="A251" s="140" t="s">
        <v>33</v>
      </c>
      <c r="B251" s="173" t="s">
        <v>33</v>
      </c>
      <c r="C251" s="134"/>
      <c r="D251" s="294" t="s">
        <v>54</v>
      </c>
      <c r="E251" s="137"/>
      <c r="F251" s="143">
        <v>8.6</v>
      </c>
      <c r="G251" s="141">
        <v>4.0453000000000001</v>
      </c>
      <c r="H251" s="142">
        <f t="shared" si="192"/>
        <v>48.066254600000001</v>
      </c>
      <c r="I251" s="156">
        <v>0</v>
      </c>
      <c r="J251" s="156"/>
      <c r="K251" s="157">
        <f t="shared" si="187"/>
        <v>0</v>
      </c>
      <c r="L251" s="158"/>
      <c r="M251" s="176"/>
      <c r="N251" s="382">
        <f t="shared" si="191"/>
        <v>0</v>
      </c>
      <c r="O251" s="159">
        <f t="shared" si="188"/>
        <v>0</v>
      </c>
      <c r="P251" s="666"/>
      <c r="Q251" s="674"/>
      <c r="R251" s="676">
        <f t="shared" si="171"/>
        <v>0</v>
      </c>
      <c r="S251" s="159"/>
      <c r="U251" s="188"/>
      <c r="V251" s="188"/>
      <c r="W251" s="188"/>
    </row>
    <row r="252" spans="1:23" x14ac:dyDescent="0.2">
      <c r="A252" s="230" t="s">
        <v>42</v>
      </c>
      <c r="B252" s="231" t="s">
        <v>280</v>
      </c>
      <c r="C252" s="134" t="s">
        <v>47</v>
      </c>
      <c r="D252" s="232" t="s">
        <v>281</v>
      </c>
      <c r="E252" s="233"/>
      <c r="F252" s="234"/>
      <c r="G252" s="235"/>
      <c r="H252" s="236"/>
      <c r="I252" s="156">
        <v>304.24</v>
      </c>
      <c r="J252" s="156">
        <f t="shared" ref="J252" si="193">IF(ISBLANK(I252),"",SUM(H252:I252))</f>
        <v>304.24</v>
      </c>
      <c r="K252" s="157">
        <f t="shared" ref="K252" si="194">IF(ISBLANK(I252),0,ROUND(J252*(1+$F$10)*(1+$F$11*E252),2))</f>
        <v>363.93</v>
      </c>
      <c r="L252" s="158" t="s">
        <v>20</v>
      </c>
      <c r="M252" s="382">
        <f>49+12</f>
        <v>61</v>
      </c>
      <c r="N252" s="382">
        <f t="shared" ref="N252:N268" si="195">K252</f>
        <v>363.93</v>
      </c>
      <c r="O252" s="159">
        <f t="shared" ref="O252" si="196">IF(ISBLANK(N252),0,ROUND(M252*N252,2))</f>
        <v>22199.73</v>
      </c>
      <c r="P252" s="666"/>
      <c r="Q252" s="674"/>
      <c r="R252" s="676">
        <f t="shared" si="171"/>
        <v>0</v>
      </c>
      <c r="S252" s="159"/>
      <c r="T252" s="161" t="s">
        <v>188</v>
      </c>
      <c r="U252" s="188" t="str">
        <f>IF(T252="X","x",IF(T252="xx","x",IF(T252="xy","x",IF(T252="y","x",IF(OR(O252&gt;0,#REF!&gt;0),"x","")))))</f>
        <v>x</v>
      </c>
      <c r="V252" s="188" t="str">
        <f>IF(T252="X","x",IF(T252="y","x",IF(T252="xx","x",IF(#REF!&gt;0,"x",""))))</f>
        <v>x</v>
      </c>
      <c r="W252" s="188" t="str">
        <f>IF(T252="X","x",IF(#REF!&gt;0,"x",""))</f>
        <v>x</v>
      </c>
    </row>
    <row r="253" spans="1:23" ht="45" x14ac:dyDescent="0.2">
      <c r="A253" s="230" t="s">
        <v>42</v>
      </c>
      <c r="B253" s="231" t="s">
        <v>291</v>
      </c>
      <c r="C253" s="172" t="s">
        <v>134</v>
      </c>
      <c r="D253" s="287" t="s">
        <v>292</v>
      </c>
      <c r="E253" s="233"/>
      <c r="F253" s="234"/>
      <c r="G253" s="235"/>
      <c r="H253" s="236"/>
      <c r="I253" s="156">
        <v>1388.78</v>
      </c>
      <c r="J253" s="156">
        <f t="shared" ref="J253" si="197">IF(ISBLANK(I253),"",SUM(H253:I253))</f>
        <v>1388.78</v>
      </c>
      <c r="K253" s="157">
        <f t="shared" ref="K253" si="198">IF(ISBLANK(I253),0,ROUND(J253*(1+$F$10)*(1+$F$11*E253),2))</f>
        <v>1661.26</v>
      </c>
      <c r="L253" s="158" t="s">
        <v>15</v>
      </c>
      <c r="M253" s="382">
        <v>22</v>
      </c>
      <c r="N253" s="382">
        <f t="shared" ref="N253" si="199">K253</f>
        <v>1661.26</v>
      </c>
      <c r="O253" s="159">
        <f t="shared" ref="O253" si="200">IF(ISBLANK(N253),0,ROUND(M253*N253,2))</f>
        <v>36547.72</v>
      </c>
      <c r="P253" s="666"/>
      <c r="Q253" s="674"/>
      <c r="R253" s="676">
        <f t="shared" si="171"/>
        <v>0</v>
      </c>
      <c r="S253" s="159"/>
      <c r="T253" s="161" t="s">
        <v>34</v>
      </c>
      <c r="U253" s="188" t="s">
        <v>34</v>
      </c>
      <c r="V253" s="188" t="s">
        <v>34</v>
      </c>
      <c r="W253" s="188" t="s">
        <v>34</v>
      </c>
    </row>
    <row r="254" spans="1:23" ht="23.25" thickBot="1" x14ac:dyDescent="0.25">
      <c r="A254" s="230" t="s">
        <v>42</v>
      </c>
      <c r="B254" s="231" t="s">
        <v>295</v>
      </c>
      <c r="C254" s="172" t="s">
        <v>134</v>
      </c>
      <c r="D254" s="287" t="s">
        <v>296</v>
      </c>
      <c r="E254" s="233"/>
      <c r="F254" s="234"/>
      <c r="G254" s="235"/>
      <c r="H254" s="236"/>
      <c r="I254" s="156">
        <v>755.42</v>
      </c>
      <c r="J254" s="156">
        <f t="shared" ref="J254" si="201">IF(ISBLANK(I254),"",SUM(H254:I254))</f>
        <v>755.42</v>
      </c>
      <c r="K254" s="157">
        <f t="shared" ref="K254:K259" si="202">IF(ISBLANK(I254),0,ROUND(J254*(1+$F$10)*(1+$F$11*E254),2))</f>
        <v>903.63</v>
      </c>
      <c r="L254" s="158" t="s">
        <v>18</v>
      </c>
      <c r="M254" s="382">
        <v>49</v>
      </c>
      <c r="N254" s="382">
        <f t="shared" ref="N254:N259" si="203">K254</f>
        <v>903.63</v>
      </c>
      <c r="O254" s="159">
        <f t="shared" ref="O254:O257" si="204">IF(ISBLANK(N254),0,ROUND(M254*N254,2))</f>
        <v>44277.87</v>
      </c>
      <c r="P254" s="666"/>
      <c r="Q254" s="674"/>
      <c r="R254" s="676">
        <f t="shared" si="171"/>
        <v>0</v>
      </c>
      <c r="S254" s="159"/>
      <c r="T254" s="161" t="s">
        <v>188</v>
      </c>
      <c r="U254" s="188" t="s">
        <v>188</v>
      </c>
      <c r="V254" s="188" t="s">
        <v>188</v>
      </c>
      <c r="W254" s="188" t="s">
        <v>188</v>
      </c>
    </row>
    <row r="255" spans="1:23" x14ac:dyDescent="0.2">
      <c r="A255" s="230" t="s">
        <v>42</v>
      </c>
      <c r="B255" s="174">
        <v>742500</v>
      </c>
      <c r="C255" s="154" t="s">
        <v>47</v>
      </c>
      <c r="D255" s="148" t="s">
        <v>250</v>
      </c>
      <c r="E255" s="149"/>
      <c r="F255" s="285"/>
      <c r="G255" s="151"/>
      <c r="H255" s="152">
        <f>SUM(H256:H259)</f>
        <v>114.483</v>
      </c>
      <c r="I255" s="268">
        <v>557.09</v>
      </c>
      <c r="J255" s="268">
        <f>IF(ISBLANK(I255),"",SUM(H255:I255))</f>
        <v>671.57300000000009</v>
      </c>
      <c r="K255" s="269">
        <f t="shared" si="202"/>
        <v>803.34</v>
      </c>
      <c r="L255" s="270" t="s">
        <v>15</v>
      </c>
      <c r="M255" s="503">
        <v>15</v>
      </c>
      <c r="N255" s="382">
        <f t="shared" si="203"/>
        <v>803.34</v>
      </c>
      <c r="O255" s="159">
        <f t="shared" si="204"/>
        <v>12050.1</v>
      </c>
      <c r="P255" s="666"/>
      <c r="Q255" s="674"/>
      <c r="R255" s="676">
        <f t="shared" si="171"/>
        <v>0</v>
      </c>
      <c r="S255" s="159"/>
      <c r="T255" s="161" t="s">
        <v>34</v>
      </c>
      <c r="U255" s="188" t="s">
        <v>34</v>
      </c>
      <c r="V255" s="188" t="s">
        <v>34</v>
      </c>
      <c r="W255" s="188" t="s">
        <v>34</v>
      </c>
    </row>
    <row r="256" spans="1:23" x14ac:dyDescent="0.2">
      <c r="A256" s="230" t="s">
        <v>42</v>
      </c>
      <c r="B256" s="173" t="s">
        <v>33</v>
      </c>
      <c r="C256" s="134"/>
      <c r="D256" s="373" t="s">
        <v>49</v>
      </c>
      <c r="E256" s="359"/>
      <c r="F256" s="143">
        <v>215</v>
      </c>
      <c r="G256" s="141">
        <v>0.12</v>
      </c>
      <c r="H256" s="155">
        <f>IF(F256&lt;=30,(0.78*F256+7.82)*G256,((0.78*30+7.82)+0.78*(F256-30))*G256)</f>
        <v>21.0624</v>
      </c>
      <c r="I256" s="156">
        <v>0</v>
      </c>
      <c r="J256" s="156"/>
      <c r="K256" s="157">
        <f t="shared" si="202"/>
        <v>0</v>
      </c>
      <c r="L256" s="449" t="s">
        <v>15</v>
      </c>
      <c r="M256" s="451"/>
      <c r="N256" s="501">
        <f t="shared" si="203"/>
        <v>0</v>
      </c>
      <c r="O256" s="159">
        <f t="shared" si="204"/>
        <v>0</v>
      </c>
      <c r="P256" s="666"/>
      <c r="Q256" s="674"/>
      <c r="R256" s="676">
        <f t="shared" si="171"/>
        <v>0</v>
      </c>
      <c r="S256" s="159"/>
      <c r="T256" s="161" t="s">
        <v>34</v>
      </c>
      <c r="U256" s="188" t="s">
        <v>34</v>
      </c>
      <c r="V256" s="188" t="s">
        <v>34</v>
      </c>
      <c r="W256" s="188" t="s">
        <v>34</v>
      </c>
    </row>
    <row r="257" spans="1:23" x14ac:dyDescent="0.2">
      <c r="A257" s="230" t="s">
        <v>42</v>
      </c>
      <c r="B257" s="173" t="s">
        <v>33</v>
      </c>
      <c r="C257" s="134"/>
      <c r="D257" s="373" t="s">
        <v>53</v>
      </c>
      <c r="E257" s="359"/>
      <c r="F257" s="143">
        <v>85</v>
      </c>
      <c r="G257" s="141">
        <v>0.87</v>
      </c>
      <c r="H257" s="142">
        <f>IF(F257&lt;=30,(1.07*F257+2.68)*G257,((1.07*30+2.68)+1.07*(F257-30))*G257)</f>
        <v>81.458100000000002</v>
      </c>
      <c r="I257" s="156">
        <v>0</v>
      </c>
      <c r="J257" s="156"/>
      <c r="K257" s="157">
        <f t="shared" si="202"/>
        <v>0</v>
      </c>
      <c r="L257" s="449" t="s">
        <v>15</v>
      </c>
      <c r="M257" s="451"/>
      <c r="N257" s="501">
        <f t="shared" si="203"/>
        <v>0</v>
      </c>
      <c r="O257" s="159">
        <f t="shared" si="204"/>
        <v>0</v>
      </c>
      <c r="P257" s="666"/>
      <c r="Q257" s="674"/>
      <c r="R257" s="676">
        <f t="shared" si="171"/>
        <v>0</v>
      </c>
      <c r="S257" s="159"/>
      <c r="T257" s="161" t="s">
        <v>34</v>
      </c>
      <c r="U257" s="188" t="s">
        <v>34</v>
      </c>
      <c r="V257" s="188" t="s">
        <v>34</v>
      </c>
      <c r="W257" s="188" t="s">
        <v>34</v>
      </c>
    </row>
    <row r="258" spans="1:23" x14ac:dyDescent="0.2">
      <c r="A258" s="230" t="s">
        <v>42</v>
      </c>
      <c r="B258" s="173" t="s">
        <v>33</v>
      </c>
      <c r="C258" s="134"/>
      <c r="D258" s="373" t="s">
        <v>54</v>
      </c>
      <c r="E258" s="359"/>
      <c r="F258" s="143">
        <v>1</v>
      </c>
      <c r="G258" s="141">
        <v>1.1000000000000001</v>
      </c>
      <c r="H258" s="142">
        <f>IF(F258&lt;=30,(1.07*F258+2.68)*G258,((1.07*30+2.68)+1.07*(F258-30))*G258)</f>
        <v>4.125</v>
      </c>
      <c r="I258" s="156">
        <v>0</v>
      </c>
      <c r="J258" s="156"/>
      <c r="K258" s="157">
        <f t="shared" si="202"/>
        <v>0</v>
      </c>
      <c r="L258" s="449" t="s">
        <v>15</v>
      </c>
      <c r="M258" s="451"/>
      <c r="N258" s="501">
        <f t="shared" si="203"/>
        <v>0</v>
      </c>
      <c r="O258" s="159"/>
      <c r="P258" s="666"/>
      <c r="Q258" s="674"/>
      <c r="R258" s="676">
        <f t="shared" si="171"/>
        <v>0</v>
      </c>
      <c r="S258" s="159"/>
      <c r="T258" s="161" t="s">
        <v>34</v>
      </c>
      <c r="U258" s="188" t="s">
        <v>34</v>
      </c>
      <c r="V258" s="188" t="s">
        <v>34</v>
      </c>
      <c r="W258" s="188" t="s">
        <v>34</v>
      </c>
    </row>
    <row r="259" spans="1:23" x14ac:dyDescent="0.2">
      <c r="A259" s="230" t="s">
        <v>42</v>
      </c>
      <c r="B259" s="281" t="s">
        <v>33</v>
      </c>
      <c r="C259" s="354"/>
      <c r="D259" s="464" t="s">
        <v>55</v>
      </c>
      <c r="E259" s="363"/>
      <c r="F259" s="263">
        <v>1</v>
      </c>
      <c r="G259" s="282">
        <f>SUM(G255:G258)</f>
        <v>2.09</v>
      </c>
      <c r="H259" s="264">
        <f>IF(F259&lt;=30,(1.07*F259+2.68)*G259,((1.07*30+2.68)+1.07*(F259-30))*G259)</f>
        <v>7.8374999999999995</v>
      </c>
      <c r="I259" s="265">
        <v>0</v>
      </c>
      <c r="J259" s="265"/>
      <c r="K259" s="266">
        <f t="shared" si="202"/>
        <v>0</v>
      </c>
      <c r="L259" s="429" t="s">
        <v>15</v>
      </c>
      <c r="M259" s="465"/>
      <c r="N259" s="561">
        <f t="shared" si="203"/>
        <v>0</v>
      </c>
      <c r="O259" s="252">
        <f t="shared" ref="O259:O260" si="205">IF(ISBLANK(N259),0,ROUND(M259*N259,2))</f>
        <v>0</v>
      </c>
      <c r="P259" s="666"/>
      <c r="Q259" s="674"/>
      <c r="R259" s="676">
        <f t="shared" si="171"/>
        <v>0</v>
      </c>
      <c r="S259" s="159"/>
      <c r="U259" s="188"/>
      <c r="V259" s="188"/>
      <c r="W259" s="188"/>
    </row>
    <row r="260" spans="1:23" ht="33.75" x14ac:dyDescent="0.2">
      <c r="A260" s="230" t="s">
        <v>42</v>
      </c>
      <c r="B260" s="172" t="s">
        <v>387</v>
      </c>
      <c r="C260" s="172" t="s">
        <v>134</v>
      </c>
      <c r="D260" s="393" t="s">
        <v>386</v>
      </c>
      <c r="E260" s="398"/>
      <c r="F260" s="237"/>
      <c r="G260" s="399"/>
      <c r="H260" s="237"/>
      <c r="I260" s="156">
        <v>42.87</v>
      </c>
      <c r="J260" s="156">
        <f>IF(ISBLANK(I260),"",SUM(H260:I260))</f>
        <v>42.87</v>
      </c>
      <c r="K260" s="157">
        <f t="shared" ref="K260" si="206">IF(ISBLANK(I260),0,ROUND(J260*(1+$F$10)*(1+$F$11*E260),2))</f>
        <v>51.28</v>
      </c>
      <c r="L260" s="156" t="s">
        <v>15</v>
      </c>
      <c r="M260" s="501">
        <v>30</v>
      </c>
      <c r="N260" s="501">
        <f t="shared" ref="N260" si="207">K260</f>
        <v>51.28</v>
      </c>
      <c r="O260" s="159">
        <f t="shared" si="205"/>
        <v>1538.4</v>
      </c>
      <c r="P260" s="662"/>
      <c r="Q260" s="674"/>
      <c r="R260" s="676">
        <f t="shared" si="171"/>
        <v>0</v>
      </c>
      <c r="S260" s="159"/>
      <c r="T260" s="161" t="s">
        <v>188</v>
      </c>
      <c r="U260" s="188" t="s">
        <v>188</v>
      </c>
      <c r="V260" s="188" t="s">
        <v>188</v>
      </c>
      <c r="W260" s="188" t="s">
        <v>188</v>
      </c>
    </row>
    <row r="261" spans="1:23" x14ac:dyDescent="0.2">
      <c r="A261" s="230" t="s">
        <v>42</v>
      </c>
      <c r="B261" s="352" t="s">
        <v>389</v>
      </c>
      <c r="C261" s="353" t="s">
        <v>388</v>
      </c>
      <c r="D261" s="287" t="s">
        <v>390</v>
      </c>
      <c r="E261" s="355"/>
      <c r="F261" s="356"/>
      <c r="G261" s="357"/>
      <c r="H261" s="358"/>
      <c r="I261" s="225">
        <v>220.89</v>
      </c>
      <c r="J261" s="225">
        <f>IF(ISBLANK(I261),"",SUM(H261:I261))</f>
        <v>220.89</v>
      </c>
      <c r="K261" s="226">
        <f t="shared" ref="K261" si="208">IF(ISBLANK(I261),0,ROUND(J261*(1+$F$10)*(1+$F$11*E261),2))</f>
        <v>264.23</v>
      </c>
      <c r="L261" s="227" t="s">
        <v>15</v>
      </c>
      <c r="M261" s="381">
        <v>50</v>
      </c>
      <c r="N261" s="382">
        <f t="shared" ref="N261" si="209">K261</f>
        <v>264.23</v>
      </c>
      <c r="O261" s="228">
        <f t="shared" ref="O261" si="210">IF(ISBLANK(N261),0,ROUND(M261*N261,2))</f>
        <v>13211.5</v>
      </c>
      <c r="P261" s="666"/>
      <c r="Q261" s="674"/>
      <c r="R261" s="676">
        <f t="shared" si="171"/>
        <v>0</v>
      </c>
      <c r="S261" s="159"/>
      <c r="T261" s="161" t="s">
        <v>188</v>
      </c>
      <c r="U261" s="188" t="s">
        <v>188</v>
      </c>
      <c r="V261" s="188" t="s">
        <v>188</v>
      </c>
      <c r="W261" s="188" t="s">
        <v>188</v>
      </c>
    </row>
    <row r="262" spans="1:23" ht="12" thickBot="1" x14ac:dyDescent="0.25">
      <c r="A262" s="230" t="s">
        <v>42</v>
      </c>
      <c r="B262" s="372" t="s">
        <v>42</v>
      </c>
      <c r="C262" s="372" t="s">
        <v>42</v>
      </c>
      <c r="D262" s="374"/>
      <c r="E262" s="447"/>
      <c r="F262" s="248"/>
      <c r="G262" s="448"/>
      <c r="H262" s="248"/>
      <c r="I262" s="248"/>
      <c r="J262" s="249"/>
      <c r="K262" s="392">
        <f t="shared" ref="K262:K268" si="211">IF(ISBLANK(J262),0,ROUND(J262*(1+$F$10)*(1+$F$11*E262),2))</f>
        <v>0</v>
      </c>
      <c r="L262" s="266" t="s">
        <v>116</v>
      </c>
      <c r="M262" s="561"/>
      <c r="N262" s="561">
        <f t="shared" si="195"/>
        <v>0</v>
      </c>
      <c r="O262" s="252">
        <f t="shared" ref="O262:O277" si="212">IF(ISBLANK(N262),0,ROUND(M262*N262,2))</f>
        <v>0</v>
      </c>
      <c r="P262" s="662"/>
      <c r="Q262" s="674"/>
      <c r="R262" s="676"/>
      <c r="S262" s="159"/>
      <c r="U262" s="188"/>
      <c r="V262" s="188"/>
      <c r="W262" s="188"/>
    </row>
    <row r="263" spans="1:23" ht="12" thickBot="1" x14ac:dyDescent="0.25">
      <c r="A263" s="230" t="s">
        <v>42</v>
      </c>
      <c r="B263" s="526" t="s">
        <v>421</v>
      </c>
      <c r="C263" s="562" t="s">
        <v>42</v>
      </c>
      <c r="D263" s="558" t="s">
        <v>391</v>
      </c>
      <c r="E263" s="529"/>
      <c r="F263" s="563"/>
      <c r="G263" s="564"/>
      <c r="H263" s="565"/>
      <c r="I263" s="566"/>
      <c r="J263" s="535"/>
      <c r="K263" s="535">
        <f t="shared" si="211"/>
        <v>0</v>
      </c>
      <c r="L263" s="536" t="s">
        <v>116</v>
      </c>
      <c r="M263" s="567"/>
      <c r="N263" s="567">
        <f t="shared" si="195"/>
        <v>0</v>
      </c>
      <c r="O263" s="524">
        <f>SUM(O264:O267)</f>
        <v>11477.770000000002</v>
      </c>
      <c r="P263" s="666"/>
      <c r="Q263" s="674"/>
      <c r="R263" s="676"/>
      <c r="S263" s="159"/>
      <c r="U263" s="188"/>
      <c r="V263" s="188"/>
      <c r="W263" s="188"/>
    </row>
    <row r="264" spans="1:23" ht="22.5" x14ac:dyDescent="0.2">
      <c r="A264" s="230" t="s">
        <v>42</v>
      </c>
      <c r="B264" s="173">
        <v>105752</v>
      </c>
      <c r="C264" s="134" t="s">
        <v>134</v>
      </c>
      <c r="D264" s="393" t="s">
        <v>348</v>
      </c>
      <c r="E264" s="359"/>
      <c r="F264" s="138"/>
      <c r="G264" s="141"/>
      <c r="H264" s="142">
        <f t="shared" ref="H264" si="213">IF(F264&lt;=30,(1.07*F264+2.68)*G264,((1.07*30+2.68)+1.07*(F264-30))*G264)</f>
        <v>0</v>
      </c>
      <c r="I264" s="156">
        <v>111.04</v>
      </c>
      <c r="J264" s="156">
        <f>IF(ISBLANK(I264),"",SUM(H264:I264))</f>
        <v>111.04</v>
      </c>
      <c r="K264" s="157">
        <f t="shared" ref="K264:K267" si="214">IF(ISBLANK(I264),0,ROUND(J264*(1+$F$10)*(1+$F$11*E264),2))</f>
        <v>132.83000000000001</v>
      </c>
      <c r="L264" s="158" t="s">
        <v>15</v>
      </c>
      <c r="M264" s="382">
        <v>63.52</v>
      </c>
      <c r="N264" s="382">
        <f t="shared" si="195"/>
        <v>132.83000000000001</v>
      </c>
      <c r="O264" s="159">
        <f t="shared" si="212"/>
        <v>8437.36</v>
      </c>
      <c r="P264" s="666"/>
      <c r="Q264" s="674"/>
      <c r="R264" s="676">
        <f t="shared" si="171"/>
        <v>0</v>
      </c>
      <c r="S264" s="159"/>
      <c r="U264" s="188"/>
      <c r="V264" s="188"/>
      <c r="W264" s="188"/>
    </row>
    <row r="265" spans="1:23" ht="33.75" x14ac:dyDescent="0.2">
      <c r="A265" s="230" t="s">
        <v>42</v>
      </c>
      <c r="B265" s="173">
        <v>95875</v>
      </c>
      <c r="C265" s="134" t="s">
        <v>134</v>
      </c>
      <c r="D265" s="393" t="s">
        <v>351</v>
      </c>
      <c r="E265" s="359"/>
      <c r="F265" s="138"/>
      <c r="G265" s="141"/>
      <c r="H265" s="142"/>
      <c r="I265" s="156">
        <v>2.5299999999999998</v>
      </c>
      <c r="J265" s="156">
        <f>IF(ISBLANK(I265),"",SUM(H265:I265))</f>
        <v>2.5299999999999998</v>
      </c>
      <c r="K265" s="157">
        <f t="shared" si="214"/>
        <v>3.03</v>
      </c>
      <c r="L265" s="158" t="s">
        <v>392</v>
      </c>
      <c r="M265" s="382">
        <f>ROUND(M264*8.6,2)</f>
        <v>546.27</v>
      </c>
      <c r="N265" s="382">
        <f t="shared" si="195"/>
        <v>3.03</v>
      </c>
      <c r="O265" s="159">
        <f t="shared" si="212"/>
        <v>1655.2</v>
      </c>
      <c r="P265" s="666"/>
      <c r="Q265" s="674"/>
      <c r="R265" s="676">
        <f t="shared" si="171"/>
        <v>0</v>
      </c>
      <c r="S265" s="159"/>
      <c r="U265" s="188"/>
      <c r="V265" s="188"/>
      <c r="W265" s="188"/>
    </row>
    <row r="266" spans="1:23" ht="33.75" x14ac:dyDescent="0.2">
      <c r="A266" s="230" t="s">
        <v>42</v>
      </c>
      <c r="B266" s="173">
        <v>96396</v>
      </c>
      <c r="C266" s="134" t="s">
        <v>134</v>
      </c>
      <c r="D266" s="393" t="s">
        <v>350</v>
      </c>
      <c r="E266" s="359"/>
      <c r="F266" s="138"/>
      <c r="G266" s="141"/>
      <c r="H266" s="142">
        <f t="shared" ref="H266" si="215">IF(F266&lt;=30,(1.07*F266+2.68)*G266,((1.07*30+2.68)+1.07*(F266-30))*G266)</f>
        <v>0</v>
      </c>
      <c r="I266" s="156">
        <v>119.44</v>
      </c>
      <c r="J266" s="156">
        <f>IF(ISBLANK(I266),"",SUM(H266:I266))</f>
        <v>119.44</v>
      </c>
      <c r="K266" s="157">
        <f t="shared" si="214"/>
        <v>142.87</v>
      </c>
      <c r="L266" s="158" t="s">
        <v>15</v>
      </c>
      <c r="M266" s="382">
        <v>8.1999999999999993</v>
      </c>
      <c r="N266" s="382">
        <f t="shared" si="195"/>
        <v>142.87</v>
      </c>
      <c r="O266" s="159">
        <f t="shared" si="212"/>
        <v>1171.53</v>
      </c>
      <c r="P266" s="666"/>
      <c r="Q266" s="674"/>
      <c r="R266" s="676">
        <f t="shared" si="171"/>
        <v>0</v>
      </c>
      <c r="S266" s="159"/>
      <c r="U266" s="188"/>
      <c r="V266" s="188"/>
      <c r="W266" s="188"/>
    </row>
    <row r="267" spans="1:23" ht="33.75" x14ac:dyDescent="0.2">
      <c r="A267" s="230" t="s">
        <v>42</v>
      </c>
      <c r="B267" s="173">
        <v>95875</v>
      </c>
      <c r="C267" s="134" t="s">
        <v>134</v>
      </c>
      <c r="D267" s="393" t="s">
        <v>351</v>
      </c>
      <c r="E267" s="359"/>
      <c r="F267" s="138"/>
      <c r="G267" s="141"/>
      <c r="H267" s="142"/>
      <c r="I267" s="156">
        <v>2.5299999999999998</v>
      </c>
      <c r="J267" s="156">
        <f>IF(ISBLANK(I267),"",SUM(H267:I267))</f>
        <v>2.5299999999999998</v>
      </c>
      <c r="K267" s="157">
        <f t="shared" si="214"/>
        <v>3.03</v>
      </c>
      <c r="L267" s="158" t="s">
        <v>392</v>
      </c>
      <c r="M267" s="382">
        <f>ROUND(M266*8.6,2)</f>
        <v>70.52</v>
      </c>
      <c r="N267" s="382">
        <f t="shared" si="195"/>
        <v>3.03</v>
      </c>
      <c r="O267" s="159">
        <f t="shared" si="212"/>
        <v>213.68</v>
      </c>
      <c r="P267" s="666"/>
      <c r="Q267" s="674"/>
      <c r="R267" s="676">
        <f t="shared" si="171"/>
        <v>0</v>
      </c>
      <c r="S267" s="159"/>
      <c r="U267" s="188"/>
      <c r="V267" s="188"/>
      <c r="W267" s="188"/>
    </row>
    <row r="268" spans="1:23" ht="12" thickBot="1" x14ac:dyDescent="0.25">
      <c r="A268" s="230" t="s">
        <v>42</v>
      </c>
      <c r="B268" s="231" t="s">
        <v>42</v>
      </c>
      <c r="C268" s="172" t="s">
        <v>42</v>
      </c>
      <c r="D268" s="287"/>
      <c r="E268" s="233"/>
      <c r="F268" s="234"/>
      <c r="G268" s="235"/>
      <c r="H268" s="236"/>
      <c r="I268" s="237"/>
      <c r="J268" s="238"/>
      <c r="K268" s="241">
        <f t="shared" si="211"/>
        <v>0</v>
      </c>
      <c r="L268" s="239" t="s">
        <v>116</v>
      </c>
      <c r="M268" s="382"/>
      <c r="N268" s="382">
        <f t="shared" si="195"/>
        <v>0</v>
      </c>
      <c r="O268" s="159">
        <f t="shared" si="212"/>
        <v>0</v>
      </c>
      <c r="P268" s="666"/>
      <c r="Q268" s="674"/>
      <c r="R268" s="676">
        <f t="shared" si="171"/>
        <v>0</v>
      </c>
      <c r="S268" s="159"/>
      <c r="U268" s="188"/>
      <c r="V268" s="188"/>
      <c r="W268" s="188"/>
    </row>
    <row r="269" spans="1:23" ht="13.5" customHeight="1" thickBot="1" x14ac:dyDescent="0.25">
      <c r="A269" s="258" t="s">
        <v>42</v>
      </c>
      <c r="B269" s="498" t="s">
        <v>357</v>
      </c>
      <c r="C269" s="499"/>
      <c r="D269" s="585" t="s">
        <v>407</v>
      </c>
      <c r="E269" s="496"/>
      <c r="F269" s="497"/>
      <c r="G269" s="487"/>
      <c r="H269" s="488"/>
      <c r="I269" s="489"/>
      <c r="J269" s="489"/>
      <c r="K269" s="489"/>
      <c r="L269" s="489" t="s">
        <v>116</v>
      </c>
      <c r="M269" s="488"/>
      <c r="N269" s="500">
        <f t="shared" ref="N269:N279" si="216">K269</f>
        <v>0</v>
      </c>
      <c r="O269" s="492"/>
      <c r="P269" s="488">
        <f>SUM(O270:O279)</f>
        <v>17456.77</v>
      </c>
      <c r="Q269" s="668"/>
      <c r="R269" s="678"/>
      <c r="S269" s="668"/>
      <c r="T269" s="224" t="s">
        <v>34</v>
      </c>
      <c r="U269" s="188" t="str">
        <f>IF(T269="X","x",IF(T269="xx","x",IF(T269="xy","x",IF(T269="y","x",IF(OR(O269&gt;0,#REF!&gt;0),"x","")))))</f>
        <v>x</v>
      </c>
      <c r="V269" s="188" t="str">
        <f>IF(T269="X","x",IF(T269="y","x",IF(T269="xx","x",IF(#REF!&gt;0,"x",""))))</f>
        <v>x</v>
      </c>
      <c r="W269" s="188" t="str">
        <f>IF(T269="X","x",IF(#REF!&gt;0,"x",""))</f>
        <v>x</v>
      </c>
    </row>
    <row r="270" spans="1:23" ht="22.5" x14ac:dyDescent="0.2">
      <c r="A270" s="258" t="s">
        <v>42</v>
      </c>
      <c r="B270" s="173" t="s">
        <v>123</v>
      </c>
      <c r="C270" s="134" t="s">
        <v>115</v>
      </c>
      <c r="D270" s="135" t="s">
        <v>104</v>
      </c>
      <c r="E270" s="137"/>
      <c r="F270" s="143">
        <v>0</v>
      </c>
      <c r="G270" s="141"/>
      <c r="H270" s="142"/>
      <c r="I270" s="156">
        <v>116.98</v>
      </c>
      <c r="J270" s="156">
        <f t="shared" ref="J270:J276" si="217">IF(ISBLANK(I270),"",SUM(H270:I270))</f>
        <v>116.98</v>
      </c>
      <c r="K270" s="157">
        <f t="shared" ref="K270:K279" si="218">IF(ISBLANK(I270),0,ROUND(J270*(1+$F$10)*(1+$F$11*E270),2))</f>
        <v>139.93</v>
      </c>
      <c r="L270" s="158" t="s">
        <v>20</v>
      </c>
      <c r="M270" s="382">
        <v>10</v>
      </c>
      <c r="N270" s="382">
        <f t="shared" si="216"/>
        <v>139.93</v>
      </c>
      <c r="O270" s="159">
        <f t="shared" si="212"/>
        <v>1399.3</v>
      </c>
      <c r="P270" s="666"/>
      <c r="Q270" s="674"/>
      <c r="R270" s="676">
        <f t="shared" si="171"/>
        <v>0</v>
      </c>
      <c r="S270" s="159"/>
      <c r="T270" s="161" t="s">
        <v>34</v>
      </c>
      <c r="U270" s="188" t="str">
        <f>IF(T270="X","x",IF(T270="xx","x",IF(T270="xy","x",IF(T270="y","x",IF(OR(O270&gt;0,#REF!&gt;0),"x","")))))</f>
        <v>x</v>
      </c>
      <c r="V270" s="188" t="str">
        <f>IF(T270="X","x",IF(T270="y","x",IF(T270="xx","x",IF(#REF!&gt;0,"x",""))))</f>
        <v>x</v>
      </c>
      <c r="W270" s="188" t="str">
        <f>IF(T270="X","x",IF(#REF!&gt;0,"x",""))</f>
        <v>x</v>
      </c>
    </row>
    <row r="271" spans="1:23" ht="22.5" x14ac:dyDescent="0.2">
      <c r="A271" s="258" t="s">
        <v>42</v>
      </c>
      <c r="B271" s="173" t="s">
        <v>123</v>
      </c>
      <c r="C271" s="134" t="s">
        <v>115</v>
      </c>
      <c r="D271" s="135" t="s">
        <v>233</v>
      </c>
      <c r="E271" s="137"/>
      <c r="F271" s="143">
        <v>0</v>
      </c>
      <c r="G271" s="141"/>
      <c r="H271" s="142"/>
      <c r="I271" s="156">
        <v>116.98</v>
      </c>
      <c r="J271" s="156">
        <f t="shared" si="217"/>
        <v>116.98</v>
      </c>
      <c r="K271" s="157">
        <f t="shared" si="218"/>
        <v>139.93</v>
      </c>
      <c r="L271" s="158" t="s">
        <v>20</v>
      </c>
      <c r="M271" s="382">
        <v>10</v>
      </c>
      <c r="N271" s="382">
        <f t="shared" si="216"/>
        <v>139.93</v>
      </c>
      <c r="O271" s="159">
        <f t="shared" si="212"/>
        <v>1399.3</v>
      </c>
      <c r="P271" s="666"/>
      <c r="Q271" s="674"/>
      <c r="R271" s="676">
        <f t="shared" si="171"/>
        <v>0</v>
      </c>
      <c r="S271" s="159"/>
      <c r="T271" s="161" t="s">
        <v>34</v>
      </c>
      <c r="U271" s="188" t="str">
        <f>IF(T271="X","x",IF(T271="xx","x",IF(T271="xy","x",IF(T271="y","x",IF(OR(O271&gt;0,#REF!&gt;0),"x","")))))</f>
        <v>x</v>
      </c>
      <c r="V271" s="188" t="str">
        <f>IF(T271="X","x",IF(T271="y","x",IF(T271="xx","x",IF(#REF!&gt;0,"x",""))))</f>
        <v>x</v>
      </c>
      <c r="W271" s="188" t="str">
        <f>IF(T271="X","x",IF(#REF!&gt;0,"x",""))</f>
        <v>x</v>
      </c>
    </row>
    <row r="272" spans="1:23" x14ac:dyDescent="0.2">
      <c r="A272" s="258" t="s">
        <v>42</v>
      </c>
      <c r="B272" s="173" t="s">
        <v>124</v>
      </c>
      <c r="C272" s="134" t="s">
        <v>115</v>
      </c>
      <c r="D272" s="135" t="s">
        <v>234</v>
      </c>
      <c r="E272" s="137"/>
      <c r="F272" s="143"/>
      <c r="G272" s="141"/>
      <c r="H272" s="142"/>
      <c r="I272" s="156">
        <v>119.27</v>
      </c>
      <c r="J272" s="156">
        <f t="shared" si="217"/>
        <v>119.27</v>
      </c>
      <c r="K272" s="157">
        <f t="shared" si="218"/>
        <v>142.66999999999999</v>
      </c>
      <c r="L272" s="158" t="s">
        <v>20</v>
      </c>
      <c r="M272" s="382">
        <v>10</v>
      </c>
      <c r="N272" s="382">
        <f t="shared" si="216"/>
        <v>142.66999999999999</v>
      </c>
      <c r="O272" s="159">
        <f t="shared" si="212"/>
        <v>1426.7</v>
      </c>
      <c r="P272" s="666"/>
      <c r="Q272" s="674"/>
      <c r="R272" s="676">
        <f t="shared" si="171"/>
        <v>0</v>
      </c>
      <c r="S272" s="159"/>
      <c r="T272" s="161" t="s">
        <v>34</v>
      </c>
      <c r="U272" s="188" t="str">
        <f>IF(T272="X","x",IF(T272="xx","x",IF(T272="xy","x",IF(T272="y","x",IF(OR(O272&gt;0,#REF!&gt;0),"x","")))))</f>
        <v>x</v>
      </c>
      <c r="V272" s="188" t="str">
        <f>IF(T272="X","x",IF(T272="y","x",IF(T272="xx","x",IF(#REF!&gt;0,"x",""))))</f>
        <v>x</v>
      </c>
      <c r="W272" s="188" t="str">
        <f>IF(T272="X","x",IF(#REF!&gt;0,"x",""))</f>
        <v>x</v>
      </c>
    </row>
    <row r="273" spans="1:23" x14ac:dyDescent="0.2">
      <c r="A273" s="258" t="s">
        <v>42</v>
      </c>
      <c r="B273" s="173" t="s">
        <v>105</v>
      </c>
      <c r="C273" s="134" t="s">
        <v>125</v>
      </c>
      <c r="D273" s="144" t="s">
        <v>106</v>
      </c>
      <c r="E273" s="137"/>
      <c r="F273" s="143"/>
      <c r="G273" s="141"/>
      <c r="H273" s="142"/>
      <c r="I273" s="156">
        <v>78.64</v>
      </c>
      <c r="J273" s="156">
        <f t="shared" si="217"/>
        <v>78.64</v>
      </c>
      <c r="K273" s="157">
        <f t="shared" si="218"/>
        <v>94.07</v>
      </c>
      <c r="L273" s="158" t="s">
        <v>20</v>
      </c>
      <c r="M273" s="382">
        <v>10</v>
      </c>
      <c r="N273" s="382">
        <f t="shared" si="216"/>
        <v>94.07</v>
      </c>
      <c r="O273" s="159">
        <f t="shared" si="212"/>
        <v>940.7</v>
      </c>
      <c r="P273" s="666"/>
      <c r="Q273" s="674"/>
      <c r="R273" s="676">
        <f t="shared" si="171"/>
        <v>0</v>
      </c>
      <c r="S273" s="159"/>
      <c r="T273" s="161" t="s">
        <v>34</v>
      </c>
      <c r="U273" s="188" t="str">
        <f>IF(T273="X","x",IF(T273="xx","x",IF(T273="xy","x",IF(T273="y","x",IF(OR(O273&gt;0,#REF!&gt;0),"x","")))))</f>
        <v>x</v>
      </c>
      <c r="V273" s="188" t="str">
        <f>IF(T273="X","x",IF(T273="y","x",IF(T273="xx","x",IF(#REF!&gt;0,"x",""))))</f>
        <v>x</v>
      </c>
      <c r="W273" s="188" t="str">
        <f>IF(T273="X","x",IF(#REF!&gt;0,"x",""))</f>
        <v>x</v>
      </c>
    </row>
    <row r="274" spans="1:23" x14ac:dyDescent="0.2">
      <c r="A274" s="258" t="s">
        <v>42</v>
      </c>
      <c r="B274" s="173" t="s">
        <v>107</v>
      </c>
      <c r="C274" s="134" t="s">
        <v>125</v>
      </c>
      <c r="D274" s="144" t="s">
        <v>108</v>
      </c>
      <c r="E274" s="137"/>
      <c r="F274" s="143"/>
      <c r="G274" s="141"/>
      <c r="H274" s="142"/>
      <c r="I274" s="156">
        <v>46.05</v>
      </c>
      <c r="J274" s="156">
        <f t="shared" si="217"/>
        <v>46.05</v>
      </c>
      <c r="K274" s="157">
        <f t="shared" si="218"/>
        <v>55.09</v>
      </c>
      <c r="L274" s="158" t="s">
        <v>20</v>
      </c>
      <c r="M274" s="382">
        <v>16</v>
      </c>
      <c r="N274" s="382">
        <f t="shared" si="216"/>
        <v>55.09</v>
      </c>
      <c r="O274" s="159">
        <f t="shared" si="212"/>
        <v>881.44</v>
      </c>
      <c r="P274" s="666"/>
      <c r="Q274" s="674"/>
      <c r="R274" s="676">
        <f t="shared" si="171"/>
        <v>0</v>
      </c>
      <c r="S274" s="159"/>
      <c r="T274" s="161" t="s">
        <v>34</v>
      </c>
      <c r="U274" s="188" t="str">
        <f>IF(T274="X","x",IF(T274="xx","x",IF(T274="xy","x",IF(T274="y","x",IF(OR(O274&gt;0,#REF!&gt;0),"x","")))))</f>
        <v>x</v>
      </c>
      <c r="V274" s="188" t="str">
        <f>IF(T274="X","x",IF(T274="y","x",IF(T274="xx","x",IF(#REF!&gt;0,"x",""))))</f>
        <v>x</v>
      </c>
      <c r="W274" s="188" t="str">
        <f>IF(T274="X","x",IF(#REF!&gt;0,"x",""))</f>
        <v>x</v>
      </c>
    </row>
    <row r="275" spans="1:23" x14ac:dyDescent="0.2">
      <c r="A275" s="258" t="s">
        <v>42</v>
      </c>
      <c r="B275" s="173" t="s">
        <v>135</v>
      </c>
      <c r="C275" s="134" t="s">
        <v>115</v>
      </c>
      <c r="D275" s="144" t="s">
        <v>109</v>
      </c>
      <c r="E275" s="137"/>
      <c r="F275" s="143"/>
      <c r="G275" s="141"/>
      <c r="H275" s="142"/>
      <c r="I275" s="156">
        <v>141.66</v>
      </c>
      <c r="J275" s="156">
        <f t="shared" si="217"/>
        <v>141.66</v>
      </c>
      <c r="K275" s="157">
        <f t="shared" si="218"/>
        <v>169.45</v>
      </c>
      <c r="L275" s="158" t="s">
        <v>20</v>
      </c>
      <c r="M275" s="382">
        <v>10</v>
      </c>
      <c r="N275" s="382">
        <f t="shared" si="216"/>
        <v>169.45</v>
      </c>
      <c r="O275" s="159">
        <f t="shared" si="212"/>
        <v>1694.5</v>
      </c>
      <c r="P275" s="666"/>
      <c r="Q275" s="674"/>
      <c r="R275" s="676">
        <f t="shared" si="171"/>
        <v>0</v>
      </c>
      <c r="S275" s="159"/>
      <c r="T275" s="161" t="s">
        <v>34</v>
      </c>
      <c r="U275" s="188" t="str">
        <f>IF(T275="X","x",IF(T275="xx","x",IF(T275="xy","x",IF(T275="y","x",IF(OR(O275&gt;0,#REF!&gt;0),"x","")))))</f>
        <v>x</v>
      </c>
      <c r="V275" s="188" t="str">
        <f>IF(T275="X","x",IF(T275="y","x",IF(T275="xx","x",IF(#REF!&gt;0,"x",""))))</f>
        <v>x</v>
      </c>
      <c r="W275" s="188" t="str">
        <f>IF(T275="X","x",IF(#REF!&gt;0,"x",""))</f>
        <v>x</v>
      </c>
    </row>
    <row r="276" spans="1:23" x14ac:dyDescent="0.2">
      <c r="A276" s="258" t="s">
        <v>42</v>
      </c>
      <c r="B276" s="173" t="s">
        <v>110</v>
      </c>
      <c r="C276" s="134" t="s">
        <v>125</v>
      </c>
      <c r="D276" s="135" t="s">
        <v>111</v>
      </c>
      <c r="E276" s="137"/>
      <c r="F276" s="143"/>
      <c r="G276" s="141"/>
      <c r="H276" s="142"/>
      <c r="I276" s="156">
        <v>82.87</v>
      </c>
      <c r="J276" s="156">
        <f t="shared" si="217"/>
        <v>82.87</v>
      </c>
      <c r="K276" s="157">
        <f t="shared" si="218"/>
        <v>99.13</v>
      </c>
      <c r="L276" s="158" t="s">
        <v>20</v>
      </c>
      <c r="M276" s="382">
        <v>10</v>
      </c>
      <c r="N276" s="382">
        <f t="shared" si="216"/>
        <v>99.13</v>
      </c>
      <c r="O276" s="159">
        <f t="shared" si="212"/>
        <v>991.3</v>
      </c>
      <c r="P276" s="666"/>
      <c r="Q276" s="674"/>
      <c r="R276" s="676">
        <f t="shared" ref="R276:R279" si="219">ROUND(Q276*M276,2)</f>
        <v>0</v>
      </c>
      <c r="S276" s="159"/>
      <c r="T276" s="161" t="s">
        <v>34</v>
      </c>
      <c r="U276" s="188" t="str">
        <f>IF(T276="X","x",IF(T276="xx","x",IF(T276="xy","x",IF(T276="y","x",IF(OR(O276&gt;0,#REF!&gt;0),"x","")))))</f>
        <v>x</v>
      </c>
      <c r="V276" s="188" t="str">
        <f>IF(T276="X","x",IF(T276="y","x",IF(T276="xx","x",IF(#REF!&gt;0,"x",""))))</f>
        <v>x</v>
      </c>
      <c r="W276" s="188" t="str">
        <f>IF(T276="X","x",IF(#REF!&gt;0,"x",""))</f>
        <v>x</v>
      </c>
    </row>
    <row r="277" spans="1:23" x14ac:dyDescent="0.2">
      <c r="A277" s="258" t="s">
        <v>42</v>
      </c>
      <c r="B277" s="173" t="s">
        <v>112</v>
      </c>
      <c r="C277" s="134" t="s">
        <v>125</v>
      </c>
      <c r="D277" s="135" t="s">
        <v>113</v>
      </c>
      <c r="E277" s="137"/>
      <c r="F277" s="143"/>
      <c r="G277" s="141"/>
      <c r="H277" s="142"/>
      <c r="I277" s="156">
        <v>67.53</v>
      </c>
      <c r="J277" s="156">
        <f>IF(ISBLANK(I277),"",SUM(H277:I277))</f>
        <v>67.53</v>
      </c>
      <c r="K277" s="157">
        <f t="shared" si="218"/>
        <v>80.78</v>
      </c>
      <c r="L277" s="158" t="s">
        <v>20</v>
      </c>
      <c r="M277" s="382">
        <v>10</v>
      </c>
      <c r="N277" s="382">
        <f t="shared" si="216"/>
        <v>80.78</v>
      </c>
      <c r="O277" s="159">
        <f t="shared" si="212"/>
        <v>807.8</v>
      </c>
      <c r="P277" s="666"/>
      <c r="Q277" s="674"/>
      <c r="R277" s="676">
        <f t="shared" si="219"/>
        <v>0</v>
      </c>
      <c r="S277" s="159"/>
      <c r="T277" s="161" t="s">
        <v>34</v>
      </c>
      <c r="U277" s="188" t="str">
        <f>IF(T277="X","x",IF(T277="xx","x",IF(T277="xy","x",IF(T277="y","x",IF(OR(O277&gt;0,#REF!&gt;0),"x","")))))</f>
        <v>x</v>
      </c>
      <c r="V277" s="188" t="str">
        <f>IF(T277="X","x",IF(T277="y","x",IF(T277="xx","x",IF(#REF!&gt;0,"x",""))))</f>
        <v>x</v>
      </c>
      <c r="W277" s="188" t="str">
        <f>IF(T277="X","x",IF(#REF!&gt;0,"x",""))</f>
        <v>x</v>
      </c>
    </row>
    <row r="278" spans="1:23" x14ac:dyDescent="0.2">
      <c r="A278" s="258" t="s">
        <v>42</v>
      </c>
      <c r="B278" s="177" t="s">
        <v>127</v>
      </c>
      <c r="C278" s="134" t="s">
        <v>115</v>
      </c>
      <c r="D278" s="135" t="s">
        <v>230</v>
      </c>
      <c r="E278" s="137"/>
      <c r="F278" s="143"/>
      <c r="G278" s="141"/>
      <c r="H278" s="142"/>
      <c r="I278" s="156">
        <v>110.45</v>
      </c>
      <c r="J278" s="156">
        <f>IF(ISBLANK(I278),"",SUM(H278:I278))</f>
        <v>110.45</v>
      </c>
      <c r="K278" s="157">
        <f t="shared" si="218"/>
        <v>132.12</v>
      </c>
      <c r="L278" s="158" t="s">
        <v>20</v>
      </c>
      <c r="M278" s="382">
        <v>16</v>
      </c>
      <c r="N278" s="382">
        <f t="shared" si="216"/>
        <v>132.12</v>
      </c>
      <c r="O278" s="159">
        <f>IF(ISBLANK(N278),0,ROUND(M278*N278,2))</f>
        <v>2113.92</v>
      </c>
      <c r="P278" s="666"/>
      <c r="Q278" s="674"/>
      <c r="R278" s="676">
        <f t="shared" si="219"/>
        <v>0</v>
      </c>
      <c r="S278" s="159"/>
      <c r="T278" s="161" t="s">
        <v>34</v>
      </c>
      <c r="U278" s="188" t="str">
        <f>IF(T278="X","x",IF(T278="xx","x",IF(T278="xy","x",IF(T278="y","x",IF(OR(O278&gt;0,#REF!&gt;0),"x","")))))</f>
        <v>x</v>
      </c>
      <c r="V278" s="188" t="str">
        <f>IF(T278="X","x",IF(T278="y","x",IF(T278="xx","x",IF(#REF!&gt;0,"x",""))))</f>
        <v>x</v>
      </c>
      <c r="W278" s="188" t="str">
        <f>IF(T278="X","x",IF(#REF!&gt;0,"x",""))</f>
        <v>x</v>
      </c>
    </row>
    <row r="279" spans="1:23" ht="23.25" thickBot="1" x14ac:dyDescent="0.25">
      <c r="A279" s="258" t="s">
        <v>42</v>
      </c>
      <c r="B279" s="173" t="s">
        <v>126</v>
      </c>
      <c r="C279" s="134" t="s">
        <v>115</v>
      </c>
      <c r="D279" s="135" t="s">
        <v>231</v>
      </c>
      <c r="E279" s="137"/>
      <c r="F279" s="143"/>
      <c r="G279" s="141"/>
      <c r="H279" s="155"/>
      <c r="I279" s="156">
        <v>4850.2</v>
      </c>
      <c r="J279" s="156">
        <f>IF(ISBLANK(I279),"",SUM(H279:I279))</f>
        <v>4850.2</v>
      </c>
      <c r="K279" s="157">
        <f t="shared" si="218"/>
        <v>5801.81</v>
      </c>
      <c r="L279" s="158" t="s">
        <v>114</v>
      </c>
      <c r="M279" s="382">
        <v>1</v>
      </c>
      <c r="N279" s="382">
        <f t="shared" si="216"/>
        <v>5801.81</v>
      </c>
      <c r="O279" s="159">
        <f>IF(ISBLANK(N279),0,ROUND(M279*N279,2))</f>
        <v>5801.81</v>
      </c>
      <c r="P279" s="666"/>
      <c r="Q279" s="674"/>
      <c r="R279" s="676">
        <f t="shared" si="219"/>
        <v>0</v>
      </c>
      <c r="S279" s="159"/>
      <c r="T279" s="161" t="s">
        <v>34</v>
      </c>
      <c r="U279" s="188" t="str">
        <f>IF(T279="X","x",IF(T279="xx","x",IF(T279="xy","x",IF(T279="y","x",IF(OR(O279&gt;0,#REF!&gt;0),"x","")))))</f>
        <v>x</v>
      </c>
      <c r="V279" s="188" t="str">
        <f>IF(T279="X","x",IF(T279="y","x",IF(T279="xx","x",IF(#REF!&gt;0,"x",""))))</f>
        <v>x</v>
      </c>
      <c r="W279" s="188" t="str">
        <f>IF(T279="X","x",IF(#REF!&gt;0,"x",""))</f>
        <v>x</v>
      </c>
    </row>
    <row r="280" spans="1:23" ht="12" thickBot="1" x14ac:dyDescent="0.25">
      <c r="A280" s="230" t="s">
        <v>42</v>
      </c>
      <c r="B280" s="163" t="s">
        <v>34</v>
      </c>
      <c r="C280" s="164"/>
      <c r="D280" s="289" t="s">
        <v>101</v>
      </c>
      <c r="E280" s="165"/>
      <c r="F280" s="166"/>
      <c r="G280" s="167"/>
      <c r="H280" s="166"/>
      <c r="I280" s="166"/>
      <c r="J280" s="166" t="str">
        <f>IF(ISBLANK(I280),"",SUM(H280:I280))</f>
        <v/>
      </c>
      <c r="K280" s="166"/>
      <c r="L280" s="166"/>
      <c r="M280" s="168"/>
      <c r="N280" s="169"/>
      <c r="O280" s="170">
        <f>P18+P33+P41+P48+P66+P72+P84+P92+P126+P135+P153+P188+P269+P30</f>
        <v>9032977.1799999997</v>
      </c>
      <c r="P280" s="171">
        <f>SUM(P18:P279)</f>
        <v>9032977.1799999997</v>
      </c>
      <c r="Q280" s="403"/>
      <c r="R280" s="403"/>
      <c r="S280" s="679">
        <f>SUM(S18:S279)/2</f>
        <v>0</v>
      </c>
      <c r="T280" s="288" t="s">
        <v>34</v>
      </c>
      <c r="U280" s="290" t="s">
        <v>34</v>
      </c>
      <c r="V280" s="290" t="s">
        <v>34</v>
      </c>
      <c r="W280" s="290" t="s">
        <v>34</v>
      </c>
    </row>
    <row r="281" spans="1:23" x14ac:dyDescent="0.2">
      <c r="D281" s="162" t="s">
        <v>243</v>
      </c>
      <c r="J281" s="293"/>
      <c r="K281" s="293"/>
    </row>
    <row r="282" spans="1:23" x14ac:dyDescent="0.2">
      <c r="J282" s="293"/>
      <c r="K282" s="293"/>
    </row>
    <row r="283" spans="1:23" x14ac:dyDescent="0.2">
      <c r="D283" s="694" t="s">
        <v>437</v>
      </c>
      <c r="K283" s="292"/>
    </row>
    <row r="284" spans="1:23" x14ac:dyDescent="0.2">
      <c r="D284" s="275"/>
      <c r="K284" s="292"/>
    </row>
    <row r="285" spans="1:23" x14ac:dyDescent="0.2">
      <c r="D285" s="275"/>
      <c r="K285" s="292"/>
    </row>
    <row r="286" spans="1:23" x14ac:dyDescent="0.2">
      <c r="D286" s="275"/>
      <c r="K286" s="292"/>
    </row>
    <row r="287" spans="1:23" x14ac:dyDescent="0.2">
      <c r="D287" s="692" t="s">
        <v>424</v>
      </c>
      <c r="K287" s="292"/>
    </row>
    <row r="288" spans="1:23" ht="12.75" x14ac:dyDescent="0.2">
      <c r="D288" s="693" t="s">
        <v>435</v>
      </c>
      <c r="K288" s="292"/>
    </row>
    <row r="289" spans="4:11" ht="12.75" x14ac:dyDescent="0.2">
      <c r="D289" s="693" t="s">
        <v>436</v>
      </c>
      <c r="K289" s="292"/>
    </row>
    <row r="290" spans="4:11" x14ac:dyDescent="0.2">
      <c r="K290" s="292"/>
    </row>
    <row r="291" spans="4:11" x14ac:dyDescent="0.2">
      <c r="K291" s="292"/>
    </row>
    <row r="293" spans="4:11" x14ac:dyDescent="0.2">
      <c r="D293" s="230" t="s">
        <v>196</v>
      </c>
    </row>
    <row r="295" spans="4:11" x14ac:dyDescent="0.2">
      <c r="G295" s="162" t="s">
        <v>200</v>
      </c>
    </row>
  </sheetData>
  <autoFilter ref="A17:W280" xr:uid="{00000000-0001-0000-0300-000000000000}"/>
  <sortState xmlns:xlrd2="http://schemas.microsoft.com/office/spreadsheetml/2017/richdata2" ref="B101:W133">
    <sortCondition ref="D101:D133"/>
  </sortState>
  <mergeCells count="8">
    <mergeCell ref="F1:G1"/>
    <mergeCell ref="E16:E17"/>
    <mergeCell ref="B2:C15"/>
    <mergeCell ref="P2:S11"/>
    <mergeCell ref="D12:S12"/>
    <mergeCell ref="H14:S14"/>
    <mergeCell ref="H13:S13"/>
    <mergeCell ref="L15:S15"/>
  </mergeCells>
  <phoneticPr fontId="0" type="noConversion"/>
  <printOptions horizontalCentered="1"/>
  <pageMargins left="0.23622047244094491" right="0.23622047244094491" top="0.74803149606299213" bottom="0.74803149606299213" header="0.31496062992125984" footer="0.31496062992125984"/>
  <pageSetup paperSize="9" scale="68" fitToHeight="0" orientation="landscape" r:id="rId1"/>
  <headerFooter alignWithMargins="0">
    <oddHeader>&amp;C&amp;"Arial,Negrito"&amp;12&amp;F</oddHead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A5B0C-2AFF-46DD-881B-1415CD8F255C}">
  <sheetPr codeName="Planilha11">
    <pageSetUpPr fitToPage="1"/>
  </sheetPr>
  <dimension ref="A1:AD26"/>
  <sheetViews>
    <sheetView showZeros="0" view="pageBreakPreview" topLeftCell="B1" zoomScale="85" zoomScaleNormal="100" zoomScaleSheetLayoutView="85" workbookViewId="0">
      <selection activeCell="S38" sqref="S38"/>
    </sheetView>
  </sheetViews>
  <sheetFormatPr defaultColWidth="10.6640625" defaultRowHeight="12.75" x14ac:dyDescent="0.2"/>
  <cols>
    <col min="1" max="1" width="5" style="2" hidden="1" customWidth="1"/>
    <col min="2" max="2" width="14" style="2" customWidth="1"/>
    <col min="3" max="3" width="26.1640625" style="2" customWidth="1"/>
    <col min="4" max="4" width="17.6640625" style="2" customWidth="1"/>
    <col min="5" max="5" width="3.83203125" style="2" customWidth="1"/>
    <col min="6" max="8" width="12.5" style="2" customWidth="1"/>
    <col min="9" max="9" width="13" style="2" customWidth="1"/>
    <col min="10" max="12" width="12.5" style="2" customWidth="1"/>
    <col min="13" max="13" width="13.6640625" style="2" customWidth="1"/>
    <col min="14" max="15" width="12.5" style="2" customWidth="1"/>
    <col min="16" max="24" width="13.83203125" style="2" customWidth="1"/>
    <col min="25" max="25" width="14.83203125" style="2" bestFit="1" customWidth="1"/>
    <col min="26" max="26" width="10.33203125" style="2" bestFit="1" customWidth="1"/>
    <col min="27" max="27" width="10.6640625" style="2" customWidth="1"/>
    <col min="28" max="265" width="10.6640625" style="2"/>
    <col min="266" max="266" width="13.1640625" style="2" customWidth="1"/>
    <col min="267" max="267" width="79" style="2" customWidth="1"/>
    <col min="268" max="268" width="3.83203125" style="2" customWidth="1"/>
    <col min="269" max="281" width="12.5" style="2" customWidth="1"/>
    <col min="282" max="282" width="8.5" style="2" customWidth="1"/>
    <col min="283" max="521" width="10.6640625" style="2"/>
    <col min="522" max="522" width="13.1640625" style="2" customWidth="1"/>
    <col min="523" max="523" width="79" style="2" customWidth="1"/>
    <col min="524" max="524" width="3.83203125" style="2" customWidth="1"/>
    <col min="525" max="537" width="12.5" style="2" customWidth="1"/>
    <col min="538" max="538" width="8.5" style="2" customWidth="1"/>
    <col min="539" max="777" width="10.6640625" style="2"/>
    <col min="778" max="778" width="13.1640625" style="2" customWidth="1"/>
    <col min="779" max="779" width="79" style="2" customWidth="1"/>
    <col min="780" max="780" width="3.83203125" style="2" customWidth="1"/>
    <col min="781" max="793" width="12.5" style="2" customWidth="1"/>
    <col min="794" max="794" width="8.5" style="2" customWidth="1"/>
    <col min="795" max="1033" width="10.6640625" style="2"/>
    <col min="1034" max="1034" width="13.1640625" style="2" customWidth="1"/>
    <col min="1035" max="1035" width="79" style="2" customWidth="1"/>
    <col min="1036" max="1036" width="3.83203125" style="2" customWidth="1"/>
    <col min="1037" max="1049" width="12.5" style="2" customWidth="1"/>
    <col min="1050" max="1050" width="8.5" style="2" customWidth="1"/>
    <col min="1051" max="1289" width="10.6640625" style="2"/>
    <col min="1290" max="1290" width="13.1640625" style="2" customWidth="1"/>
    <col min="1291" max="1291" width="79" style="2" customWidth="1"/>
    <col min="1292" max="1292" width="3.83203125" style="2" customWidth="1"/>
    <col min="1293" max="1305" width="12.5" style="2" customWidth="1"/>
    <col min="1306" max="1306" width="8.5" style="2" customWidth="1"/>
    <col min="1307" max="1545" width="10.6640625" style="2"/>
    <col min="1546" max="1546" width="13.1640625" style="2" customWidth="1"/>
    <col min="1547" max="1547" width="79" style="2" customWidth="1"/>
    <col min="1548" max="1548" width="3.83203125" style="2" customWidth="1"/>
    <col min="1549" max="1561" width="12.5" style="2" customWidth="1"/>
    <col min="1562" max="1562" width="8.5" style="2" customWidth="1"/>
    <col min="1563" max="1801" width="10.6640625" style="2"/>
    <col min="1802" max="1802" width="13.1640625" style="2" customWidth="1"/>
    <col min="1803" max="1803" width="79" style="2" customWidth="1"/>
    <col min="1804" max="1804" width="3.83203125" style="2" customWidth="1"/>
    <col min="1805" max="1817" width="12.5" style="2" customWidth="1"/>
    <col min="1818" max="1818" width="8.5" style="2" customWidth="1"/>
    <col min="1819" max="2057" width="10.6640625" style="2"/>
    <col min="2058" max="2058" width="13.1640625" style="2" customWidth="1"/>
    <col min="2059" max="2059" width="79" style="2" customWidth="1"/>
    <col min="2060" max="2060" width="3.83203125" style="2" customWidth="1"/>
    <col min="2061" max="2073" width="12.5" style="2" customWidth="1"/>
    <col min="2074" max="2074" width="8.5" style="2" customWidth="1"/>
    <col min="2075" max="2313" width="10.6640625" style="2"/>
    <col min="2314" max="2314" width="13.1640625" style="2" customWidth="1"/>
    <col min="2315" max="2315" width="79" style="2" customWidth="1"/>
    <col min="2316" max="2316" width="3.83203125" style="2" customWidth="1"/>
    <col min="2317" max="2329" width="12.5" style="2" customWidth="1"/>
    <col min="2330" max="2330" width="8.5" style="2" customWidth="1"/>
    <col min="2331" max="2569" width="10.6640625" style="2"/>
    <col min="2570" max="2570" width="13.1640625" style="2" customWidth="1"/>
    <col min="2571" max="2571" width="79" style="2" customWidth="1"/>
    <col min="2572" max="2572" width="3.83203125" style="2" customWidth="1"/>
    <col min="2573" max="2585" width="12.5" style="2" customWidth="1"/>
    <col min="2586" max="2586" width="8.5" style="2" customWidth="1"/>
    <col min="2587" max="2825" width="10.6640625" style="2"/>
    <col min="2826" max="2826" width="13.1640625" style="2" customWidth="1"/>
    <col min="2827" max="2827" width="79" style="2" customWidth="1"/>
    <col min="2828" max="2828" width="3.83203125" style="2" customWidth="1"/>
    <col min="2829" max="2841" width="12.5" style="2" customWidth="1"/>
    <col min="2842" max="2842" width="8.5" style="2" customWidth="1"/>
    <col min="2843" max="3081" width="10.6640625" style="2"/>
    <col min="3082" max="3082" width="13.1640625" style="2" customWidth="1"/>
    <col min="3083" max="3083" width="79" style="2" customWidth="1"/>
    <col min="3084" max="3084" width="3.83203125" style="2" customWidth="1"/>
    <col min="3085" max="3097" width="12.5" style="2" customWidth="1"/>
    <col min="3098" max="3098" width="8.5" style="2" customWidth="1"/>
    <col min="3099" max="3337" width="10.6640625" style="2"/>
    <col min="3338" max="3338" width="13.1640625" style="2" customWidth="1"/>
    <col min="3339" max="3339" width="79" style="2" customWidth="1"/>
    <col min="3340" max="3340" width="3.83203125" style="2" customWidth="1"/>
    <col min="3341" max="3353" width="12.5" style="2" customWidth="1"/>
    <col min="3354" max="3354" width="8.5" style="2" customWidth="1"/>
    <col min="3355" max="3593" width="10.6640625" style="2"/>
    <col min="3594" max="3594" width="13.1640625" style="2" customWidth="1"/>
    <col min="3595" max="3595" width="79" style="2" customWidth="1"/>
    <col min="3596" max="3596" width="3.83203125" style="2" customWidth="1"/>
    <col min="3597" max="3609" width="12.5" style="2" customWidth="1"/>
    <col min="3610" max="3610" width="8.5" style="2" customWidth="1"/>
    <col min="3611" max="3849" width="10.6640625" style="2"/>
    <col min="3850" max="3850" width="13.1640625" style="2" customWidth="1"/>
    <col min="3851" max="3851" width="79" style="2" customWidth="1"/>
    <col min="3852" max="3852" width="3.83203125" style="2" customWidth="1"/>
    <col min="3853" max="3865" width="12.5" style="2" customWidth="1"/>
    <col min="3866" max="3866" width="8.5" style="2" customWidth="1"/>
    <col min="3867" max="4105" width="10.6640625" style="2"/>
    <col min="4106" max="4106" width="13.1640625" style="2" customWidth="1"/>
    <col min="4107" max="4107" width="79" style="2" customWidth="1"/>
    <col min="4108" max="4108" width="3.83203125" style="2" customWidth="1"/>
    <col min="4109" max="4121" width="12.5" style="2" customWidth="1"/>
    <col min="4122" max="4122" width="8.5" style="2" customWidth="1"/>
    <col min="4123" max="4361" width="10.6640625" style="2"/>
    <col min="4362" max="4362" width="13.1640625" style="2" customWidth="1"/>
    <col min="4363" max="4363" width="79" style="2" customWidth="1"/>
    <col min="4364" max="4364" width="3.83203125" style="2" customWidth="1"/>
    <col min="4365" max="4377" width="12.5" style="2" customWidth="1"/>
    <col min="4378" max="4378" width="8.5" style="2" customWidth="1"/>
    <col min="4379" max="4617" width="10.6640625" style="2"/>
    <col min="4618" max="4618" width="13.1640625" style="2" customWidth="1"/>
    <col min="4619" max="4619" width="79" style="2" customWidth="1"/>
    <col min="4620" max="4620" width="3.83203125" style="2" customWidth="1"/>
    <col min="4621" max="4633" width="12.5" style="2" customWidth="1"/>
    <col min="4634" max="4634" width="8.5" style="2" customWidth="1"/>
    <col min="4635" max="4873" width="10.6640625" style="2"/>
    <col min="4874" max="4874" width="13.1640625" style="2" customWidth="1"/>
    <col min="4875" max="4875" width="79" style="2" customWidth="1"/>
    <col min="4876" max="4876" width="3.83203125" style="2" customWidth="1"/>
    <col min="4877" max="4889" width="12.5" style="2" customWidth="1"/>
    <col min="4890" max="4890" width="8.5" style="2" customWidth="1"/>
    <col min="4891" max="5129" width="10.6640625" style="2"/>
    <col min="5130" max="5130" width="13.1640625" style="2" customWidth="1"/>
    <col min="5131" max="5131" width="79" style="2" customWidth="1"/>
    <col min="5132" max="5132" width="3.83203125" style="2" customWidth="1"/>
    <col min="5133" max="5145" width="12.5" style="2" customWidth="1"/>
    <col min="5146" max="5146" width="8.5" style="2" customWidth="1"/>
    <col min="5147" max="5385" width="10.6640625" style="2"/>
    <col min="5386" max="5386" width="13.1640625" style="2" customWidth="1"/>
    <col min="5387" max="5387" width="79" style="2" customWidth="1"/>
    <col min="5388" max="5388" width="3.83203125" style="2" customWidth="1"/>
    <col min="5389" max="5401" width="12.5" style="2" customWidth="1"/>
    <col min="5402" max="5402" width="8.5" style="2" customWidth="1"/>
    <col min="5403" max="5641" width="10.6640625" style="2"/>
    <col min="5642" max="5642" width="13.1640625" style="2" customWidth="1"/>
    <col min="5643" max="5643" width="79" style="2" customWidth="1"/>
    <col min="5644" max="5644" width="3.83203125" style="2" customWidth="1"/>
    <col min="5645" max="5657" width="12.5" style="2" customWidth="1"/>
    <col min="5658" max="5658" width="8.5" style="2" customWidth="1"/>
    <col min="5659" max="5897" width="10.6640625" style="2"/>
    <col min="5898" max="5898" width="13.1640625" style="2" customWidth="1"/>
    <col min="5899" max="5899" width="79" style="2" customWidth="1"/>
    <col min="5900" max="5900" width="3.83203125" style="2" customWidth="1"/>
    <col min="5901" max="5913" width="12.5" style="2" customWidth="1"/>
    <col min="5914" max="5914" width="8.5" style="2" customWidth="1"/>
    <col min="5915" max="6153" width="10.6640625" style="2"/>
    <col min="6154" max="6154" width="13.1640625" style="2" customWidth="1"/>
    <col min="6155" max="6155" width="79" style="2" customWidth="1"/>
    <col min="6156" max="6156" width="3.83203125" style="2" customWidth="1"/>
    <col min="6157" max="6169" width="12.5" style="2" customWidth="1"/>
    <col min="6170" max="6170" width="8.5" style="2" customWidth="1"/>
    <col min="6171" max="6409" width="10.6640625" style="2"/>
    <col min="6410" max="6410" width="13.1640625" style="2" customWidth="1"/>
    <col min="6411" max="6411" width="79" style="2" customWidth="1"/>
    <col min="6412" max="6412" width="3.83203125" style="2" customWidth="1"/>
    <col min="6413" max="6425" width="12.5" style="2" customWidth="1"/>
    <col min="6426" max="6426" width="8.5" style="2" customWidth="1"/>
    <col min="6427" max="6665" width="10.6640625" style="2"/>
    <col min="6666" max="6666" width="13.1640625" style="2" customWidth="1"/>
    <col min="6667" max="6667" width="79" style="2" customWidth="1"/>
    <col min="6668" max="6668" width="3.83203125" style="2" customWidth="1"/>
    <col min="6669" max="6681" width="12.5" style="2" customWidth="1"/>
    <col min="6682" max="6682" width="8.5" style="2" customWidth="1"/>
    <col min="6683" max="6921" width="10.6640625" style="2"/>
    <col min="6922" max="6922" width="13.1640625" style="2" customWidth="1"/>
    <col min="6923" max="6923" width="79" style="2" customWidth="1"/>
    <col min="6924" max="6924" width="3.83203125" style="2" customWidth="1"/>
    <col min="6925" max="6937" width="12.5" style="2" customWidth="1"/>
    <col min="6938" max="6938" width="8.5" style="2" customWidth="1"/>
    <col min="6939" max="7177" width="10.6640625" style="2"/>
    <col min="7178" max="7178" width="13.1640625" style="2" customWidth="1"/>
    <col min="7179" max="7179" width="79" style="2" customWidth="1"/>
    <col min="7180" max="7180" width="3.83203125" style="2" customWidth="1"/>
    <col min="7181" max="7193" width="12.5" style="2" customWidth="1"/>
    <col min="7194" max="7194" width="8.5" style="2" customWidth="1"/>
    <col min="7195" max="7433" width="10.6640625" style="2"/>
    <col min="7434" max="7434" width="13.1640625" style="2" customWidth="1"/>
    <col min="7435" max="7435" width="79" style="2" customWidth="1"/>
    <col min="7436" max="7436" width="3.83203125" style="2" customWidth="1"/>
    <col min="7437" max="7449" width="12.5" style="2" customWidth="1"/>
    <col min="7450" max="7450" width="8.5" style="2" customWidth="1"/>
    <col min="7451" max="7689" width="10.6640625" style="2"/>
    <col min="7690" max="7690" width="13.1640625" style="2" customWidth="1"/>
    <col min="7691" max="7691" width="79" style="2" customWidth="1"/>
    <col min="7692" max="7692" width="3.83203125" style="2" customWidth="1"/>
    <col min="7693" max="7705" width="12.5" style="2" customWidth="1"/>
    <col min="7706" max="7706" width="8.5" style="2" customWidth="1"/>
    <col min="7707" max="7945" width="10.6640625" style="2"/>
    <col min="7946" max="7946" width="13.1640625" style="2" customWidth="1"/>
    <col min="7947" max="7947" width="79" style="2" customWidth="1"/>
    <col min="7948" max="7948" width="3.83203125" style="2" customWidth="1"/>
    <col min="7949" max="7961" width="12.5" style="2" customWidth="1"/>
    <col min="7962" max="7962" width="8.5" style="2" customWidth="1"/>
    <col min="7963" max="8201" width="10.6640625" style="2"/>
    <col min="8202" max="8202" width="13.1640625" style="2" customWidth="1"/>
    <col min="8203" max="8203" width="79" style="2" customWidth="1"/>
    <col min="8204" max="8204" width="3.83203125" style="2" customWidth="1"/>
    <col min="8205" max="8217" width="12.5" style="2" customWidth="1"/>
    <col min="8218" max="8218" width="8.5" style="2" customWidth="1"/>
    <col min="8219" max="8457" width="10.6640625" style="2"/>
    <col min="8458" max="8458" width="13.1640625" style="2" customWidth="1"/>
    <col min="8459" max="8459" width="79" style="2" customWidth="1"/>
    <col min="8460" max="8460" width="3.83203125" style="2" customWidth="1"/>
    <col min="8461" max="8473" width="12.5" style="2" customWidth="1"/>
    <col min="8474" max="8474" width="8.5" style="2" customWidth="1"/>
    <col min="8475" max="8713" width="10.6640625" style="2"/>
    <col min="8714" max="8714" width="13.1640625" style="2" customWidth="1"/>
    <col min="8715" max="8715" width="79" style="2" customWidth="1"/>
    <col min="8716" max="8716" width="3.83203125" style="2" customWidth="1"/>
    <col min="8717" max="8729" width="12.5" style="2" customWidth="1"/>
    <col min="8730" max="8730" width="8.5" style="2" customWidth="1"/>
    <col min="8731" max="8969" width="10.6640625" style="2"/>
    <col min="8970" max="8970" width="13.1640625" style="2" customWidth="1"/>
    <col min="8971" max="8971" width="79" style="2" customWidth="1"/>
    <col min="8972" max="8972" width="3.83203125" style="2" customWidth="1"/>
    <col min="8973" max="8985" width="12.5" style="2" customWidth="1"/>
    <col min="8986" max="8986" width="8.5" style="2" customWidth="1"/>
    <col min="8987" max="9225" width="10.6640625" style="2"/>
    <col min="9226" max="9226" width="13.1640625" style="2" customWidth="1"/>
    <col min="9227" max="9227" width="79" style="2" customWidth="1"/>
    <col min="9228" max="9228" width="3.83203125" style="2" customWidth="1"/>
    <col min="9229" max="9241" width="12.5" style="2" customWidth="1"/>
    <col min="9242" max="9242" width="8.5" style="2" customWidth="1"/>
    <col min="9243" max="9481" width="10.6640625" style="2"/>
    <col min="9482" max="9482" width="13.1640625" style="2" customWidth="1"/>
    <col min="9483" max="9483" width="79" style="2" customWidth="1"/>
    <col min="9484" max="9484" width="3.83203125" style="2" customWidth="1"/>
    <col min="9485" max="9497" width="12.5" style="2" customWidth="1"/>
    <col min="9498" max="9498" width="8.5" style="2" customWidth="1"/>
    <col min="9499" max="9737" width="10.6640625" style="2"/>
    <col min="9738" max="9738" width="13.1640625" style="2" customWidth="1"/>
    <col min="9739" max="9739" width="79" style="2" customWidth="1"/>
    <col min="9740" max="9740" width="3.83203125" style="2" customWidth="1"/>
    <col min="9741" max="9753" width="12.5" style="2" customWidth="1"/>
    <col min="9754" max="9754" width="8.5" style="2" customWidth="1"/>
    <col min="9755" max="9993" width="10.6640625" style="2"/>
    <col min="9994" max="9994" width="13.1640625" style="2" customWidth="1"/>
    <col min="9995" max="9995" width="79" style="2" customWidth="1"/>
    <col min="9996" max="9996" width="3.83203125" style="2" customWidth="1"/>
    <col min="9997" max="10009" width="12.5" style="2" customWidth="1"/>
    <col min="10010" max="10010" width="8.5" style="2" customWidth="1"/>
    <col min="10011" max="10249" width="10.6640625" style="2"/>
    <col min="10250" max="10250" width="13.1640625" style="2" customWidth="1"/>
    <col min="10251" max="10251" width="79" style="2" customWidth="1"/>
    <col min="10252" max="10252" width="3.83203125" style="2" customWidth="1"/>
    <col min="10253" max="10265" width="12.5" style="2" customWidth="1"/>
    <col min="10266" max="10266" width="8.5" style="2" customWidth="1"/>
    <col min="10267" max="10505" width="10.6640625" style="2"/>
    <col min="10506" max="10506" width="13.1640625" style="2" customWidth="1"/>
    <col min="10507" max="10507" width="79" style="2" customWidth="1"/>
    <col min="10508" max="10508" width="3.83203125" style="2" customWidth="1"/>
    <col min="10509" max="10521" width="12.5" style="2" customWidth="1"/>
    <col min="10522" max="10522" width="8.5" style="2" customWidth="1"/>
    <col min="10523" max="10761" width="10.6640625" style="2"/>
    <col min="10762" max="10762" width="13.1640625" style="2" customWidth="1"/>
    <col min="10763" max="10763" width="79" style="2" customWidth="1"/>
    <col min="10764" max="10764" width="3.83203125" style="2" customWidth="1"/>
    <col min="10765" max="10777" width="12.5" style="2" customWidth="1"/>
    <col min="10778" max="10778" width="8.5" style="2" customWidth="1"/>
    <col min="10779" max="11017" width="10.6640625" style="2"/>
    <col min="11018" max="11018" width="13.1640625" style="2" customWidth="1"/>
    <col min="11019" max="11019" width="79" style="2" customWidth="1"/>
    <col min="11020" max="11020" width="3.83203125" style="2" customWidth="1"/>
    <col min="11021" max="11033" width="12.5" style="2" customWidth="1"/>
    <col min="11034" max="11034" width="8.5" style="2" customWidth="1"/>
    <col min="11035" max="11273" width="10.6640625" style="2"/>
    <col min="11274" max="11274" width="13.1640625" style="2" customWidth="1"/>
    <col min="11275" max="11275" width="79" style="2" customWidth="1"/>
    <col min="11276" max="11276" width="3.83203125" style="2" customWidth="1"/>
    <col min="11277" max="11289" width="12.5" style="2" customWidth="1"/>
    <col min="11290" max="11290" width="8.5" style="2" customWidth="1"/>
    <col min="11291" max="11529" width="10.6640625" style="2"/>
    <col min="11530" max="11530" width="13.1640625" style="2" customWidth="1"/>
    <col min="11531" max="11531" width="79" style="2" customWidth="1"/>
    <col min="11532" max="11532" width="3.83203125" style="2" customWidth="1"/>
    <col min="11533" max="11545" width="12.5" style="2" customWidth="1"/>
    <col min="11546" max="11546" width="8.5" style="2" customWidth="1"/>
    <col min="11547" max="11785" width="10.6640625" style="2"/>
    <col min="11786" max="11786" width="13.1640625" style="2" customWidth="1"/>
    <col min="11787" max="11787" width="79" style="2" customWidth="1"/>
    <col min="11788" max="11788" width="3.83203125" style="2" customWidth="1"/>
    <col min="11789" max="11801" width="12.5" style="2" customWidth="1"/>
    <col min="11802" max="11802" width="8.5" style="2" customWidth="1"/>
    <col min="11803" max="12041" width="10.6640625" style="2"/>
    <col min="12042" max="12042" width="13.1640625" style="2" customWidth="1"/>
    <col min="12043" max="12043" width="79" style="2" customWidth="1"/>
    <col min="12044" max="12044" width="3.83203125" style="2" customWidth="1"/>
    <col min="12045" max="12057" width="12.5" style="2" customWidth="1"/>
    <col min="12058" max="12058" width="8.5" style="2" customWidth="1"/>
    <col min="12059" max="12297" width="10.6640625" style="2"/>
    <col min="12298" max="12298" width="13.1640625" style="2" customWidth="1"/>
    <col min="12299" max="12299" width="79" style="2" customWidth="1"/>
    <col min="12300" max="12300" width="3.83203125" style="2" customWidth="1"/>
    <col min="12301" max="12313" width="12.5" style="2" customWidth="1"/>
    <col min="12314" max="12314" width="8.5" style="2" customWidth="1"/>
    <col min="12315" max="12553" width="10.6640625" style="2"/>
    <col min="12554" max="12554" width="13.1640625" style="2" customWidth="1"/>
    <col min="12555" max="12555" width="79" style="2" customWidth="1"/>
    <col min="12556" max="12556" width="3.83203125" style="2" customWidth="1"/>
    <col min="12557" max="12569" width="12.5" style="2" customWidth="1"/>
    <col min="12570" max="12570" width="8.5" style="2" customWidth="1"/>
    <col min="12571" max="12809" width="10.6640625" style="2"/>
    <col min="12810" max="12810" width="13.1640625" style="2" customWidth="1"/>
    <col min="12811" max="12811" width="79" style="2" customWidth="1"/>
    <col min="12812" max="12812" width="3.83203125" style="2" customWidth="1"/>
    <col min="12813" max="12825" width="12.5" style="2" customWidth="1"/>
    <col min="12826" max="12826" width="8.5" style="2" customWidth="1"/>
    <col min="12827" max="13065" width="10.6640625" style="2"/>
    <col min="13066" max="13066" width="13.1640625" style="2" customWidth="1"/>
    <col min="13067" max="13067" width="79" style="2" customWidth="1"/>
    <col min="13068" max="13068" width="3.83203125" style="2" customWidth="1"/>
    <col min="13069" max="13081" width="12.5" style="2" customWidth="1"/>
    <col min="13082" max="13082" width="8.5" style="2" customWidth="1"/>
    <col min="13083" max="13321" width="10.6640625" style="2"/>
    <col min="13322" max="13322" width="13.1640625" style="2" customWidth="1"/>
    <col min="13323" max="13323" width="79" style="2" customWidth="1"/>
    <col min="13324" max="13324" width="3.83203125" style="2" customWidth="1"/>
    <col min="13325" max="13337" width="12.5" style="2" customWidth="1"/>
    <col min="13338" max="13338" width="8.5" style="2" customWidth="1"/>
    <col min="13339" max="13577" width="10.6640625" style="2"/>
    <col min="13578" max="13578" width="13.1640625" style="2" customWidth="1"/>
    <col min="13579" max="13579" width="79" style="2" customWidth="1"/>
    <col min="13580" max="13580" width="3.83203125" style="2" customWidth="1"/>
    <col min="13581" max="13593" width="12.5" style="2" customWidth="1"/>
    <col min="13594" max="13594" width="8.5" style="2" customWidth="1"/>
    <col min="13595" max="13833" width="10.6640625" style="2"/>
    <col min="13834" max="13834" width="13.1640625" style="2" customWidth="1"/>
    <col min="13835" max="13835" width="79" style="2" customWidth="1"/>
    <col min="13836" max="13836" width="3.83203125" style="2" customWidth="1"/>
    <col min="13837" max="13849" width="12.5" style="2" customWidth="1"/>
    <col min="13850" max="13850" width="8.5" style="2" customWidth="1"/>
    <col min="13851" max="14089" width="10.6640625" style="2"/>
    <col min="14090" max="14090" width="13.1640625" style="2" customWidth="1"/>
    <col min="14091" max="14091" width="79" style="2" customWidth="1"/>
    <col min="14092" max="14092" width="3.83203125" style="2" customWidth="1"/>
    <col min="14093" max="14105" width="12.5" style="2" customWidth="1"/>
    <col min="14106" max="14106" width="8.5" style="2" customWidth="1"/>
    <col min="14107" max="14345" width="10.6640625" style="2"/>
    <col min="14346" max="14346" width="13.1640625" style="2" customWidth="1"/>
    <col min="14347" max="14347" width="79" style="2" customWidth="1"/>
    <col min="14348" max="14348" width="3.83203125" style="2" customWidth="1"/>
    <col min="14349" max="14361" width="12.5" style="2" customWidth="1"/>
    <col min="14362" max="14362" width="8.5" style="2" customWidth="1"/>
    <col min="14363" max="14601" width="10.6640625" style="2"/>
    <col min="14602" max="14602" width="13.1640625" style="2" customWidth="1"/>
    <col min="14603" max="14603" width="79" style="2" customWidth="1"/>
    <col min="14604" max="14604" width="3.83203125" style="2" customWidth="1"/>
    <col min="14605" max="14617" width="12.5" style="2" customWidth="1"/>
    <col min="14618" max="14618" width="8.5" style="2" customWidth="1"/>
    <col min="14619" max="14857" width="10.6640625" style="2"/>
    <col min="14858" max="14858" width="13.1640625" style="2" customWidth="1"/>
    <col min="14859" max="14859" width="79" style="2" customWidth="1"/>
    <col min="14860" max="14860" width="3.83203125" style="2" customWidth="1"/>
    <col min="14861" max="14873" width="12.5" style="2" customWidth="1"/>
    <col min="14874" max="14874" width="8.5" style="2" customWidth="1"/>
    <col min="14875" max="15113" width="10.6640625" style="2"/>
    <col min="15114" max="15114" width="13.1640625" style="2" customWidth="1"/>
    <col min="15115" max="15115" width="79" style="2" customWidth="1"/>
    <col min="15116" max="15116" width="3.83203125" style="2" customWidth="1"/>
    <col min="15117" max="15129" width="12.5" style="2" customWidth="1"/>
    <col min="15130" max="15130" width="8.5" style="2" customWidth="1"/>
    <col min="15131" max="15369" width="10.6640625" style="2"/>
    <col min="15370" max="15370" width="13.1640625" style="2" customWidth="1"/>
    <col min="15371" max="15371" width="79" style="2" customWidth="1"/>
    <col min="15372" max="15372" width="3.83203125" style="2" customWidth="1"/>
    <col min="15373" max="15385" width="12.5" style="2" customWidth="1"/>
    <col min="15386" max="15386" width="8.5" style="2" customWidth="1"/>
    <col min="15387" max="15625" width="10.6640625" style="2"/>
    <col min="15626" max="15626" width="13.1640625" style="2" customWidth="1"/>
    <col min="15627" max="15627" width="79" style="2" customWidth="1"/>
    <col min="15628" max="15628" width="3.83203125" style="2" customWidth="1"/>
    <col min="15629" max="15641" width="12.5" style="2" customWidth="1"/>
    <col min="15642" max="15642" width="8.5" style="2" customWidth="1"/>
    <col min="15643" max="15881" width="10.6640625" style="2"/>
    <col min="15882" max="15882" width="13.1640625" style="2" customWidth="1"/>
    <col min="15883" max="15883" width="79" style="2" customWidth="1"/>
    <col min="15884" max="15884" width="3.83203125" style="2" customWidth="1"/>
    <col min="15885" max="15897" width="12.5" style="2" customWidth="1"/>
    <col min="15898" max="15898" width="8.5" style="2" customWidth="1"/>
    <col min="15899" max="16137" width="10.6640625" style="2"/>
    <col min="16138" max="16138" width="13.1640625" style="2" customWidth="1"/>
    <col min="16139" max="16139" width="79" style="2" customWidth="1"/>
    <col min="16140" max="16140" width="3.83203125" style="2" customWidth="1"/>
    <col min="16141" max="16153" width="12.5" style="2" customWidth="1"/>
    <col min="16154" max="16154" width="8.5" style="2" customWidth="1"/>
    <col min="16155" max="16384" width="10.6640625" style="2"/>
  </cols>
  <sheetData>
    <row r="1" spans="1:30" ht="75" customHeight="1" x14ac:dyDescent="0.3">
      <c r="A1" s="3"/>
      <c r="B1" s="652"/>
      <c r="C1" s="653"/>
      <c r="D1" s="612"/>
      <c r="E1" s="613"/>
      <c r="F1" s="614"/>
      <c r="G1" s="614"/>
      <c r="H1" s="615"/>
      <c r="I1" s="615"/>
      <c r="J1" s="615"/>
      <c r="K1" s="616"/>
      <c r="L1" s="615"/>
      <c r="M1" s="615"/>
      <c r="N1" s="615"/>
      <c r="O1" s="615"/>
      <c r="P1" s="615"/>
      <c r="Q1" s="615"/>
      <c r="R1" s="615"/>
      <c r="S1" s="615"/>
      <c r="T1" s="615"/>
      <c r="U1" s="615"/>
      <c r="V1" s="615"/>
      <c r="W1" s="615"/>
      <c r="X1" s="615"/>
      <c r="Y1" s="615"/>
      <c r="Z1" s="617"/>
    </row>
    <row r="2" spans="1:30" x14ac:dyDescent="0.2">
      <c r="A2" s="3"/>
      <c r="B2" s="4" t="s">
        <v>41</v>
      </c>
      <c r="C2" s="654" t="s">
        <v>235</v>
      </c>
      <c r="D2" s="655"/>
      <c r="E2" s="655"/>
      <c r="F2" s="655"/>
      <c r="G2" s="655"/>
      <c r="H2" s="655"/>
      <c r="I2" s="655"/>
      <c r="J2" s="655"/>
      <c r="K2" s="655"/>
      <c r="L2" s="655"/>
      <c r="M2" s="655"/>
      <c r="N2" s="655"/>
      <c r="O2" s="655"/>
      <c r="P2" s="655"/>
      <c r="Q2" s="655"/>
      <c r="R2" s="655"/>
      <c r="S2" s="655"/>
      <c r="T2" s="655"/>
      <c r="U2" s="655"/>
      <c r="V2" s="655"/>
      <c r="W2" s="655"/>
      <c r="X2" s="655"/>
      <c r="Y2" s="348"/>
      <c r="Z2" s="5">
        <f>IF(Y4=0,0,Y2/Y4)</f>
        <v>0</v>
      </c>
    </row>
    <row r="3" spans="1:30" ht="15" customHeight="1" thickBot="1" x14ac:dyDescent="0.25">
      <c r="A3" s="3"/>
      <c r="B3" s="6" t="s">
        <v>212</v>
      </c>
      <c r="C3" s="618" t="s">
        <v>428</v>
      </c>
      <c r="D3" s="619"/>
      <c r="E3" s="619"/>
      <c r="F3" s="619"/>
      <c r="G3" s="619"/>
      <c r="H3" s="619"/>
      <c r="I3" s="619"/>
      <c r="J3" s="619"/>
      <c r="K3" s="619"/>
      <c r="L3" s="619"/>
      <c r="M3" s="619"/>
      <c r="N3" s="619"/>
      <c r="O3" s="619"/>
      <c r="P3" s="619"/>
      <c r="Q3" s="619"/>
      <c r="R3" s="619"/>
      <c r="S3" s="619"/>
      <c r="T3" s="619"/>
      <c r="U3" s="619"/>
      <c r="V3" s="619"/>
      <c r="W3" s="619"/>
      <c r="X3" s="619"/>
      <c r="Y3" s="7"/>
      <c r="Z3" s="8">
        <f>IF(Y3=0,0,1-Z2)</f>
        <v>0</v>
      </c>
    </row>
    <row r="4" spans="1:30" ht="18.75" thickBot="1" x14ac:dyDescent="0.3">
      <c r="A4" s="3"/>
      <c r="B4" s="9"/>
      <c r="C4" s="10"/>
      <c r="D4" s="11"/>
      <c r="E4" s="12" t="s">
        <v>136</v>
      </c>
      <c r="F4" s="13"/>
      <c r="G4" s="13"/>
      <c r="H4" s="13"/>
      <c r="I4" s="13"/>
      <c r="J4" s="13"/>
      <c r="K4" s="13"/>
      <c r="L4" s="13"/>
      <c r="M4" s="13"/>
      <c r="N4" s="13"/>
      <c r="O4" s="13"/>
      <c r="P4" s="14" t="s">
        <v>137</v>
      </c>
      <c r="Q4" s="15"/>
      <c r="R4" s="15"/>
      <c r="S4" s="15"/>
      <c r="T4" s="15"/>
      <c r="U4" s="15"/>
      <c r="V4" s="15"/>
      <c r="W4" s="15"/>
      <c r="X4" s="15"/>
      <c r="Y4" s="16">
        <f>SUM(Y9:Y22)</f>
        <v>9032977.1799999997</v>
      </c>
      <c r="Z4" s="17">
        <f>SUM(Z2:Z3)</f>
        <v>0</v>
      </c>
    </row>
    <row r="5" spans="1:30" ht="12.75" customHeight="1" thickBot="1" x14ac:dyDescent="0.25">
      <c r="A5" s="3"/>
      <c r="B5" s="656" t="s">
        <v>142</v>
      </c>
      <c r="C5" s="658" t="s">
        <v>138</v>
      </c>
      <c r="D5" s="659"/>
      <c r="E5" s="295" t="s">
        <v>25</v>
      </c>
      <c r="F5" s="296" t="s">
        <v>139</v>
      </c>
      <c r="G5" s="297"/>
      <c r="H5" s="297"/>
      <c r="I5" s="297"/>
      <c r="J5" s="297"/>
      <c r="K5" s="297"/>
      <c r="L5" s="297"/>
      <c r="M5" s="298"/>
      <c r="N5" s="298"/>
      <c r="O5" s="298"/>
      <c r="P5" s="299"/>
      <c r="Q5" s="586"/>
      <c r="R5" s="586"/>
      <c r="S5" s="586"/>
      <c r="T5" s="586"/>
      <c r="U5" s="586"/>
      <c r="V5" s="586"/>
      <c r="W5" s="586"/>
      <c r="X5" s="300"/>
      <c r="Y5" s="301" t="s">
        <v>99</v>
      </c>
      <c r="Z5" s="302" t="s">
        <v>140</v>
      </c>
      <c r="AC5" s="2" t="s">
        <v>141</v>
      </c>
      <c r="AD5" s="18" t="e">
        <f>IF(Y4=#REF!,"OK","erro")</f>
        <v>#REF!</v>
      </c>
    </row>
    <row r="6" spans="1:30" ht="13.5" thickBot="1" x14ac:dyDescent="0.25">
      <c r="A6" s="3"/>
      <c r="B6" s="657"/>
      <c r="C6" s="660"/>
      <c r="D6" s="661"/>
      <c r="E6" s="19">
        <v>18</v>
      </c>
      <c r="F6" s="305">
        <v>1</v>
      </c>
      <c r="G6" s="305">
        <v>2</v>
      </c>
      <c r="H6" s="305">
        <v>3</v>
      </c>
      <c r="I6" s="305">
        <v>4</v>
      </c>
      <c r="J6" s="305">
        <v>5</v>
      </c>
      <c r="K6" s="305">
        <v>6</v>
      </c>
      <c r="L6" s="305">
        <v>7</v>
      </c>
      <c r="M6" s="305">
        <v>8</v>
      </c>
      <c r="N6" s="305">
        <v>9</v>
      </c>
      <c r="O6" s="305">
        <v>10</v>
      </c>
      <c r="P6" s="305">
        <v>11</v>
      </c>
      <c r="Q6" s="587">
        <v>12</v>
      </c>
      <c r="R6" s="587">
        <v>13</v>
      </c>
      <c r="S6" s="587">
        <v>14</v>
      </c>
      <c r="T6" s="587">
        <v>15</v>
      </c>
      <c r="U6" s="587">
        <v>16</v>
      </c>
      <c r="V6" s="587">
        <v>17</v>
      </c>
      <c r="W6" s="587">
        <v>18</v>
      </c>
      <c r="X6" s="306"/>
      <c r="Y6" s="301" t="s">
        <v>143</v>
      </c>
      <c r="Z6" s="307" t="s">
        <v>99</v>
      </c>
    </row>
    <row r="7" spans="1:30" ht="14.25" thickTop="1" thickBot="1" x14ac:dyDescent="0.25">
      <c r="A7" s="3"/>
      <c r="B7" s="32"/>
      <c r="C7" s="303" t="s">
        <v>144</v>
      </c>
      <c r="D7" s="304"/>
      <c r="E7" s="308"/>
      <c r="F7" s="309">
        <v>45810</v>
      </c>
      <c r="G7" s="309">
        <f>IF(G6=0,0,F8+1)</f>
        <v>45841</v>
      </c>
      <c r="H7" s="309">
        <f>IF(H6=0,0,G8+1)</f>
        <v>45872</v>
      </c>
      <c r="I7" s="309">
        <f>IF(I6=0,0,H8+1)</f>
        <v>45903</v>
      </c>
      <c r="J7" s="309">
        <f>IF(J6=0,0,I8+1)</f>
        <v>45934</v>
      </c>
      <c r="K7" s="309">
        <f t="shared" ref="K7:P7" si="0">IF(K6=0,0,J8+1)</f>
        <v>45965</v>
      </c>
      <c r="L7" s="309">
        <f t="shared" si="0"/>
        <v>45996</v>
      </c>
      <c r="M7" s="309">
        <f t="shared" si="0"/>
        <v>46027</v>
      </c>
      <c r="N7" s="309">
        <f t="shared" si="0"/>
        <v>46058</v>
      </c>
      <c r="O7" s="309">
        <f t="shared" si="0"/>
        <v>46089</v>
      </c>
      <c r="P7" s="309">
        <f t="shared" si="0"/>
        <v>46120</v>
      </c>
      <c r="Q7" s="309">
        <f t="shared" ref="Q7" si="1">IF(Q6=0,0,P8+1)</f>
        <v>46151</v>
      </c>
      <c r="R7" s="309">
        <f t="shared" ref="R7" si="2">IF(R6=0,0,Q8+1)</f>
        <v>46182</v>
      </c>
      <c r="S7" s="309">
        <f t="shared" ref="S7" si="3">IF(S6=0,0,R8+1)</f>
        <v>46213</v>
      </c>
      <c r="T7" s="309">
        <f t="shared" ref="T7" si="4">IF(T6=0,0,S8+1)</f>
        <v>46244</v>
      </c>
      <c r="U7" s="309">
        <f t="shared" ref="U7" si="5">IF(U6=0,0,T8+1)</f>
        <v>46275</v>
      </c>
      <c r="V7" s="309">
        <f t="shared" ref="V7" si="6">IF(V6=0,0,U8+1)</f>
        <v>46306</v>
      </c>
      <c r="W7" s="309">
        <f t="shared" ref="W7" si="7">IF(W6=0,0,V8+1)</f>
        <v>46337</v>
      </c>
      <c r="X7" s="589">
        <f>IF(X6=0,0,P8+1)</f>
        <v>0</v>
      </c>
      <c r="Y7" s="610"/>
      <c r="Z7" s="316"/>
    </row>
    <row r="8" spans="1:30" ht="14.25" thickTop="1" thickBot="1" x14ac:dyDescent="0.25">
      <c r="A8" s="3"/>
      <c r="B8" s="32"/>
      <c r="C8" s="303" t="s">
        <v>145</v>
      </c>
      <c r="D8" s="304"/>
      <c r="E8" s="308"/>
      <c r="F8" s="309">
        <f>IF(E6=0,0,F7+30)</f>
        <v>45840</v>
      </c>
      <c r="G8" s="309">
        <f>IF(G6=0,0,G7+30)</f>
        <v>45871</v>
      </c>
      <c r="H8" s="309">
        <f>IF(H6=0,0,H7+30)</f>
        <v>45902</v>
      </c>
      <c r="I8" s="309">
        <f>IF(I6=0,0,I7+30)</f>
        <v>45933</v>
      </c>
      <c r="J8" s="309">
        <f>IF(J6=0,0,J7+30)</f>
        <v>45964</v>
      </c>
      <c r="K8" s="309">
        <f t="shared" ref="K8:X8" si="8">IF(K6=0,0,K7+30)</f>
        <v>45995</v>
      </c>
      <c r="L8" s="309">
        <f t="shared" si="8"/>
        <v>46026</v>
      </c>
      <c r="M8" s="309">
        <f t="shared" si="8"/>
        <v>46057</v>
      </c>
      <c r="N8" s="309">
        <f t="shared" si="8"/>
        <v>46088</v>
      </c>
      <c r="O8" s="309">
        <f t="shared" si="8"/>
        <v>46119</v>
      </c>
      <c r="P8" s="309">
        <f t="shared" si="8"/>
        <v>46150</v>
      </c>
      <c r="Q8" s="309">
        <f t="shared" ref="Q8:W8" si="9">IF(Q6=0,0,Q7+30)</f>
        <v>46181</v>
      </c>
      <c r="R8" s="309">
        <f t="shared" si="9"/>
        <v>46212</v>
      </c>
      <c r="S8" s="309">
        <f t="shared" si="9"/>
        <v>46243</v>
      </c>
      <c r="T8" s="309">
        <f t="shared" si="9"/>
        <v>46274</v>
      </c>
      <c r="U8" s="309">
        <f t="shared" si="9"/>
        <v>46305</v>
      </c>
      <c r="V8" s="309">
        <f t="shared" si="9"/>
        <v>46336</v>
      </c>
      <c r="W8" s="309">
        <f t="shared" si="9"/>
        <v>46367</v>
      </c>
      <c r="X8" s="609">
        <f t="shared" si="8"/>
        <v>0</v>
      </c>
      <c r="Y8" s="610"/>
      <c r="Z8" s="316"/>
    </row>
    <row r="9" spans="1:30" ht="13.5" thickTop="1" x14ac:dyDescent="0.2">
      <c r="A9" s="20" t="str">
        <f>CONCATENATE($E$6,"|",B9)</f>
        <v>18|1</v>
      </c>
      <c r="B9" s="310" t="s">
        <v>102</v>
      </c>
      <c r="C9" s="311" t="s">
        <v>87</v>
      </c>
      <c r="D9" s="312"/>
      <c r="E9" s="313">
        <v>1</v>
      </c>
      <c r="F9" s="314">
        <v>100</v>
      </c>
      <c r="G9" s="314"/>
      <c r="H9" s="314"/>
      <c r="I9" s="314"/>
      <c r="J9" s="314"/>
      <c r="K9" s="314"/>
      <c r="L9" s="314"/>
      <c r="M9" s="314"/>
      <c r="N9" s="314"/>
      <c r="O9" s="314"/>
      <c r="P9" s="314"/>
      <c r="Q9" s="314"/>
      <c r="R9" s="314"/>
      <c r="S9" s="314"/>
      <c r="T9" s="314"/>
      <c r="U9" s="314"/>
      <c r="V9" s="314"/>
      <c r="W9" s="314"/>
      <c r="X9" s="608">
        <f>IF(X$6=0,0,VLOOKUP($A9,_base_cron_fp!$A:$P,X$6+4,FALSE))</f>
        <v>0</v>
      </c>
      <c r="Y9" s="315">
        <f>ORÇAMENTO!P18</f>
        <v>88179.930000000008</v>
      </c>
      <c r="Z9" s="316">
        <f>IF($Y$24=0,0,(Y9/$Y$24)*100)</f>
        <v>0.97620007493476268</v>
      </c>
      <c r="AC9" s="3">
        <f>SUM(F9:X9)</f>
        <v>100</v>
      </c>
    </row>
    <row r="10" spans="1:30" x14ac:dyDescent="0.2">
      <c r="A10" s="20" t="str">
        <f t="shared" ref="A10:A22" si="10">CONCATENATE($E$6,"|",B10)</f>
        <v>18|2</v>
      </c>
      <c r="B10" s="317" t="s">
        <v>44</v>
      </c>
      <c r="C10" s="311" t="s">
        <v>408</v>
      </c>
      <c r="D10" s="312"/>
      <c r="E10" s="313">
        <v>2</v>
      </c>
      <c r="F10" s="611">
        <f t="shared" ref="F10:W10" si="11">100/18</f>
        <v>5.5555555555555554</v>
      </c>
      <c r="G10" s="611">
        <f t="shared" si="11"/>
        <v>5.5555555555555554</v>
      </c>
      <c r="H10" s="611">
        <f t="shared" si="11"/>
        <v>5.5555555555555554</v>
      </c>
      <c r="I10" s="611">
        <f t="shared" si="11"/>
        <v>5.5555555555555554</v>
      </c>
      <c r="J10" s="611">
        <f t="shared" si="11"/>
        <v>5.5555555555555554</v>
      </c>
      <c r="K10" s="611">
        <f t="shared" si="11"/>
        <v>5.5555555555555554</v>
      </c>
      <c r="L10" s="611">
        <f t="shared" si="11"/>
        <v>5.5555555555555554</v>
      </c>
      <c r="M10" s="611">
        <f t="shared" si="11"/>
        <v>5.5555555555555554</v>
      </c>
      <c r="N10" s="611">
        <f t="shared" si="11"/>
        <v>5.5555555555555554</v>
      </c>
      <c r="O10" s="611">
        <f t="shared" si="11"/>
        <v>5.5555555555555554</v>
      </c>
      <c r="P10" s="611">
        <f t="shared" si="11"/>
        <v>5.5555555555555554</v>
      </c>
      <c r="Q10" s="611">
        <f t="shared" si="11"/>
        <v>5.5555555555555554</v>
      </c>
      <c r="R10" s="611">
        <f t="shared" si="11"/>
        <v>5.5555555555555554</v>
      </c>
      <c r="S10" s="611">
        <f t="shared" si="11"/>
        <v>5.5555555555555554</v>
      </c>
      <c r="T10" s="611">
        <f t="shared" si="11"/>
        <v>5.5555555555555554</v>
      </c>
      <c r="U10" s="611">
        <f t="shared" si="11"/>
        <v>5.5555555555555554</v>
      </c>
      <c r="V10" s="611">
        <f t="shared" si="11"/>
        <v>5.5555555555555554</v>
      </c>
      <c r="W10" s="611">
        <f t="shared" si="11"/>
        <v>5.5555555555555554</v>
      </c>
      <c r="X10" s="590">
        <f>IF(X$6=0,0,VLOOKUP($A10,_base_cron_fp!$A:$P,X$6+4,FALSE))</f>
        <v>0</v>
      </c>
      <c r="Y10" s="315">
        <f>ORÇAMENTO!P30</f>
        <v>195350.39999999999</v>
      </c>
      <c r="Z10" s="316">
        <f t="shared" ref="Z10:Z22" si="12">IF($Y$24=0,0,(Y10/$Y$24)*100)</f>
        <v>2.1626358188142794</v>
      </c>
      <c r="AC10" s="3">
        <f t="shared" ref="AC10:AC22" si="13">SUM(F10:X10)</f>
        <v>100.00000000000001</v>
      </c>
    </row>
    <row r="11" spans="1:30" x14ac:dyDescent="0.2">
      <c r="A11" s="20" t="str">
        <f t="shared" si="10"/>
        <v>18|3</v>
      </c>
      <c r="B11" s="317" t="s">
        <v>48</v>
      </c>
      <c r="C11" s="311" t="s">
        <v>83</v>
      </c>
      <c r="D11" s="312"/>
      <c r="E11" s="313">
        <v>3</v>
      </c>
      <c r="F11" s="314">
        <v>30</v>
      </c>
      <c r="G11" s="314">
        <v>20</v>
      </c>
      <c r="H11" s="314">
        <v>20</v>
      </c>
      <c r="I11" s="314"/>
      <c r="J11" s="314"/>
      <c r="K11" s="314">
        <v>20</v>
      </c>
      <c r="L11" s="314">
        <v>10</v>
      </c>
      <c r="M11" s="314"/>
      <c r="N11" s="314"/>
      <c r="O11" s="314"/>
      <c r="P11" s="314"/>
      <c r="Q11" s="314"/>
      <c r="R11" s="314"/>
      <c r="S11" s="314"/>
      <c r="T11" s="314"/>
      <c r="U11" s="314"/>
      <c r="V11" s="314"/>
      <c r="W11" s="314"/>
      <c r="X11" s="590">
        <f>IF(X$6=0,0,VLOOKUP($A11,_base_cron_fp!$A:$P,X$6+4,FALSE))</f>
        <v>0</v>
      </c>
      <c r="Y11" s="315">
        <f>ORÇAMENTO!P33</f>
        <v>107440.57</v>
      </c>
      <c r="Z11" s="316">
        <f t="shared" si="12"/>
        <v>1.1894258986714279</v>
      </c>
      <c r="AC11" s="3">
        <f t="shared" si="13"/>
        <v>100</v>
      </c>
    </row>
    <row r="12" spans="1:30" x14ac:dyDescent="0.2">
      <c r="A12" s="20" t="str">
        <f t="shared" si="10"/>
        <v>18|4</v>
      </c>
      <c r="B12" s="317" t="s">
        <v>50</v>
      </c>
      <c r="C12" s="311" t="s">
        <v>425</v>
      </c>
      <c r="D12" s="312"/>
      <c r="E12" s="313">
        <v>4</v>
      </c>
      <c r="F12" s="314"/>
      <c r="G12" s="314"/>
      <c r="H12" s="314"/>
      <c r="I12" s="314"/>
      <c r="J12" s="314"/>
      <c r="K12" s="314">
        <v>20</v>
      </c>
      <c r="L12" s="314">
        <v>20</v>
      </c>
      <c r="M12" s="314">
        <v>20</v>
      </c>
      <c r="N12" s="314">
        <v>20</v>
      </c>
      <c r="O12" s="314">
        <v>20</v>
      </c>
      <c r="P12" s="314"/>
      <c r="Q12" s="314"/>
      <c r="R12" s="314"/>
      <c r="S12" s="314"/>
      <c r="T12" s="314"/>
      <c r="U12" s="314"/>
      <c r="V12" s="314"/>
      <c r="W12" s="314"/>
      <c r="X12" s="590">
        <f>IF(X$6=0,0,VLOOKUP($A12,_base_cron_fp!$A:$P,X$6+4,FALSE))</f>
        <v>0</v>
      </c>
      <c r="Y12" s="315">
        <f>ORÇAMENTO!P41</f>
        <v>838301.35000000009</v>
      </c>
      <c r="Z12" s="316">
        <f t="shared" si="12"/>
        <v>9.2804546418659282</v>
      </c>
      <c r="AC12" s="3">
        <f t="shared" si="13"/>
        <v>100</v>
      </c>
    </row>
    <row r="13" spans="1:30" x14ac:dyDescent="0.2">
      <c r="A13" s="20" t="str">
        <f t="shared" si="10"/>
        <v>18|5</v>
      </c>
      <c r="B13" s="317" t="s">
        <v>43</v>
      </c>
      <c r="C13" s="311" t="s">
        <v>133</v>
      </c>
      <c r="D13" s="312"/>
      <c r="E13" s="313">
        <v>5</v>
      </c>
      <c r="F13" s="314"/>
      <c r="G13" s="314"/>
      <c r="H13" s="314"/>
      <c r="I13" s="314"/>
      <c r="J13" s="314"/>
      <c r="K13" s="314"/>
      <c r="L13" s="314"/>
      <c r="M13" s="314"/>
      <c r="N13" s="314">
        <v>10</v>
      </c>
      <c r="O13" s="314">
        <v>20</v>
      </c>
      <c r="P13" s="314"/>
      <c r="Q13" s="314"/>
      <c r="R13" s="314"/>
      <c r="S13" s="314">
        <v>20</v>
      </c>
      <c r="T13" s="314">
        <v>20</v>
      </c>
      <c r="U13" s="314">
        <v>15</v>
      </c>
      <c r="V13" s="314">
        <v>15</v>
      </c>
      <c r="W13" s="314"/>
      <c r="X13" s="590">
        <f>IF(X$6=0,0,VLOOKUP($A13,_base_cron_fp!$A:$P,X$6+4,FALSE))</f>
        <v>0</v>
      </c>
      <c r="Y13" s="315">
        <f>ORÇAMENTO!P48</f>
        <v>3223426.0000000005</v>
      </c>
      <c r="Z13" s="316">
        <f t="shared" si="12"/>
        <v>35.685089597447657</v>
      </c>
      <c r="AC13" s="3">
        <f t="shared" si="13"/>
        <v>100</v>
      </c>
    </row>
    <row r="14" spans="1:30" x14ac:dyDescent="0.2">
      <c r="A14" s="20" t="str">
        <f t="shared" si="10"/>
        <v>18|6</v>
      </c>
      <c r="B14" s="317" t="s">
        <v>51</v>
      </c>
      <c r="C14" s="311" t="s">
        <v>426</v>
      </c>
      <c r="D14" s="312"/>
      <c r="E14" s="313">
        <v>3</v>
      </c>
      <c r="F14" s="314"/>
      <c r="G14" s="314"/>
      <c r="H14" s="314"/>
      <c r="I14" s="314"/>
      <c r="J14" s="314"/>
      <c r="K14" s="314"/>
      <c r="L14" s="314"/>
      <c r="M14" s="314">
        <v>10</v>
      </c>
      <c r="N14" s="314">
        <v>15</v>
      </c>
      <c r="O14" s="314">
        <v>15</v>
      </c>
      <c r="P14" s="314">
        <v>15</v>
      </c>
      <c r="Q14" s="314">
        <v>15</v>
      </c>
      <c r="R14" s="314">
        <v>15</v>
      </c>
      <c r="S14" s="314">
        <v>15</v>
      </c>
      <c r="T14" s="314"/>
      <c r="U14" s="314"/>
      <c r="V14" s="314"/>
      <c r="W14" s="314"/>
      <c r="X14" s="590">
        <f>IF(X$6=0,0,VLOOKUP($A14,_base_cron_fp!$A:$P,X$6+4,FALSE))</f>
        <v>0</v>
      </c>
      <c r="Y14" s="315">
        <f>ORÇAMENTO!P66</f>
        <v>324370.25</v>
      </c>
      <c r="Z14" s="316">
        <f t="shared" si="12"/>
        <v>3.5909561547237296</v>
      </c>
      <c r="AC14" s="3">
        <f t="shared" si="13"/>
        <v>100</v>
      </c>
    </row>
    <row r="15" spans="1:30" x14ac:dyDescent="0.2">
      <c r="A15" s="20" t="str">
        <f t="shared" si="10"/>
        <v>18|7</v>
      </c>
      <c r="B15" s="317" t="s">
        <v>78</v>
      </c>
      <c r="C15" s="311" t="s">
        <v>132</v>
      </c>
      <c r="D15" s="312"/>
      <c r="E15" s="313">
        <v>5</v>
      </c>
      <c r="F15" s="314"/>
      <c r="G15" s="314"/>
      <c r="H15" s="314"/>
      <c r="I15" s="314"/>
      <c r="J15" s="314"/>
      <c r="K15" s="314"/>
      <c r="L15" s="314"/>
      <c r="M15" s="314"/>
      <c r="N15" s="314">
        <v>5</v>
      </c>
      <c r="O15" s="314">
        <v>10</v>
      </c>
      <c r="P15" s="314">
        <v>10</v>
      </c>
      <c r="Q15" s="314">
        <v>15</v>
      </c>
      <c r="R15" s="314">
        <v>15</v>
      </c>
      <c r="S15" s="314">
        <v>15</v>
      </c>
      <c r="T15" s="314">
        <v>15</v>
      </c>
      <c r="U15" s="314">
        <v>10</v>
      </c>
      <c r="V15" s="314">
        <v>5</v>
      </c>
      <c r="W15" s="314"/>
      <c r="X15" s="590">
        <f>IF(X$6=0,0,VLOOKUP($A15,_base_cron_fp!$A:$P,X$6+4,FALSE))</f>
        <v>0</v>
      </c>
      <c r="Y15" s="315">
        <f>ORÇAMENTO!P72</f>
        <v>680805</v>
      </c>
      <c r="Z15" s="316">
        <f t="shared" si="12"/>
        <v>7.5368838693335434</v>
      </c>
      <c r="AC15" s="3">
        <f t="shared" si="13"/>
        <v>100</v>
      </c>
    </row>
    <row r="16" spans="1:30" x14ac:dyDescent="0.2">
      <c r="A16" s="20" t="str">
        <f t="shared" si="10"/>
        <v>18|8</v>
      </c>
      <c r="B16" s="317" t="s">
        <v>64</v>
      </c>
      <c r="C16" s="311" t="s">
        <v>90</v>
      </c>
      <c r="D16" s="312"/>
      <c r="E16" s="313">
        <v>6</v>
      </c>
      <c r="F16" s="314"/>
      <c r="G16" s="314"/>
      <c r="H16" s="314"/>
      <c r="I16" s="314"/>
      <c r="J16" s="314"/>
      <c r="K16" s="314"/>
      <c r="L16" s="314"/>
      <c r="M16" s="314"/>
      <c r="N16" s="314"/>
      <c r="O16" s="314"/>
      <c r="P16" s="314"/>
      <c r="Q16" s="314"/>
      <c r="R16" s="314"/>
      <c r="S16" s="314"/>
      <c r="T16" s="314"/>
      <c r="U16" s="314">
        <v>10</v>
      </c>
      <c r="V16" s="314">
        <v>10</v>
      </c>
      <c r="W16" s="314">
        <v>80</v>
      </c>
      <c r="X16" s="590">
        <f>IF(X$6=0,0,VLOOKUP($A16,_base_cron_fp!$A:$P,X$6+4,FALSE))</f>
        <v>0</v>
      </c>
      <c r="Y16" s="315">
        <f>ORÇAMENTO!P84</f>
        <v>115091.76000000001</v>
      </c>
      <c r="Z16" s="316">
        <f t="shared" si="12"/>
        <v>1.2741287585097167</v>
      </c>
      <c r="AC16" s="3">
        <f t="shared" si="13"/>
        <v>100</v>
      </c>
    </row>
    <row r="17" spans="1:29" x14ac:dyDescent="0.2">
      <c r="A17" s="20" t="str">
        <f t="shared" si="10"/>
        <v>18|9</v>
      </c>
      <c r="B17" s="317" t="s">
        <v>92</v>
      </c>
      <c r="C17" s="311" t="s">
        <v>244</v>
      </c>
      <c r="D17" s="312"/>
      <c r="E17" s="313">
        <v>6</v>
      </c>
      <c r="F17" s="314">
        <v>20</v>
      </c>
      <c r="G17" s="314">
        <v>20</v>
      </c>
      <c r="H17" s="314">
        <v>30</v>
      </c>
      <c r="I17" s="314">
        <v>15</v>
      </c>
      <c r="J17" s="314">
        <v>15</v>
      </c>
      <c r="K17" s="314"/>
      <c r="L17" s="314"/>
      <c r="M17" s="314"/>
      <c r="N17" s="314"/>
      <c r="O17" s="314"/>
      <c r="P17" s="314"/>
      <c r="Q17" s="314"/>
      <c r="R17" s="314"/>
      <c r="S17" s="314"/>
      <c r="T17" s="314"/>
      <c r="U17" s="314"/>
      <c r="V17" s="314"/>
      <c r="W17" s="314"/>
      <c r="X17" s="590">
        <f>IF(X$6=0,0,VLOOKUP($A17,_base_cron_fp!$A:$P,X$6+4,FALSE))</f>
        <v>0</v>
      </c>
      <c r="Y17" s="315">
        <f>ORÇAMENTO!P92</f>
        <v>66126.709999999992</v>
      </c>
      <c r="Z17" s="316">
        <f t="shared" si="12"/>
        <v>0.73205886256871955</v>
      </c>
      <c r="AC17" s="3">
        <f t="shared" si="13"/>
        <v>100</v>
      </c>
    </row>
    <row r="18" spans="1:29" x14ac:dyDescent="0.2">
      <c r="A18" s="20"/>
      <c r="B18" s="317"/>
      <c r="C18" s="311" t="s">
        <v>254</v>
      </c>
      <c r="D18" s="312"/>
      <c r="E18" s="313"/>
      <c r="F18" s="314"/>
      <c r="G18" s="314"/>
      <c r="H18" s="314"/>
      <c r="I18" s="314"/>
      <c r="J18" s="314"/>
      <c r="K18" s="314"/>
      <c r="L18" s="314">
        <v>20</v>
      </c>
      <c r="M18" s="314">
        <v>30</v>
      </c>
      <c r="N18" s="314">
        <v>30</v>
      </c>
      <c r="O18" s="314">
        <v>20</v>
      </c>
      <c r="P18" s="314"/>
      <c r="Q18" s="314"/>
      <c r="R18" s="314"/>
      <c r="S18" s="314"/>
      <c r="T18" s="314"/>
      <c r="U18" s="314"/>
      <c r="V18" s="314"/>
      <c r="W18" s="314"/>
      <c r="X18" s="590"/>
      <c r="Y18" s="315">
        <f>ORÇAMENTO!P126</f>
        <v>877510.41999999993</v>
      </c>
      <c r="Z18" s="316">
        <f t="shared" si="12"/>
        <v>9.7145205009806066</v>
      </c>
      <c r="AC18" s="3">
        <f t="shared" si="13"/>
        <v>100</v>
      </c>
    </row>
    <row r="19" spans="1:29" x14ac:dyDescent="0.2">
      <c r="A19" s="20" t="str">
        <f t="shared" si="10"/>
        <v>18|10</v>
      </c>
      <c r="B19" s="317" t="s">
        <v>94</v>
      </c>
      <c r="C19" s="311" t="s">
        <v>256</v>
      </c>
      <c r="D19" s="312"/>
      <c r="E19" s="313"/>
      <c r="F19" s="314"/>
      <c r="G19" s="314"/>
      <c r="H19" s="314">
        <v>10</v>
      </c>
      <c r="I19" s="314">
        <v>20</v>
      </c>
      <c r="J19" s="314">
        <v>30</v>
      </c>
      <c r="K19" s="314">
        <v>20</v>
      </c>
      <c r="L19" s="314">
        <v>20</v>
      </c>
      <c r="M19" s="314"/>
      <c r="N19" s="314"/>
      <c r="O19" s="314"/>
      <c r="P19" s="314"/>
      <c r="Q19" s="314"/>
      <c r="R19" s="314"/>
      <c r="S19" s="314"/>
      <c r="T19" s="314"/>
      <c r="U19" s="314"/>
      <c r="V19" s="314"/>
      <c r="W19" s="314"/>
      <c r="X19" s="590">
        <f>IF(X$6=0,0,VLOOKUP($A19,_base_cron_fp!$A:$P,X$6+4,FALSE))</f>
        <v>0</v>
      </c>
      <c r="Y19" s="315">
        <f>ORÇAMENTO!P135</f>
        <v>260540.01</v>
      </c>
      <c r="Z19" s="316">
        <f t="shared" si="12"/>
        <v>2.8843204716255024</v>
      </c>
      <c r="AC19" s="3">
        <f t="shared" si="13"/>
        <v>100</v>
      </c>
    </row>
    <row r="20" spans="1:29" x14ac:dyDescent="0.2">
      <c r="A20" s="20"/>
      <c r="B20" s="317"/>
      <c r="C20" s="311" t="s">
        <v>373</v>
      </c>
      <c r="D20" s="312"/>
      <c r="E20" s="313"/>
      <c r="F20" s="314"/>
      <c r="G20" s="314">
        <v>10</v>
      </c>
      <c r="H20" s="314">
        <v>20</v>
      </c>
      <c r="I20" s="314">
        <v>20</v>
      </c>
      <c r="J20" s="314">
        <v>20</v>
      </c>
      <c r="K20" s="314">
        <v>20</v>
      </c>
      <c r="L20" s="314">
        <v>10</v>
      </c>
      <c r="M20" s="314"/>
      <c r="N20" s="314"/>
      <c r="O20" s="314"/>
      <c r="P20" s="314"/>
      <c r="Q20" s="314"/>
      <c r="R20" s="314"/>
      <c r="S20" s="314"/>
      <c r="T20" s="314"/>
      <c r="U20" s="314"/>
      <c r="V20" s="314"/>
      <c r="W20" s="314"/>
      <c r="X20" s="590"/>
      <c r="Y20" s="315">
        <f>ORÇAMENTO!P153</f>
        <v>1010474.8299999997</v>
      </c>
      <c r="Z20" s="316">
        <f t="shared" si="12"/>
        <v>11.186509274453849</v>
      </c>
      <c r="AC20" s="3">
        <f t="shared" si="13"/>
        <v>100</v>
      </c>
    </row>
    <row r="21" spans="1:29" x14ac:dyDescent="0.2">
      <c r="A21" s="20"/>
      <c r="B21" s="317"/>
      <c r="C21" s="311" t="s">
        <v>427</v>
      </c>
      <c r="D21" s="312"/>
      <c r="E21" s="313"/>
      <c r="F21" s="314"/>
      <c r="G21" s="314"/>
      <c r="H21" s="314"/>
      <c r="I21" s="314">
        <v>20</v>
      </c>
      <c r="J21" s="314">
        <v>25</v>
      </c>
      <c r="K21" s="314">
        <v>25</v>
      </c>
      <c r="L21" s="314">
        <v>20</v>
      </c>
      <c r="M21" s="314">
        <v>10</v>
      </c>
      <c r="N21" s="314"/>
      <c r="O21" s="314"/>
      <c r="P21" s="314"/>
      <c r="Q21" s="314"/>
      <c r="R21" s="314"/>
      <c r="S21" s="314"/>
      <c r="T21" s="314"/>
      <c r="U21" s="314"/>
      <c r="V21" s="314"/>
      <c r="W21" s="314"/>
      <c r="X21" s="590"/>
      <c r="Y21" s="315">
        <f>ORÇAMENTO!P188</f>
        <v>1227903.1800000002</v>
      </c>
      <c r="Z21" s="316">
        <f t="shared" si="12"/>
        <v>13.59356008026581</v>
      </c>
      <c r="AC21" s="3">
        <f t="shared" si="13"/>
        <v>100</v>
      </c>
    </row>
    <row r="22" spans="1:29" x14ac:dyDescent="0.2">
      <c r="A22" s="20" t="str">
        <f t="shared" si="10"/>
        <v>18|</v>
      </c>
      <c r="B22" s="317"/>
      <c r="C22" s="311" t="s">
        <v>120</v>
      </c>
      <c r="D22" s="312"/>
      <c r="E22" s="313"/>
      <c r="F22" s="314"/>
      <c r="G22" s="314"/>
      <c r="H22" s="314"/>
      <c r="I22" s="314"/>
      <c r="J22" s="314"/>
      <c r="K22" s="314"/>
      <c r="L22" s="314"/>
      <c r="M22" s="314"/>
      <c r="N22" s="314"/>
      <c r="O22" s="314">
        <v>3</v>
      </c>
      <c r="P22" s="314"/>
      <c r="Q22" s="314"/>
      <c r="R22" s="314"/>
      <c r="S22" s="314"/>
      <c r="T22" s="314">
        <v>12</v>
      </c>
      <c r="U22" s="314"/>
      <c r="V22" s="314">
        <v>21</v>
      </c>
      <c r="W22" s="314">
        <v>64</v>
      </c>
      <c r="X22" s="590">
        <f>IF(X$6=0,0,VLOOKUP($A22,_base_cron_fp!$A:$P,X$6+4,FALSE))</f>
        <v>0</v>
      </c>
      <c r="Y22" s="315">
        <f>ORÇAMENTO!P269</f>
        <v>17456.77</v>
      </c>
      <c r="Z22" s="316">
        <f t="shared" si="12"/>
        <v>0.19325599580447519</v>
      </c>
      <c r="AC22" s="3">
        <f t="shared" si="13"/>
        <v>100</v>
      </c>
    </row>
    <row r="23" spans="1:29" ht="13.5" thickBot="1" x14ac:dyDescent="0.25">
      <c r="A23" s="3"/>
      <c r="B23" s="21"/>
      <c r="C23" s="22"/>
      <c r="D23" s="22"/>
      <c r="E23" s="22"/>
      <c r="F23" s="23"/>
      <c r="G23" s="23"/>
      <c r="H23" s="23"/>
      <c r="I23" s="23"/>
      <c r="J23" s="23"/>
      <c r="K23" s="23"/>
      <c r="L23" s="23"/>
      <c r="M23" s="23"/>
      <c r="N23" s="23"/>
      <c r="O23" s="23"/>
      <c r="P23" s="23"/>
      <c r="Q23" s="23"/>
      <c r="R23" s="23"/>
      <c r="S23" s="23"/>
      <c r="T23" s="23"/>
      <c r="U23" s="23"/>
      <c r="V23" s="23"/>
      <c r="W23" s="23"/>
      <c r="X23" s="23"/>
      <c r="Y23" s="24"/>
      <c r="Z23" s="25"/>
    </row>
    <row r="24" spans="1:29" ht="14.25" thickTop="1" thickBot="1" x14ac:dyDescent="0.25">
      <c r="A24" s="3"/>
      <c r="B24" s="26"/>
      <c r="C24" s="27" t="s">
        <v>146</v>
      </c>
      <c r="D24" s="27" t="s">
        <v>146</v>
      </c>
      <c r="E24" s="28"/>
      <c r="F24" s="29"/>
      <c r="G24" s="29"/>
      <c r="H24" s="29"/>
      <c r="I24" s="29"/>
      <c r="J24" s="29"/>
      <c r="K24" s="29"/>
      <c r="L24" s="29"/>
      <c r="M24" s="29"/>
      <c r="N24" s="29"/>
      <c r="O24" s="29"/>
      <c r="P24" s="29"/>
      <c r="Q24" s="29"/>
      <c r="R24" s="29"/>
      <c r="S24" s="29"/>
      <c r="T24" s="29"/>
      <c r="U24" s="29"/>
      <c r="V24" s="29"/>
      <c r="W24" s="29"/>
      <c r="X24" s="29"/>
      <c r="Y24" s="30">
        <f>SUM(Y9:Y23)</f>
        <v>9032977.1799999997</v>
      </c>
      <c r="Z24" s="31">
        <f>SUM(Z9:Z22)</f>
        <v>100.00000000000001</v>
      </c>
    </row>
    <row r="25" spans="1:29" ht="15" customHeight="1" thickTop="1" x14ac:dyDescent="0.2">
      <c r="A25" s="3"/>
      <c r="B25" s="695" t="s">
        <v>438</v>
      </c>
      <c r="C25" s="696"/>
      <c r="D25" s="697"/>
      <c r="E25" s="34"/>
      <c r="F25" s="33" t="s">
        <v>147</v>
      </c>
      <c r="G25" s="35"/>
      <c r="H25" s="35"/>
      <c r="I25" s="36"/>
      <c r="J25" s="37"/>
      <c r="K25" s="38"/>
      <c r="L25" s="38"/>
      <c r="M25" s="39"/>
      <c r="N25" s="40"/>
      <c r="O25" s="41"/>
      <c r="P25" s="42"/>
      <c r="Q25" s="38"/>
      <c r="R25" s="38"/>
      <c r="S25" s="38"/>
      <c r="T25" s="38"/>
      <c r="U25" s="38"/>
      <c r="V25" s="38"/>
      <c r="W25" s="38"/>
      <c r="X25" s="696" t="s">
        <v>439</v>
      </c>
      <c r="Y25" s="701"/>
      <c r="Z25" s="43"/>
    </row>
    <row r="26" spans="1:29" ht="19.5" customHeight="1" thickBot="1" x14ac:dyDescent="0.25">
      <c r="A26" s="3"/>
      <c r="B26" s="698"/>
      <c r="C26" s="699"/>
      <c r="D26" s="700"/>
      <c r="E26" s="44"/>
      <c r="F26" s="44"/>
      <c r="G26" s="45" t="s">
        <v>148</v>
      </c>
      <c r="H26" s="44"/>
      <c r="I26" s="46"/>
      <c r="J26" s="47"/>
      <c r="K26" s="48"/>
      <c r="L26" s="49"/>
      <c r="M26" s="50"/>
      <c r="N26" s="51"/>
      <c r="O26" s="52"/>
      <c r="P26" s="53"/>
      <c r="Q26" s="588"/>
      <c r="R26" s="588"/>
      <c r="S26" s="588"/>
      <c r="T26" s="588"/>
      <c r="U26" s="588"/>
      <c r="V26" s="588"/>
      <c r="W26" s="588"/>
      <c r="X26" s="54"/>
      <c r="Y26" s="55"/>
      <c r="Z26" s="56"/>
    </row>
  </sheetData>
  <mergeCells count="4">
    <mergeCell ref="B1:C1"/>
    <mergeCell ref="C2:X2"/>
    <mergeCell ref="B5:B6"/>
    <mergeCell ref="C5:D6"/>
  </mergeCells>
  <pageMargins left="0.25" right="0.25" top="0.75" bottom="0.75" header="0.3" footer="0.3"/>
  <pageSetup paperSize="8" scale="79"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7</vt:i4>
      </vt:variant>
    </vt:vector>
  </HeadingPairs>
  <TitlesOfParts>
    <vt:vector size="12" baseType="lpstr">
      <vt:lpstr>base_cron_sfm</vt:lpstr>
      <vt:lpstr>_base_cron_fp</vt:lpstr>
      <vt:lpstr>BDI</vt:lpstr>
      <vt:lpstr>ORÇAMENTO</vt:lpstr>
      <vt:lpstr>CRONOGRAMA</vt:lpstr>
      <vt:lpstr>_base_cron_fp!Area_de_impressao</vt:lpstr>
      <vt:lpstr>base_cron_sfm!Area_de_impressao</vt:lpstr>
      <vt:lpstr>BDI!Area_de_impressao</vt:lpstr>
      <vt:lpstr>CRONOGRAMA!Area_de_impressao</vt:lpstr>
      <vt:lpstr>ORÇAMENTO!Area_de_impressao</vt:lpstr>
      <vt:lpstr>j</vt:lpstr>
      <vt:lpstr>ORÇAMENTO!Titulos_de_impressao</vt:lpstr>
    </vt:vector>
  </TitlesOfParts>
  <Company>PARANACIDADE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Ruy  José da Costa</dc:creator>
  <cp:lastModifiedBy>Jean Carlos Guimarães</cp:lastModifiedBy>
  <cp:lastPrinted>2025-03-26T13:19:49Z</cp:lastPrinted>
  <dcterms:created xsi:type="dcterms:W3CDTF">2008-09-16T14:08:54Z</dcterms:created>
  <dcterms:modified xsi:type="dcterms:W3CDTF">2025-03-26T13:57:52Z</dcterms:modified>
</cp:coreProperties>
</file>