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u Computador\Desktop\COMPRAS 2021\COMPRAS 2026\EDITAIS ADM\EDITAL 225.2026 - PE 225.2026  COLETA DE LIXO\"/>
    </mc:Choice>
  </mc:AlternateContent>
  <xr:revisionPtr revIDLastSave="0" documentId="13_ncr:1_{11CD0BC0-EFC5-4F58-97EA-2F75B012B771}" xr6:coauthVersionLast="47" xr6:coauthVersionMax="47" xr10:uidLastSave="{00000000-0000-0000-0000-000000000000}"/>
  <bookViews>
    <workbookView xWindow="-28920" yWindow="-120" windowWidth="29040" windowHeight="15840" tabRatio="802" activeTab="1" xr2:uid="{00000000-000D-0000-FFFF-FFFF00000000}"/>
  </bookViews>
  <sheets>
    <sheet name="1. Coleta de Residuos de Saude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Coleta de Residuos de Saude'!$A$1:$F$279</definedName>
    <definedName name="_xlnm.Print_Area" localSheetId="1">'2.Encargos Sociais'!$A$1:$C$39</definedName>
    <definedName name="_xlnm.Print_Titles" localSheetId="0">'1. Coleta de Residuos de Saude'!#REF!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9" l="1"/>
  <c r="D83" i="2"/>
  <c r="E83" i="2" s="1"/>
  <c r="D84" i="2"/>
  <c r="C86" i="2"/>
  <c r="C88" i="2"/>
  <c r="E88" i="2" s="1"/>
  <c r="D88" i="2"/>
  <c r="E93" i="2"/>
  <c r="D59" i="2"/>
  <c r="E59" i="2" s="1"/>
  <c r="C61" i="2"/>
  <c r="C62" i="2"/>
  <c r="E67" i="2"/>
  <c r="A26" i="2"/>
  <c r="F257" i="2"/>
  <c r="C256" i="2"/>
  <c r="E256" i="2" s="1"/>
  <c r="F258" i="2" s="1"/>
  <c r="D61" i="2" l="1"/>
  <c r="E61" i="2" s="1"/>
  <c r="D62" i="2" s="1"/>
  <c r="E62" i="2" s="1"/>
  <c r="E63" i="2" s="1"/>
  <c r="D86" i="2"/>
  <c r="E86" i="2" s="1"/>
  <c r="E89" i="2" s="1"/>
  <c r="F259" i="2"/>
  <c r="E26" i="2" s="1"/>
  <c r="C23" i="5"/>
  <c r="D90" i="2" l="1"/>
  <c r="D64" i="2"/>
  <c r="C190" i="2"/>
  <c r="C189" i="2"/>
  <c r="C191" i="2"/>
  <c r="A27" i="2" l="1"/>
  <c r="A25" i="2"/>
  <c r="A24" i="2"/>
  <c r="A16" i="2"/>
  <c r="A15" i="2"/>
  <c r="A7" i="2"/>
  <c r="C22" i="9" l="1"/>
  <c r="C24" i="9" s="1"/>
  <c r="C160" i="2"/>
  <c r="C165" i="2"/>
  <c r="E36" i="2" l="1"/>
  <c r="E35" i="2"/>
  <c r="E34" i="2"/>
  <c r="E33" i="2"/>
  <c r="E40" i="2"/>
  <c r="C184" i="2" l="1"/>
  <c r="C179" i="2"/>
  <c r="D209" i="2"/>
  <c r="D207" i="2"/>
  <c r="D205" i="2"/>
  <c r="D203" i="2"/>
  <c r="D139" i="2" l="1"/>
  <c r="E139" i="2" s="1"/>
  <c r="E123" i="2"/>
  <c r="E124" i="2"/>
  <c r="E125" i="2"/>
  <c r="E126" i="2"/>
  <c r="E127" i="2"/>
  <c r="E128" i="2"/>
  <c r="E129" i="2"/>
  <c r="E130" i="2"/>
  <c r="E131" i="2"/>
  <c r="E122" i="2"/>
  <c r="C224" i="2" l="1"/>
  <c r="A23" i="2"/>
  <c r="A22" i="2"/>
  <c r="A21" i="2"/>
  <c r="A20" i="2"/>
  <c r="A19" i="2"/>
  <c r="A18" i="2"/>
  <c r="A17" i="2"/>
  <c r="A14" i="2"/>
  <c r="A13" i="2"/>
  <c r="A12" i="2"/>
  <c r="A11" i="2"/>
  <c r="A10" i="2"/>
  <c r="A9" i="2"/>
  <c r="A8" i="2"/>
  <c r="C20" i="8"/>
  <c r="E249" i="2"/>
  <c r="E193" i="2"/>
  <c r="E185" i="2"/>
  <c r="E169" i="2"/>
  <c r="E147" i="2"/>
  <c r="E134" i="2"/>
  <c r="E113" i="2"/>
  <c r="E79" i="2"/>
  <c r="E55" i="2"/>
  <c r="D173" i="2"/>
  <c r="C15" i="4"/>
  <c r="C20" i="4" s="1"/>
  <c r="C265" i="2" s="1"/>
  <c r="F13" i="4"/>
  <c r="E13" i="4"/>
  <c r="D13" i="4"/>
  <c r="C17" i="8"/>
  <c r="C25" i="5"/>
  <c r="E71" i="2"/>
  <c r="D100" i="2" s="1"/>
  <c r="C100" i="2"/>
  <c r="C222" i="2"/>
  <c r="E222" i="2" s="1"/>
  <c r="C201" i="2"/>
  <c r="C203" i="2" s="1"/>
  <c r="E203" i="2" s="1"/>
  <c r="D201" i="2"/>
  <c r="D210" i="2" s="1"/>
  <c r="E157" i="2"/>
  <c r="D178" i="2"/>
  <c r="C166" i="2"/>
  <c r="C161" i="2"/>
  <c r="C245" i="2"/>
  <c r="C247" i="2" s="1"/>
  <c r="E247" i="2" s="1"/>
  <c r="D248" i="2" s="1"/>
  <c r="E248" i="2" s="1"/>
  <c r="C162" i="2"/>
  <c r="C178" i="2" s="1"/>
  <c r="C99" i="2"/>
  <c r="A33" i="2"/>
  <c r="A34" i="2"/>
  <c r="A35" i="2"/>
  <c r="A36" i="2"/>
  <c r="A40" i="2"/>
  <c r="E49" i="2"/>
  <c r="D99" i="2" s="1"/>
  <c r="A105" i="2"/>
  <c r="A111" i="2" s="1"/>
  <c r="A106" i="2"/>
  <c r="A112" i="2" s="1"/>
  <c r="E132" i="2"/>
  <c r="D140" i="2"/>
  <c r="E140" i="2" s="1"/>
  <c r="D141" i="2"/>
  <c r="E141" i="2" s="1"/>
  <c r="D142" i="2"/>
  <c r="E142" i="2" s="1"/>
  <c r="D143" i="2"/>
  <c r="E143" i="2" s="1"/>
  <c r="D144" i="2"/>
  <c r="E144" i="2" s="1"/>
  <c r="E145" i="2"/>
  <c r="E220" i="2"/>
  <c r="E191" i="2"/>
  <c r="E190" i="2"/>
  <c r="E233" i="2"/>
  <c r="E236" i="2"/>
  <c r="E237" i="2"/>
  <c r="E234" i="2"/>
  <c r="E235" i="2"/>
  <c r="D74" i="2"/>
  <c r="E74" i="2" s="1"/>
  <c r="C27" i="5" l="1"/>
  <c r="C28" i="5" s="1"/>
  <c r="C26" i="5"/>
  <c r="C31" i="8" s="1"/>
  <c r="D160" i="2"/>
  <c r="E160" i="2" s="1"/>
  <c r="D189" i="2"/>
  <c r="C207" i="2"/>
  <c r="E207" i="2" s="1"/>
  <c r="C209" i="2"/>
  <c r="E209" i="2" s="1"/>
  <c r="F238" i="2"/>
  <c r="F240" i="2" s="1"/>
  <c r="E24" i="2" s="1"/>
  <c r="C106" i="2"/>
  <c r="E106" i="2" s="1"/>
  <c r="E201" i="2"/>
  <c r="E162" i="2"/>
  <c r="C180" i="2" s="1"/>
  <c r="D133" i="2"/>
  <c r="C105" i="2"/>
  <c r="E105" i="2" s="1"/>
  <c r="C133" i="2"/>
  <c r="E37" i="2"/>
  <c r="C111" i="2"/>
  <c r="E111" i="2" s="1"/>
  <c r="E99" i="2"/>
  <c r="E178" i="2"/>
  <c r="C112" i="2"/>
  <c r="E112" i="2" s="1"/>
  <c r="D50" i="2"/>
  <c r="E50" i="2" s="1"/>
  <c r="E51" i="2" s="1"/>
  <c r="D52" i="2" s="1"/>
  <c r="C146" i="2"/>
  <c r="C205" i="2"/>
  <c r="E205" i="2" s="1"/>
  <c r="C215" i="2"/>
  <c r="E215" i="2" s="1"/>
  <c r="F216" i="2" s="1"/>
  <c r="E22" i="2" s="1"/>
  <c r="E245" i="2"/>
  <c r="D246" i="2" s="1"/>
  <c r="E246" i="2" s="1"/>
  <c r="F249" i="2" s="1"/>
  <c r="F251" i="2" s="1"/>
  <c r="E25" i="2" s="1"/>
  <c r="E173" i="2"/>
  <c r="D223" i="2"/>
  <c r="E223" i="2" s="1"/>
  <c r="D224" i="2" s="1"/>
  <c r="E224" i="2" s="1"/>
  <c r="F225" i="2" s="1"/>
  <c r="E23" i="2" s="1"/>
  <c r="E100" i="2"/>
  <c r="D146" i="2"/>
  <c r="E75" i="2"/>
  <c r="C30" i="8" l="1"/>
  <c r="C33" i="5"/>
  <c r="C27" i="8" s="1"/>
  <c r="C35" i="8" s="1"/>
  <c r="D161" i="2"/>
  <c r="E161" i="2" s="1"/>
  <c r="E189" i="2"/>
  <c r="D192" i="2" s="1"/>
  <c r="E192" i="2" s="1"/>
  <c r="F193" i="2" s="1"/>
  <c r="E20" i="2" s="1"/>
  <c r="C175" i="2"/>
  <c r="C176" i="2" s="1"/>
  <c r="D177" i="2" s="1"/>
  <c r="E177" i="2" s="1"/>
  <c r="C28" i="8"/>
  <c r="C19" i="8"/>
  <c r="C25" i="8" s="1"/>
  <c r="C34" i="8" s="1"/>
  <c r="F107" i="2"/>
  <c r="E13" i="2" s="1"/>
  <c r="F113" i="2"/>
  <c r="E14" i="2" s="1"/>
  <c r="E146" i="2"/>
  <c r="F147" i="2" s="1"/>
  <c r="E133" i="2"/>
  <c r="F134" i="2" s="1"/>
  <c r="D165" i="2"/>
  <c r="E165" i="2" s="1"/>
  <c r="D166" i="2" s="1"/>
  <c r="E166" i="2" s="1"/>
  <c r="F101" i="2"/>
  <c r="E12" i="2" s="1"/>
  <c r="F211" i="2"/>
  <c r="E21" i="2" s="1"/>
  <c r="D76" i="2"/>
  <c r="C29" i="8" l="1"/>
  <c r="C32" i="8" s="1"/>
  <c r="C36" i="8"/>
  <c r="E167" i="2"/>
  <c r="D168" i="2" s="1"/>
  <c r="E168" i="2" s="1"/>
  <c r="F169" i="2" s="1"/>
  <c r="E18" i="2" s="1"/>
  <c r="C181" i="2"/>
  <c r="D182" i="2" s="1"/>
  <c r="E182" i="2" s="1"/>
  <c r="E183" i="2" s="1"/>
  <c r="D184" i="2" s="1"/>
  <c r="E184" i="2" s="1"/>
  <c r="F185" i="2" s="1"/>
  <c r="F149" i="2"/>
  <c r="E15" i="2" s="1"/>
  <c r="C37" i="8" l="1"/>
  <c r="E19" i="2"/>
  <c r="E17" i="2" s="1"/>
  <c r="F228" i="2"/>
  <c r="E16" i="2" s="1"/>
  <c r="C76" i="2" l="1"/>
  <c r="C90" i="2"/>
  <c r="E90" i="2" s="1"/>
  <c r="E91" i="2" s="1"/>
  <c r="D92" i="2" s="1"/>
  <c r="E92" i="2" s="1"/>
  <c r="C64" i="2"/>
  <c r="E64" i="2" s="1"/>
  <c r="E65" i="2" s="1"/>
  <c r="D66" i="2" s="1"/>
  <c r="E66" i="2" s="1"/>
  <c r="F67" i="2" s="1"/>
  <c r="E9" i="2" s="1"/>
  <c r="C52" i="2"/>
  <c r="E52" i="2" s="1"/>
  <c r="E53" i="2" s="1"/>
  <c r="D54" i="2" s="1"/>
  <c r="E54" i="2" s="1"/>
  <c r="F55" i="2" s="1"/>
  <c r="E8" i="2" s="1"/>
  <c r="E11" i="2"/>
  <c r="E76" i="2"/>
  <c r="E77" i="2" s="1"/>
  <c r="D78" i="2" s="1"/>
  <c r="E78" i="2" s="1"/>
  <c r="F79" i="2" s="1"/>
  <c r="E10" i="2" s="1"/>
  <c r="F115" i="2" l="1"/>
  <c r="F261" i="2" s="1"/>
  <c r="E7" i="2" l="1"/>
  <c r="D265" i="2"/>
  <c r="E265" i="2" s="1"/>
  <c r="F267" i="2" s="1"/>
  <c r="E27" i="2" s="1"/>
  <c r="E28" i="2" l="1"/>
  <c r="F270" i="2"/>
  <c r="F275" i="2" s="1"/>
  <c r="F7" i="2" l="1"/>
  <c r="F26" i="2"/>
  <c r="F25" i="2"/>
  <c r="F9" i="2"/>
  <c r="F15" i="2"/>
  <c r="F8" i="2"/>
  <c r="F14" i="2"/>
  <c r="F11" i="2"/>
  <c r="F16" i="2"/>
  <c r="F23" i="2"/>
  <c r="F22" i="2"/>
  <c r="F10" i="2"/>
  <c r="F17" i="2"/>
  <c r="F18" i="2"/>
  <c r="F19" i="2"/>
  <c r="F13" i="2"/>
  <c r="F20" i="2"/>
  <c r="F12" i="2"/>
  <c r="F24" i="2"/>
  <c r="F21" i="2"/>
  <c r="F27" i="2"/>
  <c r="F2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5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4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60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64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6" authorId="0" shapeId="0" xr:uid="{00000000-0006-0000-00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71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72" authorId="0" shapeId="0" xr:uid="{00000000-0006-0000-00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73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4" authorId="0" shapeId="0" xr:uid="{00000000-0006-0000-00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6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8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85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87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0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2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97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98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99" authorId="0" shapeId="0" xr:uid="{00000000-0006-0000-0000-000025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00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05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06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11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12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22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2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3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3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4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4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5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5" authorId="0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6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6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7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7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8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8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9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9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30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30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31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31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32" authorId="0" shapeId="0" xr:uid="{00000000-0006-0000-0000-00003F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39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0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1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2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3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44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5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57" authorId="0" shapeId="0" xr:uid="{00000000-0006-0000-0000-00004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58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59" authorId="0" shapeId="0" xr:uid="{00000000-0006-0000-0000-00004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60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2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63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64" authorId="0" shapeId="0" xr:uid="{00000000-0006-0000-0000-00004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65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8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74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0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91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97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00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00" authorId="0" shapeId="0" xr:uid="{00000000-0006-0000-0000-00005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02" authorId="0" shapeId="0" xr:uid="{00000000-0006-0000-0000-00005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02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04" authorId="0" shapeId="0" xr:uid="{00000000-0006-0000-0000-00005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04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06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06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08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08" authorId="0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15" authorId="0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20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20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21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22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23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33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3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4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4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5" authorId="0" shapeId="0" xr:uid="{00000000-0006-0000-0000-00006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5" authorId="0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6" authorId="0" shapeId="0" xr:uid="{00000000-0006-0000-0000-00006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6" authorId="0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7" authorId="0" shapeId="0" xr:uid="{00000000-0006-0000-0000-00006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7" authorId="0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42" authorId="0" shapeId="0" xr:uid="{00000000-0006-0000-0000-00006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5" authorId="0" shapeId="0" xr:uid="{00000000-0006-0000-0000-00006F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47" authorId="0" shapeId="0" xr:uid="{00000000-0006-0000-0000-000070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A253" authorId="0" shapeId="0" xr:uid="{A2C375FD-BE0B-4A8E-8136-327C7F05F3AF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6" authorId="0" shapeId="0" xr:uid="{2724B9C3-69AB-4DC4-B7A8-9FD914600F1F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C265" authorId="0" shapeId="0" xr:uid="{00000000-0006-0000-0000-000071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73" authorId="0" shapeId="0" xr:uid="{00000000-0006-0000-0000-000072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6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00000000-0006-0000-06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6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600-000004000000}">
      <text>
        <r>
          <rPr>
            <b/>
            <sz val="8"/>
            <color indexed="81"/>
            <rFont val="Tahoma"/>
            <charset val="1"/>
          </rPr>
          <t>Informe o número de dias de coleta por semana</t>
        </r>
      </text>
    </comment>
    <comment ref="C19" authorId="0" shapeId="0" xr:uid="{00000000-0006-0000-06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6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6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<sst xmlns="http://schemas.openxmlformats.org/spreadsheetml/2006/main" count="542" uniqueCount="306">
  <si>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</si>
  <si>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</si>
  <si>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</si>
  <si>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</si>
  <si>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</si>
  <si>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</si>
  <si>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</si>
  <si>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</si>
  <si>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</si>
  <si>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</si>
  <si>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</si>
  <si>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</si>
  <si>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</si>
  <si>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</si>
  <si>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</si>
  <si>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</si>
  <si>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</si>
  <si>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</si>
  <si>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</si>
  <si>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</si>
  <si>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</si>
  <si>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</si>
  <si>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</si>
  <si>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</si>
  <si>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</si>
  <si>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</si>
  <si>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</si>
  <si>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</si>
  <si>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</si>
  <si>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</si>
  <si>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</si>
  <si>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</si>
  <si>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</si>
  <si>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R$/tonelada</t>
  </si>
  <si>
    <t>R$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</si>
  <si>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</si>
  <si>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</si>
  <si>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</si>
  <si>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</si>
  <si>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</si>
  <si>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</si>
  <si>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</si>
  <si>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</si>
  <si>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</si>
  <si>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</si>
  <si>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</si>
  <si>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</si>
  <si>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</si>
  <si>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</si>
  <si>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</si>
  <si>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</si>
  <si>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</si>
  <si>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</si>
  <si>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</si>
  <si>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</si>
  <si>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</si>
  <si>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</si>
  <si>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</si>
  <si>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</si>
  <si>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</si>
  <si>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</si>
  <si>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</si>
  <si>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</si>
  <si>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</si>
  <si>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</si>
  <si>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</si>
  <si>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</si>
  <si>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</si>
  <si>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</si>
  <si>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</si>
  <si>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PREÇO POR TONELADA COLETADA:  [A/B]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</si>
  <si>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</si>
  <si>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</si>
  <si>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</si>
  <si>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</si>
  <si>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</si>
  <si>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</si>
  <si>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</si>
  <si>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</si>
  <si>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</si>
  <si>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</si>
  <si>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</si>
  <si>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</si>
  <si>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</si>
  <si>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</si>
  <si>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</si>
  <si>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</si>
  <si>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</si>
  <si>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</si>
  <si>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</si>
  <si>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</si>
  <si>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Vale Transporte</t>
  </si>
  <si>
    <t>Dias Trabalhados por mês</t>
  </si>
  <si>
    <t>dia</t>
  </si>
  <si>
    <t>Custo Mensal com Mão-de-obra (R$/mês)</t>
  </si>
  <si>
    <t>Meia de algodão com cano alto</t>
  </si>
  <si>
    <r>
      <t>3.1. Veículo Coletor Compactador</t>
    </r>
    <r>
      <rPr>
        <sz val="10"/>
        <color indexed="10"/>
        <rFont val="Arial"/>
        <family val="2"/>
      </rPr>
      <t xml:space="preserve"> xx</t>
    </r>
    <r>
      <rPr>
        <sz val="10"/>
        <rFont val="Arial"/>
        <family val="2"/>
      </rPr>
      <t xml:space="preserve"> m³</t>
    </r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</si>
  <si>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</si>
  <si>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</si>
  <si>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</si>
  <si>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</si>
  <si>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1.1. Coletor Turno Dia</t>
  </si>
  <si>
    <t>1.3. Motorista Turno do Dia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</si>
  <si>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</si>
  <si>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</si>
  <si>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</si>
  <si>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</si>
  <si>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</si>
  <si>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</si>
  <si>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</si>
  <si>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</si>
  <si>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</si>
  <si>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</si>
  <si>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</si>
  <si>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</si>
  <si>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</si>
  <si>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</si>
  <si>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</si>
  <si>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</si>
  <si>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</si>
  <si>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</si>
  <si>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</si>
  <si>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</si>
  <si>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</si>
  <si>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</si>
  <si>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</si>
  <si>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</si>
  <si>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</si>
  <si>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</si>
  <si>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</si>
  <si>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</si>
  <si>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</si>
  <si>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</si>
  <si>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</si>
  <si>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</si>
  <si>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</si>
  <si>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</si>
  <si>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</si>
  <si>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</si>
  <si>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</si>
  <si>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</si>
  <si>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</si>
  <si>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</si>
  <si>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</si>
  <si>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</si>
  <si>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</si>
  <si>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</si>
  <si>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</si>
  <si>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</si>
  <si>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</si>
  <si>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</si>
  <si>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</si>
  <si>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</si>
  <si>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</si>
  <si>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</si>
  <si>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</si>
  <si>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</si>
  <si>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</si>
  <si>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</si>
  <si>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</si>
  <si>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</si>
  <si>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</si>
  <si>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</si>
  <si>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</si>
  <si>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</si>
  <si>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</si>
  <si>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</si>
  <si>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</si>
  <si>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</si>
  <si>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</si>
  <si>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</si>
  <si>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</si>
  <si>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</si>
  <si>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</si>
  <si>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</si>
  <si>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</si>
  <si>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</si>
  <si>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</si>
  <si>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</si>
  <si>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</si>
  <si>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</si>
  <si>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</si>
  <si>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</si>
  <si>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</si>
  <si>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</si>
  <si>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</si>
  <si>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</si>
  <si>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</si>
  <si>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</si>
  <si>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</si>
  <si>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</si>
  <si>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</si>
  <si>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</si>
  <si>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</si>
  <si>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</si>
  <si>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</si>
  <si>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</si>
  <si>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</si>
  <si>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</si>
  <si>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</si>
  <si>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</si>
  <si>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</si>
  <si>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</si>
  <si>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</si>
  <si>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</si>
  <si>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</si>
  <si>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</si>
  <si>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</si>
  <si>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</si>
  <si>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</si>
  <si>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</si>
  <si>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</si>
  <si>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</si>
  <si>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</si>
  <si>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</si>
  <si>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</si>
  <si>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</si>
  <si>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</si>
  <si>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</si>
  <si>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C2</t>
  </si>
  <si>
    <t>B3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</si>
  <si>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</si>
  <si>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</si>
  <si>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</si>
  <si>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</si>
  <si>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</si>
  <si>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</si>
  <si>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</si>
  <si>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</si>
  <si>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</si>
  <si>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</si>
  <si>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</si>
  <si>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</si>
  <si>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</si>
  <si>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</si>
  <si>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</si>
  <si>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</si>
  <si>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</si>
  <si>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</si>
  <si>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</si>
  <si>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</si>
  <si>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</si>
  <si>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</si>
  <si>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</si>
  <si>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</si>
  <si>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</si>
  <si>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</si>
  <si>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</si>
  <si>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</si>
  <si>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</si>
  <si>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</si>
  <si>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</si>
  <si>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</si>
  <si>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</si>
  <si>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</si>
  <si>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</si>
  <si>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</si>
  <si>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</si>
  <si>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</si>
  <si>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</si>
  <si>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</si>
  <si>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</si>
  <si>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</si>
  <si>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</si>
  <si>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</si>
  <si>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</si>
  <si>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</si>
  <si>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</si>
  <si>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</si>
  <si>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</si>
  <si>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</si>
  <si>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</si>
  <si>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</si>
  <si>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</si>
  <si>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</si>
  <si>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</si>
  <si>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</si>
  <si>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</si>
  <si>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</si>
  <si>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</si>
  <si>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</si>
  <si>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</si>
  <si>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</si>
  <si>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</si>
  <si>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</si>
  <si>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</si>
  <si>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</si>
  <si>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</si>
  <si>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</si>
  <si>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</si>
  <si>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</si>
  <si>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</si>
  <si>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</si>
  <si>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</si>
  <si>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</si>
  <si>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</si>
  <si>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</si>
  <si>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</si>
  <si>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t>6. Destinação Final</t>
  </si>
  <si>
    <t>Disposição Final dos Resíduos Coletados</t>
  </si>
  <si>
    <t>Tonelada</t>
  </si>
  <si>
    <t>Custo Mensal com Disposição Final (R$/mês)</t>
  </si>
  <si>
    <t>7. Benefícios e Despesas Indiretas - BDI</t>
  </si>
  <si>
    <t>1.4. Motorista Turno Noite - DESCONSIDERAR - NÃO HAVERA PREVISÃO NO EDITAL.</t>
  </si>
  <si>
    <t>1.2. Coletor Turno Noite- DESCONSIDERAR - NÃO HAVERA PREVISÃO NO EDITAL.</t>
  </si>
  <si>
    <t xml:space="preserve">1. Coleta de Resíduos de Saúde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</si>
</sst>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</numFmts>
  <fonts count="3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charset val="1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48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65" fontId="13" fillId="2" borderId="17" xfId="3" applyFont="1" applyFill="1" applyBorder="1" applyAlignment="1">
      <alignment horizontal="center" vertical="center"/>
    </xf>
    <xf numFmtId="165" fontId="13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1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165" fontId="13" fillId="2" borderId="33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18" fillId="0" borderId="14" xfId="0" applyFont="1" applyBorder="1"/>
    <xf numFmtId="0" fontId="18" fillId="0" borderId="47" xfId="0" applyFont="1" applyBorder="1"/>
    <xf numFmtId="0" fontId="18" fillId="3" borderId="20" xfId="0" applyFont="1" applyFill="1" applyBorder="1"/>
    <xf numFmtId="0" fontId="18" fillId="0" borderId="23" xfId="0" applyFont="1" applyBorder="1"/>
    <xf numFmtId="0" fontId="18" fillId="0" borderId="48" xfId="0" applyFont="1" applyBorder="1"/>
    <xf numFmtId="0" fontId="18" fillId="0" borderId="20" xfId="0" applyFont="1" applyBorder="1"/>
    <xf numFmtId="0" fontId="18" fillId="0" borderId="28" xfId="0" applyFont="1" applyBorder="1"/>
    <xf numFmtId="2" fontId="19" fillId="7" borderId="1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2" fontId="19" fillId="7" borderId="36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0" fontId="19" fillId="0" borderId="20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10" fontId="23" fillId="0" borderId="20" xfId="0" applyNumberFormat="1" applyFont="1" applyBorder="1" applyAlignment="1">
      <alignment horizontal="right" vertical="center"/>
    </xf>
    <xf numFmtId="0" fontId="19" fillId="5" borderId="23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10" fontId="23" fillId="5" borderId="20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10" fontId="6" fillId="0" borderId="0" xfId="0" applyNumberFormat="1" applyFont="1"/>
    <xf numFmtId="9" fontId="19" fillId="0" borderId="0" xfId="2" applyFont="1" applyBorder="1" applyAlignment="1">
      <alignment horizontal="right" vertical="center"/>
    </xf>
    <xf numFmtId="0" fontId="19" fillId="0" borderId="1" xfId="0" applyFont="1" applyBorder="1" applyAlignment="1">
      <alignment horizontal="left" vertical="center" wrapText="1"/>
    </xf>
    <xf numFmtId="0" fontId="19" fillId="9" borderId="24" xfId="0" applyFont="1" applyFill="1" applyBorder="1" applyAlignment="1">
      <alignment horizontal="left" vertical="center"/>
    </xf>
    <xf numFmtId="0" fontId="23" fillId="9" borderId="36" xfId="0" applyFont="1" applyFill="1" applyBorder="1" applyAlignment="1">
      <alignment horizontal="left" vertical="center"/>
    </xf>
    <xf numFmtId="10" fontId="23" fillId="9" borderId="37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10" fontId="23" fillId="0" borderId="0" xfId="0" applyNumberFormat="1" applyFont="1" applyAlignment="1">
      <alignment horizontal="right" vertical="center"/>
    </xf>
    <xf numFmtId="0" fontId="25" fillId="4" borderId="0" xfId="0" applyFont="1" applyFill="1" applyAlignment="1">
      <alignment horizontal="left" vertical="center"/>
    </xf>
    <xf numFmtId="10" fontId="19" fillId="0" borderId="0" xfId="0" applyNumberFormat="1" applyFont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26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7" fillId="0" borderId="0" xfId="0" applyFont="1"/>
    <xf numFmtId="0" fontId="19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7" fillId="0" borderId="38" xfId="0" applyFont="1" applyBorder="1" applyAlignment="1">
      <alignment horizontal="left" vertical="center"/>
    </xf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20" fillId="0" borderId="52" xfId="0" applyFont="1" applyBorder="1" applyAlignment="1">
      <alignment horizontal="justify"/>
    </xf>
    <xf numFmtId="0" fontId="20" fillId="0" borderId="53" xfId="0" applyFont="1" applyBorder="1" applyAlignment="1">
      <alignment horizontal="justify"/>
    </xf>
    <xf numFmtId="0" fontId="17" fillId="10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65" fontId="6" fillId="3" borderId="9" xfId="3" applyFont="1" applyFill="1" applyBorder="1" applyAlignment="1">
      <alignment vertical="center"/>
    </xf>
    <xf numFmtId="165" fontId="6" fillId="0" borderId="10" xfId="3" applyFont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5" fontId="3" fillId="0" borderId="54" xfId="3" applyFont="1" applyBorder="1" applyAlignment="1">
      <alignment horizontal="center" vertical="center"/>
    </xf>
    <xf numFmtId="165" fontId="3" fillId="0" borderId="54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1" xfId="0" applyFont="1" applyBorder="1"/>
    <xf numFmtId="170" fontId="24" fillId="0" borderId="20" xfId="3" applyNumberFormat="1" applyFont="1" applyBorder="1" applyAlignment="1">
      <alignment horizontal="center" vertical="center" wrapText="1"/>
    </xf>
    <xf numFmtId="171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Border="1"/>
    <xf numFmtId="0" fontId="5" fillId="0" borderId="36" xfId="0" applyFont="1" applyBorder="1"/>
    <xf numFmtId="171" fontId="5" fillId="3" borderId="20" xfId="0" applyNumberFormat="1" applyFont="1" applyFill="1" applyBorder="1"/>
    <xf numFmtId="171" fontId="5" fillId="0" borderId="37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172" fontId="5" fillId="3" borderId="20" xfId="0" applyNumberFormat="1" applyFont="1" applyFill="1" applyBorder="1"/>
    <xf numFmtId="0" fontId="5" fillId="0" borderId="23" xfId="0" applyFont="1" applyBorder="1" applyAlignment="1">
      <alignment horizontal="right"/>
    </xf>
    <xf numFmtId="4" fontId="32" fillId="0" borderId="0" xfId="0" applyNumberFormat="1" applyFont="1" applyAlignment="1">
      <alignment vertical="center"/>
    </xf>
    <xf numFmtId="0" fontId="31" fillId="0" borderId="0" xfId="0" applyFont="1"/>
    <xf numFmtId="0" fontId="1" fillId="0" borderId="2" xfId="0" applyFont="1" applyBorder="1" applyAlignment="1">
      <alignment vertical="center"/>
    </xf>
    <xf numFmtId="169" fontId="7" fillId="0" borderId="20" xfId="0" applyNumberFormat="1" applyFont="1" applyBorder="1"/>
    <xf numFmtId="9" fontId="18" fillId="0" borderId="20" xfId="2" applyFont="1" applyBorder="1"/>
    <xf numFmtId="10" fontId="18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165" fontId="3" fillId="2" borderId="0" xfId="3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8" fontId="3" fillId="0" borderId="3" xfId="0" applyNumberFormat="1" applyFont="1" applyBorder="1" applyAlignment="1">
      <alignment vertical="center"/>
    </xf>
    <xf numFmtId="0" fontId="13" fillId="11" borderId="16" xfId="0" applyFont="1" applyFill="1" applyBorder="1" applyAlignment="1">
      <alignment horizontal="center" vertical="center"/>
    </xf>
    <xf numFmtId="0" fontId="13" fillId="11" borderId="17" xfId="0" applyFont="1" applyFill="1" applyBorder="1" applyAlignment="1">
      <alignment horizontal="center" vertical="center"/>
    </xf>
    <xf numFmtId="165" fontId="13" fillId="11" borderId="17" xfId="3" applyFont="1" applyFill="1" applyBorder="1" applyAlignment="1">
      <alignment horizontal="center" vertical="center"/>
    </xf>
    <xf numFmtId="165" fontId="13" fillId="11" borderId="18" xfId="3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vertical="center"/>
    </xf>
    <xf numFmtId="0" fontId="6" fillId="11" borderId="2" xfId="0" applyFont="1" applyFill="1" applyBorder="1" applyAlignment="1">
      <alignment horizontal="center" vertical="center"/>
    </xf>
    <xf numFmtId="165" fontId="6" fillId="11" borderId="2" xfId="3" applyFont="1" applyFill="1" applyBorder="1" applyAlignment="1">
      <alignment horizontal="center" vertical="center"/>
    </xf>
    <xf numFmtId="165" fontId="6" fillId="11" borderId="0" xfId="3" applyFont="1" applyFill="1" applyAlignment="1">
      <alignment vertical="center"/>
    </xf>
    <xf numFmtId="165" fontId="6" fillId="11" borderId="1" xfId="3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vertical="center"/>
    </xf>
    <xf numFmtId="0" fontId="6" fillId="11" borderId="1" xfId="0" applyFont="1" applyFill="1" applyBorder="1" applyAlignment="1">
      <alignment horizontal="center" vertical="center"/>
    </xf>
    <xf numFmtId="2" fontId="6" fillId="11" borderId="1" xfId="0" applyNumberFormat="1" applyFont="1" applyFill="1" applyBorder="1" applyAlignment="1">
      <alignment horizontal="center" vertical="center"/>
    </xf>
    <xf numFmtId="1" fontId="6" fillId="11" borderId="1" xfId="0" applyNumberFormat="1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vertical="center"/>
    </xf>
    <xf numFmtId="0" fontId="3" fillId="11" borderId="0" xfId="0" applyFont="1" applyFill="1" applyAlignment="1">
      <alignment horizontal="center" vertical="center"/>
    </xf>
    <xf numFmtId="165" fontId="3" fillId="11" borderId="0" xfId="3" applyFont="1" applyFill="1" applyAlignment="1">
      <alignment horizontal="center" vertical="center"/>
    </xf>
    <xf numFmtId="165" fontId="3" fillId="11" borderId="3" xfId="3" applyFont="1" applyFill="1" applyBorder="1" applyAlignment="1">
      <alignment horizontal="center" vertical="center"/>
    </xf>
    <xf numFmtId="165" fontId="3" fillId="11" borderId="0" xfId="3" applyFont="1" applyFill="1" applyAlignment="1">
      <alignment vertical="center"/>
    </xf>
    <xf numFmtId="0" fontId="6" fillId="11" borderId="0" xfId="0" applyFont="1" applyFill="1" applyAlignment="1">
      <alignment vertical="center"/>
    </xf>
    <xf numFmtId="165" fontId="6" fillId="11" borderId="0" xfId="3" applyFont="1" applyFill="1" applyAlignment="1">
      <alignment horizontal="right" vertical="center"/>
    </xf>
    <xf numFmtId="165" fontId="6" fillId="11" borderId="1" xfId="3" applyFont="1" applyFill="1" applyBorder="1" applyAlignment="1">
      <alignment vertical="center"/>
    </xf>
    <xf numFmtId="165" fontId="3" fillId="11" borderId="7" xfId="3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vertical="center"/>
    </xf>
    <xf numFmtId="2" fontId="6" fillId="11" borderId="1" xfId="3" applyNumberFormat="1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17" fillId="8" borderId="25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7" fillId="8" borderId="21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/>
    </xf>
    <xf numFmtId="0" fontId="17" fillId="10" borderId="46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7" fillId="10" borderId="21" xfId="0" applyFont="1" applyFill="1" applyBorder="1" applyAlignment="1">
      <alignment horizontal="center"/>
    </xf>
    <xf numFmtId="0" fontId="17" fillId="10" borderId="22" xfId="0" applyFont="1" applyFill="1" applyBorder="1" applyAlignment="1">
      <alignment horizontal="center"/>
    </xf>
    <xf numFmtId="0" fontId="17" fillId="10" borderId="12" xfId="0" applyFont="1" applyFill="1" applyBorder="1" applyAlignment="1">
      <alignment horizont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9"/>
  <sheetViews>
    <sheetView view="pageBreakPreview" topLeftCell="A271" zoomScaleNormal="100" zoomScaleSheetLayoutView="100" workbookViewId="0">
      <selection activeCell="D134" sqref="D134"/>
    </sheetView>
  </sheetViews>
  <sheetFormatPr defaultColWidth="9.140625"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21.140625" style="10" customWidth="1"/>
    <col min="6" max="6" width="24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s="4" customFormat="1" ht="16.5" customHeight="1" thickBot="1" x14ac:dyDescent="0.25">
      <c r="A1" s="7"/>
      <c r="B1" s="5"/>
      <c r="C1" s="5"/>
      <c r="D1" s="6"/>
      <c r="E1" s="6"/>
      <c r="F1" s="6"/>
      <c r="G1" s="6"/>
    </row>
    <row r="2" spans="1:7" s="8" customFormat="1" ht="18" x14ac:dyDescent="0.2">
      <c r="A2" s="318" t="s">
        <v>305</v>
      </c>
      <c r="B2" s="319"/>
      <c r="C2" s="319"/>
      <c r="D2" s="319"/>
      <c r="E2" s="319"/>
      <c r="F2" s="320"/>
      <c r="G2" s="35"/>
    </row>
    <row r="3" spans="1:7" s="8" customFormat="1" ht="21.75" customHeight="1" x14ac:dyDescent="0.2">
      <c r="A3" s="321" t="s">
        <v>42</v>
      </c>
      <c r="B3" s="322"/>
      <c r="C3" s="322"/>
      <c r="D3" s="322"/>
      <c r="E3" s="322"/>
      <c r="F3" s="323"/>
      <c r="G3" s="35"/>
    </row>
    <row r="4" spans="1:7" s="4" customFormat="1" ht="10.9" customHeight="1" thickBot="1" x14ac:dyDescent="0.25">
      <c r="A4" s="139"/>
      <c r="B4" s="5"/>
      <c r="C4" s="5"/>
      <c r="D4" s="140"/>
      <c r="E4" s="140"/>
      <c r="F4" s="141"/>
      <c r="G4" s="6"/>
    </row>
    <row r="5" spans="1:7" s="4" customFormat="1" ht="15.75" customHeight="1" thickBot="1" x14ac:dyDescent="0.25">
      <c r="A5" s="327" t="s">
        <v>207</v>
      </c>
      <c r="B5" s="328"/>
      <c r="C5" s="328"/>
      <c r="D5" s="328"/>
      <c r="E5" s="328"/>
      <c r="F5" s="329"/>
      <c r="G5" s="6"/>
    </row>
    <row r="6" spans="1:7" s="4" customFormat="1" ht="15.75" customHeight="1" x14ac:dyDescent="0.2">
      <c r="A6" s="61" t="s">
        <v>206</v>
      </c>
      <c r="B6" s="39"/>
      <c r="C6" s="39"/>
      <c r="D6" s="239"/>
      <c r="E6" s="109" t="s">
        <v>37</v>
      </c>
      <c r="F6" s="40" t="s">
        <v>1</v>
      </c>
      <c r="G6" s="6"/>
    </row>
    <row r="7" spans="1:7" s="11" customFormat="1" ht="15.75" customHeight="1" x14ac:dyDescent="0.2">
      <c r="A7" s="117" t="str">
        <f>A45</f>
        <v>1. Mão-de-obra</v>
      </c>
      <c r="B7" s="118"/>
      <c r="C7" s="119"/>
      <c r="D7" s="119"/>
      <c r="E7" s="236">
        <f>+F115</f>
        <v>0</v>
      </c>
      <c r="F7" s="120">
        <f>IFERROR(E7/$E$28,0)</f>
        <v>0</v>
      </c>
      <c r="G7" s="43"/>
    </row>
    <row r="8" spans="1:7" s="4" customFormat="1" ht="15.75" customHeight="1" x14ac:dyDescent="0.2">
      <c r="A8" s="48" t="str">
        <f>A47</f>
        <v>1.1. Coletor Turno Dia</v>
      </c>
      <c r="B8" s="44"/>
      <c r="C8" s="46"/>
      <c r="D8" s="46"/>
      <c r="E8" s="237">
        <f>F55</f>
        <v>0</v>
      </c>
      <c r="F8" s="55">
        <f>IFERROR(E8/$E$28,0)</f>
        <v>0</v>
      </c>
      <c r="G8" s="6"/>
    </row>
    <row r="9" spans="1:7" s="4" customFormat="1" ht="15.75" customHeight="1" x14ac:dyDescent="0.2">
      <c r="A9" s="48" t="str">
        <f>A57</f>
        <v>1.2. Coletor Turno Noite- DESCONSIDERAR - NÃO HAVERA PREVISÃO NO EDITAL.</v>
      </c>
      <c r="B9" s="44"/>
      <c r="C9" s="46"/>
      <c r="D9" s="46"/>
      <c r="E9" s="237">
        <f>F67</f>
        <v>0</v>
      </c>
      <c r="F9" s="55">
        <f t="shared" ref="F9:F27" si="0">IFERROR(E9/$E$28,0)</f>
        <v>0</v>
      </c>
      <c r="G9" s="6"/>
    </row>
    <row r="10" spans="1:7" s="4" customFormat="1" ht="15.75" customHeight="1" x14ac:dyDescent="0.2">
      <c r="A10" s="48" t="str">
        <f>A69</f>
        <v>1.3. Motorista Turno do Dia</v>
      </c>
      <c r="B10" s="44"/>
      <c r="C10" s="46"/>
      <c r="D10" s="46"/>
      <c r="E10" s="237">
        <f>F79</f>
        <v>0</v>
      </c>
      <c r="F10" s="55">
        <f t="shared" si="0"/>
        <v>0</v>
      </c>
      <c r="G10" s="6"/>
    </row>
    <row r="11" spans="1:7" s="4" customFormat="1" ht="15.75" customHeight="1" x14ac:dyDescent="0.2">
      <c r="A11" s="48" t="str">
        <f>A81</f>
        <v>1.4. Motorista Turno Noite - DESCONSIDERAR - NÃO HAVERA PREVISÃO NO EDITAL.</v>
      </c>
      <c r="B11" s="44"/>
      <c r="C11" s="46"/>
      <c r="D11" s="46"/>
      <c r="E11" s="237">
        <f>F93</f>
        <v>0</v>
      </c>
      <c r="F11" s="55">
        <f t="shared" si="0"/>
        <v>0</v>
      </c>
      <c r="G11" s="6"/>
    </row>
    <row r="12" spans="1:7" s="4" customFormat="1" ht="15.75" customHeight="1" x14ac:dyDescent="0.2">
      <c r="A12" s="48" t="str">
        <f>A95</f>
        <v>1.5. Vale Transporte</v>
      </c>
      <c r="B12" s="44"/>
      <c r="C12" s="46"/>
      <c r="D12" s="46"/>
      <c r="E12" s="237">
        <f>F101</f>
        <v>0</v>
      </c>
      <c r="F12" s="55">
        <f t="shared" si="0"/>
        <v>0</v>
      </c>
      <c r="G12" s="6"/>
    </row>
    <row r="13" spans="1:7" s="4" customFormat="1" ht="15.75" customHeight="1" x14ac:dyDescent="0.2">
      <c r="A13" s="48" t="str">
        <f>A103</f>
        <v>1.6. Vale-refeição (diário)</v>
      </c>
      <c r="B13" s="44"/>
      <c r="C13" s="46"/>
      <c r="D13" s="46"/>
      <c r="E13" s="237">
        <f>F107</f>
        <v>0</v>
      </c>
      <c r="F13" s="55">
        <f t="shared" si="0"/>
        <v>0</v>
      </c>
      <c r="G13" s="6"/>
    </row>
    <row r="14" spans="1:7" s="4" customFormat="1" ht="15.75" customHeight="1" x14ac:dyDescent="0.2">
      <c r="A14" s="48" t="str">
        <f>A109</f>
        <v>1.7. Auxílio Alimentação (mensal)</v>
      </c>
      <c r="B14" s="44"/>
      <c r="C14" s="46"/>
      <c r="D14" s="46"/>
      <c r="E14" s="237">
        <f>F113</f>
        <v>0</v>
      </c>
      <c r="F14" s="55">
        <f t="shared" si="0"/>
        <v>0</v>
      </c>
      <c r="G14" s="6"/>
    </row>
    <row r="15" spans="1:7" s="11" customFormat="1" ht="15.75" customHeight="1" x14ac:dyDescent="0.2">
      <c r="A15" s="316" t="str">
        <f>A117</f>
        <v>2. Uniformes e Equipamentos de Proteção Individual</v>
      </c>
      <c r="B15" s="317"/>
      <c r="C15" s="317"/>
      <c r="D15" s="119"/>
      <c r="E15" s="236">
        <f>+F149</f>
        <v>0</v>
      </c>
      <c r="F15" s="120">
        <f t="shared" si="0"/>
        <v>0</v>
      </c>
      <c r="G15" s="43"/>
    </row>
    <row r="16" spans="1:7" s="11" customFormat="1" ht="15.75" customHeight="1" x14ac:dyDescent="0.2">
      <c r="A16" s="128" t="str">
        <f>A151</f>
        <v>3. Veículos e Equipamentos</v>
      </c>
      <c r="B16" s="129"/>
      <c r="C16" s="119"/>
      <c r="D16" s="119"/>
      <c r="E16" s="236">
        <f>+F228</f>
        <v>0</v>
      </c>
      <c r="F16" s="120">
        <f t="shared" si="0"/>
        <v>0</v>
      </c>
      <c r="G16" s="43"/>
    </row>
    <row r="17" spans="1:7" s="4" customFormat="1" ht="15.75" customHeight="1" x14ac:dyDescent="0.2">
      <c r="A17" s="62" t="str">
        <f>A153</f>
        <v>3.1. Veículo Coletor Compactador xx m³</v>
      </c>
      <c r="B17" s="45"/>
      <c r="C17" s="46"/>
      <c r="D17" s="46"/>
      <c r="E17" s="237">
        <f>SUM(E18:E23)</f>
        <v>0</v>
      </c>
      <c r="F17" s="134">
        <f t="shared" si="0"/>
        <v>0</v>
      </c>
      <c r="G17" s="6"/>
    </row>
    <row r="18" spans="1:7" s="4" customFormat="1" ht="15.75" customHeight="1" x14ac:dyDescent="0.2">
      <c r="A18" s="62" t="str">
        <f>A155</f>
        <v>3.1.1. Depreciação</v>
      </c>
      <c r="B18" s="45"/>
      <c r="C18" s="46"/>
      <c r="D18" s="46"/>
      <c r="E18" s="237">
        <f>F169</f>
        <v>0</v>
      </c>
      <c r="F18" s="134">
        <f t="shared" si="0"/>
        <v>0</v>
      </c>
      <c r="G18" s="6"/>
    </row>
    <row r="19" spans="1:7" s="4" customFormat="1" ht="15.75" customHeight="1" x14ac:dyDescent="0.2">
      <c r="A19" s="62" t="str">
        <f>A171</f>
        <v>3.1.2. Remuneração do Capital</v>
      </c>
      <c r="B19" s="45"/>
      <c r="C19" s="46"/>
      <c r="D19" s="46"/>
      <c r="E19" s="237">
        <f>F185</f>
        <v>0</v>
      </c>
      <c r="F19" s="134">
        <f t="shared" si="0"/>
        <v>0</v>
      </c>
      <c r="G19" s="6"/>
    </row>
    <row r="20" spans="1:7" s="4" customFormat="1" ht="15.75" customHeight="1" x14ac:dyDescent="0.2">
      <c r="A20" s="62" t="str">
        <f>A187</f>
        <v>3.1.3. Impostos e Seguros</v>
      </c>
      <c r="B20" s="45"/>
      <c r="C20" s="46"/>
      <c r="D20" s="46"/>
      <c r="E20" s="237">
        <f>F193</f>
        <v>0</v>
      </c>
      <c r="F20" s="134">
        <f t="shared" si="0"/>
        <v>0</v>
      </c>
      <c r="G20" s="6"/>
    </row>
    <row r="21" spans="1:7" s="4" customFormat="1" ht="15.75" customHeight="1" x14ac:dyDescent="0.2">
      <c r="A21" s="62" t="str">
        <f>A195</f>
        <v>3.1.4. Consumos</v>
      </c>
      <c r="B21" s="45"/>
      <c r="C21" s="46"/>
      <c r="D21" s="46"/>
      <c r="E21" s="237">
        <f>F211</f>
        <v>0</v>
      </c>
      <c r="F21" s="134">
        <f t="shared" si="0"/>
        <v>0</v>
      </c>
      <c r="G21" s="6"/>
    </row>
    <row r="22" spans="1:7" s="4" customFormat="1" ht="15.75" customHeight="1" x14ac:dyDescent="0.2">
      <c r="A22" s="62" t="str">
        <f>A213</f>
        <v>3.1.5. Manutenção</v>
      </c>
      <c r="B22" s="45"/>
      <c r="C22" s="46"/>
      <c r="D22" s="46"/>
      <c r="E22" s="237">
        <f>F216</f>
        <v>0</v>
      </c>
      <c r="F22" s="134">
        <f t="shared" si="0"/>
        <v>0</v>
      </c>
      <c r="G22" s="6"/>
    </row>
    <row r="23" spans="1:7" s="4" customFormat="1" ht="15.75" customHeight="1" x14ac:dyDescent="0.2">
      <c r="A23" s="62" t="str">
        <f>A218</f>
        <v>3.1.6. Pneus</v>
      </c>
      <c r="B23" s="45"/>
      <c r="C23" s="46"/>
      <c r="D23" s="46"/>
      <c r="E23" s="237">
        <f>F225</f>
        <v>0</v>
      </c>
      <c r="F23" s="134">
        <f t="shared" si="0"/>
        <v>0</v>
      </c>
      <c r="G23" s="6"/>
    </row>
    <row r="24" spans="1:7" s="11" customFormat="1" ht="15.75" customHeight="1" x14ac:dyDescent="0.2">
      <c r="A24" s="128" t="str">
        <f>A230</f>
        <v>4. Ferramentas e Materiais de Consumo</v>
      </c>
      <c r="B24" s="129"/>
      <c r="C24" s="119"/>
      <c r="D24" s="119"/>
      <c r="E24" s="236">
        <f>+F240</f>
        <v>0</v>
      </c>
      <c r="F24" s="120">
        <f t="shared" si="0"/>
        <v>0</v>
      </c>
      <c r="G24" s="43"/>
    </row>
    <row r="25" spans="1:7" s="11" customFormat="1" ht="15.75" customHeight="1" x14ac:dyDescent="0.2">
      <c r="A25" s="128" t="str">
        <f>A242</f>
        <v>5. Monitoramento da Frota</v>
      </c>
      <c r="B25" s="129"/>
      <c r="C25" s="119"/>
      <c r="D25" s="119"/>
      <c r="E25" s="236">
        <f>+F251</f>
        <v>0</v>
      </c>
      <c r="F25" s="120">
        <f t="shared" si="0"/>
        <v>0</v>
      </c>
      <c r="G25" s="43"/>
    </row>
    <row r="26" spans="1:7" s="11" customFormat="1" ht="15.75" customHeight="1" x14ac:dyDescent="0.2">
      <c r="A26" s="128" t="str">
        <f>A253</f>
        <v>6. Destinação Final</v>
      </c>
      <c r="B26" s="129"/>
      <c r="C26" s="119"/>
      <c r="D26" s="119"/>
      <c r="E26" s="287">
        <f>F259</f>
        <v>0</v>
      </c>
      <c r="F26" s="120">
        <f t="shared" si="0"/>
        <v>0</v>
      </c>
      <c r="G26" s="43"/>
    </row>
    <row r="27" spans="1:7" s="11" customFormat="1" ht="15.75" customHeight="1" thickBot="1" x14ac:dyDescent="0.25">
      <c r="A27" s="128" t="str">
        <f>A263</f>
        <v>7. Benefícios e Despesas Indiretas - BDI</v>
      </c>
      <c r="B27" s="129"/>
      <c r="C27" s="119"/>
      <c r="D27" s="119"/>
      <c r="E27" s="238" t="e">
        <f>+F267</f>
        <v>#REF!</v>
      </c>
      <c r="F27" s="120">
        <f t="shared" si="0"/>
        <v>0</v>
      </c>
      <c r="G27" s="43"/>
    </row>
    <row r="28" spans="1:7" s="4" customFormat="1" ht="15.75" customHeight="1" thickBot="1" x14ac:dyDescent="0.25">
      <c r="A28" s="41" t="s">
        <v>241</v>
      </c>
      <c r="B28" s="42"/>
      <c r="C28" s="26"/>
      <c r="D28" s="26"/>
      <c r="E28" s="108" t="e">
        <f>E7+E15+E16+E24+E25+E27</f>
        <v>#REF!</v>
      </c>
      <c r="F28" s="133">
        <f>F7+F15+F16+F24+F25+F27</f>
        <v>0</v>
      </c>
      <c r="G28" s="6"/>
    </row>
    <row r="30" spans="1:7" ht="13.5" thickBot="1" x14ac:dyDescent="0.25"/>
    <row r="31" spans="1:7" s="4" customFormat="1" ht="15" customHeight="1" thickBot="1" x14ac:dyDescent="0.25">
      <c r="A31" s="327" t="s">
        <v>99</v>
      </c>
      <c r="B31" s="328"/>
      <c r="C31" s="328"/>
      <c r="D31" s="328"/>
      <c r="E31" s="329"/>
      <c r="F31" s="10"/>
      <c r="G31" s="6"/>
    </row>
    <row r="32" spans="1:7" s="4" customFormat="1" ht="15" customHeight="1" thickBot="1" x14ac:dyDescent="0.25">
      <c r="A32" s="324" t="s">
        <v>38</v>
      </c>
      <c r="B32" s="325"/>
      <c r="C32" s="325"/>
      <c r="D32" s="326"/>
      <c r="E32" s="47" t="s">
        <v>39</v>
      </c>
      <c r="F32" s="10"/>
      <c r="G32" s="6"/>
    </row>
    <row r="33" spans="1:7" s="4" customFormat="1" ht="15" customHeight="1" x14ac:dyDescent="0.2">
      <c r="A33" s="70" t="str">
        <f>+A47</f>
        <v>1.1. Coletor Turno Dia</v>
      </c>
      <c r="B33" s="71"/>
      <c r="C33" s="71"/>
      <c r="D33" s="72"/>
      <c r="E33" s="73">
        <f>C54</f>
        <v>0</v>
      </c>
      <c r="F33" s="10"/>
      <c r="G33" s="6"/>
    </row>
    <row r="34" spans="1:7" s="4" customFormat="1" ht="15" customHeight="1" x14ac:dyDescent="0.2">
      <c r="A34" s="64" t="str">
        <f>+A57</f>
        <v>1.2. Coletor Turno Noite- DESCONSIDERAR - NÃO HAVERA PREVISÃO NO EDITAL.</v>
      </c>
      <c r="B34" s="63"/>
      <c r="C34" s="63"/>
      <c r="D34" s="74"/>
      <c r="E34" s="67">
        <f>C66</f>
        <v>0</v>
      </c>
      <c r="F34" s="10"/>
      <c r="G34" s="6"/>
    </row>
    <row r="35" spans="1:7" s="4" customFormat="1" ht="15" customHeight="1" x14ac:dyDescent="0.2">
      <c r="A35" s="64" t="str">
        <f>+A69</f>
        <v>1.3. Motorista Turno do Dia</v>
      </c>
      <c r="B35" s="63"/>
      <c r="C35" s="63"/>
      <c r="D35" s="74"/>
      <c r="E35" s="67">
        <f>C78</f>
        <v>0</v>
      </c>
      <c r="F35" s="10"/>
      <c r="G35" s="6"/>
    </row>
    <row r="36" spans="1:7" s="4" customFormat="1" ht="15" customHeight="1" x14ac:dyDescent="0.2">
      <c r="A36" s="64" t="str">
        <f>+A81</f>
        <v>1.4. Motorista Turno Noite - DESCONSIDERAR - NÃO HAVERA PREVISÃO NO EDITAL.</v>
      </c>
      <c r="B36" s="63"/>
      <c r="C36" s="63"/>
      <c r="D36" s="74"/>
      <c r="E36" s="67">
        <f>C92</f>
        <v>0</v>
      </c>
      <c r="F36" s="10"/>
      <c r="G36" s="6"/>
    </row>
    <row r="37" spans="1:7" s="4" customFormat="1" ht="15" customHeight="1" thickBot="1" x14ac:dyDescent="0.25">
      <c r="A37" s="68" t="s">
        <v>58</v>
      </c>
      <c r="B37" s="69"/>
      <c r="C37" s="69"/>
      <c r="D37" s="75"/>
      <c r="E37" s="76">
        <f>SUM(E33:E36)</f>
        <v>0</v>
      </c>
      <c r="F37" s="10"/>
      <c r="G37" s="6"/>
    </row>
    <row r="38" spans="1:7" s="4" customFormat="1" ht="15" customHeight="1" thickBot="1" x14ac:dyDescent="0.25">
      <c r="A38" s="121"/>
      <c r="B38" s="122"/>
      <c r="C38" s="56"/>
      <c r="D38" s="56"/>
      <c r="E38" s="123"/>
      <c r="F38" s="10"/>
      <c r="G38" s="6"/>
    </row>
    <row r="39" spans="1:7" s="4" customFormat="1" ht="15" customHeight="1" x14ac:dyDescent="0.2">
      <c r="A39" s="314" t="s">
        <v>55</v>
      </c>
      <c r="B39" s="315"/>
      <c r="C39" s="315"/>
      <c r="D39" s="315"/>
      <c r="E39" s="47" t="s">
        <v>39</v>
      </c>
      <c r="F39" s="9"/>
      <c r="G39" s="6"/>
    </row>
    <row r="40" spans="1:7" s="4" customFormat="1" ht="15" customHeight="1" thickBot="1" x14ac:dyDescent="0.25">
      <c r="A40" s="124" t="str">
        <f>+A153</f>
        <v>3.1. Veículo Coletor Compactador xx m³</v>
      </c>
      <c r="B40" s="125"/>
      <c r="C40" s="125"/>
      <c r="D40" s="126"/>
      <c r="E40" s="127">
        <f>C168</f>
        <v>0</v>
      </c>
      <c r="F40" s="9"/>
      <c r="G40" s="6"/>
    </row>
    <row r="41" spans="1:7" s="4" customFormat="1" ht="15" customHeight="1" x14ac:dyDescent="0.2">
      <c r="A41" s="56"/>
      <c r="B41" s="56"/>
      <c r="C41" s="56"/>
      <c r="D41" s="9"/>
      <c r="E41" s="229"/>
      <c r="F41" s="9"/>
      <c r="G41" s="6"/>
    </row>
    <row r="42" spans="1:7" s="4" customFormat="1" ht="13.5" thickBot="1" x14ac:dyDescent="0.25">
      <c r="A42" s="56"/>
      <c r="B42" s="56"/>
      <c r="C42" s="56"/>
      <c r="D42" s="9"/>
      <c r="E42" s="65"/>
      <c r="F42" s="9"/>
      <c r="G42" s="6"/>
    </row>
    <row r="43" spans="1:7" s="11" customFormat="1" ht="15.75" customHeight="1" thickBot="1" x14ac:dyDescent="0.25">
      <c r="A43" s="240" t="s">
        <v>201</v>
      </c>
      <c r="B43" s="241"/>
      <c r="C43" s="34"/>
      <c r="E43" s="142"/>
      <c r="G43" s="43"/>
    </row>
    <row r="44" spans="1:7" s="4" customFormat="1" ht="15.75" customHeight="1" x14ac:dyDescent="0.2">
      <c r="A44" s="56"/>
      <c r="B44" s="56"/>
      <c r="C44" s="56"/>
      <c r="D44" s="9"/>
      <c r="E44" s="65"/>
      <c r="F44" s="9"/>
      <c r="G44" s="6"/>
    </row>
    <row r="45" spans="1:7" ht="13.15" customHeight="1" x14ac:dyDescent="0.2">
      <c r="A45" s="11" t="s">
        <v>46</v>
      </c>
    </row>
    <row r="46" spans="1:7" ht="11.25" customHeight="1" x14ac:dyDescent="0.2"/>
    <row r="47" spans="1:7" ht="13.9" customHeight="1" thickBot="1" x14ac:dyDescent="0.25">
      <c r="A47" s="9" t="s">
        <v>101</v>
      </c>
    </row>
    <row r="48" spans="1:7" ht="13.9" customHeight="1" thickBot="1" x14ac:dyDescent="0.25">
      <c r="A48" s="57" t="s">
        <v>63</v>
      </c>
      <c r="B48" s="58" t="s">
        <v>64</v>
      </c>
      <c r="C48" s="58" t="s">
        <v>39</v>
      </c>
      <c r="D48" s="59" t="s">
        <v>237</v>
      </c>
      <c r="E48" s="59" t="s">
        <v>65</v>
      </c>
      <c r="F48" s="60" t="s">
        <v>66</v>
      </c>
    </row>
    <row r="49" spans="1:7" ht="13.15" customHeight="1" x14ac:dyDescent="0.2">
      <c r="A49" s="13" t="s">
        <v>217</v>
      </c>
      <c r="B49" s="14" t="s">
        <v>7</v>
      </c>
      <c r="C49" s="14">
        <v>1</v>
      </c>
      <c r="D49" s="82"/>
      <c r="E49" s="15">
        <f>C49*D49</f>
        <v>0</v>
      </c>
    </row>
    <row r="50" spans="1:7" x14ac:dyDescent="0.2">
      <c r="A50" s="16" t="s">
        <v>0</v>
      </c>
      <c r="B50" s="17" t="s">
        <v>1</v>
      </c>
      <c r="C50" s="17">
        <v>40</v>
      </c>
      <c r="D50" s="78">
        <f>SUM(E49:E49)</f>
        <v>0</v>
      </c>
      <c r="E50" s="18">
        <f>C50*D50/100</f>
        <v>0</v>
      </c>
    </row>
    <row r="51" spans="1:7" x14ac:dyDescent="0.2">
      <c r="A51" s="110" t="s">
        <v>2</v>
      </c>
      <c r="B51" s="111"/>
      <c r="C51" s="111"/>
      <c r="D51" s="112"/>
      <c r="E51" s="113">
        <f>SUM(E49:E50)</f>
        <v>0</v>
      </c>
    </row>
    <row r="52" spans="1:7" x14ac:dyDescent="0.2">
      <c r="A52" s="16" t="s">
        <v>3</v>
      </c>
      <c r="B52" s="17" t="s">
        <v>1</v>
      </c>
      <c r="C52" s="131">
        <f>'2.Encargos Sociais'!$C$37*100</f>
        <v>70.595951999999997</v>
      </c>
      <c r="D52" s="18">
        <f>E51</f>
        <v>0</v>
      </c>
      <c r="E52" s="18">
        <f>D52*C52/100</f>
        <v>0</v>
      </c>
    </row>
    <row r="53" spans="1:7" x14ac:dyDescent="0.2">
      <c r="A53" s="110" t="s">
        <v>73</v>
      </c>
      <c r="B53" s="111"/>
      <c r="C53" s="111"/>
      <c r="D53" s="112"/>
      <c r="E53" s="113">
        <f>E51+E52</f>
        <v>0</v>
      </c>
    </row>
    <row r="54" spans="1:7" ht="13.5" thickBot="1" x14ac:dyDescent="0.25">
      <c r="A54" s="16" t="s">
        <v>4</v>
      </c>
      <c r="B54" s="17" t="s">
        <v>5</v>
      </c>
      <c r="C54" s="81"/>
      <c r="D54" s="18">
        <f>E53</f>
        <v>0</v>
      </c>
      <c r="E54" s="18">
        <f>C54*D54</f>
        <v>0</v>
      </c>
      <c r="G54" s="6"/>
    </row>
    <row r="55" spans="1:7" ht="13.9" customHeight="1" thickBot="1" x14ac:dyDescent="0.25">
      <c r="D55" s="115" t="s">
        <v>200</v>
      </c>
      <c r="E55" s="49">
        <f>$B$43</f>
        <v>0</v>
      </c>
      <c r="F55" s="116">
        <f>E54*E55</f>
        <v>0</v>
      </c>
      <c r="G55" s="6"/>
    </row>
    <row r="56" spans="1:7" ht="11.25" customHeight="1" x14ac:dyDescent="0.2"/>
    <row r="57" spans="1:7" ht="13.5" thickBot="1" x14ac:dyDescent="0.25">
      <c r="A57" s="312" t="s">
        <v>304</v>
      </c>
      <c r="B57" s="313"/>
      <c r="C57" s="313"/>
      <c r="D57" s="313"/>
      <c r="E57" s="313"/>
      <c r="F57" s="313"/>
    </row>
    <row r="58" spans="1:7" ht="13.5" thickBot="1" x14ac:dyDescent="0.25">
      <c r="A58" s="288" t="s">
        <v>63</v>
      </c>
      <c r="B58" s="289" t="s">
        <v>64</v>
      </c>
      <c r="C58" s="289" t="s">
        <v>39</v>
      </c>
      <c r="D58" s="290" t="s">
        <v>237</v>
      </c>
      <c r="E58" s="290" t="s">
        <v>65</v>
      </c>
      <c r="F58" s="291" t="s">
        <v>66</v>
      </c>
    </row>
    <row r="59" spans="1:7" x14ac:dyDescent="0.2">
      <c r="A59" s="310" t="s">
        <v>217</v>
      </c>
      <c r="B59" s="293" t="s">
        <v>7</v>
      </c>
      <c r="C59" s="293">
        <v>1</v>
      </c>
      <c r="D59" s="294">
        <f>D49</f>
        <v>0</v>
      </c>
      <c r="E59" s="294">
        <f>C59*D59</f>
        <v>0</v>
      </c>
      <c r="F59" s="295"/>
    </row>
    <row r="60" spans="1:7" x14ac:dyDescent="0.2">
      <c r="A60" s="297" t="s">
        <v>6</v>
      </c>
      <c r="B60" s="298" t="s">
        <v>100</v>
      </c>
      <c r="C60" s="299"/>
      <c r="D60" s="296"/>
      <c r="E60" s="296"/>
      <c r="F60" s="295"/>
    </row>
    <row r="61" spans="1:7" x14ac:dyDescent="0.2">
      <c r="A61" s="297"/>
      <c r="B61" s="298" t="s">
        <v>103</v>
      </c>
      <c r="C61" s="311">
        <f>C60*8/7</f>
        <v>0</v>
      </c>
      <c r="D61" s="296">
        <f>D59/220*0.2</f>
        <v>0</v>
      </c>
      <c r="E61" s="296">
        <f>C61*D61</f>
        <v>0</v>
      </c>
      <c r="F61" s="295"/>
    </row>
    <row r="62" spans="1:7" x14ac:dyDescent="0.2">
      <c r="A62" s="297" t="s">
        <v>0</v>
      </c>
      <c r="B62" s="298" t="s">
        <v>1</v>
      </c>
      <c r="C62" s="298">
        <f>+C50</f>
        <v>40</v>
      </c>
      <c r="D62" s="296">
        <f>SUM(E59:E61)</f>
        <v>0</v>
      </c>
      <c r="E62" s="296">
        <f>C62*D62/100</f>
        <v>0</v>
      </c>
      <c r="F62" s="295"/>
    </row>
    <row r="63" spans="1:7" x14ac:dyDescent="0.2">
      <c r="A63" s="301" t="s">
        <v>2</v>
      </c>
      <c r="B63" s="302"/>
      <c r="C63" s="302"/>
      <c r="D63" s="303"/>
      <c r="E63" s="304">
        <f>SUM(E59:E62)</f>
        <v>0</v>
      </c>
      <c r="F63" s="295"/>
    </row>
    <row r="64" spans="1:7" x14ac:dyDescent="0.2">
      <c r="A64" s="297" t="s">
        <v>3</v>
      </c>
      <c r="B64" s="298" t="s">
        <v>1</v>
      </c>
      <c r="C64" s="296">
        <f>'2.Encargos Sociais'!$C$37*100</f>
        <v>70.595951999999997</v>
      </c>
      <c r="D64" s="296">
        <f>E63</f>
        <v>0</v>
      </c>
      <c r="E64" s="296">
        <f>D64*C64/100</f>
        <v>0</v>
      </c>
      <c r="F64" s="295"/>
    </row>
    <row r="65" spans="1:7" x14ac:dyDescent="0.2">
      <c r="A65" s="301" t="s">
        <v>73</v>
      </c>
      <c r="B65" s="302"/>
      <c r="C65" s="302"/>
      <c r="D65" s="303"/>
      <c r="E65" s="304">
        <f>E63+E64</f>
        <v>0</v>
      </c>
      <c r="F65" s="295"/>
    </row>
    <row r="66" spans="1:7" ht="13.5" thickBot="1" x14ac:dyDescent="0.25">
      <c r="A66" s="297" t="s">
        <v>4</v>
      </c>
      <c r="B66" s="298" t="s">
        <v>5</v>
      </c>
      <c r="C66" s="298"/>
      <c r="D66" s="296">
        <f>E65</f>
        <v>0</v>
      </c>
      <c r="E66" s="296">
        <f>C66*D66</f>
        <v>0</v>
      </c>
      <c r="F66" s="295"/>
    </row>
    <row r="67" spans="1:7" ht="13.5" thickBot="1" x14ac:dyDescent="0.25">
      <c r="A67" s="306"/>
      <c r="B67" s="306"/>
      <c r="C67" s="306"/>
      <c r="D67" s="307" t="s">
        <v>200</v>
      </c>
      <c r="E67" s="308">
        <f>$B$43</f>
        <v>0</v>
      </c>
      <c r="F67" s="309">
        <f>E66*E67</f>
        <v>0</v>
      </c>
    </row>
    <row r="68" spans="1:7" ht="11.25" customHeight="1" x14ac:dyDescent="0.2"/>
    <row r="69" spans="1:7" ht="13.5" thickBot="1" x14ac:dyDescent="0.25">
      <c r="A69" s="9" t="s">
        <v>102</v>
      </c>
    </row>
    <row r="70" spans="1:7" s="12" customFormat="1" ht="13.15" customHeight="1" thickBot="1" x14ac:dyDescent="0.25">
      <c r="A70" s="57" t="s">
        <v>63</v>
      </c>
      <c r="B70" s="58" t="s">
        <v>64</v>
      </c>
      <c r="C70" s="58" t="s">
        <v>39</v>
      </c>
      <c r="D70" s="59" t="s">
        <v>237</v>
      </c>
      <c r="E70" s="59" t="s">
        <v>65</v>
      </c>
      <c r="F70" s="60" t="s">
        <v>66</v>
      </c>
      <c r="G70" s="10"/>
    </row>
    <row r="71" spans="1:7" x14ac:dyDescent="0.2">
      <c r="A71" s="279" t="s">
        <v>287</v>
      </c>
      <c r="B71" s="14" t="s">
        <v>7</v>
      </c>
      <c r="C71" s="14">
        <v>1</v>
      </c>
      <c r="D71" s="82"/>
      <c r="E71" s="15">
        <f>C71*D71</f>
        <v>0</v>
      </c>
    </row>
    <row r="72" spans="1:7" x14ac:dyDescent="0.2">
      <c r="A72" s="279" t="s">
        <v>288</v>
      </c>
      <c r="B72" s="14" t="s">
        <v>7</v>
      </c>
      <c r="C72" s="14">
        <v>1</v>
      </c>
      <c r="D72" s="82"/>
      <c r="E72" s="15"/>
    </row>
    <row r="73" spans="1:7" x14ac:dyDescent="0.2">
      <c r="A73" s="16" t="s">
        <v>218</v>
      </c>
      <c r="B73" s="17"/>
      <c r="C73" s="84"/>
      <c r="D73" s="18"/>
      <c r="E73" s="18"/>
    </row>
    <row r="74" spans="1:7" x14ac:dyDescent="0.2">
      <c r="A74" s="16" t="s">
        <v>0</v>
      </c>
      <c r="B74" s="17" t="s">
        <v>1</v>
      </c>
      <c r="C74" s="81"/>
      <c r="D74" s="78">
        <f>IF(C73=2,SUM(E71:E72),IF(C73=1,(SUM(E71:E72))*D72/D71,0))</f>
        <v>0</v>
      </c>
      <c r="E74" s="18">
        <f>C74*D74/100</f>
        <v>0</v>
      </c>
    </row>
    <row r="75" spans="1:7" s="11" customFormat="1" x14ac:dyDescent="0.2">
      <c r="A75" s="96" t="s">
        <v>2</v>
      </c>
      <c r="B75" s="111"/>
      <c r="C75" s="111"/>
      <c r="D75" s="112"/>
      <c r="E75" s="98">
        <f>SUM(E71:E74)</f>
        <v>0</v>
      </c>
      <c r="F75" s="43"/>
      <c r="G75" s="43"/>
    </row>
    <row r="76" spans="1:7" x14ac:dyDescent="0.2">
      <c r="A76" s="16" t="s">
        <v>3</v>
      </c>
      <c r="B76" s="17" t="s">
        <v>1</v>
      </c>
      <c r="C76" s="131">
        <f>'2.Encargos Sociais'!$C$37*100</f>
        <v>70.595951999999997</v>
      </c>
      <c r="D76" s="18">
        <f>E75</f>
        <v>0</v>
      </c>
      <c r="E76" s="18">
        <f>D76*C76/100</f>
        <v>0</v>
      </c>
    </row>
    <row r="77" spans="1:7" s="11" customFormat="1" x14ac:dyDescent="0.2">
      <c r="A77" s="96" t="s">
        <v>252</v>
      </c>
      <c r="B77" s="247"/>
      <c r="C77" s="247"/>
      <c r="D77" s="248"/>
      <c r="E77" s="98">
        <f>E75+E76</f>
        <v>0</v>
      </c>
      <c r="F77" s="43"/>
      <c r="G77" s="43"/>
    </row>
    <row r="78" spans="1:7" ht="13.5" thickBot="1" x14ac:dyDescent="0.25">
      <c r="A78" s="16" t="s">
        <v>4</v>
      </c>
      <c r="B78" s="17" t="s">
        <v>5</v>
      </c>
      <c r="C78" s="81"/>
      <c r="D78" s="18">
        <f>E77</f>
        <v>0</v>
      </c>
      <c r="E78" s="18">
        <f>C78*D78</f>
        <v>0</v>
      </c>
    </row>
    <row r="79" spans="1:7" ht="13.5" thickBot="1" x14ac:dyDescent="0.25">
      <c r="D79" s="115" t="s">
        <v>200</v>
      </c>
      <c r="E79" s="49">
        <f>$B$43</f>
        <v>0</v>
      </c>
      <c r="F79" s="116">
        <f>E78*E79</f>
        <v>0</v>
      </c>
    </row>
    <row r="80" spans="1:7" ht="11.25" customHeight="1" x14ac:dyDescent="0.2"/>
    <row r="81" spans="1:7" ht="13.5" thickBot="1" x14ac:dyDescent="0.25">
      <c r="A81" s="312" t="s">
        <v>303</v>
      </c>
      <c r="B81" s="312"/>
      <c r="C81" s="312"/>
      <c r="D81" s="312"/>
      <c r="E81" s="312"/>
      <c r="F81" s="312"/>
    </row>
    <row r="82" spans="1:7" ht="13.5" thickBot="1" x14ac:dyDescent="0.25">
      <c r="A82" s="288" t="s">
        <v>63</v>
      </c>
      <c r="B82" s="289" t="s">
        <v>64</v>
      </c>
      <c r="C82" s="289" t="s">
        <v>39</v>
      </c>
      <c r="D82" s="290" t="s">
        <v>237</v>
      </c>
      <c r="E82" s="290" t="s">
        <v>65</v>
      </c>
      <c r="F82" s="291" t="s">
        <v>66</v>
      </c>
    </row>
    <row r="83" spans="1:7" x14ac:dyDescent="0.2">
      <c r="A83" s="292" t="s">
        <v>287</v>
      </c>
      <c r="B83" s="293" t="s">
        <v>7</v>
      </c>
      <c r="C83" s="293">
        <v>1</v>
      </c>
      <c r="D83" s="294">
        <f>D71</f>
        <v>0</v>
      </c>
      <c r="E83" s="294">
        <f>C83*D83</f>
        <v>0</v>
      </c>
      <c r="F83" s="295"/>
    </row>
    <row r="84" spans="1:7" x14ac:dyDescent="0.2">
      <c r="A84" s="292" t="s">
        <v>288</v>
      </c>
      <c r="B84" s="293" t="s">
        <v>7</v>
      </c>
      <c r="C84" s="293">
        <v>1</v>
      </c>
      <c r="D84" s="296">
        <f>D72</f>
        <v>0</v>
      </c>
      <c r="E84" s="296"/>
      <c r="F84" s="295"/>
    </row>
    <row r="85" spans="1:7" x14ac:dyDescent="0.2">
      <c r="A85" s="297" t="s">
        <v>6</v>
      </c>
      <c r="B85" s="298" t="s">
        <v>100</v>
      </c>
      <c r="C85" s="299"/>
      <c r="D85" s="297"/>
      <c r="E85" s="297"/>
      <c r="F85" s="295"/>
    </row>
    <row r="86" spans="1:7" x14ac:dyDescent="0.2">
      <c r="A86" s="297"/>
      <c r="B86" s="298" t="s">
        <v>103</v>
      </c>
      <c r="C86" s="296">
        <f>C85*8/7</f>
        <v>0</v>
      </c>
      <c r="D86" s="296">
        <f>D83/220*0.2</f>
        <v>0</v>
      </c>
      <c r="E86" s="296">
        <f>C86*D86</f>
        <v>0</v>
      </c>
      <c r="F86" s="295"/>
    </row>
    <row r="87" spans="1:7" x14ac:dyDescent="0.2">
      <c r="A87" s="297" t="s">
        <v>218</v>
      </c>
      <c r="B87" s="298"/>
      <c r="C87" s="300"/>
      <c r="D87" s="296"/>
      <c r="E87" s="296"/>
      <c r="F87" s="295"/>
    </row>
    <row r="88" spans="1:7" x14ac:dyDescent="0.2">
      <c r="A88" s="297" t="s">
        <v>0</v>
      </c>
      <c r="B88" s="298" t="s">
        <v>1</v>
      </c>
      <c r="C88" s="296">
        <f>+C74</f>
        <v>0</v>
      </c>
      <c r="D88" s="296">
        <f>IF(C87=2,SUM(E83:E86),IF(C87=1,SUM(E83:E86)*D84/D83,0))</f>
        <v>0</v>
      </c>
      <c r="E88" s="296">
        <f>C88*D88/100</f>
        <v>0</v>
      </c>
      <c r="F88" s="295"/>
    </row>
    <row r="89" spans="1:7" s="11" customFormat="1" x14ac:dyDescent="0.2">
      <c r="A89" s="301" t="s">
        <v>2</v>
      </c>
      <c r="B89" s="302"/>
      <c r="C89" s="302"/>
      <c r="D89" s="303"/>
      <c r="E89" s="304">
        <f>SUM(E83:E88)</f>
        <v>0</v>
      </c>
      <c r="F89" s="305"/>
      <c r="G89" s="43"/>
    </row>
    <row r="90" spans="1:7" x14ac:dyDescent="0.2">
      <c r="A90" s="297" t="s">
        <v>3</v>
      </c>
      <c r="B90" s="298" t="s">
        <v>1</v>
      </c>
      <c r="C90" s="296">
        <f>'2.Encargos Sociais'!$C$37*100</f>
        <v>70.595951999999997</v>
      </c>
      <c r="D90" s="296">
        <f>E89</f>
        <v>0</v>
      </c>
      <c r="E90" s="296">
        <f>D90*C90/100</f>
        <v>0</v>
      </c>
      <c r="F90" s="295"/>
    </row>
    <row r="91" spans="1:7" s="11" customFormat="1" x14ac:dyDescent="0.2">
      <c r="A91" s="301" t="s">
        <v>252</v>
      </c>
      <c r="B91" s="302"/>
      <c r="C91" s="302"/>
      <c r="D91" s="303"/>
      <c r="E91" s="304">
        <f>E89+E90</f>
        <v>0</v>
      </c>
      <c r="F91" s="305"/>
      <c r="G91" s="43"/>
    </row>
    <row r="92" spans="1:7" ht="13.5" thickBot="1" x14ac:dyDescent="0.25">
      <c r="A92" s="297" t="s">
        <v>4</v>
      </c>
      <c r="B92" s="298" t="s">
        <v>5</v>
      </c>
      <c r="C92" s="298"/>
      <c r="D92" s="296">
        <f>E91</f>
        <v>0</v>
      </c>
      <c r="E92" s="296">
        <f>C92*D92</f>
        <v>0</v>
      </c>
      <c r="F92" s="295"/>
    </row>
    <row r="93" spans="1:7" ht="13.5" thickBot="1" x14ac:dyDescent="0.25">
      <c r="A93" s="306"/>
      <c r="B93" s="306"/>
      <c r="C93" s="306"/>
      <c r="D93" s="307" t="s">
        <v>200</v>
      </c>
      <c r="E93" s="308">
        <f>$B$43</f>
        <v>0</v>
      </c>
      <c r="F93" s="309"/>
    </row>
    <row r="94" spans="1:7" ht="11.25" customHeight="1" x14ac:dyDescent="0.2">
      <c r="G94" s="9"/>
    </row>
    <row r="95" spans="1:7" ht="13.5" thickBot="1" x14ac:dyDescent="0.25">
      <c r="A95" s="9" t="s">
        <v>104</v>
      </c>
      <c r="B95" s="87"/>
      <c r="D95" s="9"/>
      <c r="E95" s="9"/>
      <c r="G95" s="9"/>
    </row>
    <row r="96" spans="1:7" ht="13.5" thickBot="1" x14ac:dyDescent="0.25">
      <c r="A96" s="57" t="s">
        <v>63</v>
      </c>
      <c r="B96" s="58" t="s">
        <v>64</v>
      </c>
      <c r="C96" s="58" t="s">
        <v>39</v>
      </c>
      <c r="D96" s="59" t="s">
        <v>237</v>
      </c>
      <c r="E96" s="59" t="s">
        <v>65</v>
      </c>
      <c r="F96" s="60" t="s">
        <v>66</v>
      </c>
      <c r="G96" s="9"/>
    </row>
    <row r="97" spans="1:7" x14ac:dyDescent="0.2">
      <c r="A97" s="16" t="s">
        <v>91</v>
      </c>
      <c r="B97" s="17" t="s">
        <v>34</v>
      </c>
      <c r="C97" s="88">
        <v>1</v>
      </c>
      <c r="D97" s="86"/>
      <c r="E97" s="18"/>
      <c r="G97" s="9"/>
    </row>
    <row r="98" spans="1:7" x14ac:dyDescent="0.2">
      <c r="A98" s="16" t="s">
        <v>92</v>
      </c>
      <c r="B98" s="17" t="s">
        <v>93</v>
      </c>
      <c r="C98" s="85"/>
      <c r="D98" s="18"/>
      <c r="E98" s="18"/>
      <c r="G98" s="9"/>
    </row>
    <row r="99" spans="1:7" x14ac:dyDescent="0.2">
      <c r="A99" s="16" t="s">
        <v>74</v>
      </c>
      <c r="B99" s="17" t="s">
        <v>8</v>
      </c>
      <c r="C99" s="36">
        <f>$C$98*2*(C54+C66)</f>
        <v>0</v>
      </c>
      <c r="D99" s="15" t="str">
        <f>IFERROR((($C$98*2*$D$97)-(E49*0.06*C98/26))/($C$98*2),"-")</f>
        <v>-</v>
      </c>
      <c r="E99" s="18" t="str">
        <f>IFERROR(C99*D99,"-")</f>
        <v>-</v>
      </c>
      <c r="G99" s="9"/>
    </row>
    <row r="100" spans="1:7" ht="13.5" thickBot="1" x14ac:dyDescent="0.25">
      <c r="A100" s="13" t="s">
        <v>43</v>
      </c>
      <c r="B100" s="14" t="s">
        <v>8</v>
      </c>
      <c r="C100" s="36">
        <f>$C$98*2*(C78+C92)</f>
        <v>0</v>
      </c>
      <c r="D100" s="15" t="str">
        <f>IFERROR((($C$98*2*$D$97)-(E71*0.06*C98/26))/($C$98*2),"-")</f>
        <v>-</v>
      </c>
      <c r="E100" s="15" t="str">
        <f>IFERROR(C100*D100,"-")</f>
        <v>-</v>
      </c>
      <c r="G100" s="9"/>
    </row>
    <row r="101" spans="1:7" ht="13.5" thickBot="1" x14ac:dyDescent="0.25">
      <c r="F101" s="22">
        <f>SUM(E99:E100)</f>
        <v>0</v>
      </c>
      <c r="G101" s="9"/>
    </row>
    <row r="102" spans="1:7" ht="11.25" customHeight="1" x14ac:dyDescent="0.2">
      <c r="G102" s="9"/>
    </row>
    <row r="103" spans="1:7" ht="13.5" thickBot="1" x14ac:dyDescent="0.25">
      <c r="A103" s="9" t="s">
        <v>127</v>
      </c>
      <c r="F103" s="23"/>
      <c r="G103" s="9"/>
    </row>
    <row r="104" spans="1:7" ht="13.5" thickBot="1" x14ac:dyDescent="0.25">
      <c r="A104" s="57" t="s">
        <v>63</v>
      </c>
      <c r="B104" s="58" t="s">
        <v>64</v>
      </c>
      <c r="C104" s="58" t="s">
        <v>39</v>
      </c>
      <c r="D104" s="59" t="s">
        <v>237</v>
      </c>
      <c r="E104" s="59" t="s">
        <v>65</v>
      </c>
      <c r="F104" s="60" t="s">
        <v>66</v>
      </c>
      <c r="G104" s="9"/>
    </row>
    <row r="105" spans="1:7" x14ac:dyDescent="0.2">
      <c r="A105" s="16" t="str">
        <f>+A99</f>
        <v>Coletor</v>
      </c>
      <c r="B105" s="17" t="s">
        <v>9</v>
      </c>
      <c r="C105" s="95">
        <f>C98*(E33+E34)</f>
        <v>0</v>
      </c>
      <c r="D105" s="83"/>
      <c r="E105" s="49">
        <f>C105*D105</f>
        <v>0</v>
      </c>
      <c r="F105" s="23"/>
      <c r="G105" s="9"/>
    </row>
    <row r="106" spans="1:7" ht="13.5" thickBot="1" x14ac:dyDescent="0.25">
      <c r="A106" s="16" t="str">
        <f>+A100</f>
        <v>Motorista</v>
      </c>
      <c r="B106" s="17" t="s">
        <v>9</v>
      </c>
      <c r="C106" s="95">
        <f>C98*(E35+E36)</f>
        <v>0</v>
      </c>
      <c r="D106" s="83"/>
      <c r="E106" s="49">
        <f>C106*D106</f>
        <v>0</v>
      </c>
      <c r="F106" s="23"/>
      <c r="G106" s="9"/>
    </row>
    <row r="107" spans="1:7" ht="13.5" thickBot="1" x14ac:dyDescent="0.25">
      <c r="F107" s="22">
        <f>SUM(E105:E106)</f>
        <v>0</v>
      </c>
      <c r="G107" s="9"/>
    </row>
    <row r="108" spans="1:7" x14ac:dyDescent="0.2">
      <c r="G108" s="9"/>
    </row>
    <row r="109" spans="1:7" ht="13.5" thickBot="1" x14ac:dyDescent="0.25">
      <c r="A109" s="9" t="s">
        <v>128</v>
      </c>
      <c r="F109" s="23"/>
      <c r="G109" s="9"/>
    </row>
    <row r="110" spans="1:7" ht="13.5" thickBot="1" x14ac:dyDescent="0.25">
      <c r="A110" s="57" t="s">
        <v>63</v>
      </c>
      <c r="B110" s="58" t="s">
        <v>64</v>
      </c>
      <c r="C110" s="58" t="s">
        <v>39</v>
      </c>
      <c r="D110" s="59" t="s">
        <v>237</v>
      </c>
      <c r="E110" s="59" t="s">
        <v>65</v>
      </c>
      <c r="F110" s="60" t="s">
        <v>66</v>
      </c>
      <c r="G110" s="9"/>
    </row>
    <row r="111" spans="1:7" x14ac:dyDescent="0.2">
      <c r="A111" s="16" t="str">
        <f>+A105</f>
        <v>Coletor</v>
      </c>
      <c r="B111" s="17" t="s">
        <v>9</v>
      </c>
      <c r="C111" s="95">
        <f>E33+E34</f>
        <v>0</v>
      </c>
      <c r="D111" s="83"/>
      <c r="E111" s="49">
        <f>C111*D111</f>
        <v>0</v>
      </c>
      <c r="F111" s="23"/>
      <c r="G111" s="9"/>
    </row>
    <row r="112" spans="1:7" ht="13.5" thickBot="1" x14ac:dyDescent="0.25">
      <c r="A112" s="16" t="str">
        <f>+A106</f>
        <v>Motorista</v>
      </c>
      <c r="B112" s="17" t="s">
        <v>9</v>
      </c>
      <c r="C112" s="95">
        <f>E35+E36</f>
        <v>0</v>
      </c>
      <c r="D112" s="83"/>
      <c r="E112" s="49">
        <f>C112*D112</f>
        <v>0</v>
      </c>
      <c r="F112" s="23"/>
      <c r="G112" s="9"/>
    </row>
    <row r="113" spans="1:7" ht="13.5" thickBot="1" x14ac:dyDescent="0.25">
      <c r="D113" s="115" t="s">
        <v>200</v>
      </c>
      <c r="E113" s="49">
        <f>$B$43</f>
        <v>0</v>
      </c>
      <c r="F113" s="22">
        <f>SUM(E111:E112)*E113</f>
        <v>0</v>
      </c>
      <c r="G113" s="9"/>
    </row>
    <row r="114" spans="1:7" ht="13.5" thickBot="1" x14ac:dyDescent="0.25">
      <c r="G114" s="9"/>
    </row>
    <row r="115" spans="1:7" ht="13.5" thickBot="1" x14ac:dyDescent="0.25">
      <c r="A115" s="24" t="s">
        <v>94</v>
      </c>
      <c r="B115" s="25"/>
      <c r="C115" s="25"/>
      <c r="D115" s="26"/>
      <c r="E115" s="27"/>
      <c r="F115" s="22">
        <f>F113+F107+F101+F93+F79+F67+F55</f>
        <v>0</v>
      </c>
      <c r="G115" s="9"/>
    </row>
    <row r="117" spans="1:7" x14ac:dyDescent="0.2">
      <c r="A117" s="11" t="s">
        <v>44</v>
      </c>
      <c r="G117" s="9"/>
    </row>
    <row r="118" spans="1:7" ht="11.25" customHeight="1" x14ac:dyDescent="0.2">
      <c r="G118" s="9"/>
    </row>
    <row r="119" spans="1:7" ht="13.9" customHeight="1" x14ac:dyDescent="0.2">
      <c r="A119" s="9" t="s">
        <v>202</v>
      </c>
      <c r="G119" s="9"/>
    </row>
    <row r="120" spans="1:7" ht="11.25" customHeight="1" thickBot="1" x14ac:dyDescent="0.25">
      <c r="G120" s="9"/>
    </row>
    <row r="121" spans="1:7" ht="27.75" customHeight="1" thickBot="1" x14ac:dyDescent="0.25">
      <c r="A121" s="57" t="s">
        <v>63</v>
      </c>
      <c r="B121" s="58" t="s">
        <v>64</v>
      </c>
      <c r="C121" s="249" t="s">
        <v>253</v>
      </c>
      <c r="D121" s="59" t="s">
        <v>237</v>
      </c>
      <c r="E121" s="59" t="s">
        <v>65</v>
      </c>
      <c r="F121" s="60" t="s">
        <v>66</v>
      </c>
      <c r="G121" s="9"/>
    </row>
    <row r="122" spans="1:7" x14ac:dyDescent="0.2">
      <c r="A122" s="13" t="s">
        <v>67</v>
      </c>
      <c r="B122" s="14" t="s">
        <v>9</v>
      </c>
      <c r="C122" s="94"/>
      <c r="D122" s="82"/>
      <c r="E122" s="15">
        <f>IFERROR(D122/C122,0)</f>
        <v>0</v>
      </c>
      <c r="G122" s="9"/>
    </row>
    <row r="123" spans="1:7" ht="13.15" customHeight="1" x14ac:dyDescent="0.2">
      <c r="A123" s="16" t="s">
        <v>29</v>
      </c>
      <c r="B123" s="17" t="s">
        <v>9</v>
      </c>
      <c r="C123" s="94"/>
      <c r="D123" s="82"/>
      <c r="E123" s="15">
        <f t="shared" ref="E123:E131" si="1">IFERROR(D123/C123,0)</f>
        <v>0</v>
      </c>
      <c r="G123" s="9"/>
    </row>
    <row r="124" spans="1:7" x14ac:dyDescent="0.2">
      <c r="A124" s="16" t="s">
        <v>30</v>
      </c>
      <c r="B124" s="17" t="s">
        <v>9</v>
      </c>
      <c r="C124" s="94"/>
      <c r="D124" s="82"/>
      <c r="E124" s="15">
        <f t="shared" si="1"/>
        <v>0</v>
      </c>
      <c r="G124" s="9"/>
    </row>
    <row r="125" spans="1:7" ht="13.15" customHeight="1" x14ac:dyDescent="0.2">
      <c r="A125" s="16" t="s">
        <v>31</v>
      </c>
      <c r="B125" s="17" t="s">
        <v>9</v>
      </c>
      <c r="C125" s="94"/>
      <c r="D125" s="82"/>
      <c r="E125" s="15">
        <f t="shared" si="1"/>
        <v>0</v>
      </c>
      <c r="G125" s="9"/>
    </row>
    <row r="126" spans="1:7" ht="13.9" customHeight="1" x14ac:dyDescent="0.2">
      <c r="A126" s="16" t="s">
        <v>69</v>
      </c>
      <c r="B126" s="17" t="s">
        <v>47</v>
      </c>
      <c r="C126" s="94"/>
      <c r="D126" s="82"/>
      <c r="E126" s="15">
        <f t="shared" si="1"/>
        <v>0</v>
      </c>
      <c r="G126" s="9"/>
    </row>
    <row r="127" spans="1:7" ht="13.15" customHeight="1" x14ac:dyDescent="0.2">
      <c r="A127" s="16" t="s">
        <v>95</v>
      </c>
      <c r="B127" s="17" t="s">
        <v>47</v>
      </c>
      <c r="C127" s="94"/>
      <c r="D127" s="82"/>
      <c r="E127" s="15">
        <f t="shared" si="1"/>
        <v>0</v>
      </c>
    </row>
    <row r="128" spans="1:7" x14ac:dyDescent="0.2">
      <c r="A128" s="16" t="s">
        <v>68</v>
      </c>
      <c r="B128" s="17" t="s">
        <v>9</v>
      </c>
      <c r="C128" s="94"/>
      <c r="D128" s="82"/>
      <c r="E128" s="15">
        <f t="shared" si="1"/>
        <v>0</v>
      </c>
    </row>
    <row r="129" spans="1:7" s="1" customFormat="1" x14ac:dyDescent="0.2">
      <c r="A129" s="2" t="s">
        <v>10</v>
      </c>
      <c r="B129" s="3" t="s">
        <v>9</v>
      </c>
      <c r="C129" s="94"/>
      <c r="D129" s="82"/>
      <c r="E129" s="15">
        <f t="shared" si="1"/>
        <v>0</v>
      </c>
      <c r="F129" s="37"/>
      <c r="G129" s="37"/>
    </row>
    <row r="130" spans="1:7" x14ac:dyDescent="0.2">
      <c r="A130" s="16" t="s">
        <v>32</v>
      </c>
      <c r="B130" s="17" t="s">
        <v>47</v>
      </c>
      <c r="C130" s="94"/>
      <c r="D130" s="82"/>
      <c r="E130" s="15">
        <f t="shared" si="1"/>
        <v>0</v>
      </c>
    </row>
    <row r="131" spans="1:7" ht="13.15" customHeight="1" x14ac:dyDescent="0.2">
      <c r="A131" s="16" t="s">
        <v>62</v>
      </c>
      <c r="B131" s="17" t="s">
        <v>48</v>
      </c>
      <c r="C131" s="94"/>
      <c r="D131" s="82"/>
      <c r="E131" s="15">
        <f t="shared" si="1"/>
        <v>0</v>
      </c>
    </row>
    <row r="132" spans="1:7" x14ac:dyDescent="0.2">
      <c r="A132" s="16" t="s">
        <v>203</v>
      </c>
      <c r="B132" s="17" t="s">
        <v>129</v>
      </c>
      <c r="C132" s="66">
        <v>1</v>
      </c>
      <c r="D132" s="82"/>
      <c r="E132" s="18">
        <f t="shared" ref="E132:E133" si="2">C132*D132</f>
        <v>0</v>
      </c>
    </row>
    <row r="133" spans="1:7" ht="13.5" thickBot="1" x14ac:dyDescent="0.25">
      <c r="A133" s="16" t="s">
        <v>4</v>
      </c>
      <c r="B133" s="17" t="s">
        <v>5</v>
      </c>
      <c r="C133" s="66">
        <f>E33+E34</f>
        <v>0</v>
      </c>
      <c r="D133" s="18">
        <f>+SUM(E122:E132)</f>
        <v>0</v>
      </c>
      <c r="E133" s="18">
        <f t="shared" si="2"/>
        <v>0</v>
      </c>
    </row>
    <row r="134" spans="1:7" ht="13.5" thickBot="1" x14ac:dyDescent="0.25">
      <c r="D134" s="115" t="s">
        <v>200</v>
      </c>
      <c r="E134" s="49">
        <f>$B$43</f>
        <v>0</v>
      </c>
      <c r="F134" s="116">
        <f>E133*E134</f>
        <v>0</v>
      </c>
    </row>
    <row r="135" spans="1:7" ht="11.25" customHeight="1" x14ac:dyDescent="0.2"/>
    <row r="136" spans="1:7" ht="13.9" customHeight="1" x14ac:dyDescent="0.2">
      <c r="A136" s="9" t="s">
        <v>204</v>
      </c>
    </row>
    <row r="137" spans="1:7" ht="11.25" customHeight="1" thickBot="1" x14ac:dyDescent="0.25"/>
    <row r="138" spans="1:7" ht="24.75" thickBot="1" x14ac:dyDescent="0.25">
      <c r="A138" s="57" t="s">
        <v>63</v>
      </c>
      <c r="B138" s="58" t="s">
        <v>64</v>
      </c>
      <c r="C138" s="249" t="s">
        <v>253</v>
      </c>
      <c r="D138" s="59" t="s">
        <v>237</v>
      </c>
      <c r="E138" s="59" t="s">
        <v>65</v>
      </c>
      <c r="F138" s="60" t="s">
        <v>66</v>
      </c>
    </row>
    <row r="139" spans="1:7" x14ac:dyDescent="0.2">
      <c r="A139" s="13" t="s">
        <v>67</v>
      </c>
      <c r="B139" s="14" t="s">
        <v>9</v>
      </c>
      <c r="C139" s="94"/>
      <c r="D139" s="15">
        <f>+D122</f>
        <v>0</v>
      </c>
      <c r="E139" s="15">
        <f>IFERROR(D139/C139,0)</f>
        <v>0</v>
      </c>
    </row>
    <row r="140" spans="1:7" x14ac:dyDescent="0.2">
      <c r="A140" s="16" t="s">
        <v>29</v>
      </c>
      <c r="B140" s="17" t="s">
        <v>9</v>
      </c>
      <c r="C140" s="94"/>
      <c r="D140" s="18">
        <f>+D123</f>
        <v>0</v>
      </c>
      <c r="E140" s="15">
        <f t="shared" ref="E140:E144" si="3">IFERROR(D140/C140,0)</f>
        <v>0</v>
      </c>
    </row>
    <row r="141" spans="1:7" x14ac:dyDescent="0.2">
      <c r="A141" s="16" t="s">
        <v>30</v>
      </c>
      <c r="B141" s="17" t="s">
        <v>9</v>
      </c>
      <c r="C141" s="94"/>
      <c r="D141" s="18">
        <f>+D124</f>
        <v>0</v>
      </c>
      <c r="E141" s="15">
        <f t="shared" si="3"/>
        <v>0</v>
      </c>
    </row>
    <row r="142" spans="1:7" x14ac:dyDescent="0.2">
      <c r="A142" s="16" t="s">
        <v>69</v>
      </c>
      <c r="B142" s="17" t="s">
        <v>47</v>
      </c>
      <c r="C142" s="94"/>
      <c r="D142" s="18">
        <f>+D126</f>
        <v>0</v>
      </c>
      <c r="E142" s="15">
        <f t="shared" si="3"/>
        <v>0</v>
      </c>
    </row>
    <row r="143" spans="1:7" x14ac:dyDescent="0.2">
      <c r="A143" s="16" t="s">
        <v>68</v>
      </c>
      <c r="B143" s="17" t="s">
        <v>9</v>
      </c>
      <c r="C143" s="94"/>
      <c r="D143" s="18">
        <f>+D128</f>
        <v>0</v>
      </c>
      <c r="E143" s="15">
        <f t="shared" si="3"/>
        <v>0</v>
      </c>
      <c r="G143" s="9"/>
    </row>
    <row r="144" spans="1:7" x14ac:dyDescent="0.2">
      <c r="A144" s="16" t="s">
        <v>62</v>
      </c>
      <c r="B144" s="17" t="s">
        <v>48</v>
      </c>
      <c r="C144" s="94"/>
      <c r="D144" s="18">
        <f>+D131</f>
        <v>0</v>
      </c>
      <c r="E144" s="15">
        <f t="shared" si="3"/>
        <v>0</v>
      </c>
      <c r="G144" s="9"/>
    </row>
    <row r="145" spans="1:10" x14ac:dyDescent="0.2">
      <c r="A145" s="16" t="s">
        <v>203</v>
      </c>
      <c r="B145" s="17" t="s">
        <v>129</v>
      </c>
      <c r="C145" s="66">
        <v>1</v>
      </c>
      <c r="D145" s="82"/>
      <c r="E145" s="18">
        <f t="shared" ref="E145:E146" si="4">C145*D145</f>
        <v>0</v>
      </c>
      <c r="G145" s="9"/>
    </row>
    <row r="146" spans="1:10" ht="13.5" thickBot="1" x14ac:dyDescent="0.25">
      <c r="A146" s="16" t="s">
        <v>4</v>
      </c>
      <c r="B146" s="17" t="s">
        <v>5</v>
      </c>
      <c r="C146" s="66">
        <f>E35+E36</f>
        <v>0</v>
      </c>
      <c r="D146" s="18">
        <f>+SUM(E139:E145)</f>
        <v>0</v>
      </c>
      <c r="E146" s="18">
        <f t="shared" si="4"/>
        <v>0</v>
      </c>
      <c r="G146" s="9"/>
    </row>
    <row r="147" spans="1:10" ht="13.5" thickBot="1" x14ac:dyDescent="0.25">
      <c r="D147" s="115" t="s">
        <v>200</v>
      </c>
      <c r="E147" s="49">
        <f>$B$43</f>
        <v>0</v>
      </c>
      <c r="F147" s="116">
        <f>E146*E147</f>
        <v>0</v>
      </c>
      <c r="G147" s="9"/>
    </row>
    <row r="148" spans="1:10" ht="11.25" customHeight="1" thickBot="1" x14ac:dyDescent="0.25">
      <c r="G148" s="9"/>
    </row>
    <row r="149" spans="1:10" ht="13.5" thickBot="1" x14ac:dyDescent="0.25">
      <c r="A149" s="24" t="s">
        <v>205</v>
      </c>
      <c r="B149" s="28"/>
      <c r="C149" s="28"/>
      <c r="D149" s="29"/>
      <c r="E149" s="30"/>
      <c r="F149" s="21">
        <f>+F134+F147</f>
        <v>0</v>
      </c>
      <c r="G149" s="9"/>
    </row>
    <row r="150" spans="1:10" ht="11.25" customHeight="1" x14ac:dyDescent="0.2">
      <c r="G150" s="9"/>
    </row>
    <row r="151" spans="1:10" x14ac:dyDescent="0.2">
      <c r="A151" s="11" t="s">
        <v>53</v>
      </c>
      <c r="G151" s="9"/>
    </row>
    <row r="152" spans="1:10" ht="11.25" customHeight="1" x14ac:dyDescent="0.2">
      <c r="B152" s="100"/>
      <c r="G152" s="9"/>
    </row>
    <row r="153" spans="1:10" x14ac:dyDescent="0.2">
      <c r="A153" s="9" t="s">
        <v>96</v>
      </c>
      <c r="G153" s="9"/>
    </row>
    <row r="154" spans="1:10" ht="11.25" customHeight="1" x14ac:dyDescent="0.2">
      <c r="G154" s="9"/>
    </row>
    <row r="155" spans="1:10" ht="13.5" thickBot="1" x14ac:dyDescent="0.25">
      <c r="A155" s="100" t="s">
        <v>45</v>
      </c>
      <c r="G155" s="9"/>
    </row>
    <row r="156" spans="1:10" ht="13.5" thickBot="1" x14ac:dyDescent="0.25">
      <c r="A156" s="57" t="s">
        <v>63</v>
      </c>
      <c r="B156" s="58" t="s">
        <v>64</v>
      </c>
      <c r="C156" s="58" t="s">
        <v>39</v>
      </c>
      <c r="D156" s="59" t="s">
        <v>237</v>
      </c>
      <c r="E156" s="59" t="s">
        <v>65</v>
      </c>
      <c r="F156" s="60" t="s">
        <v>66</v>
      </c>
      <c r="G156" s="9"/>
    </row>
    <row r="157" spans="1:10" x14ac:dyDescent="0.2">
      <c r="A157" s="13" t="s">
        <v>111</v>
      </c>
      <c r="B157" s="14" t="s">
        <v>9</v>
      </c>
      <c r="C157" s="14">
        <v>1</v>
      </c>
      <c r="D157" s="82"/>
      <c r="E157" s="15">
        <f>C157*D157</f>
        <v>0</v>
      </c>
      <c r="G157" s="9"/>
    </row>
    <row r="158" spans="1:10" x14ac:dyDescent="0.2">
      <c r="A158" s="16" t="s">
        <v>105</v>
      </c>
      <c r="B158" s="17" t="s">
        <v>106</v>
      </c>
      <c r="C158" s="81"/>
      <c r="D158" s="78"/>
      <c r="E158" s="18"/>
      <c r="G158" s="9"/>
    </row>
    <row r="159" spans="1:10" x14ac:dyDescent="0.2">
      <c r="A159" s="16" t="s">
        <v>212</v>
      </c>
      <c r="B159" s="17" t="s">
        <v>106</v>
      </c>
      <c r="C159" s="81"/>
      <c r="D159" s="18"/>
      <c r="E159" s="18"/>
      <c r="F159" s="20"/>
      <c r="I159" s="80"/>
      <c r="J159" s="80"/>
    </row>
    <row r="160" spans="1:10" x14ac:dyDescent="0.2">
      <c r="A160" s="16" t="s">
        <v>109</v>
      </c>
      <c r="B160" s="17" t="s">
        <v>1</v>
      </c>
      <c r="C160" s="131">
        <f>IFERROR(VLOOKUP(C158,'5. Depreciação'!A3:B17,2,FALSE),0)</f>
        <v>0</v>
      </c>
      <c r="D160" s="18">
        <f>E157</f>
        <v>0</v>
      </c>
      <c r="E160" s="18">
        <f>C160*D160/100</f>
        <v>0</v>
      </c>
    </row>
    <row r="161" spans="1:10" ht="13.5" thickBot="1" x14ac:dyDescent="0.25">
      <c r="A161" s="256" t="s">
        <v>49</v>
      </c>
      <c r="B161" s="257" t="s">
        <v>7</v>
      </c>
      <c r="C161" s="257">
        <f>C158*12</f>
        <v>0</v>
      </c>
      <c r="D161" s="258">
        <f>IF(C159&lt;=C158,E160,0)</f>
        <v>0</v>
      </c>
      <c r="E161" s="258">
        <f>IFERROR(D161/C161,0)</f>
        <v>0</v>
      </c>
    </row>
    <row r="162" spans="1:10" ht="13.5" thickTop="1" x14ac:dyDescent="0.2">
      <c r="A162" s="13" t="s">
        <v>110</v>
      </c>
      <c r="B162" s="14" t="s">
        <v>9</v>
      </c>
      <c r="C162" s="14">
        <f>C157</f>
        <v>1</v>
      </c>
      <c r="D162" s="82"/>
      <c r="E162" s="15">
        <f>C162*D162</f>
        <v>0</v>
      </c>
      <c r="G162" s="9"/>
    </row>
    <row r="163" spans="1:10" x14ac:dyDescent="0.2">
      <c r="A163" s="16" t="s">
        <v>107</v>
      </c>
      <c r="B163" s="17" t="s">
        <v>106</v>
      </c>
      <c r="C163" s="81"/>
      <c r="D163" s="18"/>
      <c r="E163" s="18"/>
    </row>
    <row r="164" spans="1:10" x14ac:dyDescent="0.2">
      <c r="A164" s="16" t="s">
        <v>213</v>
      </c>
      <c r="B164" s="17" t="s">
        <v>106</v>
      </c>
      <c r="C164" s="81"/>
      <c r="D164" s="18"/>
      <c r="E164" s="18"/>
      <c r="F164" s="20"/>
      <c r="I164" s="80"/>
      <c r="J164" s="80"/>
    </row>
    <row r="165" spans="1:10" x14ac:dyDescent="0.2">
      <c r="A165" s="16" t="s">
        <v>108</v>
      </c>
      <c r="B165" s="17" t="s">
        <v>1</v>
      </c>
      <c r="C165" s="132">
        <f>IFERROR(VLOOKUP(C163,'5. Depreciação'!A3:B17,2,FALSE),0)</f>
        <v>0</v>
      </c>
      <c r="D165" s="18">
        <f>E162</f>
        <v>0</v>
      </c>
      <c r="E165" s="18">
        <f>C165*D165/100</f>
        <v>0</v>
      </c>
    </row>
    <row r="166" spans="1:10" x14ac:dyDescent="0.2">
      <c r="A166" s="96" t="s">
        <v>112</v>
      </c>
      <c r="B166" s="97" t="s">
        <v>7</v>
      </c>
      <c r="C166" s="97">
        <f>C163*12</f>
        <v>0</v>
      </c>
      <c r="D166" s="98">
        <f>IF(C164&lt;=C163,E165,0)</f>
        <v>0</v>
      </c>
      <c r="E166" s="98">
        <f>IFERROR(D166/C166,0)</f>
        <v>0</v>
      </c>
    </row>
    <row r="167" spans="1:10" x14ac:dyDescent="0.2">
      <c r="A167" s="110" t="s">
        <v>256</v>
      </c>
      <c r="B167" s="111"/>
      <c r="C167" s="111"/>
      <c r="D167" s="112"/>
      <c r="E167" s="113">
        <f>E161+E166</f>
        <v>0</v>
      </c>
    </row>
    <row r="168" spans="1:10" ht="13.5" thickBot="1" x14ac:dyDescent="0.25">
      <c r="A168" s="96" t="s">
        <v>257</v>
      </c>
      <c r="B168" s="97" t="s">
        <v>9</v>
      </c>
      <c r="C168" s="81"/>
      <c r="D168" s="98">
        <f>E167</f>
        <v>0</v>
      </c>
      <c r="E168" s="113">
        <f>C168*D168</f>
        <v>0</v>
      </c>
    </row>
    <row r="169" spans="1:10" ht="13.5" thickBot="1" x14ac:dyDescent="0.25">
      <c r="A169" s="254"/>
      <c r="B169" s="254"/>
      <c r="C169" s="254"/>
      <c r="D169" s="115" t="s">
        <v>200</v>
      </c>
      <c r="E169" s="49">
        <f>$B$43</f>
        <v>0</v>
      </c>
      <c r="F169" s="21">
        <f>E168*E169</f>
        <v>0</v>
      </c>
    </row>
    <row r="170" spans="1:10" ht="11.25" customHeight="1" x14ac:dyDescent="0.2"/>
    <row r="171" spans="1:10" ht="13.5" thickBot="1" x14ac:dyDescent="0.25">
      <c r="A171" s="100" t="s">
        <v>117</v>
      </c>
    </row>
    <row r="172" spans="1:10" ht="13.5" thickBot="1" x14ac:dyDescent="0.25">
      <c r="A172" s="102" t="s">
        <v>63</v>
      </c>
      <c r="B172" s="103" t="s">
        <v>64</v>
      </c>
      <c r="C172" s="103" t="s">
        <v>39</v>
      </c>
      <c r="D172" s="59" t="s">
        <v>237</v>
      </c>
      <c r="E172" s="104" t="s">
        <v>65</v>
      </c>
      <c r="F172" s="60" t="s">
        <v>66</v>
      </c>
      <c r="I172" s="80"/>
      <c r="J172" s="80"/>
    </row>
    <row r="173" spans="1:10" x14ac:dyDescent="0.2">
      <c r="A173" s="16" t="s">
        <v>115</v>
      </c>
      <c r="B173" s="17" t="s">
        <v>9</v>
      </c>
      <c r="C173" s="14">
        <v>1</v>
      </c>
      <c r="D173" s="18">
        <f>D157</f>
        <v>0</v>
      </c>
      <c r="E173" s="18">
        <f>C173*D173</f>
        <v>0</v>
      </c>
      <c r="F173" s="20"/>
      <c r="I173" s="80"/>
      <c r="J173" s="80"/>
    </row>
    <row r="174" spans="1:10" x14ac:dyDescent="0.2">
      <c r="A174" s="16" t="s">
        <v>216</v>
      </c>
      <c r="B174" s="17" t="s">
        <v>1</v>
      </c>
      <c r="C174" s="81"/>
      <c r="D174" s="18"/>
      <c r="E174" s="18"/>
      <c r="F174" s="20"/>
      <c r="I174" s="80"/>
      <c r="J174" s="80"/>
    </row>
    <row r="175" spans="1:10" x14ac:dyDescent="0.2">
      <c r="A175" s="16" t="s">
        <v>214</v>
      </c>
      <c r="B175" s="17" t="s">
        <v>34</v>
      </c>
      <c r="C175" s="137">
        <f>IFERROR(IF(C159&lt;=C158,E157-(C160/(100*C158)*C159)*E157,E157-E160),0)</f>
        <v>0</v>
      </c>
      <c r="D175" s="18"/>
      <c r="E175" s="18"/>
      <c r="F175" s="20"/>
      <c r="I175" s="80"/>
      <c r="J175" s="80"/>
    </row>
    <row r="176" spans="1:10" x14ac:dyDescent="0.2">
      <c r="A176" s="16" t="s">
        <v>120</v>
      </c>
      <c r="B176" s="17" t="s">
        <v>34</v>
      </c>
      <c r="C176" s="78">
        <f>IFERROR(IF(C159&gt;=C158,C175,((((C175)-(E157-E160))*(((C158-C159)+1)/(2*(C158-C159))))+(E157-E160))),0)</f>
        <v>0</v>
      </c>
      <c r="D176" s="18"/>
      <c r="E176" s="18"/>
      <c r="F176" s="20"/>
      <c r="I176" s="80"/>
      <c r="J176" s="80"/>
    </row>
    <row r="177" spans="1:10" ht="13.5" thickBot="1" x14ac:dyDescent="0.25">
      <c r="A177" s="256" t="s">
        <v>121</v>
      </c>
      <c r="B177" s="257" t="s">
        <v>34</v>
      </c>
      <c r="C177" s="257"/>
      <c r="D177" s="259">
        <f>C174*C176/12/100</f>
        <v>0</v>
      </c>
      <c r="E177" s="258">
        <f>D177</f>
        <v>0</v>
      </c>
      <c r="F177" s="20"/>
      <c r="I177" s="80"/>
      <c r="J177" s="80"/>
    </row>
    <row r="178" spans="1:10" ht="13.5" thickTop="1" x14ac:dyDescent="0.2">
      <c r="A178" s="13" t="s">
        <v>116</v>
      </c>
      <c r="B178" s="14" t="s">
        <v>9</v>
      </c>
      <c r="C178" s="14">
        <f>C162</f>
        <v>1</v>
      </c>
      <c r="D178" s="15">
        <f>D162</f>
        <v>0</v>
      </c>
      <c r="E178" s="15">
        <f>C178*D178</f>
        <v>0</v>
      </c>
      <c r="F178" s="20"/>
      <c r="I178" s="80"/>
      <c r="J178" s="80"/>
    </row>
    <row r="179" spans="1:10" x14ac:dyDescent="0.2">
      <c r="A179" s="16" t="s">
        <v>216</v>
      </c>
      <c r="B179" s="17" t="s">
        <v>1</v>
      </c>
      <c r="C179" s="17">
        <f>C174</f>
        <v>0</v>
      </c>
      <c r="D179" s="18"/>
      <c r="E179" s="18"/>
      <c r="F179" s="20"/>
      <c r="I179" s="80"/>
      <c r="J179" s="80"/>
    </row>
    <row r="180" spans="1:10" x14ac:dyDescent="0.2">
      <c r="A180" s="16" t="s">
        <v>215</v>
      </c>
      <c r="B180" s="17" t="s">
        <v>34</v>
      </c>
      <c r="C180" s="137">
        <f>IFERROR(IF(C164&lt;=C163,E162-(C165/(100*C163)*C164)*E162,E162-E165),0)</f>
        <v>0</v>
      </c>
      <c r="D180" s="18"/>
      <c r="E180" s="18"/>
      <c r="F180" s="20"/>
      <c r="I180" s="80"/>
      <c r="J180" s="80"/>
    </row>
    <row r="181" spans="1:10" x14ac:dyDescent="0.2">
      <c r="A181" s="16" t="s">
        <v>122</v>
      </c>
      <c r="B181" s="17" t="s">
        <v>34</v>
      </c>
      <c r="C181" s="78">
        <f>IFERROR(IF(C164&gt;=C163,C180,((((C180)-(E162-E165))*(((C163-C164)+1)/(2*(C163-C164))))+(E162-E165))),0)</f>
        <v>0</v>
      </c>
      <c r="D181" s="18"/>
      <c r="E181" s="18"/>
      <c r="F181" s="20"/>
      <c r="I181" s="80"/>
      <c r="J181" s="80"/>
    </row>
    <row r="182" spans="1:10" x14ac:dyDescent="0.2">
      <c r="A182" s="96" t="s">
        <v>119</v>
      </c>
      <c r="B182" s="97" t="s">
        <v>34</v>
      </c>
      <c r="C182" s="97"/>
      <c r="D182" s="106">
        <f>C179*C181/12/100</f>
        <v>0</v>
      </c>
      <c r="E182" s="98">
        <f>D182</f>
        <v>0</v>
      </c>
      <c r="F182" s="20"/>
      <c r="I182" s="80"/>
      <c r="J182" s="80"/>
    </row>
    <row r="183" spans="1:10" x14ac:dyDescent="0.2">
      <c r="A183" s="110" t="s">
        <v>256</v>
      </c>
      <c r="B183" s="111"/>
      <c r="C183" s="111"/>
      <c r="D183" s="112"/>
      <c r="E183" s="113">
        <f>E177+E182</f>
        <v>0</v>
      </c>
      <c r="F183" s="20"/>
      <c r="I183" s="80"/>
      <c r="J183" s="80"/>
    </row>
    <row r="184" spans="1:10" ht="13.5" thickBot="1" x14ac:dyDescent="0.25">
      <c r="A184" s="96" t="s">
        <v>257</v>
      </c>
      <c r="B184" s="97" t="s">
        <v>9</v>
      </c>
      <c r="C184" s="17">
        <f>C168</f>
        <v>0</v>
      </c>
      <c r="D184" s="98">
        <f>E183</f>
        <v>0</v>
      </c>
      <c r="E184" s="113">
        <f>C184*D184</f>
        <v>0</v>
      </c>
      <c r="F184" s="20"/>
      <c r="I184" s="80"/>
      <c r="J184" s="80"/>
    </row>
    <row r="185" spans="1:10" ht="13.5" thickBot="1" x14ac:dyDescent="0.25">
      <c r="C185" s="19"/>
      <c r="D185" s="115" t="s">
        <v>200</v>
      </c>
      <c r="E185" s="49">
        <f>$B$43</f>
        <v>0</v>
      </c>
      <c r="F185" s="21">
        <f>E184*E185</f>
        <v>0</v>
      </c>
      <c r="I185" s="80"/>
      <c r="J185" s="80"/>
    </row>
    <row r="186" spans="1:10" ht="11.25" customHeight="1" x14ac:dyDescent="0.2">
      <c r="I186" s="80"/>
      <c r="J186" s="80"/>
    </row>
    <row r="187" spans="1:10" ht="13.5" thickBot="1" x14ac:dyDescent="0.25">
      <c r="A187" s="9" t="s">
        <v>50</v>
      </c>
      <c r="I187" s="80"/>
      <c r="J187" s="80"/>
    </row>
    <row r="188" spans="1:10" ht="13.5" thickBot="1" x14ac:dyDescent="0.25">
      <c r="A188" s="57" t="s">
        <v>63</v>
      </c>
      <c r="B188" s="58" t="s">
        <v>64</v>
      </c>
      <c r="C188" s="58" t="s">
        <v>39</v>
      </c>
      <c r="D188" s="59" t="s">
        <v>237</v>
      </c>
      <c r="E188" s="59" t="s">
        <v>65</v>
      </c>
      <c r="F188" s="60" t="s">
        <v>66</v>
      </c>
      <c r="I188" s="80"/>
      <c r="J188" s="80"/>
    </row>
    <row r="189" spans="1:10" x14ac:dyDescent="0.2">
      <c r="A189" s="13" t="s">
        <v>11</v>
      </c>
      <c r="B189" s="14" t="s">
        <v>9</v>
      </c>
      <c r="C189" s="15">
        <f>C168</f>
        <v>0</v>
      </c>
      <c r="D189" s="15">
        <f>0.01*($E$157)</f>
        <v>0</v>
      </c>
      <c r="E189" s="15">
        <f>C189*D189</f>
        <v>0</v>
      </c>
      <c r="I189" s="80"/>
      <c r="J189" s="80"/>
    </row>
    <row r="190" spans="1:10" x14ac:dyDescent="0.2">
      <c r="A190" s="16" t="s">
        <v>199</v>
      </c>
      <c r="B190" s="17" t="s">
        <v>9</v>
      </c>
      <c r="C190" s="15">
        <f>C168</f>
        <v>0</v>
      </c>
      <c r="D190" s="83"/>
      <c r="E190" s="18">
        <f>C190*D190</f>
        <v>0</v>
      </c>
      <c r="I190" s="80"/>
      <c r="J190" s="80"/>
    </row>
    <row r="191" spans="1:10" x14ac:dyDescent="0.2">
      <c r="A191" s="16" t="s">
        <v>12</v>
      </c>
      <c r="B191" s="17" t="s">
        <v>9</v>
      </c>
      <c r="C191" s="15">
        <f>C168</f>
        <v>0</v>
      </c>
      <c r="D191" s="83"/>
      <c r="E191" s="18">
        <f>C191*D191</f>
        <v>0</v>
      </c>
      <c r="F191" s="31"/>
      <c r="I191" s="80"/>
      <c r="J191" s="80"/>
    </row>
    <row r="192" spans="1:10" ht="13.5" thickBot="1" x14ac:dyDescent="0.25">
      <c r="A192" s="96" t="s">
        <v>13</v>
      </c>
      <c r="B192" s="97" t="s">
        <v>7</v>
      </c>
      <c r="C192" s="97">
        <v>12</v>
      </c>
      <c r="D192" s="98">
        <f>SUM(E189:E191)</f>
        <v>0</v>
      </c>
      <c r="E192" s="98">
        <f>D192/C192</f>
        <v>0</v>
      </c>
      <c r="I192" s="80"/>
      <c r="J192" s="80"/>
    </row>
    <row r="193" spans="1:10" ht="13.5" thickBot="1" x14ac:dyDescent="0.25">
      <c r="D193" s="115" t="s">
        <v>200</v>
      </c>
      <c r="E193" s="49">
        <f>$B$43</f>
        <v>0</v>
      </c>
      <c r="F193" s="116">
        <f>E192*E193</f>
        <v>0</v>
      </c>
      <c r="I193" s="80"/>
      <c r="J193" s="80"/>
    </row>
    <row r="194" spans="1:10" ht="11.25" customHeight="1" x14ac:dyDescent="0.2">
      <c r="I194" s="80"/>
      <c r="J194" s="80"/>
    </row>
    <row r="195" spans="1:10" x14ac:dyDescent="0.2">
      <c r="A195" s="9" t="s">
        <v>51</v>
      </c>
      <c r="B195" s="32"/>
      <c r="I195" s="80"/>
      <c r="J195" s="80"/>
    </row>
    <row r="196" spans="1:10" x14ac:dyDescent="0.2">
      <c r="B196" s="32"/>
      <c r="I196" s="80"/>
      <c r="J196" s="80"/>
    </row>
    <row r="197" spans="1:10" x14ac:dyDescent="0.2">
      <c r="A197" s="96" t="s">
        <v>124</v>
      </c>
      <c r="B197" s="107"/>
      <c r="I197" s="80"/>
      <c r="J197" s="80"/>
    </row>
    <row r="198" spans="1:10" ht="13.5" thickBot="1" x14ac:dyDescent="0.25">
      <c r="B198" s="32"/>
      <c r="I198" s="80"/>
      <c r="J198" s="80"/>
    </row>
    <row r="199" spans="1:10" ht="13.5" thickBot="1" x14ac:dyDescent="0.25">
      <c r="A199" s="57" t="s">
        <v>63</v>
      </c>
      <c r="B199" s="58" t="s">
        <v>64</v>
      </c>
      <c r="C199" s="58" t="s">
        <v>255</v>
      </c>
      <c r="D199" s="59" t="s">
        <v>237</v>
      </c>
      <c r="E199" s="59" t="s">
        <v>65</v>
      </c>
      <c r="F199" s="60" t="s">
        <v>66</v>
      </c>
      <c r="I199" s="80"/>
      <c r="J199" s="80"/>
    </row>
    <row r="200" spans="1:10" x14ac:dyDescent="0.2">
      <c r="A200" s="13" t="s">
        <v>14</v>
      </c>
      <c r="B200" s="14" t="s">
        <v>15</v>
      </c>
      <c r="C200" s="90"/>
      <c r="D200" s="91"/>
      <c r="E200" s="15"/>
      <c r="I200" s="80"/>
      <c r="J200" s="80"/>
    </row>
    <row r="201" spans="1:10" x14ac:dyDescent="0.2">
      <c r="A201" s="16" t="s">
        <v>16</v>
      </c>
      <c r="B201" s="17" t="s">
        <v>17</v>
      </c>
      <c r="C201" s="88">
        <f>B197</f>
        <v>0</v>
      </c>
      <c r="D201" s="253" t="str">
        <f>IFERROR(+D200/C200,"-")</f>
        <v>-</v>
      </c>
      <c r="E201" s="18" t="str">
        <f>IFERROR(C201*D201,"-")</f>
        <v>-</v>
      </c>
      <c r="I201" s="80"/>
      <c r="J201" s="80"/>
    </row>
    <row r="202" spans="1:10" x14ac:dyDescent="0.2">
      <c r="A202" s="16" t="s">
        <v>238</v>
      </c>
      <c r="B202" s="17" t="s">
        <v>18</v>
      </c>
      <c r="C202" s="93"/>
      <c r="D202" s="83"/>
      <c r="E202" s="18"/>
      <c r="G202" s="105"/>
      <c r="I202" s="80"/>
      <c r="J202" s="80"/>
    </row>
    <row r="203" spans="1:10" x14ac:dyDescent="0.2">
      <c r="A203" s="16" t="s">
        <v>19</v>
      </c>
      <c r="B203" s="17" t="s">
        <v>17</v>
      </c>
      <c r="C203" s="88">
        <f>C201</f>
        <v>0</v>
      </c>
      <c r="D203" s="250">
        <f>+C202*D202/1000</f>
        <v>0</v>
      </c>
      <c r="E203" s="18">
        <f>C203*D203</f>
        <v>0</v>
      </c>
      <c r="G203" s="105"/>
      <c r="I203" s="80"/>
      <c r="J203" s="80"/>
    </row>
    <row r="204" spans="1:10" x14ac:dyDescent="0.2">
      <c r="A204" s="16" t="s">
        <v>239</v>
      </c>
      <c r="B204" s="17" t="s">
        <v>18</v>
      </c>
      <c r="C204" s="93"/>
      <c r="D204" s="83"/>
      <c r="E204" s="18"/>
      <c r="G204" s="105"/>
      <c r="I204" s="80"/>
      <c r="J204" s="80"/>
    </row>
    <row r="205" spans="1:10" x14ac:dyDescent="0.2">
      <c r="A205" s="16" t="s">
        <v>20</v>
      </c>
      <c r="B205" s="17" t="s">
        <v>17</v>
      </c>
      <c r="C205" s="88">
        <f>C201</f>
        <v>0</v>
      </c>
      <c r="D205" s="250">
        <f>+C204*D204/1000</f>
        <v>0</v>
      </c>
      <c r="E205" s="18">
        <f>C205*D205</f>
        <v>0</v>
      </c>
      <c r="G205" s="105"/>
      <c r="I205" s="80"/>
      <c r="J205" s="80"/>
    </row>
    <row r="206" spans="1:10" x14ac:dyDescent="0.2">
      <c r="A206" s="16" t="s">
        <v>240</v>
      </c>
      <c r="B206" s="17" t="s">
        <v>18</v>
      </c>
      <c r="C206" s="93"/>
      <c r="D206" s="83"/>
      <c r="E206" s="18"/>
      <c r="G206" s="105"/>
      <c r="I206" s="80"/>
      <c r="J206" s="80"/>
    </row>
    <row r="207" spans="1:10" x14ac:dyDescent="0.2">
      <c r="A207" s="16" t="s">
        <v>21</v>
      </c>
      <c r="B207" s="17" t="s">
        <v>17</v>
      </c>
      <c r="C207" s="88">
        <f>C201</f>
        <v>0</v>
      </c>
      <c r="D207" s="250">
        <f>+C206*D206/1000</f>
        <v>0</v>
      </c>
      <c r="E207" s="18">
        <f>C207*D207</f>
        <v>0</v>
      </c>
      <c r="G207" s="105"/>
      <c r="I207" s="80"/>
      <c r="J207" s="80"/>
    </row>
    <row r="208" spans="1:10" x14ac:dyDescent="0.2">
      <c r="A208" s="16" t="s">
        <v>22</v>
      </c>
      <c r="B208" s="17" t="s">
        <v>23</v>
      </c>
      <c r="C208" s="93"/>
      <c r="D208" s="83"/>
      <c r="E208" s="18"/>
      <c r="G208" s="105"/>
      <c r="I208" s="80"/>
      <c r="J208" s="80"/>
    </row>
    <row r="209" spans="1:10" x14ac:dyDescent="0.2">
      <c r="A209" s="16" t="s">
        <v>24</v>
      </c>
      <c r="B209" s="17" t="s">
        <v>17</v>
      </c>
      <c r="C209" s="88">
        <f>C201</f>
        <v>0</v>
      </c>
      <c r="D209" s="250">
        <f>+C208*D208/1000</f>
        <v>0</v>
      </c>
      <c r="E209" s="18">
        <f>C209*D209</f>
        <v>0</v>
      </c>
      <c r="G209" s="105"/>
      <c r="I209" s="80"/>
      <c r="J209" s="80"/>
    </row>
    <row r="210" spans="1:10" ht="13.5" thickBot="1" x14ac:dyDescent="0.25">
      <c r="A210" s="96" t="s">
        <v>254</v>
      </c>
      <c r="B210" s="97" t="s">
        <v>125</v>
      </c>
      <c r="C210" s="251"/>
      <c r="D210" s="252">
        <f>IFERROR(D201+D203+D205+D207+D209,0)</f>
        <v>0</v>
      </c>
      <c r="E210" s="18"/>
      <c r="G210" s="105"/>
      <c r="I210" s="80"/>
      <c r="J210" s="80"/>
    </row>
    <row r="211" spans="1:10" ht="13.5" thickBot="1" x14ac:dyDescent="0.25">
      <c r="F211" s="21">
        <f>SUM(E200:E209)</f>
        <v>0</v>
      </c>
      <c r="I211" s="80"/>
      <c r="J211" s="80"/>
    </row>
    <row r="212" spans="1:10" ht="11.25" customHeight="1" x14ac:dyDescent="0.2">
      <c r="I212" s="80"/>
      <c r="J212" s="80"/>
    </row>
    <row r="213" spans="1:10" ht="13.5" thickBot="1" x14ac:dyDescent="0.25">
      <c r="A213" s="9" t="s">
        <v>52</v>
      </c>
      <c r="I213" s="80"/>
      <c r="J213" s="80"/>
    </row>
    <row r="214" spans="1:10" ht="13.5" thickBot="1" x14ac:dyDescent="0.25">
      <c r="A214" s="57" t="s">
        <v>63</v>
      </c>
      <c r="B214" s="58" t="s">
        <v>64</v>
      </c>
      <c r="C214" s="58" t="s">
        <v>39</v>
      </c>
      <c r="D214" s="59" t="s">
        <v>237</v>
      </c>
      <c r="E214" s="59" t="s">
        <v>65</v>
      </c>
      <c r="F214" s="60" t="s">
        <v>66</v>
      </c>
      <c r="I214" s="80"/>
      <c r="J214" s="80"/>
    </row>
    <row r="215" spans="1:10" ht="13.5" thickBot="1" x14ac:dyDescent="0.25">
      <c r="A215" s="13" t="s">
        <v>123</v>
      </c>
      <c r="B215" s="14" t="s">
        <v>125</v>
      </c>
      <c r="C215" s="88">
        <f>C201</f>
        <v>0</v>
      </c>
      <c r="D215" s="82"/>
      <c r="E215" s="15">
        <f>C215*D215</f>
        <v>0</v>
      </c>
      <c r="I215" s="80"/>
      <c r="J215" s="80"/>
    </row>
    <row r="216" spans="1:10" ht="13.5" thickBot="1" x14ac:dyDescent="0.25">
      <c r="F216" s="21">
        <f>E215</f>
        <v>0</v>
      </c>
      <c r="I216" s="80"/>
      <c r="J216" s="80"/>
    </row>
    <row r="217" spans="1:10" ht="11.25" customHeight="1" x14ac:dyDescent="0.2">
      <c r="I217" s="80"/>
      <c r="J217" s="80"/>
    </row>
    <row r="218" spans="1:10" ht="13.5" thickBot="1" x14ac:dyDescent="0.25">
      <c r="A218" s="9" t="s">
        <v>61</v>
      </c>
      <c r="I218" s="80"/>
      <c r="J218" s="80"/>
    </row>
    <row r="219" spans="1:10" ht="13.5" thickBot="1" x14ac:dyDescent="0.25">
      <c r="A219" s="57" t="s">
        <v>63</v>
      </c>
      <c r="B219" s="58" t="s">
        <v>64</v>
      </c>
      <c r="C219" s="58" t="s">
        <v>39</v>
      </c>
      <c r="D219" s="59" t="s">
        <v>237</v>
      </c>
      <c r="E219" s="59" t="s">
        <v>65</v>
      </c>
      <c r="F219" s="60" t="s">
        <v>66</v>
      </c>
      <c r="I219" s="80"/>
      <c r="J219" s="80"/>
    </row>
    <row r="220" spans="1:10" x14ac:dyDescent="0.2">
      <c r="A220" s="13" t="s">
        <v>97</v>
      </c>
      <c r="B220" s="14" t="s">
        <v>9</v>
      </c>
      <c r="C220" s="89"/>
      <c r="D220" s="82"/>
      <c r="E220" s="15">
        <f>C220*D220</f>
        <v>0</v>
      </c>
      <c r="I220" s="80"/>
      <c r="J220" s="80"/>
    </row>
    <row r="221" spans="1:10" x14ac:dyDescent="0.2">
      <c r="A221" s="13" t="s">
        <v>126</v>
      </c>
      <c r="B221" s="14" t="s">
        <v>9</v>
      </c>
      <c r="C221" s="89"/>
      <c r="D221" s="99"/>
      <c r="E221" s="15"/>
      <c r="I221" s="80"/>
      <c r="J221" s="80"/>
    </row>
    <row r="222" spans="1:10" x14ac:dyDescent="0.2">
      <c r="A222" s="13" t="s">
        <v>71</v>
      </c>
      <c r="B222" s="14" t="s">
        <v>9</v>
      </c>
      <c r="C222" s="15">
        <f>C220*C221</f>
        <v>0</v>
      </c>
      <c r="D222" s="82"/>
      <c r="E222" s="15">
        <f>C222*D222</f>
        <v>0</v>
      </c>
      <c r="I222" s="80"/>
      <c r="J222" s="80"/>
    </row>
    <row r="223" spans="1:10" x14ac:dyDescent="0.2">
      <c r="A223" s="16" t="s">
        <v>98</v>
      </c>
      <c r="B223" s="17" t="s">
        <v>25</v>
      </c>
      <c r="C223" s="92"/>
      <c r="D223" s="18">
        <f>E220+E222</f>
        <v>0</v>
      </c>
      <c r="E223" s="18" t="str">
        <f>IFERROR(D223/C223,"-")</f>
        <v>-</v>
      </c>
      <c r="I223" s="80"/>
      <c r="J223" s="80"/>
    </row>
    <row r="224" spans="1:10" ht="13.5" thickBot="1" x14ac:dyDescent="0.25">
      <c r="A224" s="16" t="s">
        <v>54</v>
      </c>
      <c r="B224" s="17" t="s">
        <v>17</v>
      </c>
      <c r="C224" s="88">
        <f>B197</f>
        <v>0</v>
      </c>
      <c r="D224" s="18" t="str">
        <f>E223</f>
        <v>-</v>
      </c>
      <c r="E224" s="18">
        <f>IFERROR(C224*D224,0)</f>
        <v>0</v>
      </c>
      <c r="I224" s="80"/>
      <c r="J224" s="80"/>
    </row>
    <row r="225" spans="1:10" ht="13.5" thickBot="1" x14ac:dyDescent="0.25">
      <c r="F225" s="21">
        <f>E224</f>
        <v>0</v>
      </c>
      <c r="I225" s="80"/>
      <c r="J225" s="80"/>
    </row>
    <row r="226" spans="1:10" ht="11.25" customHeight="1" x14ac:dyDescent="0.2">
      <c r="I226" s="80"/>
      <c r="J226" s="80"/>
    </row>
    <row r="227" spans="1:10" ht="11.25" customHeight="1" thickBot="1" x14ac:dyDescent="0.25">
      <c r="G227" s="9"/>
    </row>
    <row r="228" spans="1:10" ht="13.5" thickBot="1" x14ac:dyDescent="0.25">
      <c r="A228" s="24" t="s">
        <v>225</v>
      </c>
      <c r="B228" s="25"/>
      <c r="C228" s="25"/>
      <c r="D228" s="26"/>
      <c r="E228" s="27"/>
      <c r="F228" s="21">
        <f>+SUM(F157:F227)</f>
        <v>0</v>
      </c>
      <c r="G228" s="9"/>
    </row>
    <row r="229" spans="1:10" ht="11.25" customHeight="1" x14ac:dyDescent="0.2">
      <c r="G229" s="9"/>
    </row>
    <row r="230" spans="1:10" x14ac:dyDescent="0.2">
      <c r="A230" s="11" t="s">
        <v>75</v>
      </c>
      <c r="B230" s="11"/>
      <c r="C230" s="11"/>
      <c r="D230" s="34"/>
      <c r="E230" s="34"/>
      <c r="F230" s="33"/>
      <c r="G230" s="9"/>
    </row>
    <row r="231" spans="1:10" ht="11.25" customHeight="1" thickBot="1" x14ac:dyDescent="0.25">
      <c r="G231" s="9"/>
    </row>
    <row r="232" spans="1:10" ht="13.5" thickBot="1" x14ac:dyDescent="0.25">
      <c r="A232" s="57" t="s">
        <v>63</v>
      </c>
      <c r="B232" s="58" t="s">
        <v>64</v>
      </c>
      <c r="C232" s="58" t="s">
        <v>39</v>
      </c>
      <c r="D232" s="59" t="s">
        <v>237</v>
      </c>
      <c r="E232" s="59" t="s">
        <v>65</v>
      </c>
      <c r="F232" s="60" t="s">
        <v>66</v>
      </c>
      <c r="G232" s="9"/>
    </row>
    <row r="233" spans="1:10" x14ac:dyDescent="0.2">
      <c r="A233" s="16" t="s">
        <v>72</v>
      </c>
      <c r="B233" s="17" t="s">
        <v>9</v>
      </c>
      <c r="C233" s="94"/>
      <c r="D233" s="82"/>
      <c r="E233" s="18">
        <f>C233*D233</f>
        <v>0</v>
      </c>
      <c r="F233" s="52"/>
      <c r="G233" s="9"/>
    </row>
    <row r="234" spans="1:10" x14ac:dyDescent="0.2">
      <c r="A234" s="16" t="s">
        <v>27</v>
      </c>
      <c r="B234" s="17" t="s">
        <v>9</v>
      </c>
      <c r="C234" s="94"/>
      <c r="D234" s="82"/>
      <c r="E234" s="18">
        <f>C234*D234</f>
        <v>0</v>
      </c>
      <c r="F234" s="52"/>
      <c r="G234" s="9"/>
    </row>
    <row r="235" spans="1:10" x14ac:dyDescent="0.2">
      <c r="A235" s="16" t="s">
        <v>28</v>
      </c>
      <c r="B235" s="17" t="s">
        <v>9</v>
      </c>
      <c r="C235" s="94"/>
      <c r="D235" s="82"/>
      <c r="E235" s="18">
        <f>C235*D235</f>
        <v>0</v>
      </c>
      <c r="F235" s="52"/>
      <c r="G235" s="9"/>
    </row>
    <row r="236" spans="1:10" x14ac:dyDescent="0.2">
      <c r="A236" s="16" t="s">
        <v>56</v>
      </c>
      <c r="B236" s="17" t="s">
        <v>57</v>
      </c>
      <c r="C236" s="94"/>
      <c r="D236" s="82"/>
      <c r="E236" s="18">
        <f>C236*D236</f>
        <v>0</v>
      </c>
      <c r="F236" s="52"/>
      <c r="G236" s="9"/>
    </row>
    <row r="237" spans="1:10" ht="13.5" thickBot="1" x14ac:dyDescent="0.25">
      <c r="A237" s="16" t="s">
        <v>59</v>
      </c>
      <c r="B237" s="17" t="s">
        <v>57</v>
      </c>
      <c r="C237" s="94"/>
      <c r="D237" s="82"/>
      <c r="E237" s="18">
        <f>C237*D237</f>
        <v>0</v>
      </c>
      <c r="F237" s="52"/>
      <c r="G237" s="9"/>
    </row>
    <row r="238" spans="1:10" ht="13.5" thickBot="1" x14ac:dyDescent="0.25">
      <c r="A238" s="11"/>
      <c r="B238" s="11"/>
      <c r="C238" s="11"/>
      <c r="D238" s="11"/>
      <c r="E238" s="34"/>
      <c r="F238" s="21">
        <f>SUM(E233:E237)</f>
        <v>0</v>
      </c>
      <c r="G238" s="9"/>
    </row>
    <row r="239" spans="1:10" ht="11.25" customHeight="1" thickBot="1" x14ac:dyDescent="0.25">
      <c r="G239" s="9"/>
    </row>
    <row r="240" spans="1:10" ht="13.5" thickBot="1" x14ac:dyDescent="0.25">
      <c r="A240" s="24" t="s">
        <v>226</v>
      </c>
      <c r="B240" s="25"/>
      <c r="C240" s="25"/>
      <c r="D240" s="26"/>
      <c r="E240" s="27"/>
      <c r="F240" s="21">
        <f>+F238</f>
        <v>0</v>
      </c>
      <c r="G240" s="9"/>
    </row>
    <row r="241" spans="1:7" ht="11.25" customHeight="1" x14ac:dyDescent="0.2">
      <c r="G241" s="9"/>
    </row>
    <row r="242" spans="1:7" x14ac:dyDescent="0.2">
      <c r="A242" s="11" t="s">
        <v>76</v>
      </c>
      <c r="B242" s="11"/>
      <c r="C242" s="11"/>
      <c r="D242" s="34"/>
      <c r="E242" s="34"/>
      <c r="F242" s="33"/>
    </row>
    <row r="243" spans="1:7" ht="11.25" customHeight="1" thickBot="1" x14ac:dyDescent="0.25"/>
    <row r="244" spans="1:7" ht="13.5" thickBot="1" x14ac:dyDescent="0.25">
      <c r="A244" s="57" t="s">
        <v>63</v>
      </c>
      <c r="B244" s="58" t="s">
        <v>64</v>
      </c>
      <c r="C244" s="58" t="s">
        <v>39</v>
      </c>
      <c r="D244" s="59" t="s">
        <v>237</v>
      </c>
      <c r="E244" s="59" t="s">
        <v>65</v>
      </c>
      <c r="F244" s="60" t="s">
        <v>66</v>
      </c>
    </row>
    <row r="245" spans="1:7" x14ac:dyDescent="0.2">
      <c r="A245" s="16" t="s">
        <v>223</v>
      </c>
      <c r="B245" s="51" t="s">
        <v>57</v>
      </c>
      <c r="C245" s="66">
        <f>C157</f>
        <v>1</v>
      </c>
      <c r="D245" s="83"/>
      <c r="E245" s="18">
        <f>+D245*C245</f>
        <v>0</v>
      </c>
      <c r="F245" s="52"/>
    </row>
    <row r="246" spans="1:7" x14ac:dyDescent="0.2">
      <c r="A246" s="16" t="s">
        <v>60</v>
      </c>
      <c r="B246" s="51" t="s">
        <v>7</v>
      </c>
      <c r="C246" s="17">
        <v>60</v>
      </c>
      <c r="D246" s="77">
        <f>SUM(E245:E245)</f>
        <v>0</v>
      </c>
      <c r="E246" s="77">
        <f>+D246/C246</f>
        <v>0</v>
      </c>
      <c r="F246" s="52"/>
    </row>
    <row r="247" spans="1:7" x14ac:dyDescent="0.2">
      <c r="A247" s="16" t="s">
        <v>224</v>
      </c>
      <c r="B247" s="17" t="s">
        <v>9</v>
      </c>
      <c r="C247" s="66">
        <f>+C245</f>
        <v>1</v>
      </c>
      <c r="D247" s="83"/>
      <c r="E247" s="18">
        <f>C247*D247</f>
        <v>0</v>
      </c>
      <c r="F247" s="52"/>
    </row>
    <row r="248" spans="1:7" ht="13.5" thickBot="1" x14ac:dyDescent="0.25">
      <c r="A248" s="16" t="s">
        <v>36</v>
      </c>
      <c r="B248" s="51" t="s">
        <v>7</v>
      </c>
      <c r="C248" s="17">
        <v>1</v>
      </c>
      <c r="D248" s="77">
        <f>+E247</f>
        <v>0</v>
      </c>
      <c r="E248" s="77">
        <f>+D248/C248</f>
        <v>0</v>
      </c>
      <c r="F248" s="52"/>
    </row>
    <row r="249" spans="1:7" ht="13.5" thickBot="1" x14ac:dyDescent="0.25">
      <c r="A249" s="12"/>
      <c r="B249" s="12"/>
      <c r="C249" s="12"/>
      <c r="D249" s="115" t="s">
        <v>200</v>
      </c>
      <c r="E249" s="49">
        <f>$B$43</f>
        <v>0</v>
      </c>
      <c r="F249" s="21">
        <f>(E246+E248)*E249</f>
        <v>0</v>
      </c>
    </row>
    <row r="250" spans="1:7" s="50" customFormat="1" ht="11.25" customHeight="1" thickBot="1" x14ac:dyDescent="0.25">
      <c r="A250" s="9"/>
      <c r="B250" s="9"/>
      <c r="C250" s="9"/>
      <c r="D250" s="10"/>
      <c r="E250" s="10"/>
      <c r="F250" s="10"/>
      <c r="G250" s="79"/>
    </row>
    <row r="251" spans="1:7" ht="13.5" thickBot="1" x14ac:dyDescent="0.25">
      <c r="A251" s="24" t="s">
        <v>222</v>
      </c>
      <c r="B251" s="25"/>
      <c r="C251" s="25"/>
      <c r="D251" s="26"/>
      <c r="E251" s="27"/>
      <c r="F251" s="21">
        <f>+F249</f>
        <v>0</v>
      </c>
    </row>
    <row r="252" spans="1:7" x14ac:dyDescent="0.2">
      <c r="A252" s="11"/>
      <c r="B252" s="11"/>
      <c r="C252" s="11"/>
      <c r="D252" s="34"/>
      <c r="E252" s="34"/>
      <c r="F252" s="285"/>
    </row>
    <row r="253" spans="1:7" x14ac:dyDescent="0.2">
      <c r="A253" s="11" t="s">
        <v>298</v>
      </c>
      <c r="B253" s="11"/>
      <c r="C253" s="11"/>
      <c r="D253" s="34"/>
      <c r="E253" s="34"/>
      <c r="F253" s="33"/>
    </row>
    <row r="254" spans="1:7" ht="13.5" thickBot="1" x14ac:dyDescent="0.25"/>
    <row r="255" spans="1:7" ht="13.5" thickBot="1" x14ac:dyDescent="0.25">
      <c r="A255" s="57" t="s">
        <v>63</v>
      </c>
      <c r="B255" s="58" t="s">
        <v>64</v>
      </c>
      <c r="C255" s="58" t="s">
        <v>39</v>
      </c>
      <c r="D255" s="59" t="s">
        <v>237</v>
      </c>
      <c r="E255" s="59" t="s">
        <v>65</v>
      </c>
      <c r="F255" s="60" t="s">
        <v>66</v>
      </c>
    </row>
    <row r="256" spans="1:7" ht="13.5" thickBot="1" x14ac:dyDescent="0.25">
      <c r="A256" s="286" t="s">
        <v>299</v>
      </c>
      <c r="B256" s="51" t="s">
        <v>300</v>
      </c>
      <c r="C256" s="66">
        <f>C168</f>
        <v>0</v>
      </c>
      <c r="D256" s="83"/>
      <c r="E256" s="18">
        <f>+D256*C256</f>
        <v>0</v>
      </c>
      <c r="F256" s="52"/>
    </row>
    <row r="257" spans="1:7" ht="13.5" thickBot="1" x14ac:dyDescent="0.25">
      <c r="A257" s="12"/>
      <c r="B257" s="12"/>
      <c r="C257" s="12"/>
      <c r="D257" s="115"/>
      <c r="E257" s="49"/>
      <c r="F257" s="21">
        <f>F256</f>
        <v>0</v>
      </c>
    </row>
    <row r="258" spans="1:7" ht="11.25" customHeight="1" thickBot="1" x14ac:dyDescent="0.25">
      <c r="F258" s="10">
        <f>E256</f>
        <v>0</v>
      </c>
    </row>
    <row r="259" spans="1:7" ht="13.5" thickBot="1" x14ac:dyDescent="0.25">
      <c r="A259" s="24" t="s">
        <v>301</v>
      </c>
      <c r="B259" s="25"/>
      <c r="C259" s="25"/>
      <c r="D259" s="26"/>
      <c r="E259" s="27"/>
      <c r="F259" s="21">
        <f>+F257</f>
        <v>0</v>
      </c>
    </row>
    <row r="260" spans="1:7" ht="13.5" thickBot="1" x14ac:dyDescent="0.25"/>
    <row r="261" spans="1:7" ht="11.25" customHeight="1" thickBot="1" x14ac:dyDescent="0.25">
      <c r="A261" s="24" t="s">
        <v>227</v>
      </c>
      <c r="B261" s="28"/>
      <c r="C261" s="28"/>
      <c r="D261" s="29"/>
      <c r="E261" s="30"/>
      <c r="F261" s="22">
        <f>+F115+F149+F228+F240+F251+F259</f>
        <v>0</v>
      </c>
    </row>
    <row r="262" spans="1:7" ht="24.75" customHeight="1" x14ac:dyDescent="0.2"/>
    <row r="263" spans="1:7" ht="12.6" customHeight="1" x14ac:dyDescent="0.2">
      <c r="A263" s="11" t="s">
        <v>302</v>
      </c>
    </row>
    <row r="265" spans="1:7" x14ac:dyDescent="0.2">
      <c r="A265" s="13" t="s">
        <v>35</v>
      </c>
      <c r="B265" s="14" t="s">
        <v>1</v>
      </c>
      <c r="C265" s="131">
        <f>'4.BDI'!C20*100</f>
        <v>0</v>
      </c>
      <c r="D265" s="15">
        <f>+F261</f>
        <v>0</v>
      </c>
      <c r="E265" s="15">
        <f>C265*D265/100</f>
        <v>0</v>
      </c>
    </row>
    <row r="266" spans="1:7" ht="12.6" customHeight="1" thickBot="1" x14ac:dyDescent="0.25"/>
    <row r="267" spans="1:7" s="4" customFormat="1" ht="9.75" customHeight="1" thickBot="1" x14ac:dyDescent="0.25">
      <c r="A267" s="24" t="s">
        <v>242</v>
      </c>
      <c r="B267" s="28"/>
      <c r="C267" s="28"/>
      <c r="D267" s="29"/>
      <c r="E267" s="30"/>
      <c r="F267" s="22" t="e">
        <f>#REF!</f>
        <v>#REF!</v>
      </c>
      <c r="G267" s="6"/>
    </row>
    <row r="268" spans="1:7" s="4" customFormat="1" ht="9.75" customHeight="1" x14ac:dyDescent="0.2">
      <c r="A268" s="11"/>
      <c r="B268" s="11"/>
      <c r="C268" s="11"/>
      <c r="D268" s="34"/>
      <c r="E268" s="34"/>
      <c r="F268" s="33"/>
      <c r="G268" s="6"/>
    </row>
    <row r="269" spans="1:7" s="4" customFormat="1" ht="9.75" customHeight="1" thickBot="1" x14ac:dyDescent="0.25">
      <c r="A269" s="9"/>
      <c r="B269" s="9"/>
      <c r="C269" s="9"/>
      <c r="D269" s="10"/>
      <c r="E269" s="10"/>
      <c r="F269" s="10"/>
      <c r="G269" s="6"/>
    </row>
    <row r="270" spans="1:7" ht="13.5" thickBot="1" x14ac:dyDescent="0.25">
      <c r="A270" s="24" t="s">
        <v>228</v>
      </c>
      <c r="B270" s="28"/>
      <c r="C270" s="28"/>
      <c r="D270" s="29"/>
      <c r="E270" s="30"/>
      <c r="F270" s="22" t="e">
        <f>F261+F267</f>
        <v>#REF!</v>
      </c>
    </row>
    <row r="271" spans="1:7" ht="15.75" x14ac:dyDescent="0.2">
      <c r="A271" s="53"/>
      <c r="B271" s="53"/>
      <c r="C271" s="53"/>
      <c r="D271" s="54"/>
      <c r="E271" s="54"/>
      <c r="F271" s="54"/>
    </row>
    <row r="272" spans="1:7" ht="14.25" x14ac:dyDescent="0.2">
      <c r="A272" s="8"/>
      <c r="B272" s="8"/>
      <c r="C272" s="8"/>
      <c r="D272" s="35"/>
      <c r="E272" s="35"/>
    </row>
    <row r="273" spans="1:6" x14ac:dyDescent="0.2">
      <c r="A273" s="230" t="s">
        <v>221</v>
      </c>
      <c r="B273" s="231"/>
      <c r="C273" s="231"/>
      <c r="D273" s="232">
        <v>50</v>
      </c>
      <c r="E273" s="233" t="s">
        <v>26</v>
      </c>
    </row>
    <row r="274" spans="1:6" ht="13.5" thickBot="1" x14ac:dyDescent="0.25"/>
    <row r="275" spans="1:6" ht="13.5" thickBot="1" x14ac:dyDescent="0.25">
      <c r="A275" s="24" t="s">
        <v>70</v>
      </c>
      <c r="B275" s="25"/>
      <c r="C275" s="25"/>
      <c r="D275" s="26"/>
      <c r="E275" s="234" t="s">
        <v>33</v>
      </c>
      <c r="F275" s="235" t="str">
        <f>IFERROR(F270/D273,"-")</f>
        <v>-</v>
      </c>
    </row>
    <row r="276" spans="1:6" x14ac:dyDescent="0.2">
      <c r="A276" s="11"/>
      <c r="B276" s="11"/>
      <c r="C276" s="11"/>
      <c r="D276" s="34"/>
      <c r="E276" s="34"/>
      <c r="F276" s="34"/>
    </row>
    <row r="277" spans="1:6" ht="15.75" x14ac:dyDescent="0.2">
      <c r="A277" s="38"/>
      <c r="B277" s="10"/>
      <c r="C277" s="10"/>
    </row>
    <row r="278" spans="1:6" ht="15.75" x14ac:dyDescent="0.2">
      <c r="A278" s="38"/>
      <c r="B278" s="10"/>
      <c r="C278" s="10"/>
    </row>
    <row r="279" spans="1:6" ht="15.75" x14ac:dyDescent="0.2">
      <c r="A279" s="38"/>
      <c r="B279" s="10"/>
      <c r="C279" s="10"/>
    </row>
    <row r="299" spans="7:7" ht="9" customHeight="1" x14ac:dyDescent="0.2">
      <c r="G299" s="9"/>
    </row>
    <row r="309" spans="4:6" x14ac:dyDescent="0.2">
      <c r="D309" s="9"/>
      <c r="E309" s="9"/>
      <c r="F309" s="9"/>
    </row>
  </sheetData>
  <mergeCells count="9">
    <mergeCell ref="A81:F81"/>
    <mergeCell ref="A57:F57"/>
    <mergeCell ref="A39:D39"/>
    <mergeCell ref="A15:C15"/>
    <mergeCell ref="A2:F2"/>
    <mergeCell ref="A3:F3"/>
    <mergeCell ref="A32:D32"/>
    <mergeCell ref="A5:F5"/>
    <mergeCell ref="A31:E31"/>
  </mergeCells>
  <phoneticPr fontId="9" type="noConversion"/>
  <hyperlinks>
    <hyperlink ref="A171" location="AbaRemun" display="3.1.2. Remuneração do Capital" xr:uid="{00000000-0004-0000-0000-000000000000}"/>
    <hyperlink ref="A155" location="AbaDeprec" display="3.1.1. Depreciação" xr:uid="{00000000-0004-0000-0000-000001000000}"/>
  </hyperlinks>
  <pageMargins left="0.9055118110236221" right="0.51181102362204722" top="0.74803149606299213" bottom="0.74803149606299213" header="0.31496062992125984" footer="0.31496062992125984"/>
  <pageSetup paperSize="9" scale="67" fitToHeight="0" orientation="portrait" r:id="rId1"/>
  <headerFooter alignWithMargins="0">
    <oddFooter>&amp;R&amp;P de &amp;N</oddFooter>
  </headerFooter>
  <rowBreaks count="4" manualBreakCount="4">
    <brk id="44" max="5" man="1"/>
    <brk id="94" max="5" man="1"/>
    <brk id="150" max="5" man="1"/>
    <brk id="217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9"/>
  <sheetViews>
    <sheetView tabSelected="1" zoomScaleNormal="100" workbookViewId="0">
      <selection activeCell="A4" sqref="A4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11" t="s">
        <v>208</v>
      </c>
    </row>
    <row r="2" spans="1:7" x14ac:dyDescent="0.2">
      <c r="A2" s="130" t="s">
        <v>248</v>
      </c>
    </row>
    <row r="3" spans="1:7" s="4" customFormat="1" ht="15.6" customHeight="1" x14ac:dyDescent="0.2">
      <c r="B3" s="5"/>
      <c r="C3" s="5"/>
      <c r="D3" s="5"/>
      <c r="E3" s="5"/>
      <c r="F3" s="5"/>
      <c r="G3" s="6"/>
    </row>
    <row r="4" spans="1:7" s="4" customFormat="1" ht="15.6" customHeight="1" x14ac:dyDescent="0.2">
      <c r="A4" s="277"/>
      <c r="B4" s="5"/>
      <c r="C4" s="5"/>
      <c r="D4" s="5"/>
      <c r="E4" s="5"/>
      <c r="F4" s="5"/>
      <c r="G4" s="6"/>
    </row>
    <row r="5" spans="1:7" s="4" customFormat="1" ht="16.5" customHeight="1" x14ac:dyDescent="0.2">
      <c r="A5" s="277" t="s">
        <v>286</v>
      </c>
      <c r="B5" s="5"/>
      <c r="C5" s="5"/>
      <c r="D5" s="6"/>
      <c r="E5" s="6"/>
      <c r="F5" s="6"/>
      <c r="G5" s="6"/>
    </row>
    <row r="6" spans="1:7" ht="13.5" thickBot="1" x14ac:dyDescent="0.25"/>
    <row r="7" spans="1:7" ht="18" x14ac:dyDescent="0.2">
      <c r="A7" s="330" t="s">
        <v>231</v>
      </c>
      <c r="B7" s="331"/>
      <c r="C7" s="332"/>
      <c r="D7" s="138"/>
      <c r="E7" s="138"/>
      <c r="F7" s="138"/>
    </row>
    <row r="8" spans="1:7" ht="14.25" x14ac:dyDescent="0.2">
      <c r="A8" s="154" t="s">
        <v>146</v>
      </c>
      <c r="B8" s="155" t="s">
        <v>147</v>
      </c>
      <c r="C8" s="156" t="s">
        <v>148</v>
      </c>
      <c r="D8" s="157"/>
    </row>
    <row r="9" spans="1:7" ht="14.25" x14ac:dyDescent="0.2">
      <c r="A9" s="154" t="s">
        <v>149</v>
      </c>
      <c r="B9" s="155" t="s">
        <v>40</v>
      </c>
      <c r="C9" s="158">
        <v>0.2</v>
      </c>
      <c r="D9" s="157"/>
    </row>
    <row r="10" spans="1:7" ht="14.25" x14ac:dyDescent="0.2">
      <c r="A10" s="154" t="s">
        <v>150</v>
      </c>
      <c r="B10" s="155" t="s">
        <v>151</v>
      </c>
      <c r="C10" s="158">
        <v>1.4999999999999999E-2</v>
      </c>
      <c r="D10" s="157"/>
    </row>
    <row r="11" spans="1:7" ht="14.25" x14ac:dyDescent="0.2">
      <c r="A11" s="154" t="s">
        <v>152</v>
      </c>
      <c r="B11" s="155" t="s">
        <v>153</v>
      </c>
      <c r="C11" s="158">
        <v>0.01</v>
      </c>
      <c r="D11" s="157"/>
    </row>
    <row r="12" spans="1:7" ht="14.25" x14ac:dyDescent="0.2">
      <c r="A12" s="154" t="s">
        <v>154</v>
      </c>
      <c r="B12" s="155" t="s">
        <v>155</v>
      </c>
      <c r="C12" s="158">
        <v>2E-3</v>
      </c>
      <c r="D12" s="157"/>
    </row>
    <row r="13" spans="1:7" ht="14.25" x14ac:dyDescent="0.2">
      <c r="A13" s="154" t="s">
        <v>156</v>
      </c>
      <c r="B13" s="155" t="s">
        <v>157</v>
      </c>
      <c r="C13" s="158">
        <v>6.0000000000000001E-3</v>
      </c>
      <c r="D13" s="157"/>
    </row>
    <row r="14" spans="1:7" ht="14.25" x14ac:dyDescent="0.2">
      <c r="A14" s="154" t="s">
        <v>158</v>
      </c>
      <c r="B14" s="155" t="s">
        <v>159</v>
      </c>
      <c r="C14" s="158">
        <v>2.5000000000000001E-2</v>
      </c>
      <c r="D14" s="157"/>
    </row>
    <row r="15" spans="1:7" ht="14.25" x14ac:dyDescent="0.2">
      <c r="A15" s="154" t="s">
        <v>160</v>
      </c>
      <c r="B15" s="155" t="s">
        <v>161</v>
      </c>
      <c r="C15" s="158">
        <v>0.03</v>
      </c>
      <c r="D15" s="157"/>
    </row>
    <row r="16" spans="1:7" ht="14.25" x14ac:dyDescent="0.2">
      <c r="A16" s="154" t="s">
        <v>162</v>
      </c>
      <c r="B16" s="155" t="s">
        <v>41</v>
      </c>
      <c r="C16" s="158">
        <v>0.08</v>
      </c>
      <c r="D16" s="157"/>
    </row>
    <row r="17" spans="1:8" ht="15" x14ac:dyDescent="0.2">
      <c r="A17" s="154" t="s">
        <v>163</v>
      </c>
      <c r="B17" s="159" t="s">
        <v>164</v>
      </c>
      <c r="C17" s="160">
        <f>SUM(C9:C16)</f>
        <v>0.36800000000000005</v>
      </c>
      <c r="D17" s="157"/>
    </row>
    <row r="18" spans="1:8" ht="15" x14ac:dyDescent="0.2">
      <c r="A18" s="161"/>
      <c r="B18" s="162"/>
      <c r="C18" s="163"/>
      <c r="D18" s="157"/>
    </row>
    <row r="19" spans="1:8" ht="14.25" x14ac:dyDescent="0.2">
      <c r="A19" s="154" t="s">
        <v>165</v>
      </c>
      <c r="B19" s="164" t="s">
        <v>166</v>
      </c>
      <c r="C19" s="158">
        <f>ROUND(IF('3.CAGED'!C28&gt;24,(1-12/'3.CAGED'!C28)*0.1111,0.1111-C28),4)</f>
        <v>6.1899999999999997E-2</v>
      </c>
      <c r="D19" s="157"/>
    </row>
    <row r="20" spans="1:8" ht="14.25" x14ac:dyDescent="0.2">
      <c r="A20" s="154" t="s">
        <v>167</v>
      </c>
      <c r="B20" s="164" t="s">
        <v>168</v>
      </c>
      <c r="C20" s="158">
        <f>ROUND('3.CAGED'!C32/'3.CAGED'!C29,4)</f>
        <v>8.3299999999999999E-2</v>
      </c>
      <c r="D20" s="157"/>
    </row>
    <row r="21" spans="1:8" ht="14.25" x14ac:dyDescent="0.2">
      <c r="A21" s="154" t="s">
        <v>220</v>
      </c>
      <c r="B21" s="164" t="s">
        <v>170</v>
      </c>
      <c r="C21" s="158">
        <v>5.9999999999999995E-4</v>
      </c>
      <c r="D21" s="157"/>
    </row>
    <row r="22" spans="1:8" ht="14.25" x14ac:dyDescent="0.2">
      <c r="A22" s="154" t="s">
        <v>169</v>
      </c>
      <c r="B22" s="164" t="s">
        <v>172</v>
      </c>
      <c r="C22" s="158">
        <v>8.2000000000000007E-3</v>
      </c>
      <c r="D22" s="157"/>
    </row>
    <row r="23" spans="1:8" ht="14.25" x14ac:dyDescent="0.2">
      <c r="A23" s="154" t="s">
        <v>171</v>
      </c>
      <c r="B23" s="164" t="s">
        <v>174</v>
      </c>
      <c r="C23" s="158">
        <v>3.0999999999999999E-3</v>
      </c>
      <c r="D23" s="157"/>
    </row>
    <row r="24" spans="1:8" ht="14.25" x14ac:dyDescent="0.2">
      <c r="A24" s="154" t="s">
        <v>173</v>
      </c>
      <c r="B24" s="164" t="s">
        <v>175</v>
      </c>
      <c r="C24" s="158">
        <v>1.66E-2</v>
      </c>
      <c r="D24" s="157"/>
    </row>
    <row r="25" spans="1:8" ht="15" x14ac:dyDescent="0.2">
      <c r="A25" s="154" t="s">
        <v>176</v>
      </c>
      <c r="B25" s="159" t="s">
        <v>177</v>
      </c>
      <c r="C25" s="160">
        <f>SUM(C19:C24)</f>
        <v>0.17369999999999999</v>
      </c>
      <c r="D25" s="165"/>
    </row>
    <row r="26" spans="1:8" ht="15" x14ac:dyDescent="0.2">
      <c r="A26" s="161"/>
      <c r="B26" s="162"/>
      <c r="C26" s="163"/>
      <c r="D26" s="165"/>
    </row>
    <row r="27" spans="1:8" ht="14.25" x14ac:dyDescent="0.2">
      <c r="A27" s="154" t="s">
        <v>178</v>
      </c>
      <c r="B27" s="155" t="s">
        <v>179</v>
      </c>
      <c r="C27" s="158">
        <f>ROUND(('3.CAGED'!C33) *'3.CAGED'!C26/'3.CAGED'!C29,4)</f>
        <v>2.5600000000000001E-2</v>
      </c>
      <c r="D27" s="157"/>
      <c r="E27" s="166"/>
    </row>
    <row r="28" spans="1:8" ht="14.25" x14ac:dyDescent="0.2">
      <c r="A28" s="154" t="s">
        <v>219</v>
      </c>
      <c r="B28" s="155" t="s">
        <v>181</v>
      </c>
      <c r="C28" s="158">
        <f>ROUND(IF('3.CAGED'!C28&gt;12,12/'3.CAGED'!C28*0.1111,0.1111),4)</f>
        <v>4.9200000000000001E-2</v>
      </c>
      <c r="D28" s="157"/>
      <c r="H28" s="167"/>
    </row>
    <row r="29" spans="1:8" ht="14.25" x14ac:dyDescent="0.2">
      <c r="A29" s="154" t="s">
        <v>180</v>
      </c>
      <c r="B29" s="155" t="s">
        <v>183</v>
      </c>
      <c r="C29" s="158">
        <f>C27*C28</f>
        <v>1.2595200000000001E-3</v>
      </c>
      <c r="D29" s="157"/>
      <c r="E29" s="166"/>
    </row>
    <row r="30" spans="1:8" ht="14.25" x14ac:dyDescent="0.2">
      <c r="A30" s="154" t="s">
        <v>182</v>
      </c>
      <c r="B30" s="155" t="s">
        <v>185</v>
      </c>
      <c r="C30" s="158">
        <f>ROUND(('3.CAGED'!C29+'3.CAGED'!C30+'3.CAGED'!C32)/'3.CAGED'!C27*'3.CAGED'!C34*'3.CAGED'!C35*'3.CAGED'!C26/'3.CAGED'!C29,4)</f>
        <v>2.0500000000000001E-2</v>
      </c>
      <c r="D30" s="157"/>
      <c r="G30" s="166"/>
    </row>
    <row r="31" spans="1:8" ht="14.25" x14ac:dyDescent="0.2">
      <c r="A31" s="154" t="s">
        <v>184</v>
      </c>
      <c r="B31" s="155" t="s">
        <v>186</v>
      </c>
      <c r="C31" s="158">
        <f>ROUND(('3.CAGED'!C31/'3.CAGED'!C29)*'3.CAGED'!C26/12,4)</f>
        <v>1.8E-3</v>
      </c>
      <c r="D31" s="157"/>
    </row>
    <row r="32" spans="1:8" ht="15" x14ac:dyDescent="0.2">
      <c r="A32" s="154" t="s">
        <v>187</v>
      </c>
      <c r="B32" s="159" t="s">
        <v>188</v>
      </c>
      <c r="C32" s="160">
        <f>SUM(C27:C31)</f>
        <v>9.8359520000000006E-2</v>
      </c>
      <c r="D32" s="165"/>
    </row>
    <row r="33" spans="1:4" ht="15" x14ac:dyDescent="0.2">
      <c r="A33" s="161"/>
      <c r="B33" s="162"/>
      <c r="C33" s="163"/>
      <c r="D33" s="165"/>
    </row>
    <row r="34" spans="1:4" ht="14.25" x14ac:dyDescent="0.2">
      <c r="A34" s="154" t="s">
        <v>189</v>
      </c>
      <c r="B34" s="155" t="s">
        <v>190</v>
      </c>
      <c r="C34" s="158">
        <f>ROUND(C17*C25,4)</f>
        <v>6.3899999999999998E-2</v>
      </c>
      <c r="D34" s="157"/>
    </row>
    <row r="35" spans="1:4" ht="28.5" x14ac:dyDescent="0.2">
      <c r="A35" s="154" t="s">
        <v>191</v>
      </c>
      <c r="B35" s="168" t="s">
        <v>285</v>
      </c>
      <c r="C35" s="158">
        <f>ROUND((C27*C16),4)</f>
        <v>2E-3</v>
      </c>
      <c r="D35" s="157"/>
    </row>
    <row r="36" spans="1:4" ht="15" x14ac:dyDescent="0.2">
      <c r="A36" s="154" t="s">
        <v>192</v>
      </c>
      <c r="B36" s="159" t="s">
        <v>193</v>
      </c>
      <c r="C36" s="160">
        <f>SUM(C34:C35)</f>
        <v>6.59E-2</v>
      </c>
      <c r="D36" s="165"/>
    </row>
    <row r="37" spans="1:4" ht="15.75" thickBot="1" x14ac:dyDescent="0.25">
      <c r="A37" s="169"/>
      <c r="B37" s="170" t="s">
        <v>194</v>
      </c>
      <c r="C37" s="171">
        <f>C36+C32+C25+C17</f>
        <v>0.70595951999999995</v>
      </c>
      <c r="D37" s="165"/>
    </row>
    <row r="38" spans="1:4" ht="15" x14ac:dyDescent="0.2">
      <c r="A38" s="157"/>
      <c r="B38" s="172"/>
      <c r="C38" s="173"/>
      <c r="D38" s="174"/>
    </row>
    <row r="39" spans="1:4" ht="14.25" x14ac:dyDescent="0.2">
      <c r="A39" s="157"/>
      <c r="B39" s="157"/>
      <c r="C39" s="175"/>
      <c r="D39" s="176"/>
    </row>
    <row r="40" spans="1:4" ht="14.25" x14ac:dyDescent="0.2">
      <c r="A40" s="157"/>
      <c r="B40" s="157"/>
      <c r="C40" s="175"/>
      <c r="D40" s="157"/>
    </row>
    <row r="41" spans="1:4" ht="14.25" x14ac:dyDescent="0.2">
      <c r="A41" s="157"/>
      <c r="B41" s="157"/>
      <c r="C41" s="175"/>
      <c r="D41" s="157"/>
    </row>
    <row r="42" spans="1:4" ht="14.25" x14ac:dyDescent="0.2">
      <c r="A42" s="157"/>
      <c r="B42" s="157"/>
      <c r="C42" s="175"/>
      <c r="D42" s="157"/>
    </row>
    <row r="43" spans="1:4" ht="15" x14ac:dyDescent="0.2">
      <c r="A43" s="157"/>
      <c r="B43" s="172"/>
      <c r="C43" s="173"/>
      <c r="D43" s="157"/>
    </row>
    <row r="44" spans="1:4" ht="15" x14ac:dyDescent="0.2">
      <c r="A44" s="165"/>
      <c r="B44" s="172"/>
      <c r="C44" s="173"/>
      <c r="D44" s="165"/>
    </row>
    <row r="45" spans="1:4" ht="16.5" x14ac:dyDescent="0.2">
      <c r="A45" s="177"/>
    </row>
    <row r="46" spans="1:4" x14ac:dyDescent="0.2">
      <c r="A46" s="178"/>
      <c r="B46" s="179"/>
      <c r="C46" s="179"/>
    </row>
    <row r="47" spans="1:4" ht="14.25" x14ac:dyDescent="0.2">
      <c r="A47" s="157"/>
      <c r="B47" s="180"/>
      <c r="C47" s="179"/>
    </row>
    <row r="48" spans="1:4" ht="14.25" x14ac:dyDescent="0.2">
      <c r="A48" s="157"/>
      <c r="B48" s="180"/>
      <c r="C48" s="157"/>
    </row>
    <row r="49" spans="1:3" ht="14.25" x14ac:dyDescent="0.2">
      <c r="A49" s="157"/>
      <c r="B49" s="175"/>
      <c r="C49" s="179"/>
    </row>
    <row r="50" spans="1:3" ht="14.25" x14ac:dyDescent="0.2">
      <c r="A50" s="157"/>
      <c r="B50" s="180"/>
      <c r="C50" s="157"/>
    </row>
    <row r="51" spans="1:3" ht="14.25" x14ac:dyDescent="0.2">
      <c r="A51" s="157"/>
      <c r="B51" s="175"/>
      <c r="C51" s="179"/>
    </row>
    <row r="52" spans="1:3" ht="14.25" x14ac:dyDescent="0.2">
      <c r="A52" s="157"/>
      <c r="B52" s="180"/>
      <c r="C52" s="157"/>
    </row>
    <row r="53" spans="1:3" ht="14.25" x14ac:dyDescent="0.2">
      <c r="A53" s="157"/>
      <c r="B53" s="175"/>
      <c r="C53" s="179"/>
    </row>
    <row r="54" spans="1:3" ht="14.25" x14ac:dyDescent="0.2">
      <c r="A54" s="157"/>
      <c r="B54" s="180"/>
      <c r="C54" s="157"/>
    </row>
    <row r="55" spans="1:3" ht="14.25" x14ac:dyDescent="0.2">
      <c r="A55" s="157"/>
      <c r="B55" s="175"/>
      <c r="C55" s="179"/>
    </row>
    <row r="56" spans="1:3" ht="16.5" x14ac:dyDescent="0.2">
      <c r="A56" s="177"/>
    </row>
    <row r="59" spans="1:3" x14ac:dyDescent="0.2">
      <c r="A59" s="181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"/>
  <sheetViews>
    <sheetView zoomScaleNormal="100" workbookViewId="0">
      <selection activeCell="E19" sqref="E19"/>
    </sheetView>
  </sheetViews>
  <sheetFormatPr defaultColWidth="9.140625"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1" t="s">
        <v>243</v>
      </c>
    </row>
    <row r="3" spans="1:3" x14ac:dyDescent="0.2">
      <c r="A3" s="278" t="s">
        <v>296</v>
      </c>
    </row>
    <row r="5" spans="1:3" x14ac:dyDescent="0.2">
      <c r="A5" s="278" t="s">
        <v>295</v>
      </c>
    </row>
    <row r="6" spans="1:3" ht="13.5" thickBot="1" x14ac:dyDescent="0.25"/>
    <row r="7" spans="1:3" ht="18" x14ac:dyDescent="0.25">
      <c r="B7" s="333" t="s">
        <v>229</v>
      </c>
      <c r="C7" s="334"/>
    </row>
    <row r="8" spans="1:3" ht="15" x14ac:dyDescent="0.25">
      <c r="B8" s="143" t="s">
        <v>210</v>
      </c>
      <c r="C8" s="182"/>
    </row>
    <row r="9" spans="1:3" ht="15" x14ac:dyDescent="0.25">
      <c r="B9" s="144" t="s">
        <v>130</v>
      </c>
      <c r="C9" s="145">
        <v>2100</v>
      </c>
    </row>
    <row r="10" spans="1:3" ht="15" x14ac:dyDescent="0.25">
      <c r="B10" s="146" t="s">
        <v>131</v>
      </c>
      <c r="C10" s="145">
        <v>2031</v>
      </c>
    </row>
    <row r="11" spans="1:3" ht="14.25" x14ac:dyDescent="0.2">
      <c r="B11" s="183" t="s">
        <v>132</v>
      </c>
      <c r="C11" s="184">
        <v>44</v>
      </c>
    </row>
    <row r="12" spans="1:3" ht="14.25" x14ac:dyDescent="0.2">
      <c r="B12" s="183" t="s">
        <v>133</v>
      </c>
      <c r="C12" s="184">
        <v>1192</v>
      </c>
    </row>
    <row r="13" spans="1:3" ht="14.25" x14ac:dyDescent="0.2">
      <c r="B13" s="183" t="s">
        <v>134</v>
      </c>
      <c r="C13" s="184">
        <v>372</v>
      </c>
    </row>
    <row r="14" spans="1:3" ht="14.25" x14ac:dyDescent="0.2">
      <c r="B14" s="183" t="s">
        <v>135</v>
      </c>
      <c r="C14" s="184">
        <v>22</v>
      </c>
    </row>
    <row r="15" spans="1:3" ht="14.25" x14ac:dyDescent="0.2">
      <c r="B15" s="183" t="s">
        <v>136</v>
      </c>
      <c r="C15" s="184">
        <v>350</v>
      </c>
    </row>
    <row r="16" spans="1:3" ht="14.25" x14ac:dyDescent="0.2">
      <c r="B16" s="183" t="s">
        <v>137</v>
      </c>
      <c r="C16" s="184">
        <v>1</v>
      </c>
    </row>
    <row r="17" spans="1:5" ht="14.25" x14ac:dyDescent="0.2">
      <c r="B17" s="183" t="s">
        <v>138</v>
      </c>
      <c r="C17" s="184">
        <v>30</v>
      </c>
    </row>
    <row r="18" spans="1:5" ht="14.25" x14ac:dyDescent="0.2">
      <c r="B18" s="185" t="s">
        <v>139</v>
      </c>
      <c r="C18" s="186">
        <v>0</v>
      </c>
    </row>
    <row r="19" spans="1:5" ht="14.25" x14ac:dyDescent="0.2">
      <c r="B19" s="284" t="s">
        <v>291</v>
      </c>
      <c r="C19" s="186">
        <v>0</v>
      </c>
    </row>
    <row r="20" spans="1:5" ht="15" x14ac:dyDescent="0.25">
      <c r="A20" s="1" t="s">
        <v>140</v>
      </c>
      <c r="B20" s="143" t="s">
        <v>141</v>
      </c>
      <c r="C20" s="182"/>
    </row>
    <row r="21" spans="1:5" ht="14.25" x14ac:dyDescent="0.2">
      <c r="B21" s="187" t="s">
        <v>293</v>
      </c>
      <c r="C21" s="188">
        <v>4625</v>
      </c>
    </row>
    <row r="22" spans="1:5" ht="14.25" x14ac:dyDescent="0.2">
      <c r="B22" s="183" t="s">
        <v>294</v>
      </c>
      <c r="C22" s="184">
        <v>4694</v>
      </c>
    </row>
    <row r="23" spans="1:5" ht="14.25" x14ac:dyDescent="0.2">
      <c r="B23" s="183" t="s">
        <v>292</v>
      </c>
      <c r="C23" s="206">
        <f>C9-C10</f>
        <v>69</v>
      </c>
    </row>
    <row r="24" spans="1:5" ht="14.25" x14ac:dyDescent="0.2">
      <c r="B24" s="189"/>
      <c r="C24" s="190"/>
    </row>
    <row r="25" spans="1:5" s="101" customFormat="1" ht="15" x14ac:dyDescent="0.25">
      <c r="B25" s="144" t="s">
        <v>143</v>
      </c>
      <c r="C25" s="191">
        <f>MEDIAN(C21,C22)</f>
        <v>4659.5</v>
      </c>
    </row>
    <row r="26" spans="1:5" ht="15" x14ac:dyDescent="0.25">
      <c r="B26" s="146" t="s">
        <v>289</v>
      </c>
      <c r="C26" s="282">
        <f>C12/C25</f>
        <v>0.25582144006867691</v>
      </c>
    </row>
    <row r="27" spans="1:5" ht="15" x14ac:dyDescent="0.25">
      <c r="B27" s="146" t="s">
        <v>290</v>
      </c>
      <c r="C27" s="282">
        <f>MEDIAN(C9,C10)/C25</f>
        <v>0.44328790642772831</v>
      </c>
      <c r="E27" s="255"/>
    </row>
    <row r="28" spans="1:5" s="101" customFormat="1" ht="15" x14ac:dyDescent="0.25">
      <c r="B28" s="146" t="s">
        <v>249</v>
      </c>
      <c r="C28" s="280">
        <f>12/C27</f>
        <v>27.070442992011618</v>
      </c>
    </row>
    <row r="29" spans="1:5" ht="15" x14ac:dyDescent="0.25">
      <c r="B29" s="146" t="s">
        <v>142</v>
      </c>
      <c r="C29" s="148">
        <v>360</v>
      </c>
    </row>
    <row r="30" spans="1:5" ht="15" x14ac:dyDescent="0.25">
      <c r="B30" s="146" t="s">
        <v>244</v>
      </c>
      <c r="C30" s="148">
        <v>10</v>
      </c>
    </row>
    <row r="31" spans="1:5" ht="15" x14ac:dyDescent="0.25">
      <c r="B31" s="144" t="s">
        <v>245</v>
      </c>
      <c r="C31" s="147">
        <v>30</v>
      </c>
    </row>
    <row r="32" spans="1:5" ht="15" x14ac:dyDescent="0.25">
      <c r="B32" s="144" t="s">
        <v>246</v>
      </c>
      <c r="C32" s="147">
        <v>30</v>
      </c>
    </row>
    <row r="33" spans="2:4" s="101" customFormat="1" ht="15" x14ac:dyDescent="0.25">
      <c r="B33" s="144" t="s">
        <v>145</v>
      </c>
      <c r="C33" s="147">
        <f>30+(3*TRUNC(1/C27))</f>
        <v>36</v>
      </c>
    </row>
    <row r="34" spans="2:4" s="101" customFormat="1" ht="15" x14ac:dyDescent="0.25">
      <c r="B34" s="146" t="s">
        <v>41</v>
      </c>
      <c r="C34" s="281">
        <v>0.08</v>
      </c>
    </row>
    <row r="35" spans="2:4" s="101" customFormat="1" ht="15.75" thickBot="1" x14ac:dyDescent="0.3">
      <c r="B35" s="149" t="s">
        <v>144</v>
      </c>
      <c r="C35" s="283">
        <v>0.4</v>
      </c>
      <c r="D35" s="101" t="s">
        <v>297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"/>
  <sheetViews>
    <sheetView zoomScaleNormal="100" workbookViewId="0">
      <selection activeCell="A5" sqref="A5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4" bestFit="1" customWidth="1"/>
    <col min="6" max="6" width="9.7109375" bestFit="1" customWidth="1"/>
  </cols>
  <sheetData>
    <row r="1" spans="1:8" s="135" customFormat="1" ht="14.25" x14ac:dyDescent="0.2">
      <c r="A1" s="11" t="s">
        <v>208</v>
      </c>
      <c r="B1" s="8"/>
      <c r="C1" s="8"/>
      <c r="E1" s="136"/>
    </row>
    <row r="2" spans="1:8" s="135" customFormat="1" ht="14.25" x14ac:dyDescent="0.2">
      <c r="A2" s="130" t="s">
        <v>250</v>
      </c>
      <c r="B2" s="8"/>
      <c r="C2" s="8"/>
      <c r="E2" s="136"/>
    </row>
    <row r="3" spans="1:8" s="135" customFormat="1" ht="14.25" x14ac:dyDescent="0.2">
      <c r="A3" s="9" t="s">
        <v>209</v>
      </c>
      <c r="B3" s="8"/>
      <c r="C3" s="8"/>
      <c r="E3" s="136"/>
    </row>
    <row r="4" spans="1:8" s="135" customFormat="1" ht="14.25" x14ac:dyDescent="0.2">
      <c r="A4" s="9"/>
      <c r="B4" s="8"/>
      <c r="C4" s="8"/>
      <c r="E4" s="136"/>
    </row>
    <row r="5" spans="1:8" s="4" customFormat="1" ht="15.6" customHeight="1" x14ac:dyDescent="0.2">
      <c r="A5" s="277"/>
      <c r="B5" s="5"/>
      <c r="C5" s="5"/>
      <c r="D5" s="5"/>
      <c r="E5" s="5"/>
      <c r="F5" s="5"/>
      <c r="G5" s="6"/>
    </row>
    <row r="6" spans="1:8" s="4" customFormat="1" ht="16.5" customHeight="1" x14ac:dyDescent="0.2">
      <c r="A6" s="277" t="s">
        <v>286</v>
      </c>
      <c r="B6" s="5"/>
      <c r="C6" s="5"/>
      <c r="D6" s="6"/>
      <c r="E6" s="6"/>
      <c r="F6" s="6"/>
      <c r="G6" s="6"/>
    </row>
    <row r="7" spans="1:8" s="135" customFormat="1" ht="15" thickBot="1" x14ac:dyDescent="0.25">
      <c r="B7" s="8"/>
      <c r="C7" s="8"/>
      <c r="E7" s="136"/>
    </row>
    <row r="8" spans="1:8" ht="15.75" x14ac:dyDescent="0.2">
      <c r="A8" s="340" t="s">
        <v>230</v>
      </c>
      <c r="B8" s="341"/>
      <c r="C8" s="341"/>
      <c r="D8" s="341"/>
      <c r="E8" s="341"/>
      <c r="F8" s="342"/>
    </row>
    <row r="9" spans="1:8" ht="16.5" thickBot="1" x14ac:dyDescent="0.25">
      <c r="A9" s="242"/>
      <c r="B9" s="243"/>
      <c r="C9" s="243"/>
      <c r="D9" s="243"/>
      <c r="E9" s="243"/>
      <c r="F9" s="244"/>
    </row>
    <row r="10" spans="1:8" ht="15" x14ac:dyDescent="0.25">
      <c r="A10" s="192"/>
      <c r="B10" s="8"/>
      <c r="C10" s="8"/>
      <c r="D10" s="337" t="s">
        <v>247</v>
      </c>
      <c r="E10" s="338"/>
      <c r="F10" s="339"/>
      <c r="G10" s="135"/>
      <c r="H10" s="135"/>
    </row>
    <row r="11" spans="1:8" ht="15" thickBot="1" x14ac:dyDescent="0.25">
      <c r="A11" s="189"/>
      <c r="B11" s="135"/>
      <c r="C11" s="135"/>
      <c r="D11" s="193" t="s">
        <v>195</v>
      </c>
      <c r="E11" s="194" t="s">
        <v>196</v>
      </c>
      <c r="F11" s="195" t="s">
        <v>197</v>
      </c>
      <c r="G11" s="135"/>
      <c r="H11" s="135"/>
    </row>
    <row r="12" spans="1:8" ht="14.25" x14ac:dyDescent="0.2">
      <c r="A12" s="196" t="s">
        <v>77</v>
      </c>
      <c r="B12" s="197" t="s">
        <v>78</v>
      </c>
      <c r="C12" s="198"/>
      <c r="D12" s="219">
        <v>2.9700000000000001E-2</v>
      </c>
      <c r="E12" s="220">
        <v>5.0799999999999998E-2</v>
      </c>
      <c r="F12" s="221">
        <v>6.2700000000000006E-2</v>
      </c>
      <c r="G12" s="135"/>
      <c r="H12" s="135"/>
    </row>
    <row r="13" spans="1:8" ht="14.25" x14ac:dyDescent="0.2">
      <c r="A13" s="200" t="s">
        <v>79</v>
      </c>
      <c r="B13" s="201" t="s">
        <v>80</v>
      </c>
      <c r="C13" s="202"/>
      <c r="D13" s="219">
        <f>0.3%+0.56%</f>
        <v>8.6E-3</v>
      </c>
      <c r="E13" s="220">
        <f>0.48%+0.85%</f>
        <v>1.3299999999999999E-2</v>
      </c>
      <c r="F13" s="221">
        <f>0.82%+0.89%</f>
        <v>1.7099999999999997E-2</v>
      </c>
      <c r="G13" s="135"/>
      <c r="H13" s="135"/>
    </row>
    <row r="14" spans="1:8" ht="14.25" x14ac:dyDescent="0.2">
      <c r="A14" s="200" t="s">
        <v>81</v>
      </c>
      <c r="B14" s="201" t="s">
        <v>82</v>
      </c>
      <c r="C14" s="202"/>
      <c r="D14" s="219">
        <v>7.7799999999999994E-2</v>
      </c>
      <c r="E14" s="220">
        <v>0.1085</v>
      </c>
      <c r="F14" s="221">
        <v>0.13550000000000001</v>
      </c>
      <c r="G14" s="135"/>
      <c r="H14" s="135"/>
    </row>
    <row r="15" spans="1:8" ht="14.25" x14ac:dyDescent="0.2">
      <c r="A15" s="200" t="s">
        <v>83</v>
      </c>
      <c r="B15" s="201" t="s">
        <v>84</v>
      </c>
      <c r="C15" s="203">
        <f>(1+E15)^(E16/252)-1</f>
        <v>0</v>
      </c>
      <c r="D15" s="219" t="s">
        <v>281</v>
      </c>
      <c r="E15" s="204"/>
      <c r="F15" s="199"/>
      <c r="G15" s="135"/>
      <c r="H15" s="135"/>
    </row>
    <row r="16" spans="1:8" ht="14.25" x14ac:dyDescent="0.2">
      <c r="A16" s="200" t="s">
        <v>85</v>
      </c>
      <c r="B16" s="335" t="s">
        <v>86</v>
      </c>
      <c r="C16" s="202"/>
      <c r="D16" s="276" t="s">
        <v>198</v>
      </c>
      <c r="E16" s="205"/>
      <c r="F16" s="206"/>
      <c r="G16" s="135"/>
      <c r="H16" s="135"/>
    </row>
    <row r="17" spans="1:8" ht="15" thickBot="1" x14ac:dyDescent="0.25">
      <c r="A17" s="207" t="s">
        <v>87</v>
      </c>
      <c r="B17" s="336"/>
      <c r="C17" s="208"/>
      <c r="D17" s="183"/>
      <c r="E17" s="209"/>
      <c r="F17" s="206"/>
      <c r="G17" s="135"/>
      <c r="H17" s="135"/>
    </row>
    <row r="18" spans="1:8" ht="14.25" x14ac:dyDescent="0.2">
      <c r="A18" s="210" t="s">
        <v>88</v>
      </c>
      <c r="B18" s="211"/>
      <c r="C18" s="212"/>
      <c r="D18" s="183"/>
      <c r="E18" s="209"/>
      <c r="F18" s="206"/>
      <c r="G18" s="135"/>
      <c r="H18" s="135"/>
    </row>
    <row r="19" spans="1:8" ht="15" thickBot="1" x14ac:dyDescent="0.25">
      <c r="A19" s="213" t="s">
        <v>89</v>
      </c>
      <c r="B19" s="214"/>
      <c r="C19" s="215"/>
      <c r="D19" s="183"/>
      <c r="E19" s="209"/>
      <c r="F19" s="206"/>
      <c r="G19" s="135"/>
      <c r="H19" s="135"/>
    </row>
    <row r="20" spans="1:8" ht="15.75" thickBot="1" x14ac:dyDescent="0.25">
      <c r="A20" s="216" t="s">
        <v>90</v>
      </c>
      <c r="B20" s="217"/>
      <c r="C20" s="218">
        <f>ROUND((((1+C12+C13)*(1+C14)*(1+C15))/(1-(C16+C17))-1),4)</f>
        <v>0</v>
      </c>
      <c r="D20" s="222">
        <v>0.21429999999999999</v>
      </c>
      <c r="E20" s="223">
        <v>0.2717</v>
      </c>
      <c r="F20" s="224">
        <v>0.3362</v>
      </c>
      <c r="G20" s="135"/>
      <c r="H20" s="135"/>
    </row>
    <row r="21" spans="1:8" ht="14.25" x14ac:dyDescent="0.2">
      <c r="A21" s="135"/>
      <c r="B21" s="135"/>
      <c r="C21" s="135"/>
      <c r="D21" s="135"/>
      <c r="E21" s="136"/>
      <c r="F21" s="135"/>
      <c r="G21" s="135"/>
      <c r="H21" s="135"/>
    </row>
    <row r="22" spans="1:8" ht="14.25" x14ac:dyDescent="0.2">
      <c r="A22" s="135"/>
      <c r="B22" s="135"/>
      <c r="C22" s="135"/>
      <c r="D22" s="135"/>
      <c r="E22" s="136"/>
      <c r="F22" s="135"/>
      <c r="G22" s="135"/>
      <c r="H22" s="135"/>
    </row>
    <row r="23" spans="1:8" ht="14.25" x14ac:dyDescent="0.2">
      <c r="A23" s="135"/>
      <c r="B23" s="135"/>
      <c r="C23" s="135"/>
      <c r="D23" s="135"/>
      <c r="E23" s="136"/>
      <c r="F23" s="135"/>
      <c r="G23" s="135"/>
      <c r="H23" s="135"/>
    </row>
    <row r="24" spans="1:8" ht="14.25" x14ac:dyDescent="0.2">
      <c r="A24" s="135"/>
      <c r="B24" s="135"/>
      <c r="C24" s="135"/>
      <c r="D24" s="135"/>
      <c r="E24" s="136"/>
      <c r="F24" s="135"/>
      <c r="G24" s="135"/>
      <c r="H24" s="135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workbookViewId="0">
      <selection activeCell="B3" sqref="B3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43" t="s">
        <v>232</v>
      </c>
      <c r="B1" s="344"/>
    </row>
    <row r="2" spans="1:2" s="101" customFormat="1" ht="19.5" customHeight="1" x14ac:dyDescent="0.2">
      <c r="A2" s="245" t="s">
        <v>211</v>
      </c>
      <c r="B2" s="246" t="s">
        <v>283</v>
      </c>
    </row>
    <row r="3" spans="1:2" ht="19.5" customHeight="1" x14ac:dyDescent="0.2">
      <c r="A3" s="151">
        <v>1</v>
      </c>
      <c r="B3" s="150">
        <v>33.629999999999995</v>
      </c>
    </row>
    <row r="4" spans="1:2" ht="19.5" customHeight="1" x14ac:dyDescent="0.2">
      <c r="A4" s="151">
        <v>2</v>
      </c>
      <c r="B4" s="150">
        <v>43.13</v>
      </c>
    </row>
    <row r="5" spans="1:2" ht="19.5" customHeight="1" x14ac:dyDescent="0.2">
      <c r="A5" s="151">
        <v>3</v>
      </c>
      <c r="B5" s="150">
        <v>48.68</v>
      </c>
    </row>
    <row r="6" spans="1:2" ht="19.5" customHeight="1" x14ac:dyDescent="0.2">
      <c r="A6" s="151">
        <v>4</v>
      </c>
      <c r="B6" s="150">
        <v>52.62</v>
      </c>
    </row>
    <row r="7" spans="1:2" ht="19.5" customHeight="1" x14ac:dyDescent="0.2">
      <c r="A7" s="151">
        <v>5</v>
      </c>
      <c r="B7" s="150">
        <v>55.679999999999993</v>
      </c>
    </row>
    <row r="8" spans="1:2" ht="19.5" customHeight="1" x14ac:dyDescent="0.2">
      <c r="A8" s="151">
        <v>6</v>
      </c>
      <c r="B8" s="150">
        <v>58.18</v>
      </c>
    </row>
    <row r="9" spans="1:2" ht="19.5" customHeight="1" x14ac:dyDescent="0.2">
      <c r="A9" s="151">
        <v>7</v>
      </c>
      <c r="B9" s="150">
        <v>60.29</v>
      </c>
    </row>
    <row r="10" spans="1:2" ht="19.5" customHeight="1" x14ac:dyDescent="0.2">
      <c r="A10" s="151">
        <v>8</v>
      </c>
      <c r="B10" s="150">
        <v>62.12</v>
      </c>
    </row>
    <row r="11" spans="1:2" ht="19.5" customHeight="1" x14ac:dyDescent="0.2">
      <c r="A11" s="151">
        <v>9</v>
      </c>
      <c r="B11" s="150">
        <v>63.73</v>
      </c>
    </row>
    <row r="12" spans="1:2" ht="19.5" customHeight="1" x14ac:dyDescent="0.2">
      <c r="A12" s="151">
        <v>10</v>
      </c>
      <c r="B12" s="150">
        <v>65.180000000000007</v>
      </c>
    </row>
    <row r="13" spans="1:2" ht="19.5" customHeight="1" x14ac:dyDescent="0.2">
      <c r="A13" s="151">
        <v>11</v>
      </c>
      <c r="B13" s="150">
        <v>66.47999999999999</v>
      </c>
    </row>
    <row r="14" spans="1:2" ht="19.5" customHeight="1" x14ac:dyDescent="0.2">
      <c r="A14" s="151">
        <v>12</v>
      </c>
      <c r="B14" s="150">
        <v>67.67</v>
      </c>
    </row>
    <row r="15" spans="1:2" ht="19.5" customHeight="1" x14ac:dyDescent="0.2">
      <c r="A15" s="151">
        <v>13</v>
      </c>
      <c r="B15" s="150">
        <v>68.77</v>
      </c>
    </row>
    <row r="16" spans="1:2" ht="19.5" customHeight="1" x14ac:dyDescent="0.2">
      <c r="A16" s="151">
        <v>14</v>
      </c>
      <c r="B16" s="150">
        <v>69.789999999999992</v>
      </c>
    </row>
    <row r="17" spans="1:2" ht="19.5" customHeight="1" thickBot="1" x14ac:dyDescent="0.25">
      <c r="A17" s="152">
        <v>15</v>
      </c>
      <c r="B17" s="153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workbookViewId="0">
      <selection activeCell="A6" sqref="A6"/>
    </sheetView>
  </sheetViews>
  <sheetFormatPr defaultColWidth="9.140625"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28" t="s">
        <v>236</v>
      </c>
    </row>
    <row r="2" spans="1:1" x14ac:dyDescent="0.2">
      <c r="A2" s="225"/>
    </row>
    <row r="3" spans="1:1" x14ac:dyDescent="0.2">
      <c r="A3" s="225" t="s">
        <v>251</v>
      </c>
    </row>
    <row r="4" spans="1:1" x14ac:dyDescent="0.2">
      <c r="A4" s="225"/>
    </row>
    <row r="5" spans="1:1" x14ac:dyDescent="0.2">
      <c r="A5" s="225"/>
    </row>
    <row r="6" spans="1:1" x14ac:dyDescent="0.2">
      <c r="A6" s="225"/>
    </row>
    <row r="7" spans="1:1" x14ac:dyDescent="0.2">
      <c r="A7" s="225"/>
    </row>
    <row r="8" spans="1:1" x14ac:dyDescent="0.2">
      <c r="A8" s="225"/>
    </row>
    <row r="9" spans="1:1" x14ac:dyDescent="0.2">
      <c r="A9" s="225"/>
    </row>
    <row r="10" spans="1:1" x14ac:dyDescent="0.2">
      <c r="A10" s="225"/>
    </row>
    <row r="11" spans="1:1" x14ac:dyDescent="0.2">
      <c r="A11" s="225"/>
    </row>
    <row r="12" spans="1:1" ht="19.5" x14ac:dyDescent="0.35">
      <c r="A12" s="226" t="s">
        <v>233</v>
      </c>
    </row>
    <row r="13" spans="1:1" ht="15" x14ac:dyDescent="0.2">
      <c r="A13" s="226" t="s">
        <v>113</v>
      </c>
    </row>
    <row r="14" spans="1:1" ht="15" x14ac:dyDescent="0.2">
      <c r="A14" s="226" t="s">
        <v>118</v>
      </c>
    </row>
    <row r="15" spans="1:1" ht="19.5" x14ac:dyDescent="0.35">
      <c r="A15" s="226" t="s">
        <v>234</v>
      </c>
    </row>
    <row r="16" spans="1:1" ht="19.5" x14ac:dyDescent="0.35">
      <c r="A16" s="226" t="s">
        <v>235</v>
      </c>
    </row>
    <row r="17" spans="1:1" ht="15.75" thickBot="1" x14ac:dyDescent="0.25">
      <c r="A17" s="227" t="s">
        <v>114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4"/>
  <sheetViews>
    <sheetView zoomScaleNormal="100" workbookViewId="0">
      <selection activeCell="A6" sqref="A6"/>
    </sheetView>
  </sheetViews>
  <sheetFormatPr defaultColWidth="9.140625" defaultRowHeight="12.75" x14ac:dyDescent="0.2"/>
  <cols>
    <col min="1" max="1" width="58.28515625" style="255" customWidth="1"/>
    <col min="2" max="2" width="11.140625" style="255" bestFit="1" customWidth="1"/>
    <col min="3" max="3" width="11.28515625" style="255" bestFit="1" customWidth="1"/>
    <col min="4" max="16384" width="9.140625" style="255"/>
  </cols>
  <sheetData>
    <row r="1" spans="1:7" x14ac:dyDescent="0.2">
      <c r="A1" s="11" t="s">
        <v>208</v>
      </c>
    </row>
    <row r="2" spans="1:7" x14ac:dyDescent="0.2">
      <c r="A2" s="260" t="s">
        <v>258</v>
      </c>
    </row>
    <row r="3" spans="1:7" x14ac:dyDescent="0.2">
      <c r="A3" s="260" t="s">
        <v>284</v>
      </c>
    </row>
    <row r="4" spans="1:7" x14ac:dyDescent="0.2">
      <c r="A4" s="7" t="s">
        <v>282</v>
      </c>
    </row>
    <row r="5" spans="1:7" x14ac:dyDescent="0.2">
      <c r="A5" s="7"/>
    </row>
    <row r="6" spans="1:7" s="4" customFormat="1" ht="15.6" customHeight="1" x14ac:dyDescent="0.2">
      <c r="A6" s="277"/>
      <c r="B6" s="5"/>
      <c r="C6" s="5"/>
      <c r="D6" s="5"/>
      <c r="E6" s="5"/>
      <c r="F6" s="5"/>
      <c r="G6" s="6"/>
    </row>
    <row r="7" spans="1:7" s="4" customFormat="1" ht="16.5" customHeight="1" x14ac:dyDescent="0.2">
      <c r="A7" s="277" t="s">
        <v>286</v>
      </c>
      <c r="B7" s="5"/>
      <c r="C7" s="5"/>
      <c r="D7" s="6"/>
      <c r="E7" s="6"/>
      <c r="F7" s="6"/>
      <c r="G7" s="6"/>
    </row>
    <row r="8" spans="1:7" ht="13.5" thickBot="1" x14ac:dyDescent="0.25"/>
    <row r="9" spans="1:7" ht="18" x14ac:dyDescent="0.25">
      <c r="A9" s="345" t="s">
        <v>278</v>
      </c>
      <c r="B9" s="346"/>
      <c r="C9" s="347"/>
    </row>
    <row r="10" spans="1:7" ht="18" x14ac:dyDescent="0.25">
      <c r="A10" s="273"/>
      <c r="B10" s="272"/>
      <c r="C10" s="274"/>
    </row>
    <row r="11" spans="1:7" s="101" customFormat="1" ht="15" x14ac:dyDescent="0.25">
      <c r="A11" s="261" t="s">
        <v>279</v>
      </c>
      <c r="B11" s="262" t="s">
        <v>259</v>
      </c>
      <c r="C11" s="263" t="s">
        <v>148</v>
      </c>
    </row>
    <row r="12" spans="1:7" ht="14.25" x14ac:dyDescent="0.2">
      <c r="A12" s="183" t="s">
        <v>267</v>
      </c>
      <c r="B12" s="264" t="s">
        <v>260</v>
      </c>
      <c r="C12" s="184">
        <v>6123</v>
      </c>
    </row>
    <row r="13" spans="1:7" ht="14.25" x14ac:dyDescent="0.2">
      <c r="A13" s="183" t="s">
        <v>268</v>
      </c>
      <c r="B13" s="264" t="s">
        <v>265</v>
      </c>
      <c r="C13" s="265">
        <v>0.372</v>
      </c>
    </row>
    <row r="14" spans="1:7" ht="14.25" x14ac:dyDescent="0.2">
      <c r="A14" s="183" t="s">
        <v>269</v>
      </c>
      <c r="B14" s="264" t="s">
        <v>266</v>
      </c>
      <c r="C14" s="266">
        <v>2.2799999999999998</v>
      </c>
    </row>
    <row r="15" spans="1:7" ht="14.25" x14ac:dyDescent="0.2">
      <c r="A15" s="183" t="s">
        <v>275</v>
      </c>
      <c r="B15" s="264" t="s">
        <v>261</v>
      </c>
      <c r="C15" s="267">
        <v>68.3</v>
      </c>
    </row>
    <row r="16" spans="1:7" ht="14.25" x14ac:dyDescent="0.2">
      <c r="A16" s="183" t="s">
        <v>271</v>
      </c>
      <c r="B16" s="264" t="s">
        <v>93</v>
      </c>
      <c r="C16" s="270">
        <v>6</v>
      </c>
    </row>
    <row r="17" spans="1:3" ht="14.25" x14ac:dyDescent="0.2">
      <c r="A17" s="183" t="s">
        <v>270</v>
      </c>
      <c r="B17" s="264" t="s">
        <v>266</v>
      </c>
      <c r="C17" s="266">
        <f>IFERROR(C14*7/C16,0)</f>
        <v>2.6599999999999997</v>
      </c>
    </row>
    <row r="18" spans="1:3" ht="14.25" x14ac:dyDescent="0.2">
      <c r="A18" s="183" t="s">
        <v>262</v>
      </c>
      <c r="B18" s="264" t="s">
        <v>263</v>
      </c>
      <c r="C18" s="206">
        <v>500</v>
      </c>
    </row>
    <row r="19" spans="1:3" ht="14.25" x14ac:dyDescent="0.2">
      <c r="A19" s="183" t="s">
        <v>276</v>
      </c>
      <c r="B19" s="264"/>
      <c r="C19" s="184">
        <v>1</v>
      </c>
    </row>
    <row r="20" spans="1:3" ht="14.25" x14ac:dyDescent="0.2">
      <c r="A20" s="183" t="s">
        <v>277</v>
      </c>
      <c r="B20" s="264" t="s">
        <v>264</v>
      </c>
      <c r="C20" s="184">
        <v>10</v>
      </c>
    </row>
    <row r="21" spans="1:3" ht="14.25" x14ac:dyDescent="0.2">
      <c r="A21" s="183" t="s">
        <v>272</v>
      </c>
      <c r="B21" s="264" t="s">
        <v>261</v>
      </c>
      <c r="C21" s="206">
        <v>5</v>
      </c>
    </row>
    <row r="22" spans="1:3" ht="14.25" x14ac:dyDescent="0.2">
      <c r="A22" s="183" t="s">
        <v>273</v>
      </c>
      <c r="B22" s="264"/>
      <c r="C22" s="266">
        <f>IFERROR(C17/C21,0)</f>
        <v>0.53199999999999992</v>
      </c>
    </row>
    <row r="23" spans="1:3" ht="14.25" x14ac:dyDescent="0.2">
      <c r="A23" s="183" t="s">
        <v>280</v>
      </c>
      <c r="B23" s="264"/>
      <c r="C23" s="275">
        <v>1</v>
      </c>
    </row>
    <row r="24" spans="1:3" ht="15" thickBot="1" x14ac:dyDescent="0.25">
      <c r="A24" s="268" t="s">
        <v>274</v>
      </c>
      <c r="B24" s="269"/>
      <c r="C24" s="271">
        <f>IFERROR(C22/C23,0)</f>
        <v>0.53199999999999992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1. Coleta de Residuos de Saude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de Residuos de Saude'!Area_de_impressao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Meu Computador</cp:lastModifiedBy>
  <cp:lastPrinted>2017-08-10T17:29:27Z</cp:lastPrinted>
  <dcterms:created xsi:type="dcterms:W3CDTF">2000-12-13T10:02:50Z</dcterms:created>
  <dcterms:modified xsi:type="dcterms:W3CDTF">2026-07-20T19:59:40Z</dcterms:modified>
</cp:coreProperties>
</file>