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ic\Desktop\"/>
    </mc:Choice>
  </mc:AlternateContent>
  <bookViews>
    <workbookView xWindow="0" yWindow="0" windowWidth="28800" windowHeight="12315" tabRatio="920"/>
  </bookViews>
  <sheets>
    <sheet name="ORÇAMENTO" sheetId="4" r:id="rId1"/>
    <sheet name="CRONOGRAMA" sheetId="35" r:id="rId2"/>
    <sheet name="TERRAPL." sheetId="21" state="hidden" r:id="rId3"/>
    <sheet name="DIM. DREN." sheetId="19" state="hidden" r:id="rId4"/>
    <sheet name="BACIAS" sheetId="20" state="hidden" r:id="rId5"/>
    <sheet name="PAVIM." sheetId="7" state="hidden" r:id="rId6"/>
    <sheet name="SINALIZAÇÃO" sheetId="33" state="hidden" r:id="rId7"/>
    <sheet name="BDI" sheetId="8" r:id="rId8"/>
    <sheet name="COMP. SICRO" sheetId="13" state="hidden" r:id="rId9"/>
    <sheet name="REAJUSTE" sheetId="34" state="hidden" r:id="rId10"/>
    <sheet name="MAT. BET." sheetId="14" state="hidden" r:id="rId11"/>
  </sheets>
  <externalReferences>
    <externalReference r:id="rId12"/>
    <externalReference r:id="rId13"/>
  </externalReferences>
  <definedNames>
    <definedName name="_xlnm._FilterDatabase" localSheetId="2" hidden="1">TERRAPL.!#REF!</definedName>
    <definedName name="_Toc328556484" localSheetId="9">REAJUSTE!#REF!</definedName>
    <definedName name="_xlnm.Print_Area" localSheetId="7">BDI!$A$1:$J$50</definedName>
    <definedName name="_xlnm.Print_Area" localSheetId="8">'COMP. SICRO'!$A$1:$H$111</definedName>
    <definedName name="_xlnm.Print_Area" localSheetId="1">CRONOGRAMA!$B$1:$M$52</definedName>
    <definedName name="_xlnm.Print_Area" localSheetId="3">'DIM. DREN.'!$A$2:$K$67</definedName>
    <definedName name="_xlnm.Print_Area" localSheetId="10">'MAT. BET.'!$A$1:$E$35</definedName>
    <definedName name="_xlnm.Print_Area" localSheetId="0">ORÇAMENTO!$A$1:$M$47</definedName>
    <definedName name="_xlnm.Print_Area" localSheetId="5">PAVIM.!$A$1:$M$70</definedName>
    <definedName name="_xlnm.Print_Area" localSheetId="9">REAJUSTE!$A$1:$E$64</definedName>
    <definedName name="_xlnm.Print_Area" localSheetId="6">SINALIZAÇÃO!$A$1:$M$80</definedName>
    <definedName name="_xlnm.Print_Area" localSheetId="2">TERRAPL.!$A$1:$J$43</definedName>
    <definedName name="matriz">[1]BDI!$Q$17:$V$21</definedName>
    <definedName name="matriz2">[1]BDI!$Q$23:$V$27</definedName>
    <definedName name="TESTE">[2]BDI!XEV:XEV*[2]BDI!XEW:XEW</definedName>
    <definedName name="_xlnm.Print_Titles" localSheetId="3">'DIM. DREN.'!$2:$7</definedName>
    <definedName name="_xlnm.Print_Titles" localSheetId="5">PAVIM.!$1:$3</definedName>
    <definedName name="_xlnm.Print_Titles" localSheetId="2">TERRAPL.!$1:$4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4" l="1"/>
  <c r="H2" i="4"/>
  <c r="J2" i="4"/>
  <c r="M13" i="35" l="1"/>
  <c r="M14" i="35"/>
  <c r="M12" i="35"/>
  <c r="K20" i="35"/>
  <c r="M20" i="35" s="1"/>
  <c r="K21" i="35"/>
  <c r="M21" i="35" s="1"/>
  <c r="K22" i="35"/>
  <c r="M22" i="35" s="1"/>
  <c r="K23" i="35"/>
  <c r="M23" i="35" s="1"/>
  <c r="K24" i="35"/>
  <c r="M24" i="35" s="1"/>
  <c r="K25" i="35"/>
  <c r="M25" i="35" s="1"/>
  <c r="K19" i="35"/>
  <c r="I17" i="35"/>
  <c r="M17" i="35" s="1"/>
  <c r="I18" i="35"/>
  <c r="M18" i="35" s="1"/>
  <c r="I16" i="35"/>
  <c r="M16" i="35" s="1"/>
  <c r="I15" i="35"/>
  <c r="I27" i="35" s="1"/>
  <c r="G14" i="35"/>
  <c r="G13" i="35"/>
  <c r="G12" i="35"/>
  <c r="G11" i="35"/>
  <c r="G27" i="35" s="1"/>
  <c r="E11" i="35"/>
  <c r="M11" i="35" s="1"/>
  <c r="E10" i="35"/>
  <c r="M10" i="35" s="1"/>
  <c r="E9" i="35"/>
  <c r="M9" i="35" s="1"/>
  <c r="E8" i="35"/>
  <c r="E27" i="35" s="1"/>
  <c r="C20" i="35"/>
  <c r="C21" i="35"/>
  <c r="C22" i="35"/>
  <c r="C23" i="35"/>
  <c r="C24" i="35"/>
  <c r="C25" i="35"/>
  <c r="C26" i="35"/>
  <c r="C19" i="35"/>
  <c r="C17" i="35"/>
  <c r="C18" i="35"/>
  <c r="C16" i="35"/>
  <c r="C15" i="35"/>
  <c r="C14" i="35"/>
  <c r="C13" i="35"/>
  <c r="C12" i="35"/>
  <c r="C11" i="35"/>
  <c r="C10" i="35"/>
  <c r="C9" i="35"/>
  <c r="C8" i="35"/>
  <c r="B20" i="35"/>
  <c r="B21" i="35"/>
  <c r="B22" i="35"/>
  <c r="B23" i="35"/>
  <c r="B24" i="35"/>
  <c r="B25" i="35"/>
  <c r="B26" i="35"/>
  <c r="B19" i="35"/>
  <c r="B17" i="35"/>
  <c r="B18" i="35"/>
  <c r="B16" i="35"/>
  <c r="B15" i="35"/>
  <c r="B14" i="35"/>
  <c r="B13" i="35"/>
  <c r="B12" i="35"/>
  <c r="B11" i="35"/>
  <c r="B10" i="35"/>
  <c r="B9" i="35"/>
  <c r="B8" i="35"/>
  <c r="I3" i="35"/>
  <c r="C3" i="35"/>
  <c r="I2" i="35"/>
  <c r="J27" i="4"/>
  <c r="J28" i="4"/>
  <c r="J29" i="4"/>
  <c r="J30" i="4"/>
  <c r="J31" i="4"/>
  <c r="J32" i="4"/>
  <c r="J26" i="4"/>
  <c r="J23" i="4"/>
  <c r="J24" i="4"/>
  <c r="J22" i="4"/>
  <c r="J20" i="4"/>
  <c r="J19" i="4"/>
  <c r="J17" i="4"/>
  <c r="J16" i="4"/>
  <c r="J14" i="4"/>
  <c r="I11" i="4"/>
  <c r="I12" i="4"/>
  <c r="I14" i="4"/>
  <c r="I16" i="4"/>
  <c r="I17" i="4"/>
  <c r="I19" i="4"/>
  <c r="I20" i="4"/>
  <c r="I22" i="4"/>
  <c r="I23" i="4"/>
  <c r="I24" i="4"/>
  <c r="I26" i="4"/>
  <c r="I27" i="4"/>
  <c r="I28" i="4"/>
  <c r="I29" i="4"/>
  <c r="I30" i="4"/>
  <c r="I31" i="4"/>
  <c r="I32" i="4"/>
  <c r="I33" i="4"/>
  <c r="J33" i="4" s="1"/>
  <c r="H33" i="4"/>
  <c r="H32" i="4"/>
  <c r="H31" i="4"/>
  <c r="H30" i="4"/>
  <c r="H29" i="4"/>
  <c r="H28" i="4"/>
  <c r="H27" i="4"/>
  <c r="H26" i="4"/>
  <c r="H24" i="4"/>
  <c r="H23" i="4"/>
  <c r="H22" i="4"/>
  <c r="H20" i="4"/>
  <c r="H19" i="4"/>
  <c r="H17" i="4"/>
  <c r="H16" i="4"/>
  <c r="H14" i="4"/>
  <c r="K26" i="35" l="1"/>
  <c r="M26" i="35" s="1"/>
  <c r="J36" i="4"/>
  <c r="K27" i="35"/>
  <c r="M8" i="35"/>
  <c r="M15" i="35"/>
  <c r="M19" i="35"/>
  <c r="C3" i="14"/>
  <c r="B3" i="14"/>
  <c r="D2" i="14"/>
  <c r="C2" i="14"/>
  <c r="B2" i="14"/>
  <c r="E7" i="34"/>
  <c r="E6" i="34"/>
  <c r="C3" i="34"/>
  <c r="B3" i="34"/>
  <c r="E2" i="34"/>
  <c r="C2" i="34"/>
  <c r="B2" i="34"/>
  <c r="H184" i="13"/>
  <c r="H185" i="13" s="1"/>
  <c r="H180" i="13"/>
  <c r="H181" i="13" s="1"/>
  <c r="G166" i="13"/>
  <c r="G167" i="13" s="1"/>
  <c r="H162" i="13"/>
  <c r="H161" i="13"/>
  <c r="H160" i="13"/>
  <c r="H163" i="13" s="1"/>
  <c r="C152" i="13"/>
  <c r="H151" i="13"/>
  <c r="H150" i="13"/>
  <c r="H149" i="13"/>
  <c r="H148" i="13"/>
  <c r="H153" i="13" s="1"/>
  <c r="H144" i="13"/>
  <c r="H143" i="13"/>
  <c r="H142" i="13"/>
  <c r="H141" i="13"/>
  <c r="H140" i="13"/>
  <c r="H145" i="13" s="1"/>
  <c r="E136" i="13"/>
  <c r="G136" i="13" s="1"/>
  <c r="E135" i="13"/>
  <c r="G135" i="13" s="1"/>
  <c r="G134" i="13"/>
  <c r="G133" i="13"/>
  <c r="E132" i="13"/>
  <c r="G132" i="13" s="1"/>
  <c r="E131" i="13"/>
  <c r="G131" i="13" s="1"/>
  <c r="E130" i="13"/>
  <c r="G130" i="13" s="1"/>
  <c r="G137" i="13" s="1"/>
  <c r="G124" i="13"/>
  <c r="G125" i="13" s="1"/>
  <c r="H121" i="13"/>
  <c r="H120" i="13"/>
  <c r="H119" i="13"/>
  <c r="H118" i="13"/>
  <c r="H117" i="13"/>
  <c r="H122" i="13" s="1"/>
  <c r="H110" i="13"/>
  <c r="H106" i="13"/>
  <c r="G102" i="13"/>
  <c r="E97" i="13"/>
  <c r="G97" i="13" s="1"/>
  <c r="G98" i="13" s="1"/>
  <c r="G91" i="13"/>
  <c r="G92" i="13" s="1"/>
  <c r="H88" i="13"/>
  <c r="H87" i="13"/>
  <c r="H86" i="13"/>
  <c r="H89" i="13" s="1"/>
  <c r="H72" i="13"/>
  <c r="H67" i="13"/>
  <c r="H66" i="13"/>
  <c r="H68" i="13" s="1"/>
  <c r="E58" i="13"/>
  <c r="G58" i="13" s="1"/>
  <c r="E57" i="13"/>
  <c r="G57" i="13" s="1"/>
  <c r="G59" i="13" s="1"/>
  <c r="H60" i="13" s="1"/>
  <c r="G51" i="13"/>
  <c r="G52" i="13" s="1"/>
  <c r="H48" i="13"/>
  <c r="H47" i="13"/>
  <c r="H46" i="13"/>
  <c r="H49" i="13" s="1"/>
  <c r="H36" i="13"/>
  <c r="H31" i="13"/>
  <c r="H30" i="13"/>
  <c r="H29" i="13"/>
  <c r="H28" i="13"/>
  <c r="H32" i="13" s="1"/>
  <c r="H23" i="13"/>
  <c r="E19" i="13"/>
  <c r="G19" i="13" s="1"/>
  <c r="E18" i="13"/>
  <c r="G18" i="13" s="1"/>
  <c r="E17" i="13"/>
  <c r="G17" i="13" s="1"/>
  <c r="E16" i="13"/>
  <c r="G16" i="13" s="1"/>
  <c r="G20" i="13" s="1"/>
  <c r="H21" i="13" s="1"/>
  <c r="G10" i="13"/>
  <c r="G9" i="13"/>
  <c r="G11" i="13" s="1"/>
  <c r="H6" i="13"/>
  <c r="H7" i="13" s="1"/>
  <c r="F22" i="8"/>
  <c r="F30" i="8" s="1"/>
  <c r="E8" i="8"/>
  <c r="D8" i="8"/>
  <c r="E6" i="8"/>
  <c r="D6" i="8"/>
  <c r="H47" i="33"/>
  <c r="M47" i="33" s="1"/>
  <c r="H46" i="33"/>
  <c r="M46" i="33" s="1"/>
  <c r="M48" i="33" s="1"/>
  <c r="M42" i="33"/>
  <c r="M36" i="33"/>
  <c r="M35" i="33"/>
  <c r="M37" i="33" s="1"/>
  <c r="M30" i="33"/>
  <c r="M29" i="33"/>
  <c r="M28" i="33"/>
  <c r="M27" i="33"/>
  <c r="M26" i="33"/>
  <c r="M25" i="33"/>
  <c r="M24" i="33"/>
  <c r="M23" i="33"/>
  <c r="M22" i="33"/>
  <c r="M21" i="33"/>
  <c r="M31" i="33" s="1"/>
  <c r="D21" i="33"/>
  <c r="D22" i="33" s="1"/>
  <c r="G11" i="33"/>
  <c r="G25" i="33" s="1"/>
  <c r="G26" i="33" s="1"/>
  <c r="F11" i="33"/>
  <c r="F25" i="33" s="1"/>
  <c r="F26" i="33" s="1"/>
  <c r="E11" i="33"/>
  <c r="E25" i="33" s="1"/>
  <c r="E26" i="33" s="1"/>
  <c r="D11" i="33"/>
  <c r="D25" i="33" s="1"/>
  <c r="D26" i="33" s="1"/>
  <c r="C11" i="33"/>
  <c r="C25" i="33" s="1"/>
  <c r="C26" i="33" s="1"/>
  <c r="B11" i="33"/>
  <c r="B25" i="33" s="1"/>
  <c r="B26" i="33" s="1"/>
  <c r="A11" i="33"/>
  <c r="A25" i="33" s="1"/>
  <c r="A26" i="33" s="1"/>
  <c r="G9" i="33"/>
  <c r="G23" i="33" s="1"/>
  <c r="F9" i="33"/>
  <c r="F23" i="33" s="1"/>
  <c r="E9" i="33"/>
  <c r="E23" i="33" s="1"/>
  <c r="D9" i="33"/>
  <c r="D23" i="33" s="1"/>
  <c r="C9" i="33"/>
  <c r="C23" i="33" s="1"/>
  <c r="A9" i="33"/>
  <c r="A23" i="33" s="1"/>
  <c r="D8" i="33"/>
  <c r="G7" i="33"/>
  <c r="F7" i="33"/>
  <c r="E7" i="33"/>
  <c r="C7" i="33"/>
  <c r="B7" i="33"/>
  <c r="B21" i="33" s="1"/>
  <c r="B22" i="33" s="1"/>
  <c r="D3" i="33"/>
  <c r="M2" i="33"/>
  <c r="L2" i="33"/>
  <c r="I2" i="33"/>
  <c r="D2" i="33"/>
  <c r="M69" i="7"/>
  <c r="J61" i="7"/>
  <c r="H61" i="7"/>
  <c r="G61" i="7"/>
  <c r="F61" i="7"/>
  <c r="E61" i="7"/>
  <c r="D61" i="7"/>
  <c r="I61" i="7" s="1"/>
  <c r="K61" i="7" s="1"/>
  <c r="M61" i="7" s="1"/>
  <c r="C61" i="7"/>
  <c r="B61" i="7"/>
  <c r="A61" i="7"/>
  <c r="M55" i="7"/>
  <c r="I48" i="7"/>
  <c r="K48" i="7" s="1"/>
  <c r="M48" i="7" s="1"/>
  <c r="M42" i="7"/>
  <c r="J20" i="7"/>
  <c r="H20" i="7"/>
  <c r="H29" i="7" s="1"/>
  <c r="H38" i="7" s="1"/>
  <c r="H51" i="7" s="1"/>
  <c r="H64" i="7" s="1"/>
  <c r="G20" i="7"/>
  <c r="G29" i="7" s="1"/>
  <c r="G38" i="7" s="1"/>
  <c r="G51" i="7" s="1"/>
  <c r="F20" i="7"/>
  <c r="F29" i="7" s="1"/>
  <c r="F38" i="7" s="1"/>
  <c r="F51" i="7" s="1"/>
  <c r="E20" i="7"/>
  <c r="E29" i="7" s="1"/>
  <c r="E38" i="7" s="1"/>
  <c r="E51" i="7" s="1"/>
  <c r="D20" i="7"/>
  <c r="D29" i="7" s="1"/>
  <c r="C20" i="7"/>
  <c r="C29" i="7" s="1"/>
  <c r="C38" i="7" s="1"/>
  <c r="C51" i="7" s="1"/>
  <c r="A20" i="7"/>
  <c r="A29" i="7" s="1"/>
  <c r="A38" i="7" s="1"/>
  <c r="A51" i="7" s="1"/>
  <c r="J19" i="7"/>
  <c r="J29" i="7" s="1"/>
  <c r="J38" i="7" s="1"/>
  <c r="J51" i="7" s="1"/>
  <c r="J64" i="7" s="1"/>
  <c r="H19" i="7"/>
  <c r="H28" i="7" s="1"/>
  <c r="H37" i="7" s="1"/>
  <c r="H50" i="7" s="1"/>
  <c r="H63" i="7" s="1"/>
  <c r="G19" i="7"/>
  <c r="G28" i="7" s="1"/>
  <c r="G37" i="7" s="1"/>
  <c r="G50" i="7" s="1"/>
  <c r="F19" i="7"/>
  <c r="F28" i="7" s="1"/>
  <c r="F37" i="7" s="1"/>
  <c r="F50" i="7" s="1"/>
  <c r="E19" i="7"/>
  <c r="E28" i="7" s="1"/>
  <c r="E37" i="7" s="1"/>
  <c r="E50" i="7" s="1"/>
  <c r="D19" i="7"/>
  <c r="D28" i="7" s="1"/>
  <c r="C19" i="7"/>
  <c r="C28" i="7" s="1"/>
  <c r="C37" i="7" s="1"/>
  <c r="C50" i="7" s="1"/>
  <c r="B19" i="7"/>
  <c r="B28" i="7" s="1"/>
  <c r="B37" i="7" s="1"/>
  <c r="B50" i="7" s="1"/>
  <c r="A19" i="7"/>
  <c r="A28" i="7" s="1"/>
  <c r="A37" i="7" s="1"/>
  <c r="A50" i="7" s="1"/>
  <c r="J18" i="7"/>
  <c r="J27" i="7" s="1"/>
  <c r="J36" i="7" s="1"/>
  <c r="H18" i="7"/>
  <c r="H27" i="7" s="1"/>
  <c r="H36" i="7" s="1"/>
  <c r="H49" i="7" s="1"/>
  <c r="H62" i="7" s="1"/>
  <c r="G18" i="7"/>
  <c r="G27" i="7" s="1"/>
  <c r="G36" i="7" s="1"/>
  <c r="G49" i="7" s="1"/>
  <c r="G62" i="7" s="1"/>
  <c r="F18" i="7"/>
  <c r="F27" i="7" s="1"/>
  <c r="F36" i="7" s="1"/>
  <c r="F49" i="7" s="1"/>
  <c r="F62" i="7" s="1"/>
  <c r="E18" i="7"/>
  <c r="E27" i="7" s="1"/>
  <c r="E36" i="7" s="1"/>
  <c r="E49" i="7" s="1"/>
  <c r="E62" i="7" s="1"/>
  <c r="D18" i="7"/>
  <c r="D27" i="7" s="1"/>
  <c r="C18" i="7"/>
  <c r="C27" i="7" s="1"/>
  <c r="C36" i="7" s="1"/>
  <c r="C49" i="7" s="1"/>
  <c r="C62" i="7" s="1"/>
  <c r="A18" i="7"/>
  <c r="A27" i="7" s="1"/>
  <c r="A36" i="7" s="1"/>
  <c r="A49" i="7" s="1"/>
  <c r="A62" i="7" s="1"/>
  <c r="J17" i="7"/>
  <c r="J26" i="7" s="1"/>
  <c r="J35" i="7" s="1"/>
  <c r="H17" i="7"/>
  <c r="H26" i="7" s="1"/>
  <c r="H35" i="7" s="1"/>
  <c r="G17" i="7"/>
  <c r="G26" i="7" s="1"/>
  <c r="G35" i="7" s="1"/>
  <c r="F17" i="7"/>
  <c r="F26" i="7" s="1"/>
  <c r="F35" i="7" s="1"/>
  <c r="E17" i="7"/>
  <c r="E26" i="7" s="1"/>
  <c r="E35" i="7" s="1"/>
  <c r="D17" i="7"/>
  <c r="D26" i="7" s="1"/>
  <c r="C17" i="7"/>
  <c r="C26" i="7" s="1"/>
  <c r="C35" i="7" s="1"/>
  <c r="A17" i="7"/>
  <c r="A26" i="7" s="1"/>
  <c r="A35" i="7" s="1"/>
  <c r="J16" i="7"/>
  <c r="J25" i="7" s="1"/>
  <c r="J34" i="7" s="1"/>
  <c r="J47" i="7" s="1"/>
  <c r="J60" i="7" s="1"/>
  <c r="H16" i="7"/>
  <c r="H25" i="7" s="1"/>
  <c r="H34" i="7" s="1"/>
  <c r="H47" i="7" s="1"/>
  <c r="H60" i="7" s="1"/>
  <c r="G16" i="7"/>
  <c r="G25" i="7" s="1"/>
  <c r="G34" i="7" s="1"/>
  <c r="G47" i="7" s="1"/>
  <c r="G60" i="7" s="1"/>
  <c r="F16" i="7"/>
  <c r="F25" i="7" s="1"/>
  <c r="F34" i="7" s="1"/>
  <c r="F47" i="7" s="1"/>
  <c r="F60" i="7" s="1"/>
  <c r="E16" i="7"/>
  <c r="E25" i="7" s="1"/>
  <c r="E34" i="7" s="1"/>
  <c r="E47" i="7" s="1"/>
  <c r="E60" i="7" s="1"/>
  <c r="D16" i="7"/>
  <c r="D25" i="7" s="1"/>
  <c r="C16" i="7"/>
  <c r="C25" i="7" s="1"/>
  <c r="C34" i="7" s="1"/>
  <c r="C47" i="7" s="1"/>
  <c r="C60" i="7" s="1"/>
  <c r="B16" i="7"/>
  <c r="B25" i="7" s="1"/>
  <c r="B34" i="7" s="1"/>
  <c r="B47" i="7" s="1"/>
  <c r="B60" i="7" s="1"/>
  <c r="A16" i="7"/>
  <c r="A25" i="7" s="1"/>
  <c r="A34" i="7" s="1"/>
  <c r="A47" i="7" s="1"/>
  <c r="I11" i="7"/>
  <c r="K11" i="7" s="1"/>
  <c r="M11" i="7" s="1"/>
  <c r="B11" i="7"/>
  <c r="B20" i="7" s="1"/>
  <c r="B29" i="7" s="1"/>
  <c r="B38" i="7" s="1"/>
  <c r="B51" i="7" s="1"/>
  <c r="I10" i="7"/>
  <c r="K10" i="7" s="1"/>
  <c r="M10" i="7" s="1"/>
  <c r="I9" i="7"/>
  <c r="K9" i="7" s="1"/>
  <c r="M9" i="7" s="1"/>
  <c r="B9" i="7"/>
  <c r="B18" i="7" s="1"/>
  <c r="B27" i="7" s="1"/>
  <c r="B36" i="7" s="1"/>
  <c r="B49" i="7" s="1"/>
  <c r="B62" i="7" s="1"/>
  <c r="I8" i="7"/>
  <c r="K8" i="7" s="1"/>
  <c r="M8" i="7" s="1"/>
  <c r="B8" i="7"/>
  <c r="B9" i="33" s="1"/>
  <c r="I7" i="7"/>
  <c r="K7" i="7" s="1"/>
  <c r="M7" i="7" s="1"/>
  <c r="M12" i="7" s="1"/>
  <c r="M3" i="7"/>
  <c r="J3" i="4" s="1"/>
  <c r="A1" i="7"/>
  <c r="G11" i="20"/>
  <c r="G12" i="20" s="1"/>
  <c r="G14" i="20" s="1"/>
  <c r="G6" i="20"/>
  <c r="F6" i="20"/>
  <c r="G5" i="20"/>
  <c r="F5" i="20"/>
  <c r="E44" i="19"/>
  <c r="I44" i="19" s="1"/>
  <c r="F40" i="19"/>
  <c r="H40" i="19" s="1"/>
  <c r="I40" i="19" s="1"/>
  <c r="K40" i="19" s="1"/>
  <c r="C40" i="19"/>
  <c r="E14" i="19"/>
  <c r="I14" i="19" s="1"/>
  <c r="F10" i="19"/>
  <c r="H10" i="19" s="1"/>
  <c r="I10" i="19" s="1"/>
  <c r="K10" i="19" s="1"/>
  <c r="C10" i="19"/>
  <c r="H6" i="19"/>
  <c r="I40" i="21"/>
  <c r="J40" i="21" s="1"/>
  <c r="F40" i="21"/>
  <c r="G40" i="21" s="1"/>
  <c r="D40" i="21"/>
  <c r="I39" i="21"/>
  <c r="J39" i="21" s="1"/>
  <c r="F39" i="21"/>
  <c r="G39" i="21" s="1"/>
  <c r="D39" i="21"/>
  <c r="I38" i="21"/>
  <c r="J38" i="21" s="1"/>
  <c r="F38" i="21"/>
  <c r="G38" i="21" s="1"/>
  <c r="D38" i="21"/>
  <c r="I37" i="21"/>
  <c r="J37" i="21" s="1"/>
  <c r="F37" i="21"/>
  <c r="G37" i="21" s="1"/>
  <c r="D37" i="21"/>
  <c r="I36" i="21"/>
  <c r="J36" i="21" s="1"/>
  <c r="F36" i="21"/>
  <c r="G36" i="21" s="1"/>
  <c r="D36" i="21"/>
  <c r="I35" i="21"/>
  <c r="J35" i="21" s="1"/>
  <c r="F35" i="21"/>
  <c r="G35" i="21" s="1"/>
  <c r="D35" i="21"/>
  <c r="I34" i="21"/>
  <c r="J34" i="21" s="1"/>
  <c r="F34" i="21"/>
  <c r="G34" i="21" s="1"/>
  <c r="D34" i="21"/>
  <c r="I33" i="21"/>
  <c r="J33" i="21" s="1"/>
  <c r="F33" i="21"/>
  <c r="G33" i="21" s="1"/>
  <c r="D33" i="21"/>
  <c r="I32" i="21"/>
  <c r="J32" i="21" s="1"/>
  <c r="F32" i="21"/>
  <c r="G32" i="21" s="1"/>
  <c r="D32" i="21"/>
  <c r="I31" i="21"/>
  <c r="J31" i="21" s="1"/>
  <c r="F31" i="21"/>
  <c r="G31" i="21" s="1"/>
  <c r="D31" i="21"/>
  <c r="I30" i="21"/>
  <c r="J30" i="21" s="1"/>
  <c r="F30" i="21"/>
  <c r="G30" i="21" s="1"/>
  <c r="D30" i="21"/>
  <c r="I29" i="21"/>
  <c r="J29" i="21" s="1"/>
  <c r="F29" i="21"/>
  <c r="G29" i="21" s="1"/>
  <c r="D29" i="21"/>
  <c r="I28" i="21"/>
  <c r="J28" i="21" s="1"/>
  <c r="J41" i="21" s="1"/>
  <c r="F28" i="21"/>
  <c r="G28" i="21" s="1"/>
  <c r="G41" i="21" s="1"/>
  <c r="D28" i="21"/>
  <c r="I23" i="21"/>
  <c r="J23" i="21" s="1"/>
  <c r="F23" i="21"/>
  <c r="G23" i="21" s="1"/>
  <c r="D23" i="21"/>
  <c r="I22" i="21"/>
  <c r="J22" i="21" s="1"/>
  <c r="F22" i="21"/>
  <c r="G22" i="21" s="1"/>
  <c r="D22" i="21"/>
  <c r="I21" i="21"/>
  <c r="J21" i="21" s="1"/>
  <c r="F21" i="21"/>
  <c r="G21" i="21" s="1"/>
  <c r="D21" i="21"/>
  <c r="I20" i="21"/>
  <c r="J20" i="21" s="1"/>
  <c r="F20" i="21"/>
  <c r="G20" i="21" s="1"/>
  <c r="D20" i="21"/>
  <c r="I19" i="21"/>
  <c r="J19" i="21" s="1"/>
  <c r="F19" i="21"/>
  <c r="G19" i="21" s="1"/>
  <c r="D19" i="21"/>
  <c r="I18" i="21"/>
  <c r="J18" i="21" s="1"/>
  <c r="F18" i="21"/>
  <c r="G18" i="21" s="1"/>
  <c r="D18" i="21"/>
  <c r="I17" i="21"/>
  <c r="J17" i="21" s="1"/>
  <c r="F17" i="21"/>
  <c r="G17" i="21" s="1"/>
  <c r="D17" i="21"/>
  <c r="I16" i="21"/>
  <c r="J16" i="21" s="1"/>
  <c r="F16" i="21"/>
  <c r="G16" i="21" s="1"/>
  <c r="D16" i="21"/>
  <c r="I15" i="21"/>
  <c r="J15" i="21" s="1"/>
  <c r="J24" i="21" s="1"/>
  <c r="F15" i="21"/>
  <c r="G15" i="21" s="1"/>
  <c r="G24" i="21" s="1"/>
  <c r="D15" i="21"/>
  <c r="I10" i="21"/>
  <c r="J10" i="21" s="1"/>
  <c r="E10" i="21"/>
  <c r="D10" i="21"/>
  <c r="I9" i="21"/>
  <c r="E9" i="21"/>
  <c r="F9" i="21" s="1"/>
  <c r="G9" i="21" s="1"/>
  <c r="D9" i="21"/>
  <c r="I8" i="21"/>
  <c r="J8" i="21" s="1"/>
  <c r="E8" i="21"/>
  <c r="F8" i="21" s="1"/>
  <c r="G8" i="21" s="1"/>
  <c r="D8" i="21"/>
  <c r="I7" i="21"/>
  <c r="J7" i="21" s="1"/>
  <c r="E7" i="21"/>
  <c r="F7" i="21" s="1"/>
  <c r="G7" i="21" s="1"/>
  <c r="D7" i="21"/>
  <c r="E6" i="21"/>
  <c r="B3" i="21"/>
  <c r="J2" i="21"/>
  <c r="H2" i="21"/>
  <c r="F2" i="21"/>
  <c r="B2" i="21"/>
  <c r="C2" i="35"/>
  <c r="H12" i="4"/>
  <c r="H11" i="4"/>
  <c r="H9" i="4"/>
  <c r="I9" i="4" s="1"/>
  <c r="M27" i="35" l="1"/>
  <c r="J9" i="4"/>
  <c r="J3" i="21"/>
  <c r="D3" i="14"/>
  <c r="E3" i="34"/>
  <c r="M3" i="33"/>
  <c r="H6" i="8"/>
  <c r="J9" i="21"/>
  <c r="J11" i="21" s="1"/>
  <c r="F10" i="21"/>
  <c r="G10" i="21" s="1"/>
  <c r="G11" i="21" s="1"/>
  <c r="I43" i="21" s="1"/>
  <c r="B15" i="33"/>
  <c r="B64" i="7"/>
  <c r="A7" i="33"/>
  <c r="A60" i="7"/>
  <c r="D34" i="7"/>
  <c r="I25" i="7"/>
  <c r="K25" i="7" s="1"/>
  <c r="M25" i="7" s="1"/>
  <c r="D35" i="7"/>
  <c r="I35" i="7" s="1"/>
  <c r="K35" i="7" s="1"/>
  <c r="M35" i="7" s="1"/>
  <c r="I26" i="7"/>
  <c r="K26" i="7" s="1"/>
  <c r="M26" i="7" s="1"/>
  <c r="D36" i="7"/>
  <c r="I27" i="7"/>
  <c r="K27" i="7" s="1"/>
  <c r="M27" i="7" s="1"/>
  <c r="A13" i="33"/>
  <c r="A63" i="7"/>
  <c r="B13" i="33"/>
  <c r="B63" i="7"/>
  <c r="C13" i="33"/>
  <c r="C63" i="7"/>
  <c r="D37" i="7"/>
  <c r="I28" i="7"/>
  <c r="E13" i="33"/>
  <c r="E63" i="7"/>
  <c r="F13" i="33"/>
  <c r="F63" i="7"/>
  <c r="G13" i="33"/>
  <c r="G63" i="7"/>
  <c r="A15" i="33"/>
  <c r="A64" i="7"/>
  <c r="C15" i="33"/>
  <c r="C64" i="7"/>
  <c r="D38" i="7"/>
  <c r="I29" i="7"/>
  <c r="K29" i="7" s="1"/>
  <c r="M29" i="7" s="1"/>
  <c r="E15" i="33"/>
  <c r="E64" i="7"/>
  <c r="F15" i="33"/>
  <c r="F64" i="7"/>
  <c r="G15" i="33"/>
  <c r="G64" i="7"/>
  <c r="J11" i="4"/>
  <c r="B23" i="33"/>
  <c r="B10" i="33"/>
  <c r="I16" i="7"/>
  <c r="K16" i="7" s="1"/>
  <c r="M16" i="7" s="1"/>
  <c r="B17" i="7"/>
  <c r="B26" i="7" s="1"/>
  <c r="B35" i="7" s="1"/>
  <c r="I17" i="7"/>
  <c r="K17" i="7" s="1"/>
  <c r="M17" i="7" s="1"/>
  <c r="I18" i="7"/>
  <c r="K18" i="7" s="1"/>
  <c r="M18" i="7" s="1"/>
  <c r="I19" i="7"/>
  <c r="K19" i="7" s="1"/>
  <c r="M19" i="7" s="1"/>
  <c r="I20" i="7"/>
  <c r="K20" i="7" s="1"/>
  <c r="M20" i="7" s="1"/>
  <c r="J28" i="7"/>
  <c r="J37" i="7" s="1"/>
  <c r="C21" i="33"/>
  <c r="C22" i="33" s="1"/>
  <c r="C8" i="33"/>
  <c r="E21" i="33"/>
  <c r="E22" i="33" s="1"/>
  <c r="E8" i="33"/>
  <c r="F21" i="33"/>
  <c r="F22" i="33" s="1"/>
  <c r="F8" i="33"/>
  <c r="G21" i="33"/>
  <c r="G22" i="33" s="1"/>
  <c r="G8" i="33"/>
  <c r="I7" i="33"/>
  <c r="M7" i="33" s="1"/>
  <c r="B8" i="33"/>
  <c r="I8" i="33"/>
  <c r="M8" i="33" s="1"/>
  <c r="A35" i="33"/>
  <c r="A24" i="33"/>
  <c r="C35" i="33"/>
  <c r="C24" i="33"/>
  <c r="D35" i="33"/>
  <c r="D24" i="33"/>
  <c r="E35" i="33"/>
  <c r="E24" i="33"/>
  <c r="F35" i="33"/>
  <c r="F24" i="33"/>
  <c r="G35" i="33"/>
  <c r="G24" i="33"/>
  <c r="I9" i="33"/>
  <c r="M9" i="33" s="1"/>
  <c r="A10" i="33"/>
  <c r="C10" i="33"/>
  <c r="D10" i="33"/>
  <c r="E10" i="33"/>
  <c r="F10" i="33"/>
  <c r="G10" i="33"/>
  <c r="I11" i="33"/>
  <c r="M11" i="33" s="1"/>
  <c r="A12" i="33"/>
  <c r="B12" i="33"/>
  <c r="C12" i="33"/>
  <c r="D12" i="33"/>
  <c r="E12" i="33"/>
  <c r="F12" i="33"/>
  <c r="G12" i="33"/>
  <c r="G12" i="13"/>
  <c r="H13" i="13" s="1"/>
  <c r="G25" i="13" s="1"/>
  <c r="H37" i="13"/>
  <c r="G53" i="13"/>
  <c r="H54" i="13" s="1"/>
  <c r="G63" i="13" s="1"/>
  <c r="H73" i="13"/>
  <c r="G93" i="13"/>
  <c r="H94" i="13" s="1"/>
  <c r="H99" i="13"/>
  <c r="H111" i="13" s="1"/>
  <c r="G126" i="13"/>
  <c r="H127" i="13" s="1"/>
  <c r="H138" i="13"/>
  <c r="H154" i="13"/>
  <c r="E176" i="13" s="1"/>
  <c r="G176" i="13" s="1"/>
  <c r="G177" i="13" s="1"/>
  <c r="G168" i="13"/>
  <c r="H169" i="13" s="1"/>
  <c r="H178" i="13" l="1"/>
  <c r="H186" i="13" s="1"/>
  <c r="H188" i="13" s="1"/>
  <c r="I12" i="33"/>
  <c r="M12" i="33" s="1"/>
  <c r="I10" i="33"/>
  <c r="M10" i="33" s="1"/>
  <c r="G46" i="33"/>
  <c r="G41" i="33"/>
  <c r="F46" i="33"/>
  <c r="F41" i="33"/>
  <c r="E46" i="33"/>
  <c r="E41" i="33"/>
  <c r="D46" i="33"/>
  <c r="D41" i="33"/>
  <c r="C46" i="33"/>
  <c r="C41" i="33"/>
  <c r="A46" i="33"/>
  <c r="A41" i="33"/>
  <c r="J50" i="7"/>
  <c r="J63" i="7" s="1"/>
  <c r="J49" i="7"/>
  <c r="J62" i="7" s="1"/>
  <c r="M21" i="7"/>
  <c r="B35" i="33"/>
  <c r="B24" i="33"/>
  <c r="G29" i="33"/>
  <c r="G30" i="33" s="1"/>
  <c r="G16" i="33"/>
  <c r="F29" i="33"/>
  <c r="F30" i="33" s="1"/>
  <c r="F16" i="33"/>
  <c r="E29" i="33"/>
  <c r="E30" i="33" s="1"/>
  <c r="E16" i="33"/>
  <c r="D51" i="7"/>
  <c r="I38" i="7"/>
  <c r="K38" i="7" s="1"/>
  <c r="M38" i="7" s="1"/>
  <c r="C29" i="33"/>
  <c r="C30" i="33" s="1"/>
  <c r="C16" i="33"/>
  <c r="A29" i="33"/>
  <c r="A30" i="33" s="1"/>
  <c r="A16" i="33"/>
  <c r="G27" i="33"/>
  <c r="G14" i="33"/>
  <c r="F27" i="33"/>
  <c r="F14" i="33"/>
  <c r="E27" i="33"/>
  <c r="E14" i="33"/>
  <c r="K28" i="7"/>
  <c r="M28" i="7" s="1"/>
  <c r="D50" i="7"/>
  <c r="I37" i="7"/>
  <c r="K37" i="7" s="1"/>
  <c r="M37" i="7" s="1"/>
  <c r="C27" i="33"/>
  <c r="C14" i="33"/>
  <c r="B27" i="33"/>
  <c r="B14" i="33"/>
  <c r="A27" i="33"/>
  <c r="A14" i="33"/>
  <c r="D49" i="7"/>
  <c r="I36" i="7"/>
  <c r="K36" i="7" s="1"/>
  <c r="M36" i="7" s="1"/>
  <c r="M30" i="7"/>
  <c r="D47" i="7"/>
  <c r="I34" i="7"/>
  <c r="K34" i="7" s="1"/>
  <c r="M34" i="7" s="1"/>
  <c r="M39" i="7" s="1"/>
  <c r="M40" i="7" s="1"/>
  <c r="M41" i="7" s="1"/>
  <c r="A21" i="33"/>
  <c r="A22" i="33" s="1"/>
  <c r="A8" i="33"/>
  <c r="B29" i="33"/>
  <c r="B30" i="33" s="1"/>
  <c r="B16" i="33"/>
  <c r="J12" i="4"/>
  <c r="D60" i="7" l="1"/>
  <c r="I60" i="7" s="1"/>
  <c r="K60" i="7" s="1"/>
  <c r="M60" i="7" s="1"/>
  <c r="I47" i="7"/>
  <c r="K47" i="7" s="1"/>
  <c r="M47" i="7" s="1"/>
  <c r="D62" i="7"/>
  <c r="I62" i="7" s="1"/>
  <c r="K62" i="7" s="1"/>
  <c r="M62" i="7" s="1"/>
  <c r="I49" i="7"/>
  <c r="K49" i="7" s="1"/>
  <c r="M49" i="7" s="1"/>
  <c r="A36" i="33"/>
  <c r="A47" i="33" s="1"/>
  <c r="A28" i="33"/>
  <c r="B36" i="33"/>
  <c r="B47" i="33" s="1"/>
  <c r="B28" i="33"/>
  <c r="C36" i="33"/>
  <c r="C47" i="33" s="1"/>
  <c r="C28" i="33"/>
  <c r="D13" i="33"/>
  <c r="D63" i="7"/>
  <c r="I63" i="7" s="1"/>
  <c r="K63" i="7" s="1"/>
  <c r="M63" i="7" s="1"/>
  <c r="I50" i="7"/>
  <c r="K50" i="7" s="1"/>
  <c r="M50" i="7" s="1"/>
  <c r="E36" i="33"/>
  <c r="E47" i="33" s="1"/>
  <c r="E28" i="33"/>
  <c r="F36" i="33"/>
  <c r="F47" i="33" s="1"/>
  <c r="F28" i="33"/>
  <c r="G36" i="33"/>
  <c r="G47" i="33" s="1"/>
  <c r="G28" i="33"/>
  <c r="D15" i="33"/>
  <c r="D64" i="7"/>
  <c r="I64" i="7" s="1"/>
  <c r="K64" i="7" s="1"/>
  <c r="M64" i="7" s="1"/>
  <c r="I51" i="7"/>
  <c r="K51" i="7" s="1"/>
  <c r="M51" i="7" s="1"/>
  <c r="B46" i="33"/>
  <c r="B41" i="33"/>
  <c r="D29" i="33" l="1"/>
  <c r="D30" i="33" s="1"/>
  <c r="D16" i="33"/>
  <c r="I16" i="33" s="1"/>
  <c r="M16" i="33" s="1"/>
  <c r="I15" i="33"/>
  <c r="M15" i="33" s="1"/>
  <c r="D27" i="33"/>
  <c r="D14" i="33"/>
  <c r="I14" i="33" s="1"/>
  <c r="M14" i="33" s="1"/>
  <c r="I13" i="33"/>
  <c r="M13" i="33" s="1"/>
  <c r="M17" i="33" s="1"/>
  <c r="M52" i="7"/>
  <c r="M53" i="7" s="1"/>
  <c r="M54" i="7" s="1"/>
  <c r="M65" i="7"/>
  <c r="M66" i="7" s="1"/>
  <c r="M67" i="7" s="1"/>
  <c r="M68" i="7" s="1"/>
  <c r="D36" i="33" l="1"/>
  <c r="D47" i="33" s="1"/>
  <c r="D28" i="33"/>
</calcChain>
</file>

<file path=xl/sharedStrings.xml><?xml version="1.0" encoding="utf-8"?>
<sst xmlns="http://schemas.openxmlformats.org/spreadsheetml/2006/main" count="982" uniqueCount="387">
  <si>
    <t>Descrição</t>
  </si>
  <si>
    <t>Unidade</t>
  </si>
  <si>
    <t>Quantidade</t>
  </si>
  <si>
    <t>Valores</t>
  </si>
  <si>
    <t>Unitário sem BDI</t>
  </si>
  <si>
    <t>BDI</t>
  </si>
  <si>
    <t>Fonte</t>
  </si>
  <si>
    <t>Referência de Custo</t>
  </si>
  <si>
    <t>Unitário com BDI</t>
  </si>
  <si>
    <t>m³</t>
  </si>
  <si>
    <t>m</t>
  </si>
  <si>
    <t>PREFEITURA MUNICIPAL DE MARACAJÁ</t>
  </si>
  <si>
    <t>m²</t>
  </si>
  <si>
    <t>TOTAL:</t>
  </si>
  <si>
    <t>Mês 01</t>
  </si>
  <si>
    <t>Ítem</t>
  </si>
  <si>
    <t>Mês 02</t>
  </si>
  <si>
    <t>Mês 03</t>
  </si>
  <si>
    <t>Mês 04</t>
  </si>
  <si>
    <t>TOTAL</t>
  </si>
  <si>
    <t>-</t>
  </si>
  <si>
    <t>FOLHA  :  01 / 01</t>
  </si>
  <si>
    <t>tc</t>
  </si>
  <si>
    <t>Largura (m)</t>
  </si>
  <si>
    <t>Est. inicial</t>
  </si>
  <si>
    <t>Est. Final</t>
  </si>
  <si>
    <t>+</t>
  </si>
  <si>
    <t>Comprimento (m)</t>
  </si>
  <si>
    <t>LE/LD</t>
  </si>
  <si>
    <t xml:space="preserve">Agente Promotor </t>
  </si>
  <si>
    <t>Número do Contrato</t>
  </si>
  <si>
    <t>Empreendimento</t>
  </si>
  <si>
    <t>Localização</t>
  </si>
  <si>
    <t>TIPO DE OBRA</t>
  </si>
  <si>
    <t>COMPOSIÇÃO - BDI para Construção de Rodovias e Ferrovias</t>
  </si>
  <si>
    <t>ITEM</t>
  </si>
  <si>
    <t>DESCRIÇÃO ANALÍTICA</t>
  </si>
  <si>
    <t>SIGLAS</t>
  </si>
  <si>
    <t>PERCENTUAL</t>
  </si>
  <si>
    <t>SITUAÇÃO</t>
  </si>
  <si>
    <t>1° QUARTIL (MÍNIMO)</t>
  </si>
  <si>
    <t>3° QUARTIL (MÁXIMA)</t>
  </si>
  <si>
    <t>ADMINISTRAÇÃO CENTRAL</t>
  </si>
  <si>
    <t>AC</t>
  </si>
  <si>
    <t>OK</t>
  </si>
  <si>
    <t>SEGURO E GARANTIA</t>
  </si>
  <si>
    <t>S + G</t>
  </si>
  <si>
    <t>RISCO</t>
  </si>
  <si>
    <t xml:space="preserve">R </t>
  </si>
  <si>
    <t>DESPESAS FINANCEIRAS</t>
  </si>
  <si>
    <t>DF</t>
  </si>
  <si>
    <t>LUCRO</t>
  </si>
  <si>
    <t>L</t>
  </si>
  <si>
    <t>TAXA REPRESENTATIVA DE TRIBUTOS</t>
  </si>
  <si>
    <t>I= PIS+CONFINS+ISS+CPRB</t>
  </si>
  <si>
    <t>Foi incluída a CPRB com a alíquota de 4,50% sobre a Receita Bruta</t>
  </si>
  <si>
    <t>6.1</t>
  </si>
  <si>
    <t>PIS</t>
  </si>
  <si>
    <t>Alíquota iss:</t>
  </si>
  <si>
    <t>Base de cálculo:</t>
  </si>
  <si>
    <t>6.2</t>
  </si>
  <si>
    <t>CONFINS</t>
  </si>
  <si>
    <t>6.3</t>
  </si>
  <si>
    <t>CONTRIBUIÇÃO PREVIDENCIÁRIA SOBRE A RECEITA BRUTA</t>
  </si>
  <si>
    <t>CPRB</t>
  </si>
  <si>
    <t>Mão-de-obra desonerada</t>
  </si>
  <si>
    <t>6.4</t>
  </si>
  <si>
    <t>ISS</t>
  </si>
  <si>
    <t>LIMITE CONFORME ACÓRDÃO TCU 2.622/2013</t>
  </si>
  <si>
    <t>de 19,60% a 24,23%</t>
  </si>
  <si>
    <t>Fórmula - Acórdão TCU 2.622/2013</t>
  </si>
  <si>
    <t>BDI=</t>
  </si>
  <si>
    <r>
      <t>(1+AC+S+R+G)(1+DF)(1+L)</t>
    </r>
    <r>
      <rPr>
        <sz val="10"/>
        <color theme="1"/>
        <rFont val="Arial"/>
        <family val="2"/>
      </rPr>
      <t xml:space="preserve"> </t>
    </r>
    <r>
      <rPr>
        <u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1</t>
    </r>
  </si>
  <si>
    <t>OK! Percentual do BDI quando calculado sem desoneração atende ao limite estipulado pelo Acórdão TCU 2.622/2013</t>
  </si>
  <si>
    <t xml:space="preserve">                       (1-I)</t>
  </si>
  <si>
    <t>Obs¹: Para pagamento de material em canteiro, quando possível nos programas do Gestor, o BDI de Materiais deve ser limitado a 12,00%</t>
  </si>
  <si>
    <t xml:space="preserve">Eu, responsável técnico pelo orçamento, declaro para os devidos fins que a opção pela desoneração sobre a folha de pagamento é mais adequada para a administração pública. </t>
  </si>
  <si>
    <t>Declaração do Tomador dos Recursos:</t>
  </si>
  <si>
    <t xml:space="preserve">     Declaro, conforme legislação tributária municipal, que a alíquota do ISS é de 3% e a sua base de cálculo é de 100% sobre o valor total do orçamento.</t>
  </si>
  <si>
    <t>Responsável Técnico pela Composição do BDI</t>
  </si>
  <si>
    <t>Responsável indicado pelo Tomador</t>
  </si>
  <si>
    <r>
      <t xml:space="preserve">Nome: </t>
    </r>
    <r>
      <rPr>
        <u/>
        <sz val="11"/>
        <color theme="1"/>
        <rFont val="Arial"/>
        <family val="2"/>
      </rPr>
      <t>HELDER FRANCISCO LOCH</t>
    </r>
  </si>
  <si>
    <t xml:space="preserve">ART: </t>
  </si>
  <si>
    <r>
      <t xml:space="preserve">             Cargo: </t>
    </r>
    <r>
      <rPr>
        <u/>
        <sz val="11"/>
        <color theme="1"/>
        <rFont val="Arial"/>
        <family val="2"/>
      </rPr>
      <t>CONTADOR</t>
    </r>
  </si>
  <si>
    <t xml:space="preserve">             CPF: 288.787.289-34</t>
  </si>
  <si>
    <t>LE</t>
  </si>
  <si>
    <t>LD</t>
  </si>
  <si>
    <t>Lado</t>
  </si>
  <si>
    <t>Construção de Rodovias</t>
  </si>
  <si>
    <t>SINALIZAÇÃO HORIZONTAL - PINTURA DE FAIXA</t>
  </si>
  <si>
    <t>Total (m²)</t>
  </si>
  <si>
    <t>Tipo</t>
  </si>
  <si>
    <t>Quantidade (un.)</t>
  </si>
  <si>
    <t>Faixas (un.)</t>
  </si>
  <si>
    <t>MUNICIPIO: MARACAJÁ</t>
  </si>
  <si>
    <t>ESTADO: SC</t>
  </si>
  <si>
    <t>SINALIZAÇÃO VERTICAL - PLACA DE REGULAMENTAÇÃO</t>
  </si>
  <si>
    <t>Est. Inicial</t>
  </si>
  <si>
    <t>REGULARIZACAO E COMPACTAÇÃO DE SUBLEITO</t>
  </si>
  <si>
    <t>Espessura (m)</t>
  </si>
  <si>
    <t>IMPRIMAÇÃO EM LIGANTE COM EMULSÃO ASFÁLTICA</t>
  </si>
  <si>
    <t>PINTURA DE LIGAÇÃO</t>
  </si>
  <si>
    <t>Quantidade (m³)</t>
  </si>
  <si>
    <t>Quantidade (m²)</t>
  </si>
  <si>
    <t>TOTAL (m³):</t>
  </si>
  <si>
    <t>t</t>
  </si>
  <si>
    <t>A - EQUIPAMENTOS</t>
  </si>
  <si>
    <t>Aquecedor de fluido térmico - 12 kW</t>
  </si>
  <si>
    <t>Grupo gerador - 456 kVA</t>
  </si>
  <si>
    <t>Operativa</t>
  </si>
  <si>
    <t>Improdutiva</t>
  </si>
  <si>
    <t>Produtivo</t>
  </si>
  <si>
    <t>Improdutivo</t>
  </si>
  <si>
    <t>Utilização</t>
  </si>
  <si>
    <t>Custo Horário</t>
  </si>
  <si>
    <t>B - MÃO DE OBRA</t>
  </si>
  <si>
    <t>Custo Horário Total</t>
  </si>
  <si>
    <t>P9824</t>
  </si>
  <si>
    <t>Servente</t>
  </si>
  <si>
    <t>h</t>
  </si>
  <si>
    <t>SISTEMA DE CUSTOS REFERENCIAIS DE OBRAS - SICRO</t>
  </si>
  <si>
    <t>Custo Unitário de Referência</t>
  </si>
  <si>
    <t>Santa Catarina</t>
  </si>
  <si>
    <t>Produção da equipe:</t>
  </si>
  <si>
    <t>Valores em reais (R$)</t>
  </si>
  <si>
    <t>C - MATERIAL</t>
  </si>
  <si>
    <t>Custo unitário total de material:</t>
  </si>
  <si>
    <t>Custo horário total de mão de obra:</t>
  </si>
  <si>
    <t>Custo horário total de execução:</t>
  </si>
  <si>
    <t>Custo horário total de equipamentos:</t>
  </si>
  <si>
    <t>D - ATIVIDADES AUXILIARES</t>
  </si>
  <si>
    <t>Custo total de atividades auxiliares:</t>
  </si>
  <si>
    <t>E - TEMPO FIXO</t>
  </si>
  <si>
    <t>Código</t>
  </si>
  <si>
    <t>Custo Unitário</t>
  </si>
  <si>
    <t>Custo unitário total de tempo fixo:</t>
  </si>
  <si>
    <t>Custo unitário direto total:</t>
  </si>
  <si>
    <t>Subtotal:</t>
  </si>
  <si>
    <t>Custo unitário de execução:</t>
  </si>
  <si>
    <t>E9762</t>
  </si>
  <si>
    <t>E9530</t>
  </si>
  <si>
    <t>E9545</t>
  </si>
  <si>
    <t>Custo do FIC:</t>
  </si>
  <si>
    <t>PREÇO MÉDIO MENSAL PONDERADO PRATICADO PELOS DISTRIBUIDORES DE PRODUTOS ASFÁLTICOS (R$/KG)</t>
  </si>
  <si>
    <t>Importante:</t>
  </si>
  <si>
    <t>Quando não houver declaração de venda do produto selecionado, ou quando a declaração de venda do produto ocorrer por menos de 03 (três) distribuidoras, a tabela indicará campo vazio.</t>
  </si>
  <si>
    <t>Mês</t>
  </si>
  <si>
    <t>Produto</t>
  </si>
  <si>
    <t>Preço</t>
  </si>
  <si>
    <t>EMULSÃO ASFÁLTICA PARA SERVIÇO DE IMPRIMAÇÃO</t>
  </si>
  <si>
    <t>PLACA DE OBRA</t>
  </si>
  <si>
    <t>REAJUSTE</t>
  </si>
  <si>
    <t>PAVIMENTAÇÃO</t>
  </si>
  <si>
    <t>SINALIZAÇÃO VERTICAL</t>
  </si>
  <si>
    <t>Rolo compactador de pneus autopropelido de 27 t - 85 kW</t>
  </si>
  <si>
    <t>Vibroacabadora de asfalto sobre esteiras - 82 kW</t>
  </si>
  <si>
    <t>PREFEITURA MUNICIPAL DE MARACAJÁ/SC</t>
  </si>
  <si>
    <t>ESTUDO DA BACIA DE CONTRIBUIÇÃO</t>
  </si>
  <si>
    <t>BACIA</t>
  </si>
  <si>
    <t>L. (m)</t>
  </si>
  <si>
    <t>Área (km²)</t>
  </si>
  <si>
    <t>Montante</t>
  </si>
  <si>
    <t>Jusante</t>
  </si>
  <si>
    <t>Decl. (m/km)</t>
  </si>
  <si>
    <t>TR (anos)</t>
  </si>
  <si>
    <t>i (mm/h)</t>
  </si>
  <si>
    <t>C (runoff)</t>
  </si>
  <si>
    <t>Qd (m³/s) (SOLICITADA)</t>
  </si>
  <si>
    <t>DIMENSIONAMENTO</t>
  </si>
  <si>
    <t>ESTACA</t>
  </si>
  <si>
    <t>I (m/m)</t>
  </si>
  <si>
    <r>
      <t>Ø</t>
    </r>
    <r>
      <rPr>
        <b/>
        <sz val="11.5"/>
        <rFont val="Calibri"/>
        <family val="2"/>
      </rPr>
      <t xml:space="preserve"> Projetado</t>
    </r>
  </si>
  <si>
    <t>SUBSTITUIÇÃO</t>
  </si>
  <si>
    <t>ÁREA DE CONTRIBUIÇÃO (m²)</t>
  </si>
  <si>
    <t>ÁREA DE CONTRIBUIÇÃO (HA)</t>
  </si>
  <si>
    <t>ÁREA DE CONTRIBUIÇÃO (KM²)</t>
  </si>
  <si>
    <t>PAVIMENTAÇÃO COM CONCRETO ASFÁLTICO, TERRAPLENAGEM, DRENAGEM E SINALIZAÇÃO</t>
  </si>
  <si>
    <t>SEMI DISTÂNCIA</t>
  </si>
  <si>
    <t>SOMA DAS ÁREAS</t>
  </si>
  <si>
    <t>ÁREA DE CORTE</t>
  </si>
  <si>
    <t>VOLUME DE CORTE</t>
  </si>
  <si>
    <t>ÁREA DE ATERRO</t>
  </si>
  <si>
    <t>VOLUME DE ATERRO</t>
  </si>
  <si>
    <t>ANEXO 03 - ESTUDO DE BACIAS DE CONTRIBUIÇÃO PARA CÁLCULO</t>
  </si>
  <si>
    <t>E DIMENSIONAMENTO DE BUEIRO DE TALVEGUE</t>
  </si>
  <si>
    <t>P9821</t>
  </si>
  <si>
    <t>Pedreiro</t>
  </si>
  <si>
    <t>BASE DE BRITA GRADUADA SIMPLES</t>
  </si>
  <si>
    <t>Base ou sub-base de brita graduada com brita comercial</t>
  </si>
  <si>
    <t>E9559</t>
  </si>
  <si>
    <t>E9584</t>
  </si>
  <si>
    <t>E9021</t>
  </si>
  <si>
    <t>E9689</t>
  </si>
  <si>
    <t>M0028</t>
  </si>
  <si>
    <t>M0005</t>
  </si>
  <si>
    <t>M0345</t>
  </si>
  <si>
    <t>M1943</t>
  </si>
  <si>
    <t>M1941</t>
  </si>
  <si>
    <t>M1103</t>
  </si>
  <si>
    <t>Brita 0</t>
  </si>
  <si>
    <t>Óleo combustível 1A</t>
  </si>
  <si>
    <t>Pedrisco</t>
  </si>
  <si>
    <t>kg</t>
  </si>
  <si>
    <t>l</t>
  </si>
  <si>
    <t>Areia média - Caminhão basculante 10 m³</t>
  </si>
  <si>
    <t>Brita 0 - Caminhão basculante 10 m³</t>
  </si>
  <si>
    <t>Pedrisco - Caminhão basculante 10 m³</t>
  </si>
  <si>
    <t>F - MOMENTO DE TRANSPORTE</t>
  </si>
  <si>
    <t>DMT</t>
  </si>
  <si>
    <t>LN</t>
  </si>
  <si>
    <t>RP</t>
  </si>
  <si>
    <t>P</t>
  </si>
  <si>
    <t>tkm</t>
  </si>
  <si>
    <t>Custo unitário total de transporte:</t>
  </si>
  <si>
    <t>CIMENTOS ASFÁLTICOS CAP-50-70</t>
  </si>
  <si>
    <t>Preço Unitário</t>
  </si>
  <si>
    <t>Rolo compactador liso autopropelido vibratório de 11 t - 97 kW</t>
  </si>
  <si>
    <t>kg/m³</t>
  </si>
  <si>
    <t>Cal hidratada - Caminhão basculante 10 m³</t>
  </si>
  <si>
    <t>Cimento asfáltico CAP 50/70 - Caminhão basculante 10 m³</t>
  </si>
  <si>
    <t>E9571</t>
  </si>
  <si>
    <t>Caminhão tanque com capacidade de 10.000 l - 188 kW</t>
  </si>
  <si>
    <t>Custo total de atividades auxiliares</t>
  </si>
  <si>
    <t>Subtotal</t>
  </si>
  <si>
    <t>Aquisição de brita graduada simples</t>
  </si>
  <si>
    <t>DESCRIÇÃO DOS ÍNDICES</t>
  </si>
  <si>
    <t>CÓDIGO</t>
  </si>
  <si>
    <t>ÍNDICES DE REAJUSTAMENTO DE OBRAS RODOVIÁRIAS</t>
  </si>
  <si>
    <t>PAV</t>
  </si>
  <si>
    <t>SV</t>
  </si>
  <si>
    <t>Valor unitário sem BDI</t>
  </si>
  <si>
    <t>Código de Reajuste</t>
  </si>
  <si>
    <t>OBS.: D.M.T da Refinaria/PR até Usina Asfáltica = 488,00 km. ICMS = 17%</t>
  </si>
  <si>
    <t>TOTAL (m²):</t>
  </si>
  <si>
    <t>TRANSPORTE DO MATERIAL BETUMINOSO PARA PINTURA DE LIGAÇÃO COM EMULSÃO ASFÁLTICA - 0,00045T/m²:</t>
  </si>
  <si>
    <t>TOTAL (T) - PESO ESPECÍFICO 2,55T/m³:</t>
  </si>
  <si>
    <t>RUA ARCENDINO FARIAS</t>
  </si>
  <si>
    <t>BAIRRO/DISTRITO: ESPIGÃO GRANDE</t>
  </si>
  <si>
    <t>Duplo de 0,60m</t>
  </si>
  <si>
    <t>COMPOSIÇÃO 05</t>
  </si>
  <si>
    <t>COMPOSIÇÃO 06</t>
  </si>
  <si>
    <t>Base ou sub-base de macadame hidráulico com brita comercial</t>
  </si>
  <si>
    <t>M0808</t>
  </si>
  <si>
    <t>M1135</t>
  </si>
  <si>
    <t>Brita 4 (rachinha)</t>
  </si>
  <si>
    <t>Pó de pedra</t>
  </si>
  <si>
    <t>Brita 4 (rachinha) - Caminhão basculante 10</t>
  </si>
  <si>
    <t>Pó de pedra - Caminhão basculante 10 m³</t>
  </si>
  <si>
    <t>E9074</t>
  </si>
  <si>
    <t>Carregadeira de pneus com capacidade de 1,72 m³ - 113 kW</t>
  </si>
  <si>
    <t>Tanque de estocagem de asfalto com agitadores de 60.000 l</t>
  </si>
  <si>
    <t>Usina de asfalto a quente gravimétrica com capacidade de 100/140 t/h -260 Kw</t>
  </si>
  <si>
    <t>M0191</t>
  </si>
  <si>
    <t>M0344</t>
  </si>
  <si>
    <t>M3228</t>
  </si>
  <si>
    <t>Brita 1</t>
  </si>
  <si>
    <t>Cal hidratada - a granel</t>
  </si>
  <si>
    <t>Cimento asfáltico CAP 50/70 com 15% de asfalto borracha</t>
  </si>
  <si>
    <t>Brita 1 - Caminhão basculante 10 m³</t>
  </si>
  <si>
    <t>Cal hidratada - a granel - Caminhão silo 30 m³</t>
  </si>
  <si>
    <t>Usinagem de concreto asfáltico com borracha - faixa C - brita comercial</t>
  </si>
  <si>
    <t>Concreto asfáltico com borracha - faixa C - brita comercial</t>
  </si>
  <si>
    <t>E9681</t>
  </si>
  <si>
    <t>Rolo compactador liso tandem vibratório autopropelido de 10,4 t - 82 kW</t>
  </si>
  <si>
    <t>Usinagem de concreto asfáltico com borracha - faixa C - brita comercial - Caminhão basculante 10 m³</t>
  </si>
  <si>
    <t>COMPOSIÇÃO 07</t>
  </si>
  <si>
    <t>COMPOSIÇÃO 09</t>
  </si>
  <si>
    <t>AUXILIAR</t>
  </si>
  <si>
    <t>LOCALIZAÇÃO</t>
  </si>
  <si>
    <t>ESTADO: SANTA CATARINA</t>
  </si>
  <si>
    <t>Área (m²)</t>
  </si>
  <si>
    <t>CONCRETO ASFÁLTICO CAP 50/70 - FAIXA C</t>
  </si>
  <si>
    <t>Rua</t>
  </si>
  <si>
    <t>LADO</t>
  </si>
  <si>
    <t>Dreno longitudinal profundo para corte em solo - DPS 08 - tubo PEAD e brita comercial</t>
  </si>
  <si>
    <t>E9556</t>
  </si>
  <si>
    <t>Compactador manual de placa vibratória - 3,00 kW</t>
  </si>
  <si>
    <t>M0192</t>
  </si>
  <si>
    <t>M2051</t>
  </si>
  <si>
    <t>M1658</t>
  </si>
  <si>
    <t>Brita 2</t>
  </si>
  <si>
    <t>Tubo PEAD corrugado perfurado para drenagem - D = 230 mm</t>
  </si>
  <si>
    <t>Geotêxtil não-tecido agulhado em poliéster - resistência à tração longitudinal de 14 kN/m</t>
  </si>
  <si>
    <t>Escavação mecânica de vala em material de 1ª categoria</t>
  </si>
  <si>
    <t>Brita 2 - Caminhão basculante 10 m³</t>
  </si>
  <si>
    <t>Geotêxtil não-tecido agulhado em poliéster - resistência à tração longitudinal de 14 kN/m - Caminhão carroceria 15 t</t>
  </si>
  <si>
    <t>Tubo PEAD corrugado perfurado para drenagem - D = 230 mm - Caminhão carroceria 15 t</t>
  </si>
  <si>
    <t>EIXO DE PISTA</t>
  </si>
  <si>
    <t>TRANSPORTE DO MATERIAL BETUMINOSO PARA ASFÁLTICO CAP 50/70 - FAIXA C - PESO ESPECÍFICO 2,55T/m³:</t>
  </si>
  <si>
    <t>AQUISIÇÃO DE MATERIAL BETUMINOSO PARA ASFÁLTICO CAP 50/70 - FAIXA C - 5,5%:</t>
  </si>
  <si>
    <t>Estado</t>
  </si>
  <si>
    <t>PR</t>
  </si>
  <si>
    <t>VOLUME TOTAL DE ESCAVAÇÃO:</t>
  </si>
  <si>
    <t>EMULSÕES ASFÁLTICAS RR-1C</t>
  </si>
  <si>
    <t>Contratado</t>
  </si>
  <si>
    <t>PLANILHA DE CÁLCULO DE QUANTITATIVOS DE PAVIMENTAÇÃO</t>
  </si>
  <si>
    <t>PLANILHA   DE  CÁLCULO DE QUANTITATIVOS DE  TERRAPLENAGEM</t>
  </si>
  <si>
    <t>PLANILHA DE CÁLCULO DE QUANTITATIVOS DE SINALIZAÇÃO</t>
  </si>
  <si>
    <t>OBS.: D.M.T da Refinaria/PR até Usina Asfáltica = 267,00 km. ICMS = 17%</t>
  </si>
  <si>
    <t>Fonte: https://www.gov.br/anp/pt-br/assuntos/precos-e-defesa-da-concorrencia/precos/precos-de-distribuicao-de-produtos-asfalticos</t>
  </si>
  <si>
    <t xml:space="preserve">                       </t>
  </si>
  <si>
    <t>CRONOGRAMA GLOBAL</t>
  </si>
  <si>
    <t>BORDO DE PISTA - LE/LD</t>
  </si>
  <si>
    <t>Composição do BDI para obras com mão-de-obra sem desoneração (conforme Lei 13.161 de 2015)</t>
  </si>
  <si>
    <t>Percentual de BDI dentro do limite estipulado pelo Acódão TCU 2.622/2013. O cálculo dessa composição sem desoneração resulta em 20,73%</t>
  </si>
  <si>
    <t>Obs²: O  cálculo desta composição de BDI não considera a desoneração da contribuição previdenciária, conforme Lei 13.161/2015</t>
  </si>
  <si>
    <t>AQUISIÇÃO PARA A IMPRIMAÇÃO COM EMULSÃO ASFÁLTICA - 0,0013T/m²:</t>
  </si>
  <si>
    <t>TRANSPORTE DO MATERIAL BETUMINOSO PARA A IMPRIMAÇÃO COM EMULSÃO ASFÁLTICA - 0,0013T/m²:</t>
  </si>
  <si>
    <t>AQUISIÇÃO DO MATERIAL BETUMINOSO PARA PINTURA DE LIGAÇÃO COM EMULSÃO ASFÁLTICA RR-1C - 0,00045T/m²:</t>
  </si>
  <si>
    <t>Altura (m)</t>
  </si>
  <si>
    <t>PLACA DE IDENTIFICAÇÃO DE RUA</t>
  </si>
  <si>
    <t>Item</t>
  </si>
  <si>
    <t>FAIXA DE PEDESTRE</t>
  </si>
  <si>
    <t>FAIXA DE RETENÇÃO</t>
  </si>
  <si>
    <t>PARE</t>
  </si>
  <si>
    <t>SINALIZAÇÃO HORIZONTAL - FAIXA DE PEDESTRES</t>
  </si>
  <si>
    <t>BAIRRO: VILA BEATRIZ</t>
  </si>
  <si>
    <t>RUA JOSÉ MARQUES</t>
  </si>
  <si>
    <t>RUA VEREADOR FLÁVIO ROCHA</t>
  </si>
  <si>
    <t>RUA 156</t>
  </si>
  <si>
    <t>RUA CRICIÚMA</t>
  </si>
  <si>
    <t>SUB-BASE EM MACADAME SECO</t>
  </si>
  <si>
    <t>Cálculo para o  valor do transp. adotou-se a fórmula conforme Portaria do DNIT n. 1.977, de 25 de outubro de 2017, publicada no Diário Oficial da União (26,939 + 0,253 x D) =  [(26,939*(581,407/270,237))+(0,253*581,407/270,237)*488] x 1,17=</t>
  </si>
  <si>
    <t xml:space="preserve">Obs: Deverá ser acrescido o ICMS de 17% e BDI Diferenciado de 15% em relação ao valor do material </t>
  </si>
  <si>
    <t>RUA 123</t>
  </si>
  <si>
    <t>RUA ELONIR DA SILVEIRA NAZÁRIO</t>
  </si>
  <si>
    <t>Instalações Elétricas</t>
  </si>
  <si>
    <t>Projetor circular (ate 200w) base e-27 completo inclusive lâmpada, conforme projeto</t>
  </si>
  <si>
    <t>5.72</t>
  </si>
  <si>
    <t>Instalações Hidro-Sanitárias</t>
  </si>
  <si>
    <t>Cabide tipo gancho (louça)</t>
  </si>
  <si>
    <t>Caixa de areia 60 x 60 c/ grelha metálica</t>
  </si>
  <si>
    <t>Estruturas metálicas</t>
  </si>
  <si>
    <t>Estrutura metálica em aço A 036 p/cobertura - chapa de aço galvanizado</t>
  </si>
  <si>
    <t>7.1</t>
  </si>
  <si>
    <t>7.3</t>
  </si>
  <si>
    <t>10.1</t>
  </si>
  <si>
    <t>Portão em chapa trapezoidal, tubo de aço com ferragens (largura 4,95 m x alltura 2,10 m)</t>
  </si>
  <si>
    <t>Portão tela/cano ch. c/ ferragens (largura 4,00 m x altura 2,10 m)</t>
  </si>
  <si>
    <t>12.17</t>
  </si>
  <si>
    <t>12.19</t>
  </si>
  <si>
    <t>Pintura</t>
  </si>
  <si>
    <t>Fundo super galvite 1 demão</t>
  </si>
  <si>
    <t>Letreiro em parede feito a pincel</t>
  </si>
  <si>
    <t>Pint. Poliesportiva - 2 dem.(pisos e cimentados)</t>
  </si>
  <si>
    <t>17.4</t>
  </si>
  <si>
    <t>17.5</t>
  </si>
  <si>
    <t>17.8</t>
  </si>
  <si>
    <t>Diversos</t>
  </si>
  <si>
    <t>Exaustor diam. 30 cm</t>
  </si>
  <si>
    <t>Coifa em chapa galvanizada epóxi 95x70x60cm c/ tubo saída</t>
  </si>
  <si>
    <t xml:space="preserve">Sinalização - placa aérea a1 - 2,00x0,50 m </t>
  </si>
  <si>
    <t>Sinalização - placa especial e1 - 3,50x0,60 m  + suporte</t>
  </si>
  <si>
    <t>Sinalização - placa especial e2 - 1,50x0,50 m -estacionamento</t>
  </si>
  <si>
    <t>Sinalização - placas aéreas a2,a3,a4 e a5 -1,00x0,30 m</t>
  </si>
  <si>
    <t>Sinalização - placas p1 a p20 - 0,30 m x 0,40 m</t>
  </si>
  <si>
    <t>Sinalização - placas s1 a s7 - 0,21 m x 0,31 m</t>
  </si>
  <si>
    <t>20.9</t>
  </si>
  <si>
    <t>20.10</t>
  </si>
  <si>
    <t>20.13</t>
  </si>
  <si>
    <t>20.14</t>
  </si>
  <si>
    <t>20.15</t>
  </si>
  <si>
    <t>20.16</t>
  </si>
  <si>
    <t>20.17</t>
  </si>
  <si>
    <t>20.18</t>
  </si>
  <si>
    <t>Mercado</t>
  </si>
  <si>
    <t>ESCOLA DE EDUCAÇÃO BÁSICA MUNICIPAL 12 DE MAIO</t>
  </si>
  <si>
    <t>Kg</t>
  </si>
  <si>
    <t>Revestimento de Piso</t>
  </si>
  <si>
    <t xml:space="preserve">Ladrilho hidráulico 20 x 20 cm </t>
  </si>
  <si>
    <t>Aplicação de resina acrílica duas demãos</t>
  </si>
  <si>
    <t>16.6</t>
  </si>
  <si>
    <t>16.13</t>
  </si>
  <si>
    <t>Un.</t>
  </si>
  <si>
    <t>Sinapi 03/26</t>
  </si>
  <si>
    <t>Esquadrias metálicas - Fornecimento e instalação</t>
  </si>
  <si>
    <t>%</t>
  </si>
  <si>
    <t>R$</t>
  </si>
  <si>
    <t>Acumulado</t>
  </si>
  <si>
    <t>Nome: Vinicius Lumertz Mengue</t>
  </si>
  <si>
    <t>Registro: 208723-7</t>
  </si>
  <si>
    <t>________________________________________________</t>
  </si>
  <si>
    <t>Vinicius Lumertz Mengue</t>
  </si>
  <si>
    <t>Engenheiro Civil</t>
  </si>
  <si>
    <t>OBS.: PREENCHER SOMENTE CÉLULAS EM AMARELO</t>
  </si>
  <si>
    <t>PROPOSTA DE VALOR</t>
  </si>
  <si>
    <t xml:space="preserve">EMPRESA: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</si>
</sst>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* #,##0_-;\-* #,##0_-;_-* &quot;-&quot;??_-;_-@_-"/>
    <numFmt numFmtId="166" formatCode="0.000"/>
    <numFmt numFmtId="167" formatCode="&quot;R$&quot;\ #,##0.00"/>
    <numFmt numFmtId="168" formatCode="0.0000"/>
    <numFmt numFmtId="169" formatCode="0.00000"/>
    <numFmt numFmtId="170" formatCode="#,##0.0000"/>
    <numFmt numFmtId="171" formatCode="&quot;R$&quot;0.00"/>
    <numFmt numFmtId="172" formatCode="#,##0.000"/>
    <numFmt numFmtId="173" formatCode="_(* #,##0.00_);_(* \(#,##0.00\);_(* &quot;-&quot;??_);_(@_)"/>
    <numFmt numFmtId="174" formatCode="_(* #,##0_);_(* \(#,##0\);_(* &quot;-&quot;??_);_(@_)"/>
    <numFmt numFmtId="175" formatCode="0.0000000000000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el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u/>
      <sz val="10"/>
      <color theme="1"/>
      <name val="Arial"/>
      <family val="2"/>
    </font>
    <font>
      <sz val="9"/>
      <color theme="9" tint="-0.249977111117893"/>
      <name val="Arial"/>
      <family val="2"/>
    </font>
    <font>
      <sz val="11"/>
      <color theme="9" tint="-0.249977111117893"/>
      <name val="Arial"/>
      <family val="2"/>
    </font>
    <font>
      <u/>
      <sz val="11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</font>
    <font>
      <b/>
      <sz val="11.5"/>
      <name val="Calibri"/>
      <family val="2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.5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name val="Arial"/>
      <family val="2"/>
    </font>
    <font>
      <b/>
      <sz val="1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7030A0"/>
      </left>
      <right style="thin">
        <color auto="1"/>
      </right>
      <top style="medium">
        <color rgb="FF7030A0"/>
      </top>
      <bottom style="thin">
        <color auto="1"/>
      </bottom>
      <diagonal/>
    </border>
    <border>
      <left style="medium">
        <color rgb="FF7030A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7030A0"/>
      </bottom>
      <diagonal/>
    </border>
    <border>
      <left style="medium">
        <color rgb="FF7030A0"/>
      </left>
      <right style="thin">
        <color auto="1"/>
      </right>
      <top style="thin">
        <color auto="1"/>
      </top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medium">
        <color rgb="FF7030A0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24" fillId="0" borderId="0"/>
    <xf numFmtId="0" fontId="29" fillId="0" borderId="0"/>
    <xf numFmtId="0" fontId="30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32" fillId="0" borderId="0"/>
    <xf numFmtId="17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42" fillId="0" borderId="0"/>
    <xf numFmtId="17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0" xfId="0" applyFont="1"/>
    <xf numFmtId="16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0" fontId="0" fillId="0" borderId="0" xfId="0" applyBorder="1" applyAlignment="1">
      <alignment horizontal="right"/>
    </xf>
    <xf numFmtId="17" fontId="4" fillId="0" borderId="0" xfId="0" applyNumberFormat="1" applyFont="1"/>
    <xf numFmtId="0" fontId="5" fillId="0" borderId="0" xfId="4" applyFont="1"/>
    <xf numFmtId="0" fontId="5" fillId="0" borderId="0" xfId="4" applyFont="1" applyBorder="1" applyAlignment="1">
      <alignment horizontal="center"/>
    </xf>
    <xf numFmtId="0" fontId="5" fillId="0" borderId="0" xfId="4" applyFont="1" applyFill="1"/>
    <xf numFmtId="0" fontId="11" fillId="0" borderId="0" xfId="0" applyFont="1" applyAlignment="1"/>
    <xf numFmtId="0" fontId="11" fillId="0" borderId="0" xfId="0" applyFont="1"/>
    <xf numFmtId="0" fontId="13" fillId="0" borderId="0" xfId="0" applyFont="1"/>
    <xf numFmtId="0" fontId="12" fillId="0" borderId="0" xfId="0" applyFont="1"/>
    <xf numFmtId="0" fontId="12" fillId="0" borderId="10" xfId="0" applyFont="1" applyBorder="1"/>
    <xf numFmtId="0" fontId="12" fillId="0" borderId="1" xfId="0" applyFont="1" applyBorder="1" applyAlignment="1">
      <alignment horizontal="center" vertical="center"/>
    </xf>
    <xf numFmtId="10" fontId="12" fillId="0" borderId="1" xfId="3" applyNumberFormat="1" applyFont="1" applyBorder="1" applyAlignment="1">
      <alignment horizontal="center" vertical="center"/>
    </xf>
    <xf numFmtId="0" fontId="16" fillId="0" borderId="0" xfId="0" applyFont="1"/>
    <xf numFmtId="0" fontId="12" fillId="0" borderId="39" xfId="0" applyFont="1" applyBorder="1"/>
    <xf numFmtId="0" fontId="12" fillId="0" borderId="40" xfId="0" applyFont="1" applyBorder="1" applyAlignment="1">
      <alignment horizontal="center" vertical="center"/>
    </xf>
    <xf numFmtId="10" fontId="12" fillId="0" borderId="25" xfId="3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10" fontId="12" fillId="0" borderId="41" xfId="3" applyNumberFormat="1" applyFont="1" applyBorder="1"/>
    <xf numFmtId="10" fontId="12" fillId="0" borderId="42" xfId="3" applyNumberFormat="1" applyFont="1" applyBorder="1"/>
    <xf numFmtId="0" fontId="12" fillId="0" borderId="43" xfId="0" applyFont="1" applyBorder="1" applyAlignment="1">
      <alignment horizontal="center" vertical="center"/>
    </xf>
    <xf numFmtId="0" fontId="12" fillId="0" borderId="43" xfId="0" applyFont="1" applyBorder="1"/>
    <xf numFmtId="10" fontId="12" fillId="0" borderId="44" xfId="3" applyNumberFormat="1" applyFont="1" applyBorder="1" applyAlignment="1">
      <alignment horizontal="center" vertical="center"/>
    </xf>
    <xf numFmtId="0" fontId="19" fillId="0" borderId="0" xfId="0" applyFont="1"/>
    <xf numFmtId="0" fontId="12" fillId="0" borderId="5" xfId="0" applyFont="1" applyBorder="1"/>
    <xf numFmtId="0" fontId="12" fillId="0" borderId="0" xfId="0" applyFont="1" applyBorder="1"/>
    <xf numFmtId="0" fontId="12" fillId="0" borderId="6" xfId="0" applyFont="1" applyBorder="1"/>
    <xf numFmtId="0" fontId="20" fillId="0" borderId="0" xfId="0" applyFont="1" applyBorder="1"/>
    <xf numFmtId="0" fontId="12" fillId="0" borderId="7" xfId="0" applyFont="1" applyBorder="1"/>
    <xf numFmtId="0" fontId="12" fillId="0" borderId="8" xfId="0" applyFont="1" applyBorder="1"/>
    <xf numFmtId="0" fontId="12" fillId="0" borderId="9" xfId="0" applyFont="1" applyBorder="1"/>
    <xf numFmtId="0" fontId="16" fillId="0" borderId="8" xfId="0" applyFont="1" applyBorder="1"/>
    <xf numFmtId="0" fontId="16" fillId="0" borderId="5" xfId="0" applyFont="1" applyBorder="1"/>
    <xf numFmtId="0" fontId="16" fillId="0" borderId="0" xfId="0" applyFont="1" applyBorder="1"/>
    <xf numFmtId="0" fontId="16" fillId="0" borderId="6" xfId="0" applyFont="1" applyBorder="1"/>
    <xf numFmtId="0" fontId="16" fillId="0" borderId="7" xfId="0" applyFont="1" applyBorder="1" applyAlignment="1"/>
    <xf numFmtId="0" fontId="16" fillId="0" borderId="8" xfId="0" applyFont="1" applyBorder="1" applyAlignment="1"/>
    <xf numFmtId="0" fontId="16" fillId="0" borderId="9" xfId="0" applyFont="1" applyBorder="1" applyAlignment="1"/>
    <xf numFmtId="0" fontId="16" fillId="0" borderId="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9" fillId="0" borderId="0" xfId="4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5" fontId="0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14" fontId="0" fillId="0" borderId="0" xfId="0" applyNumberFormat="1" applyFill="1" applyBorder="1" applyAlignment="1">
      <alignment horizontal="left"/>
    </xf>
    <xf numFmtId="4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43" fontId="0" fillId="0" borderId="0" xfId="2" applyNumberFormat="1" applyFont="1" applyFill="1" applyBorder="1" applyAlignment="1">
      <alignment horizontal="right" vertical="center"/>
    </xf>
    <xf numFmtId="164" fontId="0" fillId="0" borderId="0" xfId="0" applyNumberFormat="1"/>
    <xf numFmtId="4" fontId="9" fillId="0" borderId="1" xfId="4" applyNumberFormat="1" applyFont="1" applyFill="1" applyBorder="1" applyAlignment="1">
      <alignment horizontal="center" vertical="center"/>
    </xf>
    <xf numFmtId="2" fontId="0" fillId="0" borderId="0" xfId="0" applyNumberFormat="1"/>
    <xf numFmtId="168" fontId="0" fillId="0" borderId="0" xfId="0" applyNumberFormat="1"/>
    <xf numFmtId="0" fontId="0" fillId="0" borderId="0" xfId="0" applyAlignment="1">
      <alignment horizontal="right"/>
    </xf>
    <xf numFmtId="170" fontId="0" fillId="0" borderId="0" xfId="0" applyNumberFormat="1"/>
    <xf numFmtId="17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70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right"/>
    </xf>
    <xf numFmtId="0" fontId="0" fillId="0" borderId="0" xfId="0" applyAlignment="1">
      <alignment vertical="center" wrapText="1"/>
    </xf>
    <xf numFmtId="168" fontId="0" fillId="0" borderId="0" xfId="0" applyNumberFormat="1" applyAlignment="1">
      <alignment vertical="center"/>
    </xf>
    <xf numFmtId="0" fontId="27" fillId="2" borderId="0" xfId="0" applyFont="1" applyFill="1" applyBorder="1"/>
    <xf numFmtId="43" fontId="0" fillId="0" borderId="0" xfId="2" applyFont="1"/>
    <xf numFmtId="0" fontId="27" fillId="0" borderId="0" xfId="0" applyFont="1"/>
    <xf numFmtId="0" fontId="0" fillId="0" borderId="0" xfId="0" applyAlignment="1">
      <alignment horizontal="center"/>
    </xf>
    <xf numFmtId="0" fontId="5" fillId="0" borderId="0" xfId="11" applyFont="1"/>
    <xf numFmtId="0" fontId="5" fillId="0" borderId="32" xfId="11" applyFont="1" applyFill="1" applyBorder="1"/>
    <xf numFmtId="0" fontId="5" fillId="0" borderId="33" xfId="11" applyFont="1" applyFill="1" applyBorder="1"/>
    <xf numFmtId="0" fontId="5" fillId="0" borderId="21" xfId="11" applyFont="1" applyFill="1" applyBorder="1"/>
    <xf numFmtId="0" fontId="5" fillId="0" borderId="22" xfId="11" applyFont="1" applyFill="1" applyBorder="1"/>
    <xf numFmtId="0" fontId="9" fillId="0" borderId="17" xfId="11" applyFont="1" applyBorder="1" applyAlignment="1">
      <alignment horizontal="center"/>
    </xf>
    <xf numFmtId="0" fontId="9" fillId="0" borderId="0" xfId="11" applyFont="1" applyBorder="1" applyAlignment="1">
      <alignment horizontal="center"/>
    </xf>
    <xf numFmtId="0" fontId="5" fillId="0" borderId="0" xfId="11" applyFont="1" applyBorder="1" applyAlignment="1">
      <alignment horizontal="center"/>
    </xf>
    <xf numFmtId="0" fontId="34" fillId="0" borderId="0" xfId="11" applyFont="1" applyFill="1"/>
    <xf numFmtId="0" fontId="34" fillId="0" borderId="0" xfId="11" applyFont="1"/>
    <xf numFmtId="0" fontId="33" fillId="0" borderId="35" xfId="11" applyFont="1" applyBorder="1" applyAlignment="1">
      <alignment horizontal="center" vertical="center"/>
    </xf>
    <xf numFmtId="0" fontId="5" fillId="0" borderId="0" xfId="11" applyFont="1" applyFill="1"/>
    <xf numFmtId="0" fontId="5" fillId="0" borderId="46" xfId="11" applyFont="1" applyBorder="1"/>
    <xf numFmtId="0" fontId="5" fillId="0" borderId="0" xfId="11" applyFont="1" applyBorder="1"/>
    <xf numFmtId="0" fontId="6" fillId="3" borderId="19" xfId="11" applyFont="1" applyFill="1" applyBorder="1" applyAlignment="1">
      <alignment horizontal="center" vertical="center" wrapText="1"/>
    </xf>
    <xf numFmtId="0" fontId="6" fillId="3" borderId="1" xfId="11" applyFont="1" applyFill="1" applyBorder="1" applyAlignment="1">
      <alignment horizontal="center" vertical="center" wrapText="1"/>
    </xf>
    <xf numFmtId="0" fontId="6" fillId="3" borderId="20" xfId="11" applyFont="1" applyFill="1" applyBorder="1" applyAlignment="1">
      <alignment horizontal="center" vertical="center" wrapText="1"/>
    </xf>
    <xf numFmtId="1" fontId="5" fillId="0" borderId="28" xfId="11" applyNumberFormat="1" applyFont="1" applyFill="1" applyBorder="1" applyAlignment="1">
      <alignment horizontal="center" vertical="center"/>
    </xf>
    <xf numFmtId="174" fontId="5" fillId="0" borderId="29" xfId="12" applyNumberFormat="1" applyFont="1" applyFill="1" applyBorder="1" applyAlignment="1">
      <alignment horizontal="center" vertical="center"/>
    </xf>
    <xf numFmtId="166" fontId="5" fillId="0" borderId="29" xfId="11" applyNumberFormat="1" applyFont="1" applyFill="1" applyBorder="1" applyAlignment="1">
      <alignment horizontal="center" vertical="center"/>
    </xf>
    <xf numFmtId="2" fontId="5" fillId="0" borderId="29" xfId="13" applyNumberFormat="1" applyFont="1" applyFill="1" applyBorder="1" applyAlignment="1">
      <alignment horizontal="center" vertical="center"/>
    </xf>
    <xf numFmtId="1" fontId="5" fillId="0" borderId="29" xfId="11" applyNumberFormat="1" applyFont="1" applyFill="1" applyBorder="1" applyAlignment="1">
      <alignment horizontal="center" vertical="center"/>
    </xf>
    <xf numFmtId="2" fontId="5" fillId="0" borderId="29" xfId="11" applyNumberFormat="1" applyFont="1" applyFill="1" applyBorder="1" applyAlignment="1">
      <alignment horizontal="center" vertical="center"/>
    </xf>
    <xf numFmtId="0" fontId="5" fillId="0" borderId="29" xfId="11" applyFont="1" applyFill="1" applyBorder="1" applyAlignment="1">
      <alignment horizontal="center"/>
    </xf>
    <xf numFmtId="172" fontId="35" fillId="2" borderId="35" xfId="11" applyNumberFormat="1" applyFont="1" applyFill="1" applyBorder="1" applyAlignment="1">
      <alignment horizontal="center"/>
    </xf>
    <xf numFmtId="0" fontId="5" fillId="0" borderId="31" xfId="11" applyFont="1" applyFill="1" applyBorder="1"/>
    <xf numFmtId="0" fontId="5" fillId="0" borderId="46" xfId="11" applyFont="1" applyFill="1" applyBorder="1"/>
    <xf numFmtId="2" fontId="6" fillId="0" borderId="46" xfId="11" applyNumberFormat="1" applyFont="1" applyFill="1" applyBorder="1" applyAlignment="1">
      <alignment horizontal="left" vertical="center"/>
    </xf>
    <xf numFmtId="4" fontId="6" fillId="0" borderId="46" xfId="11" applyNumberFormat="1" applyFont="1" applyFill="1" applyBorder="1" applyAlignment="1">
      <alignment horizontal="center"/>
    </xf>
    <xf numFmtId="2" fontId="6" fillId="0" borderId="46" xfId="11" applyNumberFormat="1" applyFont="1" applyFill="1" applyBorder="1" applyAlignment="1">
      <alignment horizontal="center"/>
    </xf>
    <xf numFmtId="2" fontId="6" fillId="0" borderId="46" xfId="11" applyNumberFormat="1" applyFont="1" applyFill="1" applyBorder="1" applyAlignment="1">
      <alignment horizontal="right" vertical="center"/>
    </xf>
    <xf numFmtId="4" fontId="6" fillId="0" borderId="13" xfId="11" applyNumberFormat="1" applyFont="1" applyFill="1" applyBorder="1" applyAlignment="1">
      <alignment horizontal="center"/>
    </xf>
    <xf numFmtId="0" fontId="6" fillId="3" borderId="27" xfId="11" applyFont="1" applyFill="1" applyBorder="1" applyAlignment="1">
      <alignment horizontal="center" vertical="center" wrapText="1"/>
    </xf>
    <xf numFmtId="0" fontId="36" fillId="3" borderId="45" xfId="11" applyFont="1" applyFill="1" applyBorder="1" applyAlignment="1">
      <alignment horizontal="center" vertical="center" wrapText="1"/>
    </xf>
    <xf numFmtId="168" fontId="35" fillId="0" borderId="35" xfId="11" applyNumberFormat="1" applyFont="1" applyFill="1" applyBorder="1" applyAlignment="1">
      <alignment horizontal="center" vertical="center"/>
    </xf>
    <xf numFmtId="166" fontId="5" fillId="0" borderId="0" xfId="11" applyNumberFormat="1" applyFont="1" applyFill="1"/>
    <xf numFmtId="10" fontId="5" fillId="0" borderId="0" xfId="13" applyNumberFormat="1" applyFont="1" applyFill="1"/>
    <xf numFmtId="2" fontId="6" fillId="0" borderId="33" xfId="11" applyNumberFormat="1" applyFont="1" applyFill="1" applyBorder="1" applyAlignment="1">
      <alignment horizontal="left" vertical="center"/>
    </xf>
    <xf numFmtId="4" fontId="6" fillId="0" borderId="33" xfId="11" applyNumberFormat="1" applyFont="1" applyFill="1" applyBorder="1" applyAlignment="1">
      <alignment horizontal="center"/>
    </xf>
    <xf numFmtId="2" fontId="6" fillId="0" borderId="33" xfId="11" applyNumberFormat="1" applyFont="1" applyFill="1" applyBorder="1" applyAlignment="1">
      <alignment horizontal="center"/>
    </xf>
    <xf numFmtId="2" fontId="6" fillId="0" borderId="33" xfId="11" applyNumberFormat="1" applyFont="1" applyFill="1" applyBorder="1" applyAlignment="1">
      <alignment horizontal="right" vertical="center"/>
    </xf>
    <xf numFmtId="4" fontId="38" fillId="0" borderId="24" xfId="11" applyNumberFormat="1" applyFont="1" applyFill="1" applyBorder="1" applyAlignment="1">
      <alignment horizontal="right"/>
    </xf>
    <xf numFmtId="0" fontId="5" fillId="0" borderId="17" xfId="11" applyFont="1" applyFill="1" applyBorder="1"/>
    <xf numFmtId="0" fontId="5" fillId="0" borderId="0" xfId="11" applyFont="1" applyFill="1" applyBorder="1"/>
    <xf numFmtId="2" fontId="6" fillId="0" borderId="0" xfId="11" applyNumberFormat="1" applyFont="1" applyFill="1" applyBorder="1" applyAlignment="1">
      <alignment horizontal="left" vertical="center"/>
    </xf>
    <xf numFmtId="4" fontId="6" fillId="0" borderId="0" xfId="11" applyNumberFormat="1" applyFont="1" applyFill="1" applyBorder="1" applyAlignment="1">
      <alignment horizontal="center"/>
    </xf>
    <xf numFmtId="2" fontId="6" fillId="0" borderId="0" xfId="11" applyNumberFormat="1" applyFont="1" applyFill="1" applyBorder="1" applyAlignment="1">
      <alignment horizontal="center"/>
    </xf>
    <xf numFmtId="2" fontId="6" fillId="0" borderId="0" xfId="11" applyNumberFormat="1" applyFont="1" applyFill="1" applyBorder="1" applyAlignment="1">
      <alignment horizontal="right" vertical="center"/>
    </xf>
    <xf numFmtId="4" fontId="6" fillId="0" borderId="18" xfId="11" applyNumberFormat="1" applyFont="1" applyFill="1" applyBorder="1" applyAlignment="1">
      <alignment horizontal="center"/>
    </xf>
    <xf numFmtId="2" fontId="5" fillId="0" borderId="22" xfId="11" applyNumberFormat="1" applyFont="1" applyFill="1" applyBorder="1" applyAlignment="1">
      <alignment horizontal="center" vertical="center"/>
    </xf>
    <xf numFmtId="2" fontId="6" fillId="0" borderId="22" xfId="11" applyNumberFormat="1" applyFont="1" applyFill="1" applyBorder="1" applyAlignment="1">
      <alignment horizontal="center"/>
    </xf>
    <xf numFmtId="10" fontId="5" fillId="0" borderId="23" xfId="11" applyNumberFormat="1" applyFont="1" applyFill="1" applyBorder="1" applyAlignment="1">
      <alignment horizontal="center"/>
    </xf>
    <xf numFmtId="4" fontId="38" fillId="0" borderId="18" xfId="11" applyNumberFormat="1" applyFont="1" applyFill="1" applyBorder="1" applyAlignment="1">
      <alignment horizontal="right"/>
    </xf>
    <xf numFmtId="0" fontId="5" fillId="0" borderId="1" xfId="11" applyFont="1" applyBorder="1" applyAlignment="1">
      <alignment horizontal="center"/>
    </xf>
    <xf numFmtId="4" fontId="5" fillId="0" borderId="1" xfId="11" applyNumberFormat="1" applyFont="1" applyBorder="1" applyAlignment="1">
      <alignment horizontal="center"/>
    </xf>
    <xf numFmtId="172" fontId="5" fillId="0" borderId="1" xfId="11" applyNumberFormat="1" applyFont="1" applyBorder="1" applyAlignment="1">
      <alignment horizontal="center"/>
    </xf>
    <xf numFmtId="0" fontId="5" fillId="0" borderId="0" xfId="11" applyFont="1" applyAlignment="1">
      <alignment horizontal="center"/>
    </xf>
    <xf numFmtId="166" fontId="0" fillId="0" borderId="0" xfId="0" applyNumberFormat="1" applyAlignment="1">
      <alignment horizontal="center"/>
    </xf>
    <xf numFmtId="0" fontId="7" fillId="0" borderId="33" xfId="4" applyFont="1" applyFill="1" applyBorder="1" applyAlignment="1">
      <alignment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right"/>
    </xf>
    <xf numFmtId="168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/>
    </xf>
    <xf numFmtId="169" fontId="0" fillId="0" borderId="0" xfId="0" applyNumberFormat="1" applyAlignment="1">
      <alignment horizontal="right"/>
    </xf>
    <xf numFmtId="169" fontId="0" fillId="0" borderId="0" xfId="0" applyNumberFormat="1" applyBorder="1" applyAlignment="1">
      <alignment horizontal="center"/>
    </xf>
    <xf numFmtId="169" fontId="0" fillId="0" borderId="0" xfId="0" applyNumberFormat="1" applyAlignment="1">
      <alignment horizontal="center" vertical="center"/>
    </xf>
    <xf numFmtId="2" fontId="0" fillId="0" borderId="8" xfId="0" applyNumberFormat="1" applyBorder="1"/>
    <xf numFmtId="169" fontId="0" fillId="0" borderId="0" xfId="0" applyNumberFormat="1"/>
    <xf numFmtId="169" fontId="0" fillId="0" borderId="8" xfId="0" applyNumberFormat="1" applyBorder="1"/>
    <xf numFmtId="0" fontId="0" fillId="2" borderId="47" xfId="0" applyFont="1" applyFill="1" applyBorder="1" applyAlignment="1">
      <alignment horizontal="center" vertical="center"/>
    </xf>
    <xf numFmtId="0" fontId="0" fillId="0" borderId="11" xfId="0" applyBorder="1" applyAlignment="1">
      <alignment horizontal="right"/>
    </xf>
    <xf numFmtId="169" fontId="0" fillId="0" borderId="0" xfId="0" applyNumberFormat="1" applyAlignment="1">
      <alignment vertical="center"/>
    </xf>
    <xf numFmtId="168" fontId="0" fillId="0" borderId="8" xfId="0" applyNumberFormat="1" applyBorder="1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right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11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166" fontId="25" fillId="0" borderId="1" xfId="0" applyNumberFormat="1" applyFont="1" applyFill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10" fontId="12" fillId="0" borderId="30" xfId="3" applyNumberFormat="1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right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8" xfId="0" applyBorder="1" applyAlignment="1">
      <alignment horizontal="right"/>
    </xf>
    <xf numFmtId="170" fontId="0" fillId="0" borderId="0" xfId="0" applyNumberFormat="1" applyAlignment="1">
      <alignment horizontal="right"/>
    </xf>
    <xf numFmtId="0" fontId="0" fillId="0" borderId="11" xfId="0" applyBorder="1" applyAlignment="1">
      <alignment horizontal="right"/>
    </xf>
    <xf numFmtId="0" fontId="40" fillId="0" borderId="0" xfId="0" applyFont="1" applyBorder="1"/>
    <xf numFmtId="169" fontId="40" fillId="0" borderId="0" xfId="0" applyNumberFormat="1" applyFont="1" applyAlignment="1">
      <alignment horizontal="center"/>
    </xf>
    <xf numFmtId="0" fontId="40" fillId="0" borderId="0" xfId="0" applyFont="1" applyBorder="1" applyAlignment="1">
      <alignment horizontal="center"/>
    </xf>
    <xf numFmtId="0" fontId="40" fillId="0" borderId="0" xfId="0" applyFont="1"/>
    <xf numFmtId="168" fontId="0" fillId="0" borderId="0" xfId="0" applyNumberFormat="1" applyBorder="1"/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left"/>
    </xf>
    <xf numFmtId="169" fontId="40" fillId="0" borderId="0" xfId="0" applyNumberFormat="1" applyFont="1" applyBorder="1" applyAlignment="1">
      <alignment horizontal="center"/>
    </xf>
    <xf numFmtId="0" fontId="40" fillId="6" borderId="0" xfId="0" applyFont="1" applyFill="1" applyBorder="1"/>
    <xf numFmtId="169" fontId="40" fillId="6" borderId="0" xfId="0" applyNumberFormat="1" applyFont="1" applyFill="1" applyBorder="1" applyAlignment="1">
      <alignment horizontal="center"/>
    </xf>
    <xf numFmtId="0" fontId="40" fillId="6" borderId="0" xfId="0" applyFont="1" applyFill="1" applyBorder="1" applyAlignment="1">
      <alignment horizontal="center"/>
    </xf>
    <xf numFmtId="0" fontId="40" fillId="6" borderId="0" xfId="0" applyFont="1" applyFill="1"/>
    <xf numFmtId="0" fontId="4" fillId="0" borderId="0" xfId="0" applyFont="1" applyAlignment="1">
      <alignment horizontal="right"/>
    </xf>
    <xf numFmtId="0" fontId="41" fillId="0" borderId="0" xfId="0" applyFont="1" applyBorder="1"/>
    <xf numFmtId="0" fontId="41" fillId="0" borderId="0" xfId="0" applyFont="1" applyBorder="1" applyAlignment="1">
      <alignment horizontal="left"/>
    </xf>
    <xf numFmtId="44" fontId="41" fillId="0" borderId="0" xfId="1" applyFont="1" applyBorder="1" applyAlignment="1">
      <alignment horizontal="center"/>
    </xf>
    <xf numFmtId="0" fontId="41" fillId="0" borderId="5" xfId="0" applyFont="1" applyBorder="1"/>
    <xf numFmtId="0" fontId="41" fillId="0" borderId="6" xfId="0" applyFont="1" applyBorder="1" applyAlignment="1">
      <alignment horizontal="center"/>
    </xf>
    <xf numFmtId="0" fontId="39" fillId="0" borderId="1" xfId="0" applyFont="1" applyBorder="1" applyAlignment="1">
      <alignment horizontal="center" vertical="center" wrapText="1"/>
    </xf>
    <xf numFmtId="166" fontId="39" fillId="0" borderId="1" xfId="0" applyNumberFormat="1" applyFont="1" applyBorder="1" applyAlignment="1">
      <alignment horizontal="center" vertical="center" wrapText="1"/>
    </xf>
    <xf numFmtId="166" fontId="39" fillId="0" borderId="1" xfId="0" applyNumberFormat="1" applyFont="1" applyBorder="1" applyAlignment="1">
      <alignment horizontal="center"/>
    </xf>
    <xf numFmtId="0" fontId="39" fillId="0" borderId="54" xfId="0" applyFont="1" applyFill="1" applyBorder="1" applyAlignment="1">
      <alignment horizontal="center"/>
    </xf>
    <xf numFmtId="0" fontId="39" fillId="0" borderId="55" xfId="0" applyFont="1" applyFill="1" applyBorder="1" applyAlignment="1">
      <alignment horizontal="center"/>
    </xf>
    <xf numFmtId="166" fontId="39" fillId="0" borderId="58" xfId="0" applyNumberFormat="1" applyFont="1" applyFill="1" applyBorder="1" applyAlignment="1">
      <alignment horizontal="center"/>
    </xf>
    <xf numFmtId="166" fontId="39" fillId="0" borderId="54" xfId="0" applyNumberFormat="1" applyFont="1" applyFill="1" applyBorder="1" applyAlignment="1">
      <alignment horizontal="center"/>
    </xf>
    <xf numFmtId="166" fontId="39" fillId="0" borderId="47" xfId="0" applyNumberFormat="1" applyFont="1" applyFill="1" applyBorder="1" applyAlignment="1">
      <alignment horizontal="center"/>
    </xf>
    <xf numFmtId="0" fontId="39" fillId="0" borderId="3" xfId="0" applyFont="1" applyBorder="1" applyAlignment="1">
      <alignment horizontal="center"/>
    </xf>
    <xf numFmtId="166" fontId="39" fillId="0" borderId="3" xfId="0" applyNumberFormat="1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166" fontId="39" fillId="0" borderId="0" xfId="0" applyNumberFormat="1" applyFont="1" applyBorder="1" applyAlignment="1">
      <alignment horizontal="center"/>
    </xf>
    <xf numFmtId="172" fontId="39" fillId="0" borderId="0" xfId="0" applyNumberFormat="1" applyFont="1" applyBorder="1" applyAlignment="1">
      <alignment horizontal="center"/>
    </xf>
    <xf numFmtId="0" fontId="35" fillId="0" borderId="0" xfId="4" applyFont="1"/>
    <xf numFmtId="2" fontId="35" fillId="0" borderId="0" xfId="4" applyNumberFormat="1" applyFont="1"/>
    <xf numFmtId="0" fontId="35" fillId="0" borderId="0" xfId="4" applyFont="1" applyFill="1"/>
    <xf numFmtId="0" fontId="0" fillId="0" borderId="0" xfId="0"/>
    <xf numFmtId="17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center"/>
    </xf>
    <xf numFmtId="4" fontId="9" fillId="0" borderId="1" xfId="4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168" fontId="0" fillId="0" borderId="8" xfId="0" applyNumberFormat="1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/>
    </xf>
    <xf numFmtId="1" fontId="9" fillId="0" borderId="1" xfId="18" applyNumberFormat="1" applyFont="1" applyFill="1" applyBorder="1" applyAlignment="1">
      <alignment horizontal="center" vertical="center"/>
    </xf>
    <xf numFmtId="2" fontId="9" fillId="0" borderId="1" xfId="18" applyNumberFormat="1" applyFont="1" applyFill="1" applyBorder="1" applyAlignment="1">
      <alignment horizontal="center" vertical="center"/>
    </xf>
    <xf numFmtId="2" fontId="9" fillId="0" borderId="1" xfId="18" applyNumberFormat="1" applyFont="1" applyFill="1" applyBorder="1" applyAlignment="1">
      <alignment horizontal="center"/>
    </xf>
    <xf numFmtId="3" fontId="9" fillId="0" borderId="1" xfId="18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39" fillId="0" borderId="2" xfId="0" applyFont="1" applyBorder="1" applyAlignment="1">
      <alignment horizontal="center"/>
    </xf>
    <xf numFmtId="0" fontId="39" fillId="0" borderId="5" xfId="0" applyFont="1" applyBorder="1" applyAlignment="1">
      <alignment horizontal="center"/>
    </xf>
    <xf numFmtId="1" fontId="9" fillId="0" borderId="0" xfId="4" applyNumberFormat="1" applyFont="1" applyFill="1" applyBorder="1" applyAlignment="1">
      <alignment horizontal="center" vertical="center"/>
    </xf>
    <xf numFmtId="2" fontId="9" fillId="0" borderId="0" xfId="4" applyNumberFormat="1" applyFont="1" applyFill="1" applyBorder="1" applyAlignment="1">
      <alignment horizontal="center" vertical="center"/>
    </xf>
    <xf numFmtId="1" fontId="9" fillId="0" borderId="1" xfId="4" applyNumberFormat="1" applyFont="1" applyFill="1" applyBorder="1" applyAlignment="1">
      <alignment horizontal="center" vertical="center"/>
    </xf>
    <xf numFmtId="44" fontId="3" fillId="0" borderId="0" xfId="1" applyFont="1" applyFill="1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44" fontId="4" fillId="0" borderId="0" xfId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right" vertical="center"/>
    </xf>
    <xf numFmtId="44" fontId="1" fillId="0" borderId="0" xfId="1" applyFont="1" applyFill="1" applyBorder="1" applyAlignment="1">
      <alignment horizontal="right" vertical="center"/>
    </xf>
    <xf numFmtId="44" fontId="0" fillId="0" borderId="0" xfId="1" applyFont="1" applyFill="1" applyAlignment="1">
      <alignment horizontal="center"/>
    </xf>
    <xf numFmtId="44" fontId="0" fillId="0" borderId="0" xfId="1" applyFont="1" applyFill="1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18" applyFont="1"/>
    <xf numFmtId="0" fontId="9" fillId="0" borderId="0" xfId="18" applyFont="1" applyBorder="1" applyAlignment="1">
      <alignment horizontal="center"/>
    </xf>
    <xf numFmtId="0" fontId="5" fillId="0" borderId="0" xfId="18" applyFont="1" applyBorder="1" applyAlignment="1">
      <alignment horizontal="center"/>
    </xf>
    <xf numFmtId="4" fontId="9" fillId="0" borderId="1" xfId="18" applyNumberFormat="1" applyFont="1" applyFill="1" applyBorder="1" applyAlignment="1">
      <alignment horizontal="center" vertical="center"/>
    </xf>
    <xf numFmtId="0" fontId="5" fillId="0" borderId="0" xfId="18" applyFont="1" applyFill="1"/>
    <xf numFmtId="4" fontId="5" fillId="0" borderId="0" xfId="4" applyNumberFormat="1" applyFont="1" applyFill="1"/>
    <xf numFmtId="43" fontId="4" fillId="0" borderId="0" xfId="2" applyFont="1"/>
    <xf numFmtId="2" fontId="9" fillId="0" borderId="1" xfId="4" applyNumberFormat="1" applyFont="1" applyFill="1" applyBorder="1" applyAlignment="1">
      <alignment horizontal="center" vertical="center"/>
    </xf>
    <xf numFmtId="0" fontId="9" fillId="5" borderId="1" xfId="4" applyFont="1" applyFill="1" applyBorder="1" applyAlignment="1">
      <alignment horizontal="center"/>
    </xf>
    <xf numFmtId="0" fontId="9" fillId="5" borderId="1" xfId="18" applyFont="1" applyFill="1" applyBorder="1" applyAlignment="1">
      <alignment horizontal="center"/>
    </xf>
    <xf numFmtId="17" fontId="10" fillId="0" borderId="1" xfId="18" applyNumberFormat="1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166" fontId="39" fillId="0" borderId="56" xfId="0" applyNumberFormat="1" applyFont="1" applyFill="1" applyBorder="1" applyAlignment="1">
      <alignment horizontal="center"/>
    </xf>
    <xf numFmtId="14" fontId="5" fillId="0" borderId="0" xfId="4" applyNumberFormat="1" applyFont="1" applyFill="1"/>
    <xf numFmtId="14" fontId="10" fillId="0" borderId="1" xfId="18" applyNumberFormat="1" applyFont="1" applyBorder="1" applyAlignment="1">
      <alignment horizontal="center" vertical="center"/>
    </xf>
    <xf numFmtId="172" fontId="9" fillId="0" borderId="1" xfId="4" applyNumberFormat="1" applyFont="1" applyFill="1" applyBorder="1" applyAlignment="1">
      <alignment horizontal="center"/>
    </xf>
    <xf numFmtId="14" fontId="10" fillId="0" borderId="1" xfId="6" applyNumberFormat="1" applyFont="1" applyBorder="1" applyAlignment="1">
      <alignment horizontal="center" vertical="center"/>
    </xf>
    <xf numFmtId="0" fontId="9" fillId="0" borderId="5" xfId="4" applyFont="1" applyBorder="1" applyAlignment="1">
      <alignment horizontal="center"/>
    </xf>
    <xf numFmtId="0" fontId="5" fillId="0" borderId="6" xfId="4" applyFont="1" applyBorder="1" applyAlignment="1">
      <alignment horizontal="center"/>
    </xf>
    <xf numFmtId="1" fontId="9" fillId="0" borderId="5" xfId="4" applyNumberFormat="1" applyFont="1" applyFill="1" applyBorder="1" applyAlignment="1">
      <alignment horizontal="center" vertical="center"/>
    </xf>
    <xf numFmtId="0" fontId="9" fillId="0" borderId="6" xfId="4" applyFont="1" applyFill="1" applyBorder="1" applyAlignment="1">
      <alignment horizontal="center"/>
    </xf>
    <xf numFmtId="0" fontId="0" fillId="0" borderId="0" xfId="0" applyFont="1" applyBorder="1"/>
    <xf numFmtId="0" fontId="44" fillId="0" borderId="7" xfId="0" applyFont="1" applyBorder="1"/>
    <xf numFmtId="0" fontId="44" fillId="0" borderId="0" xfId="0" applyFont="1" applyBorder="1"/>
    <xf numFmtId="0" fontId="44" fillId="0" borderId="0" xfId="0" applyFont="1"/>
    <xf numFmtId="0" fontId="5" fillId="0" borderId="0" xfId="18" applyFont="1" applyBorder="1"/>
    <xf numFmtId="3" fontId="9" fillId="0" borderId="1" xfId="18" applyNumberFormat="1" applyFont="1" applyFill="1" applyBorder="1" applyAlignment="1">
      <alignment horizontal="center"/>
    </xf>
    <xf numFmtId="4" fontId="9" fillId="0" borderId="1" xfId="18" applyNumberFormat="1" applyFont="1" applyFill="1" applyBorder="1" applyAlignment="1">
      <alignment horizontal="center"/>
    </xf>
    <xf numFmtId="0" fontId="9" fillId="0" borderId="5" xfId="18" applyFont="1" applyBorder="1" applyAlignment="1">
      <alignment horizontal="center"/>
    </xf>
    <xf numFmtId="0" fontId="5" fillId="0" borderId="6" xfId="18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/>
    </xf>
    <xf numFmtId="17" fontId="28" fillId="2" borderId="1" xfId="0" applyNumberFormat="1" applyFont="1" applyFill="1" applyBorder="1" applyAlignment="1">
      <alignment horizontal="center" vertical="center"/>
    </xf>
    <xf numFmtId="17" fontId="27" fillId="2" borderId="0" xfId="0" applyNumberFormat="1" applyFont="1" applyFill="1" applyBorder="1"/>
    <xf numFmtId="17" fontId="27" fillId="2" borderId="5" xfId="0" applyNumberFormat="1" applyFont="1" applyFill="1" applyBorder="1"/>
    <xf numFmtId="169" fontId="27" fillId="2" borderId="6" xfId="0" applyNumberFormat="1" applyFont="1" applyFill="1" applyBorder="1"/>
    <xf numFmtId="169" fontId="27" fillId="2" borderId="25" xfId="0" applyNumberFormat="1" applyFont="1" applyFill="1" applyBorder="1" applyAlignment="1"/>
    <xf numFmtId="169" fontId="27" fillId="2" borderId="59" xfId="0" applyNumberFormat="1" applyFont="1" applyFill="1" applyBorder="1" applyAlignment="1"/>
    <xf numFmtId="169" fontId="27" fillId="2" borderId="30" xfId="0" applyNumberFormat="1" applyFont="1" applyFill="1" applyBorder="1" applyAlignment="1"/>
    <xf numFmtId="0" fontId="44" fillId="0" borderId="0" xfId="0" applyFont="1" applyFill="1" applyBorder="1" applyAlignment="1">
      <alignment horizontal="center"/>
    </xf>
    <xf numFmtId="0" fontId="44" fillId="0" borderId="0" xfId="0" applyFont="1" applyAlignment="1">
      <alignment horizontal="left"/>
    </xf>
    <xf numFmtId="14" fontId="0" fillId="0" borderId="0" xfId="0" applyNumberFormat="1" applyBorder="1" applyAlignment="1">
      <alignment horizontal="left"/>
    </xf>
    <xf numFmtId="0" fontId="4" fillId="0" borderId="1" xfId="0" applyFont="1" applyBorder="1" applyAlignment="1">
      <alignment horizontal="center"/>
    </xf>
    <xf numFmtId="17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72" fontId="9" fillId="0" borderId="1" xfId="4" applyNumberFormat="1" applyFont="1" applyFill="1" applyBorder="1" applyAlignment="1">
      <alignment horizontal="center" vertical="center"/>
    </xf>
    <xf numFmtId="171" fontId="9" fillId="0" borderId="1" xfId="4" applyNumberFormat="1" applyFont="1" applyFill="1" applyBorder="1" applyAlignment="1">
      <alignment horizontal="center" vertical="center"/>
    </xf>
    <xf numFmtId="4" fontId="9" fillId="0" borderId="1" xfId="4" applyNumberFormat="1" applyFont="1" applyFill="1" applyBorder="1" applyAlignment="1">
      <alignment horizontal="center" vertical="center" wrapText="1"/>
    </xf>
    <xf numFmtId="1" fontId="9" fillId="2" borderId="3" xfId="4" applyNumberFormat="1" applyFont="1" applyFill="1" applyBorder="1" applyAlignment="1">
      <alignment horizontal="right" vertical="center" wrapText="1"/>
    </xf>
    <xf numFmtId="1" fontId="9" fillId="2" borderId="0" xfId="4" applyNumberFormat="1" applyFont="1" applyFill="1" applyBorder="1" applyAlignment="1">
      <alignment horizontal="right" vertical="center" wrapText="1"/>
    </xf>
    <xf numFmtId="3" fontId="9" fillId="0" borderId="1" xfId="4" applyNumberFormat="1" applyFont="1" applyFill="1" applyBorder="1" applyAlignment="1">
      <alignment horizontal="center"/>
    </xf>
    <xf numFmtId="0" fontId="4" fillId="6" borderId="7" xfId="0" applyFont="1" applyFill="1" applyBorder="1" applyAlignment="1"/>
    <xf numFmtId="0" fontId="4" fillId="6" borderId="8" xfId="0" applyFont="1" applyFill="1" applyBorder="1" applyAlignment="1"/>
    <xf numFmtId="0" fontId="4" fillId="6" borderId="9" xfId="0" applyFont="1" applyFill="1" applyBorder="1" applyAlignment="1"/>
    <xf numFmtId="0" fontId="15" fillId="0" borderId="30" xfId="0" applyFont="1" applyBorder="1" applyAlignment="1">
      <alignment horizontal="center" vertical="center" wrapText="1"/>
    </xf>
    <xf numFmtId="17" fontId="15" fillId="0" borderId="0" xfId="0" applyNumberFormat="1" applyFont="1" applyBorder="1" applyAlignment="1">
      <alignment vertical="center" wrapText="1"/>
    </xf>
    <xf numFmtId="17" fontId="15" fillId="0" borderId="30" xfId="0" applyNumberFormat="1" applyFont="1" applyBorder="1" applyAlignment="1">
      <alignment horizontal="center" vertical="center" wrapText="1"/>
    </xf>
    <xf numFmtId="0" fontId="0" fillId="3" borderId="2" xfId="0" applyFont="1" applyFill="1" applyBorder="1" applyAlignment="1"/>
    <xf numFmtId="0" fontId="0" fillId="3" borderId="3" xfId="0" applyFont="1" applyFill="1" applyBorder="1" applyAlignment="1"/>
    <xf numFmtId="0" fontId="0" fillId="3" borderId="4" xfId="0" applyFont="1" applyFill="1" applyBorder="1" applyAlignment="1"/>
    <xf numFmtId="0" fontId="0" fillId="3" borderId="7" xfId="0" applyFont="1" applyFill="1" applyBorder="1" applyAlignment="1"/>
    <xf numFmtId="0" fontId="0" fillId="3" borderId="8" xfId="0" applyFont="1" applyFill="1" applyBorder="1" applyAlignment="1"/>
    <xf numFmtId="0" fontId="0" fillId="3" borderId="9" xfId="0" applyFont="1" applyFill="1" applyBorder="1" applyAlignment="1"/>
    <xf numFmtId="0" fontId="1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/>
    </xf>
    <xf numFmtId="17" fontId="0" fillId="3" borderId="1" xfId="0" applyNumberFormat="1" applyFont="1" applyFill="1" applyBorder="1" applyAlignment="1">
      <alignment horizontal="center" vertical="center"/>
    </xf>
    <xf numFmtId="17" fontId="31" fillId="5" borderId="72" xfId="4" applyNumberFormat="1" applyFont="1" applyFill="1" applyBorder="1" applyAlignment="1">
      <alignment horizontal="center" vertical="center"/>
    </xf>
    <xf numFmtId="49" fontId="31" fillId="5" borderId="73" xfId="4" applyNumberFormat="1" applyFont="1" applyFill="1" applyBorder="1" applyAlignment="1">
      <alignment horizontal="center"/>
    </xf>
    <xf numFmtId="169" fontId="31" fillId="5" borderId="74" xfId="4" applyNumberFormat="1" applyFont="1" applyFill="1" applyBorder="1" applyAlignment="1">
      <alignment horizontal="center"/>
    </xf>
    <xf numFmtId="17" fontId="0" fillId="2" borderId="58" xfId="0" applyNumberFormat="1" applyFont="1" applyFill="1" applyBorder="1" applyAlignment="1">
      <alignment horizontal="center" vertical="center"/>
    </xf>
    <xf numFmtId="17" fontId="0" fillId="2" borderId="56" xfId="0" applyNumberFormat="1" applyFont="1" applyFill="1" applyBorder="1" applyAlignment="1">
      <alignment horizontal="center" vertical="center"/>
    </xf>
    <xf numFmtId="17" fontId="0" fillId="2" borderId="61" xfId="0" applyNumberFormat="1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/>
    </xf>
    <xf numFmtId="2" fontId="9" fillId="0" borderId="1" xfId="4" applyNumberFormat="1" applyFont="1" applyFill="1" applyBorder="1" applyAlignment="1">
      <alignment horizontal="center" vertical="center"/>
    </xf>
    <xf numFmtId="2" fontId="9" fillId="0" borderId="1" xfId="4" applyNumberFormat="1" applyFont="1" applyFill="1" applyBorder="1" applyAlignment="1">
      <alignment horizontal="center" vertical="center"/>
    </xf>
    <xf numFmtId="175" fontId="0" fillId="0" borderId="55" xfId="0" applyNumberFormat="1" applyFont="1" applyBorder="1" applyAlignment="1">
      <alignment horizontal="center" vertical="center"/>
    </xf>
    <xf numFmtId="175" fontId="0" fillId="0" borderId="57" xfId="0" applyNumberFormat="1" applyFont="1" applyBorder="1" applyAlignment="1">
      <alignment horizontal="center" vertical="center"/>
    </xf>
    <xf numFmtId="175" fontId="0" fillId="0" borderId="63" xfId="0" applyNumberFormat="1" applyFont="1" applyBorder="1" applyAlignment="1">
      <alignment horizontal="center" vertical="center"/>
    </xf>
    <xf numFmtId="0" fontId="10" fillId="0" borderId="1" xfId="6" applyFont="1" applyBorder="1" applyAlignment="1">
      <alignment horizontal="center" vertical="center"/>
    </xf>
    <xf numFmtId="2" fontId="9" fillId="0" borderId="1" xfId="4" applyNumberFormat="1" applyFont="1" applyFill="1" applyBorder="1" applyAlignment="1">
      <alignment horizontal="center" vertical="center"/>
    </xf>
    <xf numFmtId="0" fontId="9" fillId="5" borderId="1" xfId="4" applyFont="1" applyFill="1" applyBorder="1" applyAlignment="1">
      <alignment horizontal="center"/>
    </xf>
    <xf numFmtId="0" fontId="9" fillId="5" borderId="1" xfId="18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2" fontId="9" fillId="0" borderId="1" xfId="4" applyNumberFormat="1" applyFont="1" applyFill="1" applyBorder="1" applyAlignment="1">
      <alignment horizontal="center" vertical="center"/>
    </xf>
    <xf numFmtId="2" fontId="9" fillId="0" borderId="1" xfId="4" applyNumberFormat="1" applyFont="1" applyFill="1" applyBorder="1" applyAlignment="1">
      <alignment horizontal="center" vertical="center"/>
    </xf>
    <xf numFmtId="2" fontId="9" fillId="0" borderId="1" xfId="4" applyNumberFormat="1" applyFont="1" applyFill="1" applyBorder="1" applyAlignment="1">
      <alignment horizontal="center" vertical="center"/>
    </xf>
    <xf numFmtId="0" fontId="9" fillId="5" borderId="1" xfId="4" applyFont="1" applyFill="1" applyBorder="1" applyAlignment="1">
      <alignment horizontal="center"/>
    </xf>
    <xf numFmtId="0" fontId="9" fillId="5" borderId="1" xfId="18" applyFont="1" applyFill="1" applyBorder="1" applyAlignment="1">
      <alignment horizontal="center"/>
    </xf>
    <xf numFmtId="17" fontId="11" fillId="2" borderId="1" xfId="0" applyNumberFormat="1" applyFont="1" applyFill="1" applyBorder="1" applyAlignment="1">
      <alignment horizontal="center" vertical="center"/>
    </xf>
    <xf numFmtId="2" fontId="9" fillId="0" borderId="1" xfId="4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2" fontId="9" fillId="0" borderId="1" xfId="4" applyNumberFormat="1" applyFont="1" applyFill="1" applyBorder="1" applyAlignment="1">
      <alignment horizontal="center" vertical="center"/>
    </xf>
    <xf numFmtId="4" fontId="39" fillId="0" borderId="1" xfId="0" applyNumberFormat="1" applyFont="1" applyBorder="1" applyAlignment="1">
      <alignment horizontal="center"/>
    </xf>
    <xf numFmtId="4" fontId="39" fillId="0" borderId="57" xfId="0" applyNumberFormat="1" applyFont="1" applyFill="1" applyBorder="1" applyAlignment="1">
      <alignment horizontal="center"/>
    </xf>
    <xf numFmtId="4" fontId="6" fillId="0" borderId="1" xfId="6" applyNumberFormat="1" applyFont="1" applyBorder="1" applyAlignment="1">
      <alignment horizontal="center" vertical="center"/>
    </xf>
    <xf numFmtId="4" fontId="39" fillId="0" borderId="1" xfId="0" applyNumberFormat="1" applyFont="1" applyBorder="1" applyAlignment="1">
      <alignment horizontal="center" vertical="center" wrapText="1"/>
    </xf>
    <xf numFmtId="4" fontId="39" fillId="0" borderId="55" xfId="0" applyNumberFormat="1" applyFont="1" applyFill="1" applyBorder="1" applyAlignment="1">
      <alignment horizontal="center"/>
    </xf>
    <xf numFmtId="4" fontId="39" fillId="0" borderId="6" xfId="0" applyNumberFormat="1" applyFont="1" applyBorder="1" applyAlignment="1">
      <alignment horizontal="center"/>
    </xf>
    <xf numFmtId="4" fontId="39" fillId="0" borderId="6" xfId="0" applyNumberFormat="1" applyFont="1" applyBorder="1"/>
    <xf numFmtId="4" fontId="0" fillId="0" borderId="0" xfId="0" applyNumberFormat="1"/>
    <xf numFmtId="4" fontId="39" fillId="0" borderId="58" xfId="0" applyNumberFormat="1" applyFont="1" applyFill="1" applyBorder="1" applyAlignment="1">
      <alignment horizontal="center"/>
    </xf>
    <xf numFmtId="4" fontId="39" fillId="0" borderId="54" xfId="0" applyNumberFormat="1" applyFont="1" applyFill="1" applyBorder="1" applyAlignment="1">
      <alignment horizontal="center"/>
    </xf>
    <xf numFmtId="4" fontId="39" fillId="0" borderId="56" xfId="0" applyNumberFormat="1" applyFont="1" applyFill="1" applyBorder="1" applyAlignment="1">
      <alignment horizontal="center"/>
    </xf>
    <xf numFmtId="4" fontId="39" fillId="0" borderId="47" xfId="0" applyNumberFormat="1" applyFont="1" applyFill="1" applyBorder="1" applyAlignment="1">
      <alignment horizontal="center"/>
    </xf>
    <xf numFmtId="17" fontId="46" fillId="2" borderId="1" xfId="0" applyNumberFormat="1" applyFont="1" applyFill="1" applyBorder="1" applyAlignment="1">
      <alignment horizontal="center"/>
    </xf>
    <xf numFmtId="0" fontId="46" fillId="2" borderId="1" xfId="0" applyFont="1" applyFill="1" applyBorder="1" applyAlignment="1">
      <alignment horizontal="center"/>
    </xf>
    <xf numFmtId="14" fontId="46" fillId="2" borderId="1" xfId="0" applyNumberFormat="1" applyFont="1" applyFill="1" applyBorder="1" applyAlignment="1">
      <alignment horizontal="center"/>
    </xf>
    <xf numFmtId="0" fontId="45" fillId="3" borderId="1" xfId="0" applyFont="1" applyFill="1" applyBorder="1" applyAlignment="1">
      <alignment horizontal="left" vertical="center" wrapText="1"/>
    </xf>
    <xf numFmtId="0" fontId="45" fillId="3" borderId="10" xfId="0" applyFont="1" applyFill="1" applyBorder="1" applyAlignment="1">
      <alignment horizontal="left" vertical="center" wrapText="1"/>
    </xf>
    <xf numFmtId="0" fontId="44" fillId="3" borderId="1" xfId="0" applyFont="1" applyFill="1" applyBorder="1" applyAlignment="1">
      <alignment horizontal="center" vertical="center"/>
    </xf>
    <xf numFmtId="0" fontId="44" fillId="0" borderId="5" xfId="0" applyFont="1" applyBorder="1" applyAlignment="1">
      <alignment horizontal="left" vertical="center"/>
    </xf>
    <xf numFmtId="0" fontId="50" fillId="0" borderId="0" xfId="0" applyFont="1" applyBorder="1" applyAlignment="1">
      <alignment vertical="center"/>
    </xf>
    <xf numFmtId="0" fontId="50" fillId="0" borderId="0" xfId="0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/>
    </xf>
    <xf numFmtId="0" fontId="44" fillId="3" borderId="1" xfId="0" applyFont="1" applyFill="1" applyBorder="1" applyAlignment="1">
      <alignment vertical="center"/>
    </xf>
    <xf numFmtId="2" fontId="44" fillId="3" borderId="1" xfId="0" applyNumberFormat="1" applyFont="1" applyFill="1" applyBorder="1" applyAlignment="1">
      <alignment vertical="center"/>
    </xf>
    <xf numFmtId="10" fontId="44" fillId="3" borderId="1" xfId="3" applyNumberFormat="1" applyFont="1" applyFill="1" applyBorder="1" applyAlignment="1">
      <alignment vertical="center"/>
    </xf>
    <xf numFmtId="2" fontId="44" fillId="3" borderId="1" xfId="2" applyNumberFormat="1" applyFont="1" applyFill="1" applyBorder="1" applyAlignment="1">
      <alignment horizontal="center" vertical="center"/>
    </xf>
    <xf numFmtId="4" fontId="44" fillId="3" borderId="1" xfId="0" applyNumberFormat="1" applyFont="1" applyFill="1" applyBorder="1" applyAlignment="1">
      <alignment horizontal="center" vertical="center"/>
    </xf>
    <xf numFmtId="2" fontId="44" fillId="3" borderId="1" xfId="0" applyNumberFormat="1" applyFont="1" applyFill="1" applyBorder="1" applyAlignment="1">
      <alignment horizontal="center" vertical="center"/>
    </xf>
    <xf numFmtId="10" fontId="44" fillId="3" borderId="1" xfId="3" applyNumberFormat="1" applyFont="1" applyFill="1" applyBorder="1" applyAlignment="1">
      <alignment horizontal="center" vertical="center"/>
    </xf>
    <xf numFmtId="167" fontId="44" fillId="3" borderId="1" xfId="1" applyNumberFormat="1" applyFont="1" applyFill="1" applyBorder="1" applyAlignment="1">
      <alignment horizontal="center" vertical="center"/>
    </xf>
    <xf numFmtId="2" fontId="44" fillId="3" borderId="12" xfId="2" applyNumberFormat="1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 wrapText="1"/>
    </xf>
    <xf numFmtId="167" fontId="44" fillId="3" borderId="1" xfId="0" applyNumberFormat="1" applyFont="1" applyFill="1" applyBorder="1" applyAlignment="1">
      <alignment horizontal="center" vertical="center"/>
    </xf>
    <xf numFmtId="0" fontId="44" fillId="3" borderId="10" xfId="0" applyFont="1" applyFill="1" applyBorder="1" applyAlignment="1">
      <alignment horizontal="center" vertical="center"/>
    </xf>
    <xf numFmtId="2" fontId="44" fillId="3" borderId="11" xfId="0" applyNumberFormat="1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4" fillId="3" borderId="1" xfId="0" applyFont="1" applyFill="1" applyBorder="1" applyAlignment="1">
      <alignment horizontal="left" vertical="center"/>
    </xf>
    <xf numFmtId="4" fontId="44" fillId="3" borderId="1" xfId="0" applyNumberFormat="1" applyFont="1" applyFill="1" applyBorder="1" applyAlignment="1">
      <alignment horizontal="left" vertical="center"/>
    </xf>
    <xf numFmtId="2" fontId="44" fillId="3" borderId="1" xfId="0" applyNumberFormat="1" applyFont="1" applyFill="1" applyBorder="1" applyAlignment="1">
      <alignment horizontal="left" vertical="center"/>
    </xf>
    <xf numFmtId="10" fontId="44" fillId="3" borderId="1" xfId="3" applyNumberFormat="1" applyFont="1" applyFill="1" applyBorder="1" applyAlignment="1">
      <alignment horizontal="left" vertical="center"/>
    </xf>
    <xf numFmtId="2" fontId="44" fillId="3" borderId="12" xfId="2" applyNumberFormat="1" applyFont="1" applyFill="1" applyBorder="1" applyAlignment="1">
      <alignment horizontal="left" vertical="center"/>
    </xf>
    <xf numFmtId="4" fontId="44" fillId="3" borderId="1" xfId="0" applyNumberFormat="1" applyFont="1" applyFill="1" applyBorder="1" applyAlignment="1">
      <alignment vertical="center"/>
    </xf>
    <xf numFmtId="4" fontId="44" fillId="3" borderId="1" xfId="0" applyNumberFormat="1" applyFont="1" applyFill="1" applyBorder="1" applyAlignment="1">
      <alignment horizontal="center" vertical="center" wrapText="1"/>
    </xf>
    <xf numFmtId="167" fontId="44" fillId="3" borderId="1" xfId="0" applyNumberFormat="1" applyFont="1" applyFill="1" applyBorder="1" applyAlignment="1">
      <alignment vertical="center"/>
    </xf>
    <xf numFmtId="167" fontId="43" fillId="3" borderId="1" xfId="0" applyNumberFormat="1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0" fontId="44" fillId="0" borderId="3" xfId="0" applyFont="1" applyBorder="1"/>
    <xf numFmtId="167" fontId="0" fillId="0" borderId="0" xfId="0" applyNumberFormat="1" applyBorder="1"/>
    <xf numFmtId="0" fontId="44" fillId="3" borderId="1" xfId="0" applyFont="1" applyFill="1" applyBorder="1" applyAlignment="1">
      <alignment horizontal="center" vertical="center"/>
    </xf>
    <xf numFmtId="0" fontId="53" fillId="0" borderId="8" xfId="0" applyFont="1" applyBorder="1"/>
    <xf numFmtId="44" fontId="53" fillId="0" borderId="8" xfId="0" applyNumberFormat="1" applyFont="1" applyBorder="1"/>
    <xf numFmtId="0" fontId="53" fillId="0" borderId="8" xfId="0" applyFont="1" applyBorder="1" applyAlignment="1">
      <alignment horizontal="center"/>
    </xf>
    <xf numFmtId="0" fontId="53" fillId="0" borderId="12" xfId="0" applyFont="1" applyBorder="1"/>
    <xf numFmtId="0" fontId="53" fillId="2" borderId="1" xfId="0" applyFont="1" applyFill="1" applyBorder="1" applyAlignment="1">
      <alignment horizontal="center" vertical="center"/>
    </xf>
    <xf numFmtId="0" fontId="53" fillId="2" borderId="1" xfId="0" applyFont="1" applyFill="1" applyBorder="1" applyAlignment="1">
      <alignment horizontal="left" vertical="center" wrapText="1"/>
    </xf>
    <xf numFmtId="9" fontId="53" fillId="4" borderId="1" xfId="3" applyFont="1" applyFill="1" applyBorder="1" applyAlignment="1">
      <alignment horizontal="center" vertical="center"/>
    </xf>
    <xf numFmtId="167" fontId="53" fillId="2" borderId="1" xfId="3" applyNumberFormat="1" applyFont="1" applyFill="1" applyBorder="1" applyAlignment="1">
      <alignment horizontal="center" vertical="center"/>
    </xf>
    <xf numFmtId="0" fontId="53" fillId="4" borderId="1" xfId="0" applyFont="1" applyFill="1" applyBorder="1" applyAlignment="1">
      <alignment horizontal="center" vertical="center"/>
    </xf>
    <xf numFmtId="167" fontId="53" fillId="2" borderId="1" xfId="2" applyNumberFormat="1" applyFont="1" applyFill="1" applyBorder="1" applyAlignment="1">
      <alignment horizontal="center" vertical="center"/>
    </xf>
    <xf numFmtId="167" fontId="53" fillId="2" borderId="1" xfId="0" applyNumberFormat="1" applyFont="1" applyFill="1" applyBorder="1" applyAlignment="1">
      <alignment horizontal="center" vertical="center"/>
    </xf>
    <xf numFmtId="10" fontId="54" fillId="4" borderId="1" xfId="0" applyNumberFormat="1" applyFont="1" applyFill="1" applyBorder="1" applyAlignment="1">
      <alignment horizontal="center" vertical="center"/>
    </xf>
    <xf numFmtId="167" fontId="54" fillId="2" borderId="1" xfId="2" applyNumberFormat="1" applyFont="1" applyFill="1" applyBorder="1" applyAlignment="1">
      <alignment horizontal="center" vertical="center"/>
    </xf>
    <xf numFmtId="167" fontId="7" fillId="2" borderId="1" xfId="2" applyNumberFormat="1" applyFont="1" applyFill="1" applyBorder="1" applyAlignment="1">
      <alignment horizontal="center" vertical="center"/>
    </xf>
    <xf numFmtId="0" fontId="44" fillId="0" borderId="2" xfId="0" applyFont="1" applyBorder="1"/>
    <xf numFmtId="0" fontId="44" fillId="0" borderId="5" xfId="0" applyFont="1" applyBorder="1"/>
    <xf numFmtId="0" fontId="44" fillId="0" borderId="8" xfId="0" applyFont="1" applyFill="1" applyBorder="1"/>
    <xf numFmtId="0" fontId="44" fillId="0" borderId="8" xfId="0" applyFont="1" applyBorder="1"/>
    <xf numFmtId="0" fontId="44" fillId="0" borderId="8" xfId="0" applyFont="1" applyBorder="1" applyAlignment="1">
      <alignment horizontal="center"/>
    </xf>
    <xf numFmtId="0" fontId="44" fillId="0" borderId="4" xfId="0" applyFont="1" applyBorder="1" applyAlignment="1">
      <alignment horizontal="center"/>
    </xf>
    <xf numFmtId="0" fontId="44" fillId="0" borderId="6" xfId="0" applyFont="1" applyBorder="1" applyAlignment="1">
      <alignment horizontal="center"/>
    </xf>
    <xf numFmtId="0" fontId="44" fillId="0" borderId="9" xfId="0" applyFont="1" applyBorder="1" applyAlignment="1">
      <alignment horizontal="center"/>
    </xf>
    <xf numFmtId="0" fontId="45" fillId="0" borderId="1" xfId="0" applyFont="1" applyBorder="1" applyAlignment="1">
      <alignment horizontal="center" vertical="center"/>
    </xf>
    <xf numFmtId="17" fontId="45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14" fontId="45" fillId="0" borderId="1" xfId="0" applyNumberFormat="1" applyFont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 wrapText="1"/>
    </xf>
    <xf numFmtId="0" fontId="45" fillId="3" borderId="1" xfId="0" applyFont="1" applyFill="1" applyBorder="1" applyAlignment="1">
      <alignment horizontal="left" vertical="center" wrapText="1"/>
    </xf>
    <xf numFmtId="0" fontId="50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" fontId="41" fillId="0" borderId="0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53" fillId="2" borderId="25" xfId="0" applyFont="1" applyFill="1" applyBorder="1" applyAlignment="1">
      <alignment horizontal="center" vertical="center"/>
    </xf>
    <xf numFmtId="0" fontId="53" fillId="2" borderId="30" xfId="0" applyFont="1" applyFill="1" applyBorder="1" applyAlignment="1">
      <alignment horizontal="center" vertical="center"/>
    </xf>
    <xf numFmtId="0" fontId="53" fillId="2" borderId="1" xfId="0" applyFont="1" applyFill="1" applyBorder="1" applyAlignment="1">
      <alignment horizontal="center" vertical="center"/>
    </xf>
    <xf numFmtId="0" fontId="53" fillId="2" borderId="10" xfId="0" applyFont="1" applyFill="1" applyBorder="1" applyAlignment="1">
      <alignment horizontal="center" vertical="center"/>
    </xf>
    <xf numFmtId="0" fontId="53" fillId="2" borderId="12" xfId="0" applyFont="1" applyFill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1" xfId="0" applyFont="1" applyBorder="1" applyAlignment="1">
      <alignment horizontal="center" vertical="center"/>
    </xf>
    <xf numFmtId="0" fontId="52" fillId="0" borderId="12" xfId="0" applyFont="1" applyBorder="1" applyAlignment="1">
      <alignment horizontal="center" vertical="center"/>
    </xf>
    <xf numFmtId="17" fontId="52" fillId="0" borderId="10" xfId="0" applyNumberFormat="1" applyFont="1" applyBorder="1" applyAlignment="1">
      <alignment horizontal="center" vertical="center"/>
    </xf>
    <xf numFmtId="17" fontId="52" fillId="0" borderId="11" xfId="0" applyNumberFormat="1" applyFont="1" applyBorder="1" applyAlignment="1">
      <alignment horizontal="center" vertical="center"/>
    </xf>
    <xf numFmtId="17" fontId="52" fillId="0" borderId="12" xfId="0" applyNumberFormat="1" applyFont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/>
    </xf>
    <xf numFmtId="0" fontId="5" fillId="0" borderId="1" xfId="4" applyFont="1" applyFill="1" applyBorder="1" applyAlignment="1">
      <alignment horizontal="center"/>
    </xf>
    <xf numFmtId="0" fontId="6" fillId="0" borderId="10" xfId="6" applyFont="1" applyBorder="1" applyAlignment="1">
      <alignment horizontal="center" vertical="center"/>
    </xf>
    <xf numFmtId="0" fontId="6" fillId="0" borderId="11" xfId="6" applyFont="1" applyBorder="1" applyAlignment="1">
      <alignment horizontal="center" vertical="center"/>
    </xf>
    <xf numFmtId="0" fontId="6" fillId="0" borderId="12" xfId="6" applyFont="1" applyBorder="1" applyAlignment="1">
      <alignment horizontal="center" vertical="center"/>
    </xf>
    <xf numFmtId="0" fontId="39" fillId="0" borderId="1" xfId="0" applyFont="1" applyBorder="1" applyAlignment="1">
      <alignment horizontal="right"/>
    </xf>
    <xf numFmtId="0" fontId="39" fillId="0" borderId="1" xfId="0" applyFont="1" applyBorder="1" applyAlignment="1">
      <alignment horizontal="center" vertical="center"/>
    </xf>
    <xf numFmtId="0" fontId="6" fillId="0" borderId="1" xfId="6" applyFont="1" applyBorder="1" applyAlignment="1">
      <alignment horizontal="center" vertical="center"/>
    </xf>
    <xf numFmtId="17" fontId="6" fillId="0" borderId="1" xfId="6" applyNumberFormat="1" applyFont="1" applyBorder="1" applyAlignment="1">
      <alignment horizontal="center" vertical="center"/>
    </xf>
    <xf numFmtId="44" fontId="48" fillId="0" borderId="10" xfId="1" applyFont="1" applyBorder="1" applyAlignment="1">
      <alignment horizontal="center" vertical="center"/>
    </xf>
    <xf numFmtId="44" fontId="48" fillId="0" borderId="11" xfId="1" applyFont="1" applyBorder="1" applyAlignment="1">
      <alignment horizontal="center" vertical="center"/>
    </xf>
    <xf numFmtId="44" fontId="48" fillId="0" borderId="12" xfId="1" applyFont="1" applyBorder="1" applyAlignment="1">
      <alignment horizontal="center" vertical="center"/>
    </xf>
    <xf numFmtId="0" fontId="6" fillId="0" borderId="28" xfId="11" applyFont="1" applyBorder="1" applyAlignment="1">
      <alignment horizontal="center" vertical="center"/>
    </xf>
    <xf numFmtId="0" fontId="6" fillId="0" borderId="29" xfId="11" applyFont="1" applyBorder="1" applyAlignment="1">
      <alignment horizontal="center" vertical="center"/>
    </xf>
    <xf numFmtId="0" fontId="33" fillId="0" borderId="51" xfId="11" applyFont="1" applyBorder="1" applyAlignment="1">
      <alignment horizontal="center" vertical="center"/>
    </xf>
    <xf numFmtId="0" fontId="33" fillId="0" borderId="48" xfId="11" applyFont="1" applyBorder="1" applyAlignment="1">
      <alignment horizontal="center" vertical="center"/>
    </xf>
    <xf numFmtId="0" fontId="33" fillId="0" borderId="49" xfId="11" applyFont="1" applyBorder="1" applyAlignment="1">
      <alignment horizontal="center" vertical="center"/>
    </xf>
    <xf numFmtId="0" fontId="33" fillId="0" borderId="29" xfId="11" applyFont="1" applyBorder="1" applyAlignment="1">
      <alignment horizontal="center" vertical="center"/>
    </xf>
    <xf numFmtId="0" fontId="6" fillId="3" borderId="14" xfId="11" applyFont="1" applyFill="1" applyBorder="1" applyAlignment="1">
      <alignment horizontal="center" vertical="center"/>
    </xf>
    <xf numFmtId="0" fontId="6" fillId="3" borderId="15" xfId="11" applyFont="1" applyFill="1" applyBorder="1" applyAlignment="1">
      <alignment horizontal="center" vertical="center"/>
    </xf>
    <xf numFmtId="0" fontId="6" fillId="3" borderId="16" xfId="11" applyFont="1" applyFill="1" applyBorder="1" applyAlignment="1">
      <alignment horizontal="center" vertical="center"/>
    </xf>
    <xf numFmtId="0" fontId="6" fillId="3" borderId="52" xfId="11" applyFont="1" applyFill="1" applyBorder="1" applyAlignment="1">
      <alignment horizontal="center"/>
    </xf>
    <xf numFmtId="0" fontId="6" fillId="3" borderId="34" xfId="11" applyFont="1" applyFill="1" applyBorder="1" applyAlignment="1">
      <alignment horizontal="center"/>
    </xf>
    <xf numFmtId="0" fontId="6" fillId="3" borderId="53" xfId="11" applyFont="1" applyFill="1" applyBorder="1" applyAlignment="1">
      <alignment horizontal="center"/>
    </xf>
    <xf numFmtId="0" fontId="7" fillId="0" borderId="33" xfId="11" applyFont="1" applyFill="1" applyBorder="1" applyAlignment="1">
      <alignment horizontal="center" vertical="center"/>
    </xf>
    <xf numFmtId="0" fontId="7" fillId="0" borderId="24" xfId="11" applyFont="1" applyFill="1" applyBorder="1" applyAlignment="1">
      <alignment horizontal="center" vertical="center"/>
    </xf>
    <xf numFmtId="0" fontId="7" fillId="0" borderId="22" xfId="11" applyFont="1" applyFill="1" applyBorder="1" applyAlignment="1">
      <alignment horizontal="center" vertical="center"/>
    </xf>
    <xf numFmtId="0" fontId="7" fillId="0" borderId="23" xfId="11" applyFont="1" applyFill="1" applyBorder="1" applyAlignment="1">
      <alignment horizontal="center" vertical="center"/>
    </xf>
    <xf numFmtId="0" fontId="6" fillId="0" borderId="26" xfId="11" applyFont="1" applyFill="1" applyBorder="1" applyAlignment="1">
      <alignment horizontal="center" vertical="center"/>
    </xf>
    <xf numFmtId="0" fontId="6" fillId="0" borderId="27" xfId="11" applyFont="1" applyFill="1" applyBorder="1" applyAlignment="1">
      <alignment horizontal="center" vertical="center"/>
    </xf>
    <xf numFmtId="0" fontId="33" fillId="0" borderId="36" xfId="11" applyFont="1" applyBorder="1" applyAlignment="1">
      <alignment horizontal="center" vertical="center"/>
    </xf>
    <xf numFmtId="0" fontId="33" fillId="0" borderId="15" xfId="11" applyFont="1" applyBorder="1" applyAlignment="1">
      <alignment horizontal="center" vertical="center"/>
    </xf>
    <xf numFmtId="0" fontId="33" fillId="0" borderId="50" xfId="11" applyFont="1" applyBorder="1" applyAlignment="1">
      <alignment horizontal="center" vertical="center"/>
    </xf>
    <xf numFmtId="0" fontId="33" fillId="0" borderId="16" xfId="11" applyFont="1" applyBorder="1" applyAlignment="1">
      <alignment horizontal="center" vertical="center"/>
    </xf>
    <xf numFmtId="166" fontId="5" fillId="0" borderId="29" xfId="11" applyNumberFormat="1" applyFont="1" applyFill="1" applyBorder="1" applyAlignment="1">
      <alignment horizontal="center" vertical="center"/>
    </xf>
    <xf numFmtId="168" fontId="5" fillId="0" borderId="29" xfId="11" applyNumberFormat="1" applyFont="1" applyFill="1" applyBorder="1" applyAlignment="1">
      <alignment horizontal="center" vertical="center"/>
    </xf>
    <xf numFmtId="0" fontId="6" fillId="3" borderId="27" xfId="11" applyFont="1" applyFill="1" applyBorder="1" applyAlignment="1">
      <alignment horizontal="center" vertical="center" wrapText="1"/>
    </xf>
    <xf numFmtId="0" fontId="6" fillId="3" borderId="26" xfId="11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center"/>
    </xf>
    <xf numFmtId="17" fontId="10" fillId="0" borderId="1" xfId="6" applyNumberFormat="1" applyFont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1" fontId="9" fillId="2" borderId="1" xfId="4" applyNumberFormat="1" applyFont="1" applyFill="1" applyBorder="1" applyAlignment="1">
      <alignment horizontal="right" vertical="center" wrapText="1"/>
    </xf>
    <xf numFmtId="1" fontId="9" fillId="0" borderId="1" xfId="4" applyNumberFormat="1" applyFont="1" applyFill="1" applyBorder="1" applyAlignment="1">
      <alignment horizontal="right" vertical="center"/>
    </xf>
    <xf numFmtId="1" fontId="9" fillId="0" borderId="1" xfId="6" applyNumberFormat="1" applyFont="1" applyFill="1" applyBorder="1" applyAlignment="1">
      <alignment horizontal="right" vertical="center"/>
    </xf>
    <xf numFmtId="0" fontId="9" fillId="5" borderId="1" xfId="4" applyFont="1" applyFill="1" applyBorder="1" applyAlignment="1">
      <alignment horizontal="center"/>
    </xf>
    <xf numFmtId="1" fontId="9" fillId="0" borderId="1" xfId="4" applyNumberFormat="1" applyFont="1" applyFill="1" applyBorder="1" applyAlignment="1">
      <alignment horizontal="right" vertical="center" wrapText="1"/>
    </xf>
    <xf numFmtId="0" fontId="9" fillId="5" borderId="1" xfId="18" applyFont="1" applyFill="1" applyBorder="1" applyAlignment="1">
      <alignment horizontal="center"/>
    </xf>
    <xf numFmtId="0" fontId="7" fillId="0" borderId="1" xfId="18" applyFont="1" applyFill="1" applyBorder="1" applyAlignment="1">
      <alignment horizontal="center" vertical="center"/>
    </xf>
    <xf numFmtId="0" fontId="10" fillId="0" borderId="1" xfId="4" applyFont="1" applyBorder="1" applyAlignment="1">
      <alignment horizontal="center"/>
    </xf>
    <xf numFmtId="0" fontId="46" fillId="3" borderId="2" xfId="0" applyFont="1" applyFill="1" applyBorder="1" applyAlignment="1">
      <alignment horizontal="left" vertical="top" wrapText="1"/>
    </xf>
    <xf numFmtId="0" fontId="46" fillId="3" borderId="3" xfId="0" applyFont="1" applyFill="1" applyBorder="1" applyAlignment="1">
      <alignment horizontal="left" vertical="top" wrapText="1"/>
    </xf>
    <xf numFmtId="0" fontId="46" fillId="3" borderId="4" xfId="0" applyFont="1" applyFill="1" applyBorder="1" applyAlignment="1">
      <alignment horizontal="left" vertical="top" wrapText="1"/>
    </xf>
    <xf numFmtId="0" fontId="15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16" fillId="0" borderId="5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2" fillId="8" borderId="2" xfId="0" applyFont="1" applyFill="1" applyBorder="1" applyAlignment="1">
      <alignment horizontal="center"/>
    </xf>
    <xf numFmtId="0" fontId="12" fillId="8" borderId="3" xfId="0" applyFont="1" applyFill="1" applyBorder="1" applyAlignment="1">
      <alignment horizontal="center"/>
    </xf>
    <xf numFmtId="0" fontId="12" fillId="8" borderId="4" xfId="0" applyFont="1" applyFill="1" applyBorder="1" applyAlignment="1">
      <alignment horizontal="center"/>
    </xf>
    <xf numFmtId="1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5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6" fillId="0" borderId="0" xfId="0" applyFont="1" applyAlignment="1">
      <alignment horizontal="center" vertical="top"/>
    </xf>
    <xf numFmtId="0" fontId="12" fillId="0" borderId="30" xfId="0" applyFont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7" borderId="12" xfId="0" applyFont="1" applyFill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0" fontId="16" fillId="0" borderId="1" xfId="3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1" fontId="4" fillId="0" borderId="7" xfId="0" applyNumberFormat="1" applyFont="1" applyFill="1" applyBorder="1" applyAlignment="1">
      <alignment horizontal="center"/>
    </xf>
    <xf numFmtId="1" fontId="4" fillId="0" borderId="8" xfId="0" applyNumberFormat="1" applyFont="1" applyFill="1" applyBorder="1" applyAlignment="1">
      <alignment horizontal="center"/>
    </xf>
    <xf numFmtId="1" fontId="4" fillId="0" borderId="9" xfId="0" applyNumberFormat="1" applyFont="1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0" fontId="12" fillId="7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 wrapText="1"/>
    </xf>
    <xf numFmtId="1" fontId="4" fillId="0" borderId="9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8" fontId="40" fillId="0" borderId="0" xfId="0" applyNumberFormat="1" applyFont="1" applyAlignment="1">
      <alignment horizontal="center"/>
    </xf>
    <xf numFmtId="168" fontId="40" fillId="0" borderId="0" xfId="0" applyNumberFormat="1" applyFont="1" applyAlignment="1">
      <alignment horizontal="right"/>
    </xf>
    <xf numFmtId="168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right"/>
    </xf>
    <xf numFmtId="168" fontId="0" fillId="0" borderId="8" xfId="0" applyNumberFormat="1" applyBorder="1" applyAlignment="1">
      <alignment horizontal="right"/>
    </xf>
    <xf numFmtId="170" fontId="0" fillId="0" borderId="8" xfId="0" applyNumberFormat="1" applyBorder="1" applyAlignment="1">
      <alignment horizontal="right"/>
    </xf>
    <xf numFmtId="0" fontId="0" fillId="0" borderId="8" xfId="0" applyBorder="1" applyAlignment="1">
      <alignment horizontal="right"/>
    </xf>
    <xf numFmtId="168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170" fontId="40" fillId="0" borderId="0" xfId="0" applyNumberFormat="1" applyFont="1" applyAlignment="1">
      <alignment horizontal="right"/>
    </xf>
    <xf numFmtId="0" fontId="40" fillId="0" borderId="0" xfId="0" applyFont="1" applyAlignment="1">
      <alignment horizontal="right"/>
    </xf>
    <xf numFmtId="170" fontId="40" fillId="6" borderId="0" xfId="0" applyNumberFormat="1" applyFont="1" applyFill="1" applyAlignment="1">
      <alignment horizontal="right"/>
    </xf>
    <xf numFmtId="0" fontId="40" fillId="6" borderId="0" xfId="0" applyFont="1" applyFill="1" applyAlignment="1">
      <alignment horizontal="right"/>
    </xf>
    <xf numFmtId="168" fontId="40" fillId="0" borderId="3" xfId="0" applyNumberFormat="1" applyFont="1" applyBorder="1" applyAlignment="1">
      <alignment horizontal="center"/>
    </xf>
    <xf numFmtId="168" fontId="40" fillId="0" borderId="0" xfId="0" applyNumberFormat="1" applyFont="1" applyBorder="1" applyAlignment="1">
      <alignment horizontal="center"/>
    </xf>
    <xf numFmtId="168" fontId="40" fillId="6" borderId="0" xfId="0" applyNumberFormat="1" applyFont="1" applyFill="1" applyAlignment="1">
      <alignment horizontal="center"/>
    </xf>
    <xf numFmtId="170" fontId="40" fillId="0" borderId="0" xfId="0" applyNumberFormat="1" applyFont="1" applyBorder="1" applyAlignment="1">
      <alignment horizontal="center"/>
    </xf>
    <xf numFmtId="168" fontId="0" fillId="0" borderId="0" xfId="0" applyNumberFormat="1" applyBorder="1" applyAlignment="1">
      <alignment horizontal="center"/>
    </xf>
    <xf numFmtId="170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17" fontId="26" fillId="2" borderId="25" xfId="0" applyNumberFormat="1" applyFont="1" applyFill="1" applyBorder="1" applyAlignment="1">
      <alignment horizontal="center"/>
    </xf>
    <xf numFmtId="17" fontId="26" fillId="2" borderId="59" xfId="0" applyNumberFormat="1" applyFont="1" applyFill="1" applyBorder="1" applyAlignment="1">
      <alignment horizontal="center"/>
    </xf>
    <xf numFmtId="17" fontId="26" fillId="2" borderId="30" xfId="0" applyNumberFormat="1" applyFont="1" applyFill="1" applyBorder="1" applyAlignment="1">
      <alignment horizontal="center"/>
    </xf>
    <xf numFmtId="17" fontId="47" fillId="2" borderId="10" xfId="0" applyNumberFormat="1" applyFont="1" applyFill="1" applyBorder="1" applyAlignment="1">
      <alignment horizontal="left" vertical="center"/>
    </xf>
    <xf numFmtId="17" fontId="47" fillId="2" borderId="11" xfId="0" applyNumberFormat="1" applyFont="1" applyFill="1" applyBorder="1" applyAlignment="1">
      <alignment horizontal="left" vertical="center"/>
    </xf>
    <xf numFmtId="17" fontId="47" fillId="2" borderId="12" xfId="0" applyNumberFormat="1" applyFont="1" applyFill="1" applyBorder="1" applyAlignment="1">
      <alignment horizontal="left" vertical="center"/>
    </xf>
    <xf numFmtId="0" fontId="47" fillId="0" borderId="10" xfId="8" applyFont="1" applyBorder="1" applyAlignment="1">
      <alignment horizontal="left"/>
    </xf>
    <xf numFmtId="0" fontId="47" fillId="0" borderId="11" xfId="8" applyFont="1" applyBorder="1" applyAlignment="1">
      <alignment horizontal="left"/>
    </xf>
    <xf numFmtId="0" fontId="47" fillId="0" borderId="12" xfId="8" applyFont="1" applyBorder="1" applyAlignment="1">
      <alignment horizontal="left"/>
    </xf>
    <xf numFmtId="49" fontId="31" fillId="5" borderId="67" xfId="4" applyNumberFormat="1" applyFont="1" applyFill="1" applyBorder="1" applyAlignment="1">
      <alignment horizontal="center" vertical="center"/>
    </xf>
    <xf numFmtId="49" fontId="31" fillId="5" borderId="68" xfId="4" applyNumberFormat="1" applyFont="1" applyFill="1" applyBorder="1" applyAlignment="1">
      <alignment horizontal="center" vertical="center"/>
    </xf>
    <xf numFmtId="0" fontId="0" fillId="2" borderId="69" xfId="0" applyFont="1" applyFill="1" applyBorder="1" applyAlignment="1">
      <alignment horizontal="center" vertical="center"/>
    </xf>
    <xf numFmtId="0" fontId="0" fillId="2" borderId="64" xfId="0" applyFont="1" applyFill="1" applyBorder="1" applyAlignment="1">
      <alignment horizontal="center" vertical="center"/>
    </xf>
    <xf numFmtId="0" fontId="0" fillId="2" borderId="70" xfId="0" applyFont="1" applyFill="1" applyBorder="1" applyAlignment="1">
      <alignment horizontal="center" vertical="center"/>
    </xf>
    <xf numFmtId="0" fontId="0" fillId="2" borderId="65" xfId="0" applyFont="1" applyFill="1" applyBorder="1" applyAlignment="1">
      <alignment horizontal="center" vertical="center"/>
    </xf>
    <xf numFmtId="0" fontId="0" fillId="2" borderId="71" xfId="0" applyFont="1" applyFill="1" applyBorder="1" applyAlignment="1">
      <alignment horizontal="center" vertical="center"/>
    </xf>
    <xf numFmtId="0" fontId="0" fillId="2" borderId="66" xfId="0" applyFont="1" applyFill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 wrapText="1"/>
    </xf>
    <xf numFmtId="0" fontId="27" fillId="2" borderId="11" xfId="0" applyFont="1" applyFill="1" applyBorder="1" applyAlignment="1">
      <alignment horizontal="center" vertical="center" wrapText="1"/>
    </xf>
    <xf numFmtId="0" fontId="27" fillId="2" borderId="12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/>
    </xf>
    <xf numFmtId="0" fontId="49" fillId="0" borderId="75" xfId="0" applyFont="1" applyFill="1" applyBorder="1" applyAlignment="1">
      <alignment horizontal="left" vertical="center" wrapText="1"/>
    </xf>
    <xf numFmtId="4" fontId="44" fillId="0" borderId="1" xfId="0" applyNumberFormat="1" applyFont="1" applyFill="1" applyBorder="1" applyAlignment="1">
      <alignment horizontal="center" vertical="center"/>
    </xf>
    <xf numFmtId="2" fontId="44" fillId="0" borderId="1" xfId="0" applyNumberFormat="1" applyFont="1" applyFill="1" applyBorder="1" applyAlignment="1">
      <alignment vertical="center"/>
    </xf>
    <xf numFmtId="10" fontId="44" fillId="0" borderId="1" xfId="3" applyNumberFormat="1" applyFont="1" applyFill="1" applyBorder="1" applyAlignment="1">
      <alignment horizontal="center" vertical="center"/>
    </xf>
    <xf numFmtId="167" fontId="44" fillId="0" borderId="1" xfId="1" applyNumberFormat="1" applyFont="1" applyFill="1" applyBorder="1" applyAlignment="1">
      <alignment horizontal="center" vertical="center"/>
    </xf>
    <xf numFmtId="2" fontId="44" fillId="0" borderId="1" xfId="2" applyNumberFormat="1" applyFont="1" applyFill="1" applyBorder="1" applyAlignment="1">
      <alignment horizontal="center" vertical="center"/>
    </xf>
    <xf numFmtId="0" fontId="44" fillId="0" borderId="76" xfId="0" applyFont="1" applyFill="1" applyBorder="1" applyAlignment="1">
      <alignment horizontal="left" vertical="center" wrapText="1"/>
    </xf>
    <xf numFmtId="2" fontId="44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 wrapText="1"/>
    </xf>
    <xf numFmtId="0" fontId="44" fillId="0" borderId="77" xfId="0" applyFont="1" applyFill="1" applyBorder="1" applyAlignment="1">
      <alignment horizontal="left" vertical="center" wrapText="1"/>
    </xf>
    <xf numFmtId="0" fontId="44" fillId="0" borderId="25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left" vertical="center" wrapText="1"/>
    </xf>
    <xf numFmtId="0" fontId="49" fillId="0" borderId="76" xfId="0" applyFont="1" applyFill="1" applyBorder="1" applyAlignment="1">
      <alignment horizontal="left" vertical="center" wrapText="1"/>
    </xf>
    <xf numFmtId="0" fontId="49" fillId="0" borderId="77" xfId="0" applyFont="1" applyFill="1" applyBorder="1" applyAlignment="1">
      <alignment horizontal="left" vertical="center" wrapText="1"/>
    </xf>
    <xf numFmtId="4" fontId="44" fillId="0" borderId="1" xfId="0" applyNumberFormat="1" applyFont="1" applyFill="1" applyBorder="1" applyAlignment="1">
      <alignment horizontal="center" vertical="center" wrapText="1"/>
    </xf>
    <xf numFmtId="0" fontId="44" fillId="0" borderId="78" xfId="0" applyFont="1" applyFill="1" applyBorder="1" applyAlignment="1">
      <alignment horizontal="left" vertical="center" wrapText="1"/>
    </xf>
    <xf numFmtId="0" fontId="49" fillId="0" borderId="79" xfId="0" applyFont="1" applyFill="1" applyBorder="1" applyAlignment="1">
      <alignment horizontal="left" vertical="center" wrapText="1"/>
    </xf>
    <xf numFmtId="0" fontId="49" fillId="0" borderId="80" xfId="0" applyFont="1" applyFill="1" applyBorder="1" applyAlignment="1">
      <alignment horizontal="left" vertical="center" wrapText="1"/>
    </xf>
    <xf numFmtId="44" fontId="51" fillId="0" borderId="1" xfId="1" applyFont="1" applyFill="1" applyBorder="1" applyAlignment="1">
      <alignment horizontal="center" vertical="center"/>
    </xf>
    <xf numFmtId="0" fontId="45" fillId="0" borderId="0" xfId="0" applyFont="1" applyBorder="1"/>
    <xf numFmtId="0" fontId="45" fillId="4" borderId="1" xfId="0" applyFont="1" applyFill="1" applyBorder="1" applyAlignment="1" applyProtection="1">
      <alignment horizontal="center" vertical="center"/>
      <protection locked="0"/>
    </xf>
    <xf numFmtId="167" fontId="43" fillId="4" borderId="1" xfId="1" applyNumberFormat="1" applyFont="1" applyFill="1" applyBorder="1" applyAlignment="1" applyProtection="1">
      <alignment horizontal="center" vertical="center"/>
      <protection locked="0"/>
    </xf>
    <xf numFmtId="167" fontId="43" fillId="3" borderId="1" xfId="1" applyNumberFormat="1" applyFont="1" applyFill="1" applyBorder="1" applyAlignment="1" applyProtection="1">
      <alignment vertical="center"/>
      <protection locked="0"/>
    </xf>
    <xf numFmtId="167" fontId="43" fillId="3" borderId="1" xfId="1" applyNumberFormat="1" applyFont="1" applyFill="1" applyBorder="1" applyAlignment="1" applyProtection="1">
      <alignment horizontal="center" vertical="center"/>
      <protection locked="0"/>
    </xf>
    <xf numFmtId="167" fontId="43" fillId="3" borderId="1" xfId="1" applyNumberFormat="1" applyFont="1" applyFill="1" applyBorder="1" applyAlignment="1" applyProtection="1">
      <alignment horizontal="left" vertical="center"/>
      <protection locked="0"/>
    </xf>
    <xf numFmtId="167" fontId="44" fillId="4" borderId="1" xfId="0" applyNumberFormat="1" applyFont="1" applyFill="1" applyBorder="1" applyAlignment="1" applyProtection="1">
      <alignment horizontal="center" vertical="center" wrapText="1"/>
      <protection locked="0"/>
    </xf>
    <xf numFmtId="167" fontId="44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24">
    <cellStyle name="Hiperlink 2" xfId="8"/>
    <cellStyle name="Moeda" xfId="1" builtinId="4"/>
    <cellStyle name="Moeda 2" xfId="14"/>
    <cellStyle name="Moeda 3" xfId="15"/>
    <cellStyle name="Moeda 4" xfId="22"/>
    <cellStyle name="Normal" xfId="0" builtinId="0"/>
    <cellStyle name="Normal 2" xfId="4"/>
    <cellStyle name="Normal 3" xfId="6"/>
    <cellStyle name="Normal 3 2" xfId="7"/>
    <cellStyle name="Normal 3 2 2" xfId="18"/>
    <cellStyle name="Normal 3 3" xfId="10"/>
    <cellStyle name="Normal 4" xfId="11"/>
    <cellStyle name="Normal 4 2" xfId="17"/>
    <cellStyle name="Normal 5" xfId="19"/>
    <cellStyle name="Porcentagem" xfId="3" builtinId="5"/>
    <cellStyle name="Porcentagem 2" xfId="13"/>
    <cellStyle name="Porcentagem 3" xfId="21"/>
    <cellStyle name="Separador de milhares 2" xfId="5"/>
    <cellStyle name="Vírgula" xfId="2" builtinId="3"/>
    <cellStyle name="Vírgula 2" xfId="12"/>
    <cellStyle name="Vírgula 3" xfId="16"/>
    <cellStyle name="Vírgula 3 2" xfId="9"/>
    <cellStyle name="Vírgula 4" xfId="20"/>
    <cellStyle name="Vírgula 5" xfId="23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wmf"/><Relationship Id="rId1" Type="http://schemas.openxmlformats.org/officeDocument/2006/relationships/image" Target="../media/image3.wmf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wmf"/><Relationship Id="rId1" Type="http://schemas.openxmlformats.org/officeDocument/2006/relationships/image" Target="../media/image3.w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wmf"/><Relationship Id="rId1" Type="http://schemas.openxmlformats.org/officeDocument/2006/relationships/image" Target="../media/image3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</xdr:colOff>
      <xdr:row>0</xdr:row>
      <xdr:rowOff>40821</xdr:rowOff>
    </xdr:from>
    <xdr:to>
      <xdr:col>0</xdr:col>
      <xdr:colOff>979138</xdr:colOff>
      <xdr:row>2</xdr:row>
      <xdr:rowOff>74470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" y="40821"/>
          <a:ext cx="938317" cy="861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33618</xdr:colOff>
      <xdr:row>0</xdr:row>
      <xdr:rowOff>219075</xdr:rowOff>
    </xdr:from>
    <xdr:to>
      <xdr:col>1</xdr:col>
      <xdr:colOff>971935</xdr:colOff>
      <xdr:row>3</xdr:row>
      <xdr:rowOff>59391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736" y="219075"/>
          <a:ext cx="938317" cy="86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26378</xdr:colOff>
      <xdr:row>0</xdr:row>
      <xdr:rowOff>35902</xdr:rowOff>
    </xdr:from>
    <xdr:to>
      <xdr:col>0</xdr:col>
      <xdr:colOff>770520</xdr:colOff>
      <xdr:row>2</xdr:row>
      <xdr:rowOff>139212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78" y="35902"/>
          <a:ext cx="744142" cy="6821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0</xdr:rowOff>
    </xdr:from>
    <xdr:to>
      <xdr:col>0</xdr:col>
      <xdr:colOff>0</xdr:colOff>
      <xdr:row>42</xdr:row>
      <xdr:rowOff>19050</xdr:rowOff>
    </xdr:to>
    <xdr:pic>
      <xdr:nvPicPr>
        <xdr:cNvPr id="2" name="Picture 4" descr="epa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96025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38</xdr:row>
      <xdr:rowOff>66675</xdr:rowOff>
    </xdr:from>
    <xdr:to>
      <xdr:col>0</xdr:col>
      <xdr:colOff>0</xdr:colOff>
      <xdr:row>42</xdr:row>
      <xdr:rowOff>95250</xdr:rowOff>
    </xdr:to>
    <xdr:pic>
      <xdr:nvPicPr>
        <xdr:cNvPr id="3" name="Picture 5" descr="epa3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91250"/>
          <a:ext cx="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1</xdr:row>
      <xdr:rowOff>28575</xdr:rowOff>
    </xdr:from>
    <xdr:to>
      <xdr:col>1</xdr:col>
      <xdr:colOff>342900</xdr:colOff>
      <xdr:row>2</xdr:row>
      <xdr:rowOff>304800</xdr:rowOff>
    </xdr:to>
    <xdr:pic>
      <xdr:nvPicPr>
        <xdr:cNvPr id="4" name="Picture 30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6675"/>
          <a:ext cx="7143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428625</xdr:colOff>
      <xdr:row>14</xdr:row>
      <xdr:rowOff>28723</xdr:rowOff>
    </xdr:from>
    <xdr:to>
      <xdr:col>10</xdr:col>
      <xdr:colOff>304800</xdr:colOff>
      <xdr:row>36</xdr:row>
      <xdr:rowOff>142874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2248048"/>
          <a:ext cx="4829175" cy="3676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19049</xdr:colOff>
      <xdr:row>44</xdr:row>
      <xdr:rowOff>46228</xdr:rowOff>
    </xdr:from>
    <xdr:to>
      <xdr:col>10</xdr:col>
      <xdr:colOff>285750</xdr:colOff>
      <xdr:row>66</xdr:row>
      <xdr:rowOff>133349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299" y="7094728"/>
          <a:ext cx="4781551" cy="3649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72</xdr:row>
      <xdr:rowOff>0</xdr:rowOff>
    </xdr:from>
    <xdr:to>
      <xdr:col>0</xdr:col>
      <xdr:colOff>0</xdr:colOff>
      <xdr:row>72</xdr:row>
      <xdr:rowOff>0</xdr:rowOff>
    </xdr:to>
    <xdr:pic>
      <xdr:nvPicPr>
        <xdr:cNvPr id="2" name="Picture 4" descr="epa4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229850"/>
          <a:ext cx="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0</xdr:colOff>
      <xdr:row>72</xdr:row>
      <xdr:rowOff>0</xdr:rowOff>
    </xdr:to>
    <xdr:pic>
      <xdr:nvPicPr>
        <xdr:cNvPr id="3" name="Picture 5" descr="epa3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0134600"/>
          <a:ext cx="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146540</xdr:colOff>
      <xdr:row>0</xdr:row>
      <xdr:rowOff>21981</xdr:rowOff>
    </xdr:from>
    <xdr:to>
      <xdr:col>5</xdr:col>
      <xdr:colOff>139213</xdr:colOff>
      <xdr:row>2</xdr:row>
      <xdr:rowOff>148343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40" y="21981"/>
          <a:ext cx="827942" cy="7564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pic>
      <xdr:nvPicPr>
        <xdr:cNvPr id="2" name="Picture 4" descr="epa4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438900"/>
          <a:ext cx="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pic>
      <xdr:nvPicPr>
        <xdr:cNvPr id="3" name="Picture 5" descr="epa3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6343650"/>
          <a:ext cx="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14653</xdr:colOff>
      <xdr:row>0</xdr:row>
      <xdr:rowOff>36634</xdr:rowOff>
    </xdr:from>
    <xdr:to>
      <xdr:col>2</xdr:col>
      <xdr:colOff>231257</xdr:colOff>
      <xdr:row>2</xdr:row>
      <xdr:rowOff>139944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36634"/>
          <a:ext cx="744142" cy="6821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38100</xdr:rowOff>
    </xdr:from>
    <xdr:to>
      <xdr:col>0</xdr:col>
      <xdr:colOff>999392</xdr:colOff>
      <xdr:row>2</xdr:row>
      <xdr:rowOff>159301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38100"/>
          <a:ext cx="827942" cy="759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66676</xdr:colOff>
      <xdr:row>0</xdr:row>
      <xdr:rowOff>114300</xdr:rowOff>
    </xdr:from>
    <xdr:to>
      <xdr:col>4</xdr:col>
      <xdr:colOff>1609725</xdr:colOff>
      <xdr:row>2</xdr:row>
      <xdr:rowOff>62576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8351" y="114300"/>
          <a:ext cx="1543049" cy="776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47624</xdr:rowOff>
    </xdr:from>
    <xdr:to>
      <xdr:col>0</xdr:col>
      <xdr:colOff>1049308</xdr:colOff>
      <xdr:row>2</xdr:row>
      <xdr:rowOff>142874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47624"/>
          <a:ext cx="1011209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99\e\Users\usuario\Desktop\02%20-%20ALTERA&#199;&#213;ES%20CAIXA_180219\PROJETO%20II%20-%20VILA%20CONCEI&#199;&#195;O\PLANILHA%20PROJETO%20II_0102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UA%20FRANCISCO%20CONSTANTINO%20DE%20OLIVEIRA%20-%20PAVIMENTA&#199;&#195;O\PLANILHA%20OR&#199;AMENTARIA_MR%20466%20V1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ARIA"/>
      <sheetName val="Cronograma"/>
      <sheetName val="MEMORIAL DE CAL - PRAÇA SRA"/>
      <sheetName val="MEMORIAL DE CAL - PR TRECHO A"/>
      <sheetName val="MEMORIAL DE CAL - PR TRECHO B"/>
      <sheetName val="BDI"/>
      <sheetName val="PESQUISA"/>
      <sheetName val="COMPOSIÇÕES"/>
    </sheetNames>
    <sheetDataSet>
      <sheetData sheetId="0"/>
      <sheetData sheetId="1"/>
      <sheetData sheetId="2"/>
      <sheetData sheetId="3"/>
      <sheetData sheetId="4"/>
      <sheetData sheetId="5">
        <row r="17">
          <cell r="Q17">
            <v>0.03</v>
          </cell>
          <cell r="R17">
            <v>3.7999999999999999E-2</v>
          </cell>
          <cell r="S17">
            <v>3.4299999999999997E-2</v>
          </cell>
          <cell r="T17">
            <v>5.2900000000000003E-2</v>
          </cell>
          <cell r="U17">
            <v>0.04</v>
          </cell>
          <cell r="V17">
            <v>1.4999999999999999E-2</v>
          </cell>
        </row>
        <row r="18">
          <cell r="Q18">
            <v>8.0000000000000002E-3</v>
          </cell>
          <cell r="R18">
            <v>3.2000000000000002E-3</v>
          </cell>
          <cell r="S18">
            <v>2.8E-3</v>
          </cell>
          <cell r="T18">
            <v>2.5000000000000001E-3</v>
          </cell>
          <cell r="U18">
            <v>8.0999999999999996E-3</v>
          </cell>
          <cell r="V18">
            <v>3.0000000000000001E-3</v>
          </cell>
        </row>
        <row r="19">
          <cell r="Q19">
            <v>9.7000000000000003E-3</v>
          </cell>
          <cell r="R19">
            <v>5.0000000000000001E-3</v>
          </cell>
          <cell r="S19">
            <v>0.01</v>
          </cell>
          <cell r="T19">
            <v>0.01</v>
          </cell>
          <cell r="U19">
            <v>1.46E-2</v>
          </cell>
          <cell r="V19">
            <v>5.5999999999999999E-3</v>
          </cell>
        </row>
        <row r="20">
          <cell r="Q20">
            <v>5.8999999999999999E-3</v>
          </cell>
          <cell r="R20">
            <v>1.0200000000000001E-2</v>
          </cell>
          <cell r="S20">
            <v>9.4000000000000004E-3</v>
          </cell>
          <cell r="T20">
            <v>1.01E-2</v>
          </cell>
          <cell r="U20">
            <v>9.4000000000000004E-3</v>
          </cell>
          <cell r="V20">
            <v>8.5000000000000006E-3</v>
          </cell>
        </row>
        <row r="21">
          <cell r="Q21">
            <v>6.1600000000000002E-2</v>
          </cell>
          <cell r="R21">
            <v>6.6400000000000001E-2</v>
          </cell>
          <cell r="S21">
            <v>6.7400000000000002E-2</v>
          </cell>
          <cell r="T21">
            <v>0.08</v>
          </cell>
          <cell r="U21">
            <v>7.1400000000000005E-2</v>
          </cell>
          <cell r="V21">
            <v>3.5000000000000003E-2</v>
          </cell>
        </row>
        <row r="23">
          <cell r="Q23">
            <v>5.5E-2</v>
          </cell>
          <cell r="R23">
            <v>4.6699999999999998E-2</v>
          </cell>
          <cell r="S23">
            <v>6.7100000000000007E-2</v>
          </cell>
          <cell r="T23">
            <v>7.9299999999999995E-2</v>
          </cell>
          <cell r="U23">
            <v>7.85E-2</v>
          </cell>
          <cell r="V23">
            <v>4.4900000000000002E-2</v>
          </cell>
        </row>
        <row r="24">
          <cell r="Q24">
            <v>0.01</v>
          </cell>
          <cell r="R24">
            <v>7.4000000000000003E-3</v>
          </cell>
          <cell r="S24">
            <v>7.4999999999999997E-3</v>
          </cell>
          <cell r="T24">
            <v>5.5999999999999999E-3</v>
          </cell>
          <cell r="U24">
            <v>1.9900000000000001E-2</v>
          </cell>
          <cell r="V24">
            <v>8.2000000000000007E-3</v>
          </cell>
        </row>
        <row r="25">
          <cell r="Q25">
            <v>1.2699999999999999E-2</v>
          </cell>
          <cell r="R25">
            <v>9.7000000000000003E-3</v>
          </cell>
          <cell r="S25">
            <v>1.7399999999999999E-2</v>
          </cell>
          <cell r="T25">
            <v>1.9699999999999999E-2</v>
          </cell>
          <cell r="U25">
            <v>3.1600000000000003E-2</v>
          </cell>
          <cell r="V25">
            <v>8.8999999999999999E-3</v>
          </cell>
        </row>
        <row r="26">
          <cell r="Q26">
            <v>1.3899999999999999E-2</v>
          </cell>
          <cell r="R26">
            <v>1.21E-2</v>
          </cell>
          <cell r="S26">
            <v>1.17E-2</v>
          </cell>
          <cell r="T26">
            <v>1.11E-2</v>
          </cell>
          <cell r="U26">
            <v>1.3299999999999999E-2</v>
          </cell>
          <cell r="V26">
            <v>1.11E-2</v>
          </cell>
        </row>
        <row r="27">
          <cell r="Q27">
            <v>8.9599999999999999E-2</v>
          </cell>
          <cell r="R27">
            <v>8.6900000000000005E-2</v>
          </cell>
          <cell r="S27">
            <v>9.4E-2</v>
          </cell>
          <cell r="T27">
            <v>9.5100000000000004E-2</v>
          </cell>
          <cell r="U27">
            <v>0.1043</v>
          </cell>
          <cell r="V27">
            <v>6.2199999999999998E-2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MEMORIAL CÁLCULO"/>
      <sheetName val="INDICE DE REAJUSTE "/>
      <sheetName val="AQUISIÇÃO MATERIAL BETUMINOSO"/>
      <sheetName val="Cronograma"/>
      <sheetName val="BDI"/>
      <sheetName val="COMPOSIÇÕES"/>
      <sheetName val="PESQUI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anp.gov.br/precos-e-defesa-da-concorrencia/precos/precos-de-distribuica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5"/>
  <sheetViews>
    <sheetView showGridLines="0" tabSelected="1" zoomScale="87" zoomScaleNormal="87" zoomScaleSheetLayoutView="85" workbookViewId="0">
      <pane ySplit="7" topLeftCell="A8" activePane="bottomLeft" state="frozen"/>
      <selection activeCell="C26" sqref="C26"/>
      <selection pane="bottomLeft" activeCell="G9" sqref="G9"/>
    </sheetView>
  </sheetViews>
  <sheetFormatPr defaultRowHeight="15"/>
  <cols>
    <col min="1" max="1" width="15.140625" customWidth="1"/>
    <col min="2" max="2" width="112" customWidth="1"/>
    <col min="3" max="3" width="12.42578125" customWidth="1"/>
    <col min="4" max="4" width="12.5703125" bestFit="1" customWidth="1"/>
    <col min="5" max="5" width="18.140625" hidden="1" customWidth="1"/>
    <col min="6" max="6" width="18.140625" style="174" hidden="1" customWidth="1"/>
    <col min="7" max="7" width="16.5703125" customWidth="1"/>
    <col min="8" max="8" width="14.7109375" customWidth="1"/>
    <col min="9" max="9" width="16.7109375" bestFit="1" customWidth="1"/>
    <col min="10" max="10" width="17.28515625" bestFit="1" customWidth="1"/>
    <col min="11" max="11" width="15.85546875" style="1" bestFit="1" customWidth="1"/>
    <col min="12" max="12" width="13.140625" style="1" customWidth="1"/>
    <col min="13" max="13" width="14.42578125" style="67" bestFit="1" customWidth="1"/>
    <col min="14" max="14" width="15.5703125" style="67" customWidth="1"/>
    <col min="15" max="15" width="9.140625" style="10"/>
    <col min="16" max="16" width="11.5703125" bestFit="1" customWidth="1"/>
    <col min="17" max="18" width="9.28515625" bestFit="1" customWidth="1"/>
    <col min="19" max="19" width="8.7109375" bestFit="1" customWidth="1"/>
    <col min="20" max="20" width="12.28515625" bestFit="1" customWidth="1"/>
    <col min="21" max="21" width="12.7109375" bestFit="1" customWidth="1"/>
    <col min="22" max="22" width="16.42578125" bestFit="1" customWidth="1"/>
  </cols>
  <sheetData>
    <row r="1" spans="1:18" ht="39.75" customHeight="1">
      <c r="A1" s="436"/>
      <c r="B1" s="438" t="s">
        <v>385</v>
      </c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58"/>
      <c r="N1" s="58"/>
    </row>
    <row r="2" spans="1:18" s="282" customFormat="1" ht="24.95" customHeight="1">
      <c r="A2" s="436"/>
      <c r="B2" s="645" t="s">
        <v>386</v>
      </c>
      <c r="C2" s="428" t="str">
        <f>PAVIM.!$I$2</f>
        <v>BAIRRO: VILA BEATRIZ</v>
      </c>
      <c r="D2" s="428"/>
      <c r="E2" s="428"/>
      <c r="F2" s="428"/>
      <c r="G2" s="428"/>
      <c r="H2" s="429" t="str">
        <f>PAVIM.!$K$2</f>
        <v>MUNICIPIO: MARACAJÁ</v>
      </c>
      <c r="I2" s="429"/>
      <c r="J2" s="428" t="str">
        <f>PAVIM.!$M$2</f>
        <v>ESTADO: SANTA CATARINA</v>
      </c>
      <c r="K2" s="428"/>
      <c r="L2" s="428"/>
      <c r="M2" s="298"/>
      <c r="N2" s="298"/>
      <c r="O2" s="299"/>
    </row>
    <row r="3" spans="1:18" s="282" customFormat="1" ht="24.95" customHeight="1">
      <c r="A3" s="436"/>
      <c r="B3" s="428" t="s">
        <v>366</v>
      </c>
      <c r="C3" s="428"/>
      <c r="D3" s="428"/>
      <c r="E3" s="428"/>
      <c r="F3" s="428"/>
      <c r="G3" s="428"/>
      <c r="H3" s="428"/>
      <c r="I3" s="428"/>
      <c r="J3" s="432" t="str">
        <f ca="1">PAVIM.!$M$3</f>
        <v>DATA: 28/04/26</v>
      </c>
      <c r="K3" s="432"/>
      <c r="L3" s="432"/>
      <c r="M3" s="298"/>
      <c r="N3" s="298"/>
      <c r="O3" s="299"/>
    </row>
    <row r="4" spans="1:18" ht="20.100000000000001" customHeight="1">
      <c r="A4" s="207"/>
      <c r="B4" s="204"/>
      <c r="C4" s="204"/>
      <c r="D4" s="437"/>
      <c r="E4" s="437"/>
      <c r="F4" s="437"/>
      <c r="G4" s="437"/>
      <c r="H4" s="204"/>
      <c r="I4" s="204"/>
      <c r="J4" s="205"/>
      <c r="K4" s="206"/>
      <c r="L4" s="208"/>
      <c r="M4" s="59"/>
      <c r="N4" s="59"/>
    </row>
    <row r="5" spans="1:18" ht="15.75">
      <c r="A5" s="433" t="s">
        <v>311</v>
      </c>
      <c r="B5" s="431" t="s">
        <v>0</v>
      </c>
      <c r="C5" s="431" t="s">
        <v>1</v>
      </c>
      <c r="D5" s="431" t="s">
        <v>2</v>
      </c>
      <c r="E5" s="435" t="s">
        <v>230</v>
      </c>
      <c r="F5" s="435" t="s">
        <v>231</v>
      </c>
      <c r="G5" s="431" t="s">
        <v>3</v>
      </c>
      <c r="H5" s="431"/>
      <c r="I5" s="431"/>
      <c r="J5" s="431"/>
      <c r="K5" s="431" t="s">
        <v>6</v>
      </c>
      <c r="L5" s="433" t="s">
        <v>7</v>
      </c>
      <c r="M5" s="60"/>
      <c r="N5" s="60"/>
    </row>
    <row r="6" spans="1:18" ht="15.75">
      <c r="A6" s="433"/>
      <c r="B6" s="431"/>
      <c r="C6" s="431"/>
      <c r="D6" s="431"/>
      <c r="E6" s="435"/>
      <c r="F6" s="435"/>
      <c r="G6" s="373" t="s">
        <v>4</v>
      </c>
      <c r="H6" s="373" t="s">
        <v>5</v>
      </c>
      <c r="I6" s="373" t="s">
        <v>8</v>
      </c>
      <c r="J6" s="373" t="s">
        <v>294</v>
      </c>
      <c r="K6" s="431"/>
      <c r="L6" s="433"/>
      <c r="M6" s="60"/>
      <c r="N6" s="60"/>
    </row>
    <row r="7" spans="1:18" s="2" customFormat="1" ht="15.75">
      <c r="A7" s="374"/>
      <c r="B7" s="375"/>
      <c r="C7" s="375"/>
      <c r="D7" s="375"/>
      <c r="E7" s="375"/>
      <c r="F7" s="376"/>
      <c r="G7" s="375"/>
      <c r="H7" s="375"/>
      <c r="I7" s="375"/>
      <c r="J7" s="375"/>
      <c r="K7" s="376"/>
      <c r="L7" s="377"/>
      <c r="M7" s="61"/>
      <c r="N7" s="61"/>
      <c r="O7" s="11"/>
    </row>
    <row r="8" spans="1:18" s="2" customFormat="1" ht="24.95" customHeight="1">
      <c r="A8" s="402">
        <v>5</v>
      </c>
      <c r="B8" s="434" t="s">
        <v>326</v>
      </c>
      <c r="C8" s="434"/>
      <c r="D8" s="434"/>
      <c r="E8" s="434"/>
      <c r="F8" s="434"/>
      <c r="G8" s="434"/>
      <c r="H8" s="434"/>
      <c r="I8" s="434"/>
      <c r="J8" s="400"/>
      <c r="K8" s="431"/>
      <c r="L8" s="431"/>
      <c r="M8" s="60"/>
      <c r="N8" s="60"/>
      <c r="O8" s="11"/>
      <c r="Q8" s="18"/>
      <c r="R8" s="18"/>
    </row>
    <row r="9" spans="1:18" s="225" customFormat="1" ht="24.95" customHeight="1">
      <c r="A9" s="624" t="s">
        <v>328</v>
      </c>
      <c r="B9" s="625" t="s">
        <v>327</v>
      </c>
      <c r="C9" s="624" t="s">
        <v>373</v>
      </c>
      <c r="D9" s="626">
        <v>3</v>
      </c>
      <c r="E9" s="627"/>
      <c r="F9" s="627"/>
      <c r="G9" s="646">
        <v>370</v>
      </c>
      <c r="H9" s="628">
        <f>BDI!$F$30</f>
        <v>0.20730000000000001</v>
      </c>
      <c r="I9" s="629">
        <f>TRUNC(G9*(1+H9),2)</f>
        <v>446.7</v>
      </c>
      <c r="J9" s="629">
        <f>TRUNC(D9*I9,2)</f>
        <v>1340.1</v>
      </c>
      <c r="K9" s="630" t="s">
        <v>365</v>
      </c>
      <c r="L9" s="630" t="s">
        <v>20</v>
      </c>
      <c r="M9" s="62"/>
      <c r="N9" s="68"/>
      <c r="O9" s="227"/>
    </row>
    <row r="10" spans="1:18" s="225" customFormat="1" ht="24.95" customHeight="1">
      <c r="A10" s="402">
        <v>7</v>
      </c>
      <c r="B10" s="371" t="s">
        <v>329</v>
      </c>
      <c r="C10" s="378"/>
      <c r="D10" s="398"/>
      <c r="E10" s="379"/>
      <c r="F10" s="379"/>
      <c r="G10" s="647"/>
      <c r="H10" s="380"/>
      <c r="I10" s="385"/>
      <c r="J10" s="388"/>
      <c r="K10" s="373"/>
      <c r="L10" s="381"/>
      <c r="M10" s="62"/>
      <c r="N10" s="68"/>
      <c r="O10" s="227"/>
    </row>
    <row r="11" spans="1:18" s="225" customFormat="1" ht="24.95" customHeight="1">
      <c r="A11" s="624" t="s">
        <v>334</v>
      </c>
      <c r="B11" s="631" t="s">
        <v>330</v>
      </c>
      <c r="C11" s="624" t="s">
        <v>373</v>
      </c>
      <c r="D11" s="626">
        <v>9</v>
      </c>
      <c r="E11" s="632"/>
      <c r="F11" s="632"/>
      <c r="G11" s="646">
        <v>24.44</v>
      </c>
      <c r="H11" s="628">
        <f>BDI!$F$30</f>
        <v>0.20730000000000001</v>
      </c>
      <c r="I11" s="629">
        <f t="shared" ref="I11:I33" si="0">TRUNC(G11*(1+H11),2)</f>
        <v>29.5</v>
      </c>
      <c r="J11" s="629">
        <f>TRUNC(D11*I11,2)</f>
        <v>265.5</v>
      </c>
      <c r="K11" s="624" t="s">
        <v>374</v>
      </c>
      <c r="L11" s="633">
        <v>37399</v>
      </c>
      <c r="M11" s="62"/>
      <c r="N11" s="68"/>
      <c r="O11" s="227"/>
    </row>
    <row r="12" spans="1:18" ht="24.95" customHeight="1">
      <c r="A12" s="624" t="s">
        <v>335</v>
      </c>
      <c r="B12" s="634" t="s">
        <v>331</v>
      </c>
      <c r="C12" s="624" t="s">
        <v>373</v>
      </c>
      <c r="D12" s="626">
        <v>4</v>
      </c>
      <c r="E12" s="632"/>
      <c r="F12" s="632"/>
      <c r="G12" s="646">
        <v>1725</v>
      </c>
      <c r="H12" s="628">
        <f>BDI!$F$30</f>
        <v>0.20730000000000001</v>
      </c>
      <c r="I12" s="629">
        <f t="shared" si="0"/>
        <v>2082.59</v>
      </c>
      <c r="J12" s="629">
        <f>TRUNC(D12*I12,2)</f>
        <v>8330.36</v>
      </c>
      <c r="K12" s="630" t="s">
        <v>365</v>
      </c>
      <c r="L12" s="630" t="s">
        <v>20</v>
      </c>
      <c r="M12" s="62"/>
      <c r="N12" s="68"/>
    </row>
    <row r="13" spans="1:18" s="225" customFormat="1" ht="24.95" customHeight="1">
      <c r="A13" s="402">
        <v>10</v>
      </c>
      <c r="B13" s="371" t="s">
        <v>332</v>
      </c>
      <c r="C13" s="373"/>
      <c r="D13" s="382"/>
      <c r="E13" s="383"/>
      <c r="F13" s="383"/>
      <c r="G13" s="648"/>
      <c r="H13" s="384"/>
      <c r="I13" s="385"/>
      <c r="J13" s="385"/>
      <c r="K13" s="373"/>
      <c r="L13" s="386"/>
      <c r="M13" s="62"/>
      <c r="N13" s="68"/>
      <c r="O13" s="227"/>
    </row>
    <row r="14" spans="1:18" s="225" customFormat="1" ht="24.95" customHeight="1">
      <c r="A14" s="635" t="s">
        <v>336</v>
      </c>
      <c r="B14" s="636" t="s">
        <v>333</v>
      </c>
      <c r="C14" s="624" t="s">
        <v>367</v>
      </c>
      <c r="D14" s="626">
        <v>1034.04</v>
      </c>
      <c r="E14" s="632"/>
      <c r="F14" s="632"/>
      <c r="G14" s="646">
        <v>32</v>
      </c>
      <c r="H14" s="628">
        <f>BDI!$F$30</f>
        <v>0.20730000000000001</v>
      </c>
      <c r="I14" s="629">
        <f t="shared" si="0"/>
        <v>38.630000000000003</v>
      </c>
      <c r="J14" s="629">
        <f>TRUNC(D14*I14,2)</f>
        <v>39944.959999999999</v>
      </c>
      <c r="K14" s="630" t="s">
        <v>365</v>
      </c>
      <c r="L14" s="630" t="s">
        <v>20</v>
      </c>
      <c r="M14" s="62"/>
      <c r="N14" s="68"/>
      <c r="O14" s="227"/>
    </row>
    <row r="15" spans="1:18" s="225" customFormat="1" ht="24.95" customHeight="1">
      <c r="A15" s="402">
        <v>12</v>
      </c>
      <c r="B15" s="372" t="s">
        <v>375</v>
      </c>
      <c r="C15" s="373"/>
      <c r="D15" s="382"/>
      <c r="E15" s="383"/>
      <c r="F15" s="383"/>
      <c r="G15" s="648"/>
      <c r="H15" s="384"/>
      <c r="I15" s="385"/>
      <c r="J15" s="385"/>
      <c r="K15" s="373"/>
      <c r="L15" s="386"/>
      <c r="M15" s="62"/>
      <c r="N15" s="68"/>
      <c r="O15" s="227"/>
    </row>
    <row r="16" spans="1:18" s="225" customFormat="1" ht="24.95" customHeight="1">
      <c r="A16" s="624" t="s">
        <v>339</v>
      </c>
      <c r="B16" s="637" t="s">
        <v>337</v>
      </c>
      <c r="C16" s="624" t="s">
        <v>12</v>
      </c>
      <c r="D16" s="626">
        <v>10.4</v>
      </c>
      <c r="E16" s="632"/>
      <c r="F16" s="632"/>
      <c r="G16" s="646">
        <v>620</v>
      </c>
      <c r="H16" s="628">
        <f>BDI!$F$30</f>
        <v>0.20730000000000001</v>
      </c>
      <c r="I16" s="629">
        <f t="shared" si="0"/>
        <v>748.52</v>
      </c>
      <c r="J16" s="629">
        <f>TRUNC(D16*I16,2)</f>
        <v>7784.6</v>
      </c>
      <c r="K16" s="630" t="s">
        <v>365</v>
      </c>
      <c r="L16" s="630" t="s">
        <v>20</v>
      </c>
      <c r="M16" s="62"/>
      <c r="N16" s="68"/>
      <c r="O16" s="227"/>
    </row>
    <row r="17" spans="1:15" s="225" customFormat="1" ht="24.95" customHeight="1">
      <c r="A17" s="624" t="s">
        <v>340</v>
      </c>
      <c r="B17" s="638" t="s">
        <v>338</v>
      </c>
      <c r="C17" s="624" t="s">
        <v>12</v>
      </c>
      <c r="D17" s="626">
        <v>8.4</v>
      </c>
      <c r="E17" s="632"/>
      <c r="F17" s="632"/>
      <c r="G17" s="646">
        <v>620</v>
      </c>
      <c r="H17" s="628">
        <f>BDI!$F$30</f>
        <v>0.20730000000000001</v>
      </c>
      <c r="I17" s="629">
        <f t="shared" si="0"/>
        <v>748.52</v>
      </c>
      <c r="J17" s="629">
        <f>TRUNC(D17*I17,2)</f>
        <v>6287.56</v>
      </c>
      <c r="K17" s="630" t="s">
        <v>365</v>
      </c>
      <c r="L17" s="630" t="s">
        <v>20</v>
      </c>
      <c r="M17" s="62"/>
      <c r="N17" s="68"/>
      <c r="O17" s="227"/>
    </row>
    <row r="18" spans="1:15" s="225" customFormat="1" ht="24.95" customHeight="1">
      <c r="A18" s="402">
        <v>16</v>
      </c>
      <c r="B18" s="371" t="s">
        <v>368</v>
      </c>
      <c r="C18" s="393"/>
      <c r="D18" s="394"/>
      <c r="E18" s="395"/>
      <c r="F18" s="395"/>
      <c r="G18" s="649"/>
      <c r="H18" s="396"/>
      <c r="I18" s="385"/>
      <c r="J18" s="385"/>
      <c r="K18" s="393"/>
      <c r="L18" s="397"/>
      <c r="M18" s="62"/>
      <c r="N18" s="68"/>
      <c r="O18" s="227"/>
    </row>
    <row r="19" spans="1:15" s="225" customFormat="1" ht="24.95" customHeight="1">
      <c r="A19" s="624" t="s">
        <v>371</v>
      </c>
      <c r="B19" s="631" t="s">
        <v>369</v>
      </c>
      <c r="C19" s="624" t="s">
        <v>12</v>
      </c>
      <c r="D19" s="626">
        <v>59.9</v>
      </c>
      <c r="E19" s="632"/>
      <c r="F19" s="632"/>
      <c r="G19" s="646">
        <v>165</v>
      </c>
      <c r="H19" s="628">
        <f>BDI!$F$30</f>
        <v>0.20730000000000001</v>
      </c>
      <c r="I19" s="629">
        <f t="shared" si="0"/>
        <v>199.2</v>
      </c>
      <c r="J19" s="629">
        <f>TRUNC(D19*I19,2)</f>
        <v>11932.08</v>
      </c>
      <c r="K19" s="630" t="s">
        <v>365</v>
      </c>
      <c r="L19" s="630" t="s">
        <v>20</v>
      </c>
      <c r="M19" s="62"/>
      <c r="N19" s="68"/>
      <c r="O19" s="227"/>
    </row>
    <row r="20" spans="1:15" s="225" customFormat="1" ht="24.95" customHeight="1">
      <c r="A20" s="624" t="s">
        <v>372</v>
      </c>
      <c r="B20" s="634" t="s">
        <v>370</v>
      </c>
      <c r="C20" s="624" t="s">
        <v>12</v>
      </c>
      <c r="D20" s="626">
        <v>720</v>
      </c>
      <c r="E20" s="632"/>
      <c r="F20" s="632"/>
      <c r="G20" s="646">
        <v>35</v>
      </c>
      <c r="H20" s="628">
        <f>BDI!$F$30</f>
        <v>0.20730000000000001</v>
      </c>
      <c r="I20" s="629">
        <f t="shared" si="0"/>
        <v>42.25</v>
      </c>
      <c r="J20" s="629">
        <f>TRUNC(D20*I20,2)</f>
        <v>30420</v>
      </c>
      <c r="K20" s="630" t="s">
        <v>365</v>
      </c>
      <c r="L20" s="630" t="s">
        <v>20</v>
      </c>
      <c r="M20" s="62"/>
      <c r="N20" s="68"/>
      <c r="O20" s="227"/>
    </row>
    <row r="21" spans="1:15" s="225" customFormat="1" ht="24.95" customHeight="1">
      <c r="A21" s="402">
        <v>17</v>
      </c>
      <c r="B21" s="372" t="s">
        <v>341</v>
      </c>
      <c r="C21" s="373"/>
      <c r="D21" s="382"/>
      <c r="E21" s="383"/>
      <c r="F21" s="383"/>
      <c r="G21" s="648"/>
      <c r="H21" s="384"/>
      <c r="I21" s="385"/>
      <c r="J21" s="385"/>
      <c r="K21" s="373"/>
      <c r="L21" s="386"/>
      <c r="M21" s="62"/>
      <c r="N21" s="68"/>
      <c r="O21" s="227"/>
    </row>
    <row r="22" spans="1:15" s="14" customFormat="1" ht="24.95" customHeight="1">
      <c r="A22" s="624" t="s">
        <v>345</v>
      </c>
      <c r="B22" s="631" t="s">
        <v>342</v>
      </c>
      <c r="C22" s="624" t="s">
        <v>12</v>
      </c>
      <c r="D22" s="639">
        <v>9.6</v>
      </c>
      <c r="E22" s="633"/>
      <c r="F22" s="633"/>
      <c r="G22" s="650">
        <v>34.020000000000003</v>
      </c>
      <c r="H22" s="628">
        <f>BDI!$F$30</f>
        <v>0.20730000000000001</v>
      </c>
      <c r="I22" s="629">
        <f t="shared" si="0"/>
        <v>41.07</v>
      </c>
      <c r="J22" s="629">
        <f>TRUNC(D22*I22,2)</f>
        <v>394.27</v>
      </c>
      <c r="K22" s="624" t="s">
        <v>374</v>
      </c>
      <c r="L22" s="633">
        <v>100726</v>
      </c>
      <c r="M22" s="343"/>
      <c r="N22" s="343"/>
      <c r="O22" s="344"/>
    </row>
    <row r="23" spans="1:15" s="14" customFormat="1" ht="24.95" customHeight="1">
      <c r="A23" s="624" t="s">
        <v>346</v>
      </c>
      <c r="B23" s="640" t="s">
        <v>343</v>
      </c>
      <c r="C23" s="624" t="s">
        <v>12</v>
      </c>
      <c r="D23" s="639">
        <v>2</v>
      </c>
      <c r="E23" s="633"/>
      <c r="F23" s="633"/>
      <c r="G23" s="650">
        <v>57.84</v>
      </c>
      <c r="H23" s="628">
        <f>BDI!$F$30</f>
        <v>0.20730000000000001</v>
      </c>
      <c r="I23" s="629">
        <f t="shared" si="0"/>
        <v>69.83</v>
      </c>
      <c r="J23" s="629">
        <f t="shared" ref="J23:J33" si="1">TRUNC(D23*I23,2)</f>
        <v>139.66</v>
      </c>
      <c r="K23" s="624" t="s">
        <v>374</v>
      </c>
      <c r="L23" s="633">
        <v>102513</v>
      </c>
      <c r="M23" s="343"/>
      <c r="N23" s="343"/>
      <c r="O23" s="344"/>
    </row>
    <row r="24" spans="1:15" s="14" customFormat="1" ht="24.95" customHeight="1">
      <c r="A24" s="624" t="s">
        <v>347</v>
      </c>
      <c r="B24" s="634" t="s">
        <v>344</v>
      </c>
      <c r="C24" s="624" t="s">
        <v>12</v>
      </c>
      <c r="D24" s="639">
        <v>1000</v>
      </c>
      <c r="E24" s="633"/>
      <c r="F24" s="633"/>
      <c r="G24" s="650">
        <v>22.86</v>
      </c>
      <c r="H24" s="628">
        <f>BDI!$F$30</f>
        <v>0.20730000000000001</v>
      </c>
      <c r="I24" s="629">
        <f t="shared" si="0"/>
        <v>27.59</v>
      </c>
      <c r="J24" s="629">
        <f t="shared" si="1"/>
        <v>27590</v>
      </c>
      <c r="K24" s="624" t="s">
        <v>374</v>
      </c>
      <c r="L24" s="633">
        <v>102491</v>
      </c>
      <c r="M24" s="343"/>
      <c r="N24" s="343"/>
      <c r="O24" s="344"/>
    </row>
    <row r="25" spans="1:15" s="14" customFormat="1" ht="24.95" customHeight="1">
      <c r="A25" s="402">
        <v>20</v>
      </c>
      <c r="B25" s="372" t="s">
        <v>348</v>
      </c>
      <c r="C25" s="387"/>
      <c r="D25" s="399"/>
      <c r="E25" s="387"/>
      <c r="F25" s="387"/>
      <c r="G25" s="651"/>
      <c r="H25" s="387"/>
      <c r="I25" s="385"/>
      <c r="J25" s="388"/>
      <c r="K25" s="389"/>
      <c r="L25" s="390"/>
      <c r="M25" s="343"/>
      <c r="N25" s="343"/>
      <c r="O25" s="344"/>
    </row>
    <row r="26" spans="1:15" s="14" customFormat="1" ht="24.95" customHeight="1">
      <c r="A26" s="624" t="s">
        <v>357</v>
      </c>
      <c r="B26" s="641" t="s">
        <v>349</v>
      </c>
      <c r="C26" s="624" t="s">
        <v>373</v>
      </c>
      <c r="D26" s="639">
        <v>1</v>
      </c>
      <c r="E26" s="633"/>
      <c r="F26" s="633"/>
      <c r="G26" s="650">
        <v>2300</v>
      </c>
      <c r="H26" s="628">
        <f>BDI!$F$30</f>
        <v>0.20730000000000001</v>
      </c>
      <c r="I26" s="629">
        <f t="shared" si="0"/>
        <v>2776.79</v>
      </c>
      <c r="J26" s="629">
        <f t="shared" si="1"/>
        <v>2776.79</v>
      </c>
      <c r="K26" s="630" t="s">
        <v>365</v>
      </c>
      <c r="L26" s="630" t="s">
        <v>20</v>
      </c>
      <c r="M26" s="343"/>
      <c r="N26" s="343"/>
      <c r="O26" s="344"/>
    </row>
    <row r="27" spans="1:15" s="14" customFormat="1" ht="24.95" customHeight="1">
      <c r="A27" s="624" t="s">
        <v>358</v>
      </c>
      <c r="B27" s="642" t="s">
        <v>350</v>
      </c>
      <c r="C27" s="624" t="s">
        <v>373</v>
      </c>
      <c r="D27" s="639">
        <v>1</v>
      </c>
      <c r="E27" s="633"/>
      <c r="F27" s="633"/>
      <c r="G27" s="650">
        <v>3500</v>
      </c>
      <c r="H27" s="628">
        <f>BDI!$F$30</f>
        <v>0.20730000000000001</v>
      </c>
      <c r="I27" s="629">
        <f t="shared" si="0"/>
        <v>4225.55</v>
      </c>
      <c r="J27" s="629">
        <f t="shared" si="1"/>
        <v>4225.55</v>
      </c>
      <c r="K27" s="630" t="s">
        <v>365</v>
      </c>
      <c r="L27" s="630" t="s">
        <v>20</v>
      </c>
      <c r="M27" s="343"/>
      <c r="N27" s="343"/>
      <c r="O27" s="344"/>
    </row>
    <row r="28" spans="1:15" s="14" customFormat="1" ht="24.95" customHeight="1">
      <c r="A28" s="624" t="s">
        <v>359</v>
      </c>
      <c r="B28" s="642" t="s">
        <v>351</v>
      </c>
      <c r="C28" s="624" t="s">
        <v>373</v>
      </c>
      <c r="D28" s="639">
        <v>2</v>
      </c>
      <c r="E28" s="633"/>
      <c r="F28" s="633"/>
      <c r="G28" s="650">
        <v>1800</v>
      </c>
      <c r="H28" s="628">
        <f>BDI!$F$30</f>
        <v>0.20730000000000001</v>
      </c>
      <c r="I28" s="629">
        <f t="shared" si="0"/>
        <v>2173.14</v>
      </c>
      <c r="J28" s="629">
        <f t="shared" si="1"/>
        <v>4346.28</v>
      </c>
      <c r="K28" s="630" t="s">
        <v>365</v>
      </c>
      <c r="L28" s="630" t="s">
        <v>20</v>
      </c>
      <c r="M28" s="343"/>
      <c r="N28" s="343"/>
      <c r="O28" s="344"/>
    </row>
    <row r="29" spans="1:15" s="14" customFormat="1" ht="24.95" customHeight="1">
      <c r="A29" s="624" t="s">
        <v>360</v>
      </c>
      <c r="B29" s="642" t="s">
        <v>352</v>
      </c>
      <c r="C29" s="624" t="s">
        <v>373</v>
      </c>
      <c r="D29" s="639">
        <v>2</v>
      </c>
      <c r="E29" s="633"/>
      <c r="F29" s="633"/>
      <c r="G29" s="650">
        <v>3700</v>
      </c>
      <c r="H29" s="628">
        <f>BDI!$F$30</f>
        <v>0.20730000000000001</v>
      </c>
      <c r="I29" s="629">
        <f t="shared" si="0"/>
        <v>4467.01</v>
      </c>
      <c r="J29" s="629">
        <f t="shared" si="1"/>
        <v>8934.02</v>
      </c>
      <c r="K29" s="630" t="s">
        <v>365</v>
      </c>
      <c r="L29" s="630" t="s">
        <v>20</v>
      </c>
      <c r="M29" s="343"/>
      <c r="N29" s="343"/>
      <c r="O29" s="344"/>
    </row>
    <row r="30" spans="1:15" s="14" customFormat="1" ht="24.95" customHeight="1">
      <c r="A30" s="624" t="s">
        <v>361</v>
      </c>
      <c r="B30" s="642" t="s">
        <v>353</v>
      </c>
      <c r="C30" s="624" t="s">
        <v>373</v>
      </c>
      <c r="D30" s="639">
        <v>2</v>
      </c>
      <c r="E30" s="633"/>
      <c r="F30" s="633"/>
      <c r="G30" s="650">
        <v>1400</v>
      </c>
      <c r="H30" s="628">
        <f>BDI!$F$30</f>
        <v>0.20730000000000001</v>
      </c>
      <c r="I30" s="629">
        <f t="shared" si="0"/>
        <v>1690.22</v>
      </c>
      <c r="J30" s="629">
        <f t="shared" si="1"/>
        <v>3380.44</v>
      </c>
      <c r="K30" s="630" t="s">
        <v>365</v>
      </c>
      <c r="L30" s="630" t="s">
        <v>20</v>
      </c>
      <c r="M30" s="343"/>
      <c r="N30" s="343"/>
      <c r="O30" s="344"/>
    </row>
    <row r="31" spans="1:15" s="14" customFormat="1" ht="24.95" customHeight="1">
      <c r="A31" s="624" t="s">
        <v>362</v>
      </c>
      <c r="B31" s="642" t="s">
        <v>354</v>
      </c>
      <c r="C31" s="624" t="s">
        <v>373</v>
      </c>
      <c r="D31" s="639">
        <v>8</v>
      </c>
      <c r="E31" s="633"/>
      <c r="F31" s="633"/>
      <c r="G31" s="650">
        <v>550</v>
      </c>
      <c r="H31" s="628">
        <f>BDI!$F$30</f>
        <v>0.20730000000000001</v>
      </c>
      <c r="I31" s="629">
        <f t="shared" si="0"/>
        <v>664.01</v>
      </c>
      <c r="J31" s="629">
        <f t="shared" si="1"/>
        <v>5312.08</v>
      </c>
      <c r="K31" s="630" t="s">
        <v>365</v>
      </c>
      <c r="L31" s="630" t="s">
        <v>20</v>
      </c>
      <c r="M31" s="343"/>
      <c r="N31" s="343"/>
      <c r="O31" s="344"/>
    </row>
    <row r="32" spans="1:15" s="225" customFormat="1" ht="24.95" customHeight="1">
      <c r="A32" s="624" t="s">
        <v>363</v>
      </c>
      <c r="B32" s="642" t="s">
        <v>355</v>
      </c>
      <c r="C32" s="624" t="s">
        <v>373</v>
      </c>
      <c r="D32" s="639">
        <v>48</v>
      </c>
      <c r="E32" s="643"/>
      <c r="F32" s="643"/>
      <c r="G32" s="650">
        <v>200</v>
      </c>
      <c r="H32" s="628">
        <f>BDI!$F$30</f>
        <v>0.20730000000000001</v>
      </c>
      <c r="I32" s="629">
        <f t="shared" si="0"/>
        <v>241.46</v>
      </c>
      <c r="J32" s="629">
        <f t="shared" si="1"/>
        <v>11590.08</v>
      </c>
      <c r="K32" s="630" t="s">
        <v>365</v>
      </c>
      <c r="L32" s="630" t="s">
        <v>20</v>
      </c>
      <c r="M32" s="64"/>
      <c r="N32" s="68"/>
      <c r="O32" s="227"/>
    </row>
    <row r="33" spans="1:15" s="225" customFormat="1" ht="24.95" customHeight="1">
      <c r="A33" s="624" t="s">
        <v>364</v>
      </c>
      <c r="B33" s="642" t="s">
        <v>356</v>
      </c>
      <c r="C33" s="624" t="s">
        <v>373</v>
      </c>
      <c r="D33" s="639">
        <v>16</v>
      </c>
      <c r="E33" s="643"/>
      <c r="F33" s="643"/>
      <c r="G33" s="650">
        <v>115</v>
      </c>
      <c r="H33" s="628">
        <f>BDI!$F$30</f>
        <v>0.20730000000000001</v>
      </c>
      <c r="I33" s="629">
        <f t="shared" si="0"/>
        <v>138.83000000000001</v>
      </c>
      <c r="J33" s="629">
        <f t="shared" si="1"/>
        <v>2221.2800000000002</v>
      </c>
      <c r="K33" s="630" t="s">
        <v>365</v>
      </c>
      <c r="L33" s="630" t="s">
        <v>20</v>
      </c>
      <c r="M33" s="64"/>
      <c r="N33" s="68"/>
      <c r="O33" s="227"/>
    </row>
    <row r="34" spans="1:15" ht="24.95" customHeight="1">
      <c r="A34" s="420"/>
      <c r="B34" s="281"/>
      <c r="C34" s="281"/>
      <c r="D34" s="281"/>
      <c r="E34" s="281"/>
      <c r="F34" s="391"/>
      <c r="G34" s="281"/>
      <c r="H34" s="281"/>
      <c r="I34" s="281"/>
      <c r="J34" s="281"/>
      <c r="K34" s="391"/>
      <c r="L34" s="425"/>
      <c r="M34" s="59"/>
      <c r="N34" s="59"/>
    </row>
    <row r="35" spans="1:15" ht="24.95" customHeight="1">
      <c r="A35" s="421"/>
      <c r="B35" s="644" t="s">
        <v>384</v>
      </c>
      <c r="C35" s="281"/>
      <c r="D35" s="281"/>
      <c r="E35" s="281"/>
      <c r="F35" s="391"/>
      <c r="G35" s="281"/>
      <c r="H35" s="281"/>
      <c r="I35" s="281"/>
      <c r="J35" s="281"/>
      <c r="K35" s="391"/>
      <c r="L35" s="426"/>
      <c r="M35" s="59"/>
      <c r="N35" s="59"/>
    </row>
    <row r="36" spans="1:15" ht="24.95" customHeight="1">
      <c r="A36" s="280"/>
      <c r="B36" s="422"/>
      <c r="C36" s="423"/>
      <c r="D36" s="423"/>
      <c r="E36" s="423"/>
      <c r="F36" s="424"/>
      <c r="G36" s="423"/>
      <c r="H36" s="423"/>
      <c r="I36" s="405" t="s">
        <v>13</v>
      </c>
      <c r="J36" s="401">
        <f>SUM(J9:J33)</f>
        <v>177215.60999999996</v>
      </c>
      <c r="K36" s="424"/>
      <c r="L36" s="427"/>
      <c r="M36" s="59"/>
      <c r="N36" s="59"/>
    </row>
    <row r="37" spans="1:15" ht="15.75">
      <c r="A37" s="281"/>
      <c r="B37" s="281"/>
      <c r="C37" s="281"/>
      <c r="D37" s="281"/>
      <c r="E37" s="281"/>
      <c r="F37" s="391"/>
      <c r="G37" s="281"/>
      <c r="H37" s="281"/>
      <c r="I37" s="281"/>
      <c r="J37" s="281"/>
      <c r="K37" s="391"/>
      <c r="L37" s="391"/>
      <c r="M37" s="59"/>
      <c r="N37" s="59"/>
    </row>
    <row r="38" spans="1:15" ht="15.75">
      <c r="A38" s="282"/>
      <c r="B38" s="282"/>
      <c r="C38" s="282"/>
      <c r="D38" s="282"/>
      <c r="E38" s="282"/>
      <c r="F38" s="392"/>
      <c r="G38" s="282"/>
      <c r="H38" s="282"/>
      <c r="I38" s="282"/>
      <c r="J38" s="282"/>
      <c r="K38" s="392"/>
      <c r="L38" s="392"/>
    </row>
    <row r="39" spans="1:15">
      <c r="J39" s="69"/>
    </row>
    <row r="40" spans="1:15">
      <c r="I40" s="69"/>
      <c r="K40" s="15"/>
      <c r="L40" s="16"/>
      <c r="M40" s="66"/>
      <c r="N40" s="66"/>
    </row>
    <row r="41" spans="1:15">
      <c r="I41" s="3"/>
      <c r="J41" s="3"/>
      <c r="K41" s="3"/>
    </row>
    <row r="42" spans="1:15">
      <c r="I42" s="430" t="s">
        <v>381</v>
      </c>
      <c r="J42" s="430"/>
      <c r="K42" s="430"/>
    </row>
    <row r="43" spans="1:15">
      <c r="I43" s="430" t="s">
        <v>382</v>
      </c>
      <c r="J43" s="430"/>
      <c r="K43" s="430"/>
    </row>
    <row r="44" spans="1:15">
      <c r="I44" s="3"/>
      <c r="J44" s="3" t="s">
        <v>383</v>
      </c>
      <c r="K44" s="3"/>
    </row>
    <row r="45" spans="1:15">
      <c r="I45" s="3"/>
      <c r="J45" s="3"/>
      <c r="K45" s="3"/>
    </row>
  </sheetData>
  <sheetProtection sheet="1" objects="1" scenarios="1" selectLockedCells="1"/>
  <mergeCells count="21">
    <mergeCell ref="A1:A3"/>
    <mergeCell ref="K5:K6"/>
    <mergeCell ref="L5:L6"/>
    <mergeCell ref="D4:G4"/>
    <mergeCell ref="C5:C6"/>
    <mergeCell ref="D5:D6"/>
    <mergeCell ref="B1:L1"/>
    <mergeCell ref="C2:G2"/>
    <mergeCell ref="A5:A6"/>
    <mergeCell ref="B8:I8"/>
    <mergeCell ref="B5:B6"/>
    <mergeCell ref="G5:J5"/>
    <mergeCell ref="F5:F6"/>
    <mergeCell ref="E5:E6"/>
    <mergeCell ref="B3:I3"/>
    <mergeCell ref="H2:I2"/>
    <mergeCell ref="J2:L2"/>
    <mergeCell ref="I42:K42"/>
    <mergeCell ref="I43:K43"/>
    <mergeCell ref="K8:L8"/>
    <mergeCell ref="J3:L3"/>
  </mergeCells>
  <printOptions horizontalCentered="1"/>
  <pageMargins left="0.51181102362204722" right="0.51181102362204722" top="0.59055118110236227" bottom="0.39370078740157483" header="0.31496062992125984" footer="0.19685039370078741"/>
  <pageSetup paperSize="9" scale="52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54"/>
  <sheetViews>
    <sheetView showGridLines="0" topLeftCell="A22" zoomScale="85" zoomScaleNormal="85" zoomScaleSheetLayoutView="85" workbookViewId="0">
      <selection activeCell="K35" sqref="K35:M39"/>
    </sheetView>
  </sheetViews>
  <sheetFormatPr defaultRowHeight="15"/>
  <cols>
    <col min="1" max="1" width="9.140625" style="225"/>
    <col min="2" max="2" width="14.85546875" style="225" customWidth="1"/>
    <col min="3" max="3" width="52.140625" style="225" customWidth="1"/>
    <col min="4" max="4" width="11.42578125" style="225" customWidth="1"/>
    <col min="5" max="5" width="16.28515625" style="225" customWidth="1"/>
    <col min="6" max="6" width="11.42578125" style="225" customWidth="1"/>
    <col min="7" max="7" width="19" style="225" customWidth="1"/>
    <col min="8" max="8" width="11.42578125" style="225" customWidth="1"/>
    <col min="9" max="9" width="19.5703125" style="225" customWidth="1"/>
    <col min="10" max="10" width="11.42578125" style="225" customWidth="1"/>
    <col min="11" max="11" width="21.140625" style="225" customWidth="1"/>
    <col min="12" max="12" width="16.28515625" style="225" customWidth="1"/>
    <col min="13" max="13" width="19.42578125" style="225" customWidth="1"/>
    <col min="14" max="16384" width="9.140625" style="225"/>
  </cols>
  <sheetData>
    <row r="1" spans="2:13" ht="41.25" customHeight="1">
      <c r="B1" s="428"/>
      <c r="C1" s="438" t="s">
        <v>301</v>
      </c>
      <c r="D1" s="438"/>
      <c r="E1" s="438"/>
      <c r="F1" s="438"/>
      <c r="G1" s="438"/>
      <c r="H1" s="438"/>
      <c r="I1" s="438"/>
      <c r="J1" s="438"/>
      <c r="K1" s="438"/>
      <c r="L1" s="438"/>
      <c r="M1" s="438"/>
    </row>
    <row r="2" spans="2:13" ht="20.100000000000001" customHeight="1">
      <c r="B2" s="428"/>
      <c r="C2" s="444" t="str">
        <f>PAVIM.!$G$2</f>
        <v>PREFEITURA MUNICIPAL DE MARACAJÁ</v>
      </c>
      <c r="D2" s="445"/>
      <c r="E2" s="445"/>
      <c r="F2" s="445"/>
      <c r="G2" s="445"/>
      <c r="H2" s="446"/>
      <c r="I2" s="444" t="str">
        <f>PAVIM.!$I$2</f>
        <v>BAIRRO: VILA BEATRIZ</v>
      </c>
      <c r="J2" s="445"/>
      <c r="K2" s="445"/>
      <c r="L2" s="445"/>
      <c r="M2" s="446"/>
    </row>
    <row r="3" spans="2:13" ht="20.100000000000001" customHeight="1">
      <c r="B3" s="428"/>
      <c r="C3" s="447" t="str">
        <f>PAVIM.!$K$2</f>
        <v>MUNICIPIO: MARACAJÁ</v>
      </c>
      <c r="D3" s="448"/>
      <c r="E3" s="448"/>
      <c r="F3" s="448"/>
      <c r="G3" s="448"/>
      <c r="H3" s="449"/>
      <c r="I3" s="444" t="str">
        <f>PAVIM.!$M$2</f>
        <v>ESTADO: SANTA CATARINA</v>
      </c>
      <c r="J3" s="445"/>
      <c r="K3" s="445"/>
      <c r="L3" s="445"/>
      <c r="M3" s="446"/>
    </row>
    <row r="4" spans="2:13" ht="20.100000000000001" customHeight="1">
      <c r="B4" s="428"/>
      <c r="C4" s="444" t="s">
        <v>366</v>
      </c>
      <c r="D4" s="445"/>
      <c r="E4" s="445"/>
      <c r="F4" s="445"/>
      <c r="G4" s="445"/>
      <c r="H4" s="445"/>
      <c r="I4" s="445"/>
      <c r="J4" s="445"/>
      <c r="K4" s="445"/>
      <c r="L4" s="445"/>
      <c r="M4" s="446"/>
    </row>
    <row r="5" spans="2:13" ht="20.100000000000001" customHeight="1">
      <c r="B5" s="280"/>
      <c r="C5" s="406"/>
      <c r="D5" s="406"/>
      <c r="E5" s="406"/>
      <c r="F5" s="406"/>
      <c r="G5" s="406"/>
      <c r="H5" s="406"/>
      <c r="I5" s="407"/>
      <c r="J5" s="408"/>
      <c r="K5" s="408"/>
      <c r="L5" s="406"/>
      <c r="M5" s="409"/>
    </row>
    <row r="6" spans="2:13" ht="35.1" customHeight="1">
      <c r="B6" s="439" t="s">
        <v>15</v>
      </c>
      <c r="C6" s="439" t="s">
        <v>0</v>
      </c>
      <c r="D6" s="441" t="s">
        <v>14</v>
      </c>
      <c r="E6" s="441"/>
      <c r="F6" s="442" t="s">
        <v>16</v>
      </c>
      <c r="G6" s="443"/>
      <c r="H6" s="442" t="s">
        <v>17</v>
      </c>
      <c r="I6" s="443"/>
      <c r="J6" s="441" t="s">
        <v>18</v>
      </c>
      <c r="K6" s="441"/>
      <c r="L6" s="442" t="s">
        <v>378</v>
      </c>
      <c r="M6" s="443"/>
    </row>
    <row r="7" spans="2:13" ht="35.1" customHeight="1">
      <c r="B7" s="440"/>
      <c r="C7" s="440"/>
      <c r="D7" s="410" t="s">
        <v>376</v>
      </c>
      <c r="E7" s="410" t="s">
        <v>377</v>
      </c>
      <c r="F7" s="410" t="s">
        <v>376</v>
      </c>
      <c r="G7" s="410" t="s">
        <v>377</v>
      </c>
      <c r="H7" s="410" t="s">
        <v>376</v>
      </c>
      <c r="I7" s="410" t="s">
        <v>377</v>
      </c>
      <c r="J7" s="410" t="s">
        <v>376</v>
      </c>
      <c r="K7" s="410" t="s">
        <v>377</v>
      </c>
      <c r="L7" s="410" t="s">
        <v>376</v>
      </c>
      <c r="M7" s="410" t="s">
        <v>377</v>
      </c>
    </row>
    <row r="8" spans="2:13" ht="56.25" customHeight="1">
      <c r="B8" s="410" t="str">
        <f>ORÇAMENTO!A9</f>
        <v>5.72</v>
      </c>
      <c r="C8" s="411" t="str">
        <f>ORÇAMENTO!B9</f>
        <v>Projetor circular (ate 200w) base e-27 completo inclusive lâmpada, conforme projeto</v>
      </c>
      <c r="D8" s="412">
        <v>1</v>
      </c>
      <c r="E8" s="413">
        <f>ORÇAMENTO!J9</f>
        <v>1340.1</v>
      </c>
      <c r="F8" s="412"/>
      <c r="G8" s="413"/>
      <c r="H8" s="412"/>
      <c r="I8" s="413"/>
      <c r="J8" s="412"/>
      <c r="K8" s="413"/>
      <c r="L8" s="412">
        <v>1</v>
      </c>
      <c r="M8" s="413">
        <f>E8</f>
        <v>1340.1</v>
      </c>
    </row>
    <row r="9" spans="2:13" ht="35.1" customHeight="1">
      <c r="B9" s="410" t="str">
        <f>ORÇAMENTO!A11</f>
        <v>7.1</v>
      </c>
      <c r="C9" s="411" t="str">
        <f>ORÇAMENTO!B11</f>
        <v>Cabide tipo gancho (louça)</v>
      </c>
      <c r="D9" s="412">
        <v>1</v>
      </c>
      <c r="E9" s="413">
        <f>ORÇAMENTO!J11</f>
        <v>265.5</v>
      </c>
      <c r="F9" s="412"/>
      <c r="G9" s="413"/>
      <c r="H9" s="412"/>
      <c r="I9" s="413"/>
      <c r="J9" s="412"/>
      <c r="K9" s="413"/>
      <c r="L9" s="412">
        <v>1</v>
      </c>
      <c r="M9" s="413">
        <f t="shared" ref="M9:M10" si="0">E9</f>
        <v>265.5</v>
      </c>
    </row>
    <row r="10" spans="2:13" ht="35.1" customHeight="1">
      <c r="B10" s="410" t="str">
        <f>ORÇAMENTO!A12</f>
        <v>7.3</v>
      </c>
      <c r="C10" s="411" t="str">
        <f>ORÇAMENTO!B12</f>
        <v>Caixa de areia 60 x 60 c/ grelha metálica</v>
      </c>
      <c r="D10" s="412">
        <v>1</v>
      </c>
      <c r="E10" s="413">
        <f>ORÇAMENTO!J12</f>
        <v>8330.36</v>
      </c>
      <c r="F10" s="412"/>
      <c r="G10" s="413"/>
      <c r="H10" s="412"/>
      <c r="I10" s="413"/>
      <c r="J10" s="412"/>
      <c r="K10" s="413"/>
      <c r="L10" s="412">
        <v>1</v>
      </c>
      <c r="M10" s="413">
        <f t="shared" si="0"/>
        <v>8330.36</v>
      </c>
    </row>
    <row r="11" spans="2:13" ht="56.25" customHeight="1">
      <c r="B11" s="410" t="str">
        <f>ORÇAMENTO!A14</f>
        <v>10.1</v>
      </c>
      <c r="C11" s="411" t="str">
        <f>ORÇAMENTO!B14</f>
        <v>Estrutura metálica em aço A 036 p/cobertura - chapa de aço galvanizado</v>
      </c>
      <c r="D11" s="412">
        <v>0.5</v>
      </c>
      <c r="E11" s="413">
        <f>ORÇAMENTO!J14/2</f>
        <v>19972.48</v>
      </c>
      <c r="F11" s="412">
        <v>0.5</v>
      </c>
      <c r="G11" s="413">
        <f>ORÇAMENTO!J14/2</f>
        <v>19972.48</v>
      </c>
      <c r="H11" s="412"/>
      <c r="I11" s="413"/>
      <c r="J11" s="412"/>
      <c r="K11" s="413"/>
      <c r="L11" s="412">
        <v>1</v>
      </c>
      <c r="M11" s="413">
        <f>E11+G11</f>
        <v>39944.959999999999</v>
      </c>
    </row>
    <row r="12" spans="2:13" ht="57" customHeight="1">
      <c r="B12" s="410" t="str">
        <f>ORÇAMENTO!A16</f>
        <v>12.17</v>
      </c>
      <c r="C12" s="411" t="str">
        <f>ORÇAMENTO!B16</f>
        <v>Portão em chapa trapezoidal, tubo de aço com ferragens (largura 4,95 m x alltura 2,10 m)</v>
      </c>
      <c r="D12" s="412"/>
      <c r="E12" s="413"/>
      <c r="F12" s="412">
        <v>1</v>
      </c>
      <c r="G12" s="413">
        <f>ORÇAMENTO!J16</f>
        <v>7784.6</v>
      </c>
      <c r="H12" s="412"/>
      <c r="I12" s="413"/>
      <c r="J12" s="412"/>
      <c r="K12" s="413"/>
      <c r="L12" s="412">
        <v>1</v>
      </c>
      <c r="M12" s="413">
        <f>G12</f>
        <v>7784.6</v>
      </c>
    </row>
    <row r="13" spans="2:13" ht="45" customHeight="1">
      <c r="B13" s="410" t="str">
        <f>ORÇAMENTO!A17</f>
        <v>12.19</v>
      </c>
      <c r="C13" s="411" t="str">
        <f>ORÇAMENTO!B17</f>
        <v>Portão tela/cano ch. c/ ferragens (largura 4,00 m x altura 2,10 m)</v>
      </c>
      <c r="D13" s="412"/>
      <c r="E13" s="413"/>
      <c r="F13" s="412">
        <v>1</v>
      </c>
      <c r="G13" s="413">
        <f>ORÇAMENTO!J17</f>
        <v>6287.56</v>
      </c>
      <c r="H13" s="412"/>
      <c r="I13" s="413"/>
      <c r="J13" s="412"/>
      <c r="K13" s="413"/>
      <c r="L13" s="412">
        <v>1</v>
      </c>
      <c r="M13" s="413">
        <f t="shared" ref="M13:M14" si="1">G13</f>
        <v>6287.56</v>
      </c>
    </row>
    <row r="14" spans="2:13" ht="35.1" customHeight="1">
      <c r="B14" s="410" t="str">
        <f>ORÇAMENTO!A19</f>
        <v>16.6</v>
      </c>
      <c r="C14" s="411" t="str">
        <f>ORÇAMENTO!B19</f>
        <v xml:space="preserve">Ladrilho hidráulico 20 x 20 cm </v>
      </c>
      <c r="D14" s="412"/>
      <c r="E14" s="413"/>
      <c r="F14" s="412">
        <v>1</v>
      </c>
      <c r="G14" s="413">
        <f>ORÇAMENTO!J19</f>
        <v>11932.08</v>
      </c>
      <c r="H14" s="412"/>
      <c r="I14" s="413"/>
      <c r="J14" s="412"/>
      <c r="K14" s="413"/>
      <c r="L14" s="412">
        <v>1</v>
      </c>
      <c r="M14" s="413">
        <f t="shared" si="1"/>
        <v>11932.08</v>
      </c>
    </row>
    <row r="15" spans="2:13" ht="35.1" customHeight="1">
      <c r="B15" s="410" t="str">
        <f>ORÇAMENTO!A20</f>
        <v>16.13</v>
      </c>
      <c r="C15" s="411" t="str">
        <f>ORÇAMENTO!B20</f>
        <v>Aplicação de resina acrílica duas demãos</v>
      </c>
      <c r="D15" s="412"/>
      <c r="E15" s="413"/>
      <c r="F15" s="412"/>
      <c r="G15" s="413"/>
      <c r="H15" s="412">
        <v>1</v>
      </c>
      <c r="I15" s="413">
        <f>ORÇAMENTO!J20</f>
        <v>30420</v>
      </c>
      <c r="J15" s="412"/>
      <c r="K15" s="413"/>
      <c r="L15" s="412">
        <v>1</v>
      </c>
      <c r="M15" s="413">
        <f>I15</f>
        <v>30420</v>
      </c>
    </row>
    <row r="16" spans="2:13" ht="35.1" customHeight="1">
      <c r="B16" s="410" t="str">
        <f>ORÇAMENTO!A22</f>
        <v>17.4</v>
      </c>
      <c r="C16" s="411" t="str">
        <f>ORÇAMENTO!B22</f>
        <v>Fundo super galvite 1 demão</v>
      </c>
      <c r="D16" s="412"/>
      <c r="E16" s="413"/>
      <c r="F16" s="412"/>
      <c r="G16" s="413"/>
      <c r="H16" s="412">
        <v>1</v>
      </c>
      <c r="I16" s="413">
        <f>ORÇAMENTO!J22</f>
        <v>394.27</v>
      </c>
      <c r="J16" s="412"/>
      <c r="K16" s="413"/>
      <c r="L16" s="412">
        <v>1</v>
      </c>
      <c r="M16" s="413">
        <f t="shared" ref="M16:M18" si="2">I16</f>
        <v>394.27</v>
      </c>
    </row>
    <row r="17" spans="2:13" ht="35.1" customHeight="1">
      <c r="B17" s="410" t="str">
        <f>ORÇAMENTO!A23</f>
        <v>17.5</v>
      </c>
      <c r="C17" s="411" t="str">
        <f>ORÇAMENTO!B23</f>
        <v>Letreiro em parede feito a pincel</v>
      </c>
      <c r="D17" s="412"/>
      <c r="E17" s="413"/>
      <c r="F17" s="412"/>
      <c r="G17" s="413"/>
      <c r="H17" s="412">
        <v>1</v>
      </c>
      <c r="I17" s="413">
        <f>ORÇAMENTO!J23</f>
        <v>139.66</v>
      </c>
      <c r="J17" s="412"/>
      <c r="K17" s="413"/>
      <c r="L17" s="412">
        <v>1</v>
      </c>
      <c r="M17" s="413">
        <f t="shared" si="2"/>
        <v>139.66</v>
      </c>
    </row>
    <row r="18" spans="2:13" ht="56.25" customHeight="1">
      <c r="B18" s="410" t="str">
        <f>ORÇAMENTO!A24</f>
        <v>17.8</v>
      </c>
      <c r="C18" s="411" t="str">
        <f>ORÇAMENTO!B24</f>
        <v>Pint. Poliesportiva - 2 dem.(pisos e cimentados)</v>
      </c>
      <c r="D18" s="414"/>
      <c r="E18" s="415"/>
      <c r="F18" s="414"/>
      <c r="G18" s="415"/>
      <c r="H18" s="412">
        <v>1</v>
      </c>
      <c r="I18" s="413">
        <f>ORÇAMENTO!J24</f>
        <v>27590</v>
      </c>
      <c r="J18" s="414"/>
      <c r="K18" s="415"/>
      <c r="L18" s="412">
        <v>1</v>
      </c>
      <c r="M18" s="413">
        <f t="shared" si="2"/>
        <v>27590</v>
      </c>
    </row>
    <row r="19" spans="2:13" ht="35.1" customHeight="1">
      <c r="B19" s="410" t="str">
        <f>ORÇAMENTO!A26</f>
        <v>20.9</v>
      </c>
      <c r="C19" s="411" t="str">
        <f>ORÇAMENTO!B26</f>
        <v>Exaustor diam. 30 cm</v>
      </c>
      <c r="D19" s="414"/>
      <c r="E19" s="415"/>
      <c r="F19" s="414"/>
      <c r="G19" s="415"/>
      <c r="H19" s="414"/>
      <c r="I19" s="415"/>
      <c r="J19" s="412">
        <v>1</v>
      </c>
      <c r="K19" s="415">
        <f>ORÇAMENTO!J26</f>
        <v>2776.79</v>
      </c>
      <c r="L19" s="412">
        <v>1</v>
      </c>
      <c r="M19" s="413">
        <f>K19</f>
        <v>2776.79</v>
      </c>
    </row>
    <row r="20" spans="2:13" ht="56.25" customHeight="1">
      <c r="B20" s="410" t="str">
        <f>ORÇAMENTO!A27</f>
        <v>20.10</v>
      </c>
      <c r="C20" s="411" t="str">
        <f>ORÇAMENTO!B27</f>
        <v>Coifa em chapa galvanizada epóxi 95x70x60cm c/ tubo saída</v>
      </c>
      <c r="D20" s="414"/>
      <c r="E20" s="415"/>
      <c r="F20" s="414"/>
      <c r="G20" s="415"/>
      <c r="H20" s="414"/>
      <c r="I20" s="415"/>
      <c r="J20" s="412">
        <v>1</v>
      </c>
      <c r="K20" s="415">
        <f>ORÇAMENTO!J27</f>
        <v>4225.55</v>
      </c>
      <c r="L20" s="412">
        <v>1</v>
      </c>
      <c r="M20" s="413">
        <f t="shared" ref="M20:M26" si="3">K20</f>
        <v>4225.55</v>
      </c>
    </row>
    <row r="21" spans="2:13" ht="35.1" customHeight="1">
      <c r="B21" s="410" t="str">
        <f>ORÇAMENTO!A28</f>
        <v>20.13</v>
      </c>
      <c r="C21" s="411" t="str">
        <f>ORÇAMENTO!B28</f>
        <v xml:space="preserve">Sinalização - placa aérea a1 - 2,00x0,50 m </v>
      </c>
      <c r="D21" s="414"/>
      <c r="E21" s="415"/>
      <c r="F21" s="414"/>
      <c r="G21" s="415"/>
      <c r="H21" s="414"/>
      <c r="I21" s="415"/>
      <c r="J21" s="412">
        <v>1</v>
      </c>
      <c r="K21" s="415">
        <f>ORÇAMENTO!J28</f>
        <v>4346.28</v>
      </c>
      <c r="L21" s="412">
        <v>1</v>
      </c>
      <c r="M21" s="413">
        <f t="shared" si="3"/>
        <v>4346.28</v>
      </c>
    </row>
    <row r="22" spans="2:13" ht="56.25" customHeight="1">
      <c r="B22" s="410" t="str">
        <f>ORÇAMENTO!A29</f>
        <v>20.14</v>
      </c>
      <c r="C22" s="411" t="str">
        <f>ORÇAMENTO!B29</f>
        <v>Sinalização - placa especial e1 - 3,50x0,60 m  + suporte</v>
      </c>
      <c r="D22" s="414"/>
      <c r="E22" s="416"/>
      <c r="F22" s="414"/>
      <c r="G22" s="416"/>
      <c r="H22" s="414"/>
      <c r="I22" s="416"/>
      <c r="J22" s="412">
        <v>1</v>
      </c>
      <c r="K22" s="415">
        <f>ORÇAMENTO!J29</f>
        <v>8934.02</v>
      </c>
      <c r="L22" s="412">
        <v>1</v>
      </c>
      <c r="M22" s="413">
        <f t="shared" si="3"/>
        <v>8934.02</v>
      </c>
    </row>
    <row r="23" spans="2:13" ht="56.25" customHeight="1">
      <c r="B23" s="410" t="str">
        <f>ORÇAMENTO!A30</f>
        <v>20.15</v>
      </c>
      <c r="C23" s="411" t="str">
        <f>ORÇAMENTO!B30</f>
        <v>Sinalização - placa especial e2 - 1,50x0,50 m -estacionamento</v>
      </c>
      <c r="D23" s="414"/>
      <c r="E23" s="415"/>
      <c r="F23" s="414"/>
      <c r="G23" s="415"/>
      <c r="H23" s="414"/>
      <c r="I23" s="415"/>
      <c r="J23" s="412">
        <v>1</v>
      </c>
      <c r="K23" s="415">
        <f>ORÇAMENTO!J30</f>
        <v>3380.44</v>
      </c>
      <c r="L23" s="412">
        <v>1</v>
      </c>
      <c r="M23" s="413">
        <f t="shared" si="3"/>
        <v>3380.44</v>
      </c>
    </row>
    <row r="24" spans="2:13" ht="56.25" customHeight="1">
      <c r="B24" s="410" t="str">
        <f>ORÇAMENTO!A31</f>
        <v>20.16</v>
      </c>
      <c r="C24" s="411" t="str">
        <f>ORÇAMENTO!B31</f>
        <v>Sinalização - placas aéreas a2,a3,a4 e a5 -1,00x0,30 m</v>
      </c>
      <c r="D24" s="414"/>
      <c r="E24" s="415"/>
      <c r="F24" s="414"/>
      <c r="G24" s="415"/>
      <c r="H24" s="414"/>
      <c r="I24" s="415"/>
      <c r="J24" s="412">
        <v>1</v>
      </c>
      <c r="K24" s="415">
        <f>ORÇAMENTO!J31</f>
        <v>5312.08</v>
      </c>
      <c r="L24" s="412">
        <v>1</v>
      </c>
      <c r="M24" s="413">
        <f t="shared" si="3"/>
        <v>5312.08</v>
      </c>
    </row>
    <row r="25" spans="2:13" ht="35.1" customHeight="1">
      <c r="B25" s="410" t="str">
        <f>ORÇAMENTO!A32</f>
        <v>20.17</v>
      </c>
      <c r="C25" s="411" t="str">
        <f>ORÇAMENTO!B32</f>
        <v>Sinalização - placas p1 a p20 - 0,30 m x 0,40 m</v>
      </c>
      <c r="D25" s="414"/>
      <c r="E25" s="415"/>
      <c r="F25" s="414"/>
      <c r="G25" s="415"/>
      <c r="H25" s="414"/>
      <c r="I25" s="415"/>
      <c r="J25" s="412">
        <v>1</v>
      </c>
      <c r="K25" s="415">
        <f>ORÇAMENTO!J32</f>
        <v>11590.08</v>
      </c>
      <c r="L25" s="412">
        <v>1</v>
      </c>
      <c r="M25" s="413">
        <f t="shared" si="3"/>
        <v>11590.08</v>
      </c>
    </row>
    <row r="26" spans="2:13" ht="35.1" customHeight="1">
      <c r="B26" s="410" t="str">
        <f>ORÇAMENTO!A33</f>
        <v>20.18</v>
      </c>
      <c r="C26" s="411" t="str">
        <f>ORÇAMENTO!B33</f>
        <v>Sinalização - placas s1 a s7 - 0,21 m x 0,31 m</v>
      </c>
      <c r="D26" s="414"/>
      <c r="E26" s="416"/>
      <c r="F26" s="414"/>
      <c r="G26" s="416"/>
      <c r="H26" s="414"/>
      <c r="I26" s="416"/>
      <c r="J26" s="412">
        <v>1</v>
      </c>
      <c r="K26" s="415">
        <f>ORÇAMENTO!J33</f>
        <v>2221.2800000000002</v>
      </c>
      <c r="L26" s="412">
        <v>1</v>
      </c>
      <c r="M26" s="413">
        <f t="shared" si="3"/>
        <v>2221.2800000000002</v>
      </c>
    </row>
    <row r="27" spans="2:13" ht="35.1" customHeight="1">
      <c r="B27" s="410" t="s">
        <v>19</v>
      </c>
      <c r="C27" s="410"/>
      <c r="D27" s="417"/>
      <c r="E27" s="418">
        <f>SUM(E8:E26)</f>
        <v>29908.440000000002</v>
      </c>
      <c r="F27" s="417"/>
      <c r="G27" s="418">
        <f>SUM(G8:G26)</f>
        <v>45976.72</v>
      </c>
      <c r="H27" s="417"/>
      <c r="I27" s="418">
        <f>SUM(I8:I26)</f>
        <v>58543.93</v>
      </c>
      <c r="J27" s="417"/>
      <c r="K27" s="418">
        <f>SUM(K8:K26)</f>
        <v>42786.52</v>
      </c>
      <c r="L27" s="417"/>
      <c r="M27" s="419">
        <f>SUM(M8:M26)</f>
        <v>177215.60999999996</v>
      </c>
    </row>
    <row r="28" spans="2:13" ht="15.75">
      <c r="B28" s="281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</row>
    <row r="29" spans="2:1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>
      <c r="B30" s="3"/>
      <c r="C30" s="3"/>
      <c r="D30" s="3"/>
      <c r="E30" s="3"/>
      <c r="F30" s="3"/>
      <c r="G30" s="404"/>
      <c r="H30" s="3"/>
      <c r="I30" s="3"/>
      <c r="J30" s="3"/>
      <c r="K30" s="3"/>
      <c r="L30" s="3"/>
      <c r="M30" s="3"/>
    </row>
    <row r="31" spans="2:1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>
      <c r="B36" s="3"/>
      <c r="C36" s="3"/>
      <c r="D36" s="3"/>
      <c r="E36" s="3"/>
      <c r="F36" s="3"/>
      <c r="G36" s="3"/>
      <c r="H36" s="3"/>
      <c r="I36" s="3"/>
      <c r="J36" s="3"/>
      <c r="K36" s="430" t="s">
        <v>381</v>
      </c>
      <c r="L36" s="430"/>
      <c r="M36" s="430"/>
    </row>
    <row r="37" spans="2:13">
      <c r="B37" s="3"/>
      <c r="C37" s="3"/>
      <c r="D37" s="3"/>
      <c r="E37" s="3"/>
      <c r="F37" s="3"/>
      <c r="G37" s="3"/>
      <c r="H37" s="3"/>
      <c r="I37" s="3"/>
      <c r="J37" s="3"/>
      <c r="K37" s="430" t="s">
        <v>382</v>
      </c>
      <c r="L37" s="430"/>
      <c r="M37" s="430"/>
    </row>
    <row r="38" spans="2:13">
      <c r="B38" s="3"/>
      <c r="C38" s="3"/>
      <c r="D38" s="3"/>
      <c r="E38" s="3"/>
      <c r="F38" s="3"/>
      <c r="G38" s="3"/>
      <c r="H38" s="3"/>
      <c r="I38" s="3"/>
      <c r="J38" s="3"/>
      <c r="K38" s="3"/>
      <c r="L38" s="3" t="s">
        <v>383</v>
      </c>
      <c r="M38" s="3"/>
    </row>
    <row r="39" spans="2:1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5">
      <c r="B51" s="3"/>
      <c r="C51" s="3"/>
      <c r="D51" s="9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2:1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2:1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2:1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</sheetData>
  <mergeCells count="16">
    <mergeCell ref="K37:M37"/>
    <mergeCell ref="K36:M36"/>
    <mergeCell ref="C1:M1"/>
    <mergeCell ref="L6:M6"/>
    <mergeCell ref="C6:C7"/>
    <mergeCell ref="J6:K6"/>
    <mergeCell ref="B1:B4"/>
    <mergeCell ref="B6:B7"/>
    <mergeCell ref="D6:E6"/>
    <mergeCell ref="F6:G6"/>
    <mergeCell ref="H6:I6"/>
    <mergeCell ref="I2:M2"/>
    <mergeCell ref="I3:M3"/>
    <mergeCell ref="C2:H2"/>
    <mergeCell ref="C3:H3"/>
    <mergeCell ref="C4:M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2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showGridLines="0" view="pageBreakPreview" zoomScaleNormal="100" zoomScaleSheetLayoutView="100" workbookViewId="0">
      <pane ySplit="3" topLeftCell="A16" activePane="bottomLeft" state="frozen"/>
      <selection activeCell="C26" sqref="C26"/>
      <selection pane="bottomLeft" activeCell="G34" sqref="G34"/>
    </sheetView>
  </sheetViews>
  <sheetFormatPr defaultRowHeight="15"/>
  <cols>
    <col min="1" max="1" width="12" style="87" customWidth="1"/>
    <col min="2" max="2" width="10.28515625" style="87" customWidth="1"/>
    <col min="3" max="3" width="10.28515625" style="145" customWidth="1"/>
    <col min="4" max="5" width="18.42578125" style="145" customWidth="1"/>
    <col min="6" max="7" width="18.42578125" style="87" customWidth="1"/>
    <col min="8" max="9" width="18.42578125" customWidth="1"/>
    <col min="10" max="10" width="22.28515625" style="363" bestFit="1" customWidth="1"/>
  </cols>
  <sheetData>
    <row r="1" spans="1:11" s="19" customFormat="1" ht="33" customHeight="1">
      <c r="A1" s="451"/>
      <c r="B1" s="450" t="s">
        <v>296</v>
      </c>
      <c r="C1" s="450"/>
      <c r="D1" s="450"/>
      <c r="E1" s="450"/>
      <c r="F1" s="450"/>
      <c r="G1" s="450"/>
      <c r="H1" s="450"/>
      <c r="I1" s="450"/>
      <c r="J1" s="450"/>
      <c r="K1" s="146"/>
    </row>
    <row r="2" spans="1:11" s="19" customFormat="1" ht="12.75" customHeight="1">
      <c r="A2" s="451"/>
      <c r="B2" s="457" t="str">
        <f>PAVIM.!G2</f>
        <v>PREFEITURA MUNICIPAL DE MARACAJÁ</v>
      </c>
      <c r="C2" s="457"/>
      <c r="D2" s="457"/>
      <c r="E2" s="457"/>
      <c r="F2" s="457" t="str">
        <f>PAVIM.!I2</f>
        <v>BAIRRO: VILA BEATRIZ</v>
      </c>
      <c r="G2" s="457"/>
      <c r="H2" s="458" t="str">
        <f>PAVIM.!K2</f>
        <v>MUNICIPIO: MARACAJÁ</v>
      </c>
      <c r="I2" s="458"/>
      <c r="J2" s="358" t="str">
        <f>PAVIM.!M2</f>
        <v>ESTADO: SANTA CATARINA</v>
      </c>
    </row>
    <row r="3" spans="1:11" s="19" customFormat="1" ht="12.75" customHeight="1">
      <c r="A3" s="451"/>
      <c r="B3" s="452" t="str">
        <f>PAVIM.!G3</f>
        <v>RUA ELONIR DA SILVEIRA NAZÁRIO</v>
      </c>
      <c r="C3" s="453"/>
      <c r="D3" s="453"/>
      <c r="E3" s="453"/>
      <c r="F3" s="453"/>
      <c r="G3" s="453"/>
      <c r="H3" s="453"/>
      <c r="I3" s="454"/>
      <c r="J3" s="358" t="str">
        <f ca="1">PAVIM.!M3</f>
        <v>DATA: 28/04/26</v>
      </c>
    </row>
    <row r="4" spans="1:11">
      <c r="A4" s="456" t="s">
        <v>169</v>
      </c>
      <c r="B4" s="456"/>
      <c r="C4" s="456"/>
      <c r="D4" s="209" t="s">
        <v>177</v>
      </c>
      <c r="E4" s="210" t="s">
        <v>179</v>
      </c>
      <c r="F4" s="209" t="s">
        <v>178</v>
      </c>
      <c r="G4" s="209" t="s">
        <v>180</v>
      </c>
      <c r="H4" s="210" t="s">
        <v>181</v>
      </c>
      <c r="I4" s="209" t="s">
        <v>178</v>
      </c>
      <c r="J4" s="359" t="s">
        <v>182</v>
      </c>
      <c r="K4" s="79"/>
    </row>
    <row r="5" spans="1:11" s="225" customFormat="1">
      <c r="A5" s="459" t="s">
        <v>318</v>
      </c>
      <c r="B5" s="460"/>
      <c r="C5" s="460"/>
      <c r="D5" s="460"/>
      <c r="E5" s="460"/>
      <c r="F5" s="460"/>
      <c r="G5" s="460"/>
      <c r="H5" s="460"/>
      <c r="I5" s="460"/>
      <c r="J5" s="461"/>
      <c r="K5" s="79"/>
    </row>
    <row r="6" spans="1:11" s="225" customFormat="1" ht="12.95" customHeight="1">
      <c r="A6" s="333">
        <v>0</v>
      </c>
      <c r="B6" s="333" t="s">
        <v>26</v>
      </c>
      <c r="C6" s="211">
        <v>0</v>
      </c>
      <c r="D6" s="211"/>
      <c r="E6" s="214">
        <f>3.5*0.35</f>
        <v>1.2249999999999999</v>
      </c>
      <c r="F6" s="212"/>
      <c r="G6" s="360"/>
      <c r="H6" s="364">
        <v>0</v>
      </c>
      <c r="I6" s="365"/>
      <c r="J6" s="360"/>
    </row>
    <row r="7" spans="1:11" s="225" customFormat="1" ht="12.95" customHeight="1">
      <c r="A7" s="333">
        <v>1</v>
      </c>
      <c r="B7" s="333" t="s">
        <v>26</v>
      </c>
      <c r="C7" s="211">
        <v>0</v>
      </c>
      <c r="D7" s="211">
        <f>((A7*20+C7)-(A6*20+C6))/2</f>
        <v>10</v>
      </c>
      <c r="E7" s="270">
        <f>3.5*0.35</f>
        <v>1.2249999999999999</v>
      </c>
      <c r="F7" s="367">
        <f>E7+E6</f>
        <v>2.4499999999999997</v>
      </c>
      <c r="G7" s="357">
        <f>TRUNC(F7*D7,2)</f>
        <v>24.5</v>
      </c>
      <c r="H7" s="366">
        <v>0</v>
      </c>
      <c r="I7" s="367">
        <f>H7+H6</f>
        <v>0</v>
      </c>
      <c r="J7" s="357">
        <f>TRUNC(I7*D7,2)</f>
        <v>0</v>
      </c>
    </row>
    <row r="8" spans="1:11" s="225" customFormat="1" ht="12.95" customHeight="1">
      <c r="A8" s="333">
        <v>2</v>
      </c>
      <c r="B8" s="333" t="s">
        <v>26</v>
      </c>
      <c r="C8" s="211">
        <v>0</v>
      </c>
      <c r="D8" s="211">
        <f>((A8*20+C8)-(A7*20+C7))/2</f>
        <v>10</v>
      </c>
      <c r="E8" s="270">
        <f>3.5*0.35</f>
        <v>1.2249999999999999</v>
      </c>
      <c r="F8" s="367">
        <f>E8+E7</f>
        <v>2.4499999999999997</v>
      </c>
      <c r="G8" s="357">
        <f>TRUNC(F8*D8,2)</f>
        <v>24.5</v>
      </c>
      <c r="H8" s="366">
        <v>0</v>
      </c>
      <c r="I8" s="367">
        <f>H8+H7</f>
        <v>0</v>
      </c>
      <c r="J8" s="357">
        <f>TRUNC(I8*D8,2)</f>
        <v>0</v>
      </c>
    </row>
    <row r="9" spans="1:11" s="225" customFormat="1" ht="12.95" customHeight="1">
      <c r="A9" s="333">
        <v>3</v>
      </c>
      <c r="B9" s="333" t="s">
        <v>26</v>
      </c>
      <c r="C9" s="211">
        <v>0</v>
      </c>
      <c r="D9" s="211">
        <f>((A9*20+C9)-(A8*20+C8))/2</f>
        <v>10</v>
      </c>
      <c r="E9" s="270">
        <f>3.5*0.35</f>
        <v>1.2249999999999999</v>
      </c>
      <c r="F9" s="367">
        <f>E9+E8</f>
        <v>2.4499999999999997</v>
      </c>
      <c r="G9" s="357">
        <f>TRUNC(F9*D9,2)</f>
        <v>24.5</v>
      </c>
      <c r="H9" s="366">
        <v>0</v>
      </c>
      <c r="I9" s="367">
        <f>H9+H8</f>
        <v>0</v>
      </c>
      <c r="J9" s="357">
        <f>TRUNC(I9*D9,2)</f>
        <v>0</v>
      </c>
    </row>
    <row r="10" spans="1:11" s="225" customFormat="1" ht="12.95" customHeight="1">
      <c r="A10" s="333">
        <v>3</v>
      </c>
      <c r="B10" s="333" t="s">
        <v>26</v>
      </c>
      <c r="C10" s="211">
        <v>0</v>
      </c>
      <c r="D10" s="211">
        <f>((A10*20+C10)-(A9*20+C9))/2</f>
        <v>0</v>
      </c>
      <c r="E10" s="270">
        <f>3.5*0.35</f>
        <v>1.2249999999999999</v>
      </c>
      <c r="F10" s="367">
        <f>E10+E9</f>
        <v>2.4499999999999997</v>
      </c>
      <c r="G10" s="357">
        <f>TRUNC(F10*D10,2)</f>
        <v>0</v>
      </c>
      <c r="H10" s="366">
        <v>0</v>
      </c>
      <c r="I10" s="367">
        <f>H10+H9</f>
        <v>0</v>
      </c>
      <c r="J10" s="357">
        <f>TRUNC(I10*D10,2)</f>
        <v>0</v>
      </c>
    </row>
    <row r="11" spans="1:11" s="225" customFormat="1" ht="12.75" customHeight="1">
      <c r="A11" s="245"/>
      <c r="B11" s="217"/>
      <c r="C11" s="218"/>
      <c r="D11" s="218"/>
      <c r="E11" s="218"/>
      <c r="F11" s="217"/>
      <c r="G11" s="356">
        <f>SUM(G7:G10)</f>
        <v>73.5</v>
      </c>
      <c r="H11" s="218"/>
      <c r="I11" s="217"/>
      <c r="J11" s="356">
        <f>SUM(J7:J10)</f>
        <v>0</v>
      </c>
    </row>
    <row r="12" spans="1:11" s="225" customFormat="1" ht="12.75" customHeight="1">
      <c r="A12" s="246"/>
      <c r="B12" s="219"/>
      <c r="C12" s="220"/>
      <c r="D12" s="220"/>
      <c r="E12" s="220"/>
      <c r="F12" s="219"/>
      <c r="G12" s="221"/>
      <c r="H12" s="220"/>
      <c r="I12" s="219"/>
      <c r="J12" s="361"/>
    </row>
    <row r="13" spans="1:11" s="225" customFormat="1">
      <c r="A13" s="459" t="s">
        <v>319</v>
      </c>
      <c r="B13" s="460"/>
      <c r="C13" s="460"/>
      <c r="D13" s="460"/>
      <c r="E13" s="460"/>
      <c r="F13" s="460"/>
      <c r="G13" s="460"/>
      <c r="H13" s="460"/>
      <c r="I13" s="460"/>
      <c r="J13" s="461"/>
      <c r="K13" s="79"/>
    </row>
    <row r="14" spans="1:11" ht="12.95" customHeight="1">
      <c r="A14" s="269">
        <v>0</v>
      </c>
      <c r="B14" s="269" t="s">
        <v>26</v>
      </c>
      <c r="C14" s="211">
        <v>0</v>
      </c>
      <c r="D14" s="211"/>
      <c r="E14" s="214">
        <v>3.706</v>
      </c>
      <c r="F14" s="212"/>
      <c r="G14" s="213"/>
      <c r="H14" s="214">
        <v>0</v>
      </c>
      <c r="I14" s="215"/>
      <c r="J14" s="360"/>
    </row>
    <row r="15" spans="1:11" s="225" customFormat="1" ht="12.95" customHeight="1">
      <c r="A15" s="333">
        <v>1</v>
      </c>
      <c r="B15" s="333" t="s">
        <v>26</v>
      </c>
      <c r="C15" s="211">
        <v>0</v>
      </c>
      <c r="D15" s="211">
        <f t="shared" ref="D15:D23" si="0">((A15*20+C15)-(A14*20+C14))/2</f>
        <v>10</v>
      </c>
      <c r="E15" s="270">
        <v>2.4489999999999998</v>
      </c>
      <c r="F15" s="216">
        <f t="shared" ref="F15:F23" si="1">E15+E14</f>
        <v>6.1549999999999994</v>
      </c>
      <c r="G15" s="357">
        <f t="shared" ref="G15:G23" si="2">TRUNC(F15*D15,2)</f>
        <v>61.55</v>
      </c>
      <c r="H15" s="270">
        <v>0</v>
      </c>
      <c r="I15" s="216">
        <f t="shared" ref="I15:I23" si="3">H15+H14</f>
        <v>0</v>
      </c>
      <c r="J15" s="357">
        <f>TRUNC(I15*D15,2)</f>
        <v>0</v>
      </c>
    </row>
    <row r="16" spans="1:11" s="225" customFormat="1" ht="12.95" customHeight="1">
      <c r="A16" s="333">
        <v>2</v>
      </c>
      <c r="B16" s="333" t="s">
        <v>26</v>
      </c>
      <c r="C16" s="211">
        <v>0</v>
      </c>
      <c r="D16" s="211">
        <f t="shared" si="0"/>
        <v>10</v>
      </c>
      <c r="E16" s="270">
        <v>1.2709999999999999</v>
      </c>
      <c r="F16" s="216">
        <f t="shared" si="1"/>
        <v>3.7199999999999998</v>
      </c>
      <c r="G16" s="357">
        <f t="shared" si="2"/>
        <v>37.200000000000003</v>
      </c>
      <c r="H16" s="270">
        <v>0</v>
      </c>
      <c r="I16" s="216">
        <f t="shared" si="3"/>
        <v>0</v>
      </c>
      <c r="J16" s="357">
        <f t="shared" ref="J16:J23" si="4">TRUNC(I16*D16,2)</f>
        <v>0</v>
      </c>
    </row>
    <row r="17" spans="1:11" s="225" customFormat="1" ht="12.95" customHeight="1">
      <c r="A17" s="333">
        <v>2</v>
      </c>
      <c r="B17" s="333" t="s">
        <v>26</v>
      </c>
      <c r="C17" s="211">
        <v>5.351</v>
      </c>
      <c r="D17" s="211">
        <f t="shared" si="0"/>
        <v>2.6754999999999995</v>
      </c>
      <c r="E17" s="270">
        <v>0.97199999999999998</v>
      </c>
      <c r="F17" s="216">
        <f t="shared" si="1"/>
        <v>2.2429999999999999</v>
      </c>
      <c r="G17" s="357">
        <f t="shared" si="2"/>
        <v>6</v>
      </c>
      <c r="H17" s="270">
        <v>0</v>
      </c>
      <c r="I17" s="216">
        <f t="shared" si="3"/>
        <v>0</v>
      </c>
      <c r="J17" s="357">
        <f t="shared" si="4"/>
        <v>0</v>
      </c>
    </row>
    <row r="18" spans="1:11" s="225" customFormat="1" ht="12.95" customHeight="1">
      <c r="A18" s="333">
        <v>2</v>
      </c>
      <c r="B18" s="333" t="s">
        <v>26</v>
      </c>
      <c r="C18" s="211">
        <v>6.5620000000000003</v>
      </c>
      <c r="D18" s="211">
        <f t="shared" si="0"/>
        <v>0.60549999999999926</v>
      </c>
      <c r="E18" s="270">
        <v>0.89300000000000002</v>
      </c>
      <c r="F18" s="216">
        <f t="shared" si="1"/>
        <v>1.865</v>
      </c>
      <c r="G18" s="357">
        <f t="shared" si="2"/>
        <v>1.1200000000000001</v>
      </c>
      <c r="H18" s="270">
        <v>0</v>
      </c>
      <c r="I18" s="216">
        <f t="shared" si="3"/>
        <v>0</v>
      </c>
      <c r="J18" s="357">
        <f t="shared" si="4"/>
        <v>0</v>
      </c>
    </row>
    <row r="19" spans="1:11" s="225" customFormat="1" ht="12.95" customHeight="1">
      <c r="A19" s="333">
        <v>3</v>
      </c>
      <c r="B19" s="333" t="s">
        <v>26</v>
      </c>
      <c r="C19" s="211">
        <v>0</v>
      </c>
      <c r="D19" s="211">
        <f t="shared" si="0"/>
        <v>6.7190000000000012</v>
      </c>
      <c r="E19" s="270">
        <v>1.234</v>
      </c>
      <c r="F19" s="216">
        <f t="shared" si="1"/>
        <v>2.1269999999999998</v>
      </c>
      <c r="G19" s="357">
        <f t="shared" si="2"/>
        <v>14.29</v>
      </c>
      <c r="H19" s="270">
        <v>0</v>
      </c>
      <c r="I19" s="216">
        <f t="shared" si="3"/>
        <v>0</v>
      </c>
      <c r="J19" s="357">
        <f t="shared" si="4"/>
        <v>0</v>
      </c>
    </row>
    <row r="20" spans="1:11" s="225" customFormat="1" ht="12.95" customHeight="1">
      <c r="A20" s="333">
        <v>4</v>
      </c>
      <c r="B20" s="333" t="s">
        <v>26</v>
      </c>
      <c r="C20" s="211">
        <v>0</v>
      </c>
      <c r="D20" s="211">
        <f t="shared" si="0"/>
        <v>10</v>
      </c>
      <c r="E20" s="270">
        <v>1.617</v>
      </c>
      <c r="F20" s="216">
        <f t="shared" si="1"/>
        <v>2.851</v>
      </c>
      <c r="G20" s="357">
        <f t="shared" si="2"/>
        <v>28.51</v>
      </c>
      <c r="H20" s="270">
        <v>0</v>
      </c>
      <c r="I20" s="216">
        <f t="shared" si="3"/>
        <v>0</v>
      </c>
      <c r="J20" s="357">
        <f t="shared" si="4"/>
        <v>0</v>
      </c>
    </row>
    <row r="21" spans="1:11" s="225" customFormat="1" ht="12.95" customHeight="1">
      <c r="A21" s="333">
        <v>5</v>
      </c>
      <c r="B21" s="333" t="s">
        <v>26</v>
      </c>
      <c r="C21" s="211">
        <v>0</v>
      </c>
      <c r="D21" s="211">
        <f t="shared" si="0"/>
        <v>10</v>
      </c>
      <c r="E21" s="270">
        <v>2.984</v>
      </c>
      <c r="F21" s="216">
        <f t="shared" si="1"/>
        <v>4.601</v>
      </c>
      <c r="G21" s="357">
        <f t="shared" si="2"/>
        <v>46.01</v>
      </c>
      <c r="H21" s="270">
        <v>0</v>
      </c>
      <c r="I21" s="216">
        <f t="shared" si="3"/>
        <v>0</v>
      </c>
      <c r="J21" s="357">
        <f t="shared" si="4"/>
        <v>0</v>
      </c>
    </row>
    <row r="22" spans="1:11" s="225" customFormat="1" ht="12.95" customHeight="1">
      <c r="A22" s="333">
        <v>6</v>
      </c>
      <c r="B22" s="333" t="s">
        <v>26</v>
      </c>
      <c r="C22" s="211">
        <v>0</v>
      </c>
      <c r="D22" s="211">
        <f t="shared" si="0"/>
        <v>10</v>
      </c>
      <c r="E22" s="270">
        <v>4.3890000000000002</v>
      </c>
      <c r="F22" s="216">
        <f t="shared" si="1"/>
        <v>7.3730000000000002</v>
      </c>
      <c r="G22" s="357">
        <f t="shared" si="2"/>
        <v>73.73</v>
      </c>
      <c r="H22" s="270">
        <v>0</v>
      </c>
      <c r="I22" s="216">
        <f t="shared" si="3"/>
        <v>0</v>
      </c>
      <c r="J22" s="357">
        <f t="shared" si="4"/>
        <v>0</v>
      </c>
    </row>
    <row r="23" spans="1:11" s="225" customFormat="1" ht="12.95" customHeight="1">
      <c r="A23" s="333">
        <v>6</v>
      </c>
      <c r="B23" s="333" t="s">
        <v>26</v>
      </c>
      <c r="C23" s="211">
        <v>10.159000000000001</v>
      </c>
      <c r="D23" s="211">
        <f t="shared" si="0"/>
        <v>5.0794999999999959</v>
      </c>
      <c r="E23" s="270">
        <v>5.6760000000000002</v>
      </c>
      <c r="F23" s="216">
        <f t="shared" si="1"/>
        <v>10.065000000000001</v>
      </c>
      <c r="G23" s="357">
        <f t="shared" si="2"/>
        <v>51.12</v>
      </c>
      <c r="H23" s="270">
        <v>0</v>
      </c>
      <c r="I23" s="216">
        <f t="shared" si="3"/>
        <v>0</v>
      </c>
      <c r="J23" s="357">
        <f t="shared" si="4"/>
        <v>0</v>
      </c>
    </row>
    <row r="24" spans="1:11" ht="12.75" customHeight="1">
      <c r="A24" s="245"/>
      <c r="B24" s="217"/>
      <c r="C24" s="218"/>
      <c r="D24" s="218"/>
      <c r="E24" s="218"/>
      <c r="F24" s="217"/>
      <c r="G24" s="356">
        <f>SUM(G15:G23)</f>
        <v>319.52999999999997</v>
      </c>
      <c r="H24" s="218"/>
      <c r="I24" s="217"/>
      <c r="J24" s="356">
        <f>SUM(J15:J23)</f>
        <v>0</v>
      </c>
    </row>
    <row r="25" spans="1:11" ht="12.75" customHeight="1">
      <c r="A25" s="246"/>
      <c r="B25" s="219"/>
      <c r="C25" s="220"/>
      <c r="D25" s="220"/>
      <c r="E25" s="220"/>
      <c r="F25" s="219"/>
      <c r="G25" s="221"/>
      <c r="H25" s="220"/>
      <c r="I25" s="219"/>
      <c r="J25" s="361"/>
    </row>
    <row r="26" spans="1:11" s="225" customFormat="1">
      <c r="A26" s="459" t="s">
        <v>320</v>
      </c>
      <c r="B26" s="460"/>
      <c r="C26" s="460"/>
      <c r="D26" s="460"/>
      <c r="E26" s="460"/>
      <c r="F26" s="460"/>
      <c r="G26" s="460"/>
      <c r="H26" s="460"/>
      <c r="I26" s="460"/>
      <c r="J26" s="461"/>
      <c r="K26" s="79"/>
    </row>
    <row r="27" spans="1:11" s="225" customFormat="1" ht="12.95" customHeight="1">
      <c r="A27" s="333">
        <v>0</v>
      </c>
      <c r="B27" s="333" t="s">
        <v>26</v>
      </c>
      <c r="C27" s="211">
        <v>0</v>
      </c>
      <c r="D27" s="211"/>
      <c r="E27" s="214">
        <v>3.0569999999999999</v>
      </c>
      <c r="F27" s="212"/>
      <c r="G27" s="213"/>
      <c r="H27" s="214">
        <v>0</v>
      </c>
      <c r="I27" s="215"/>
      <c r="J27" s="360"/>
    </row>
    <row r="28" spans="1:11" s="225" customFormat="1" ht="12.95" customHeight="1">
      <c r="A28" s="333">
        <v>1</v>
      </c>
      <c r="B28" s="333" t="s">
        <v>26</v>
      </c>
      <c r="C28" s="211">
        <v>0</v>
      </c>
      <c r="D28" s="211">
        <f t="shared" ref="D28:D35" si="5">((A28*20+C28)-(A27*20+C27))/2</f>
        <v>10</v>
      </c>
      <c r="E28" s="270">
        <v>1.772</v>
      </c>
      <c r="F28" s="216">
        <f>E28+E27</f>
        <v>4.8289999999999997</v>
      </c>
      <c r="G28" s="357">
        <f>TRUNC(F28*D28,2)</f>
        <v>48.29</v>
      </c>
      <c r="H28" s="270">
        <v>0</v>
      </c>
      <c r="I28" s="216">
        <f>H28+H27</f>
        <v>0</v>
      </c>
      <c r="J28" s="357">
        <f>TRUNC(I28*D28,2)</f>
        <v>0</v>
      </c>
    </row>
    <row r="29" spans="1:11" s="225" customFormat="1" ht="12.95" customHeight="1">
      <c r="A29" s="333">
        <v>2</v>
      </c>
      <c r="B29" s="333" t="s">
        <v>26</v>
      </c>
      <c r="C29" s="211">
        <v>0</v>
      </c>
      <c r="D29" s="211">
        <f t="shared" si="5"/>
        <v>10</v>
      </c>
      <c r="E29" s="270">
        <v>1.8919999999999999</v>
      </c>
      <c r="F29" s="216">
        <f>E29+E28</f>
        <v>3.6639999999999997</v>
      </c>
      <c r="G29" s="357">
        <f>TRUNC(F29*D29,2)</f>
        <v>36.64</v>
      </c>
      <c r="H29" s="270">
        <v>0</v>
      </c>
      <c r="I29" s="216">
        <f>H29+H28</f>
        <v>0</v>
      </c>
      <c r="J29" s="357">
        <f>TRUNC(I29*D29,2)</f>
        <v>0</v>
      </c>
    </row>
    <row r="30" spans="1:11" s="225" customFormat="1" ht="12.95" customHeight="1">
      <c r="A30" s="333">
        <v>3</v>
      </c>
      <c r="B30" s="333" t="s">
        <v>26</v>
      </c>
      <c r="C30" s="211">
        <v>0</v>
      </c>
      <c r="D30" s="211">
        <f t="shared" si="5"/>
        <v>10</v>
      </c>
      <c r="E30" s="270">
        <v>2.1240000000000001</v>
      </c>
      <c r="F30" s="216">
        <f>E30+E29</f>
        <v>4.016</v>
      </c>
      <c r="G30" s="357">
        <f>TRUNC(F30*D30,2)</f>
        <v>40.159999999999997</v>
      </c>
      <c r="H30" s="270">
        <v>0</v>
      </c>
      <c r="I30" s="216">
        <f>H30+H29</f>
        <v>0</v>
      </c>
      <c r="J30" s="357">
        <f>TRUNC(I30*D30,2)</f>
        <v>0</v>
      </c>
    </row>
    <row r="31" spans="1:11" s="225" customFormat="1" ht="12.95" customHeight="1">
      <c r="A31" s="333">
        <v>3</v>
      </c>
      <c r="B31" s="333" t="s">
        <v>26</v>
      </c>
      <c r="C31" s="211">
        <v>10.28</v>
      </c>
      <c r="D31" s="211">
        <f t="shared" si="5"/>
        <v>5.1400000000000006</v>
      </c>
      <c r="E31" s="270">
        <v>2.1389999999999998</v>
      </c>
      <c r="F31" s="216">
        <f>E31+E30</f>
        <v>4.2629999999999999</v>
      </c>
      <c r="G31" s="357">
        <f>TRUNC(F31*D31,2)</f>
        <v>21.91</v>
      </c>
      <c r="H31" s="270">
        <v>0</v>
      </c>
      <c r="I31" s="216">
        <f>H31+H30</f>
        <v>0</v>
      </c>
      <c r="J31" s="357">
        <f>TRUNC(I31*D31,2)</f>
        <v>0</v>
      </c>
    </row>
    <row r="32" spans="1:11" s="225" customFormat="1" ht="12.95" customHeight="1">
      <c r="A32" s="333">
        <v>4</v>
      </c>
      <c r="B32" s="333" t="s">
        <v>26</v>
      </c>
      <c r="C32" s="211">
        <v>0</v>
      </c>
      <c r="D32" s="211">
        <f t="shared" si="5"/>
        <v>4.8599999999999994</v>
      </c>
      <c r="E32" s="270">
        <v>2.0870000000000002</v>
      </c>
      <c r="F32" s="216">
        <f>E32+E31</f>
        <v>4.226</v>
      </c>
      <c r="G32" s="357">
        <f>TRUNC(F32*D32,2)</f>
        <v>20.53</v>
      </c>
      <c r="H32" s="270">
        <v>0</v>
      </c>
      <c r="I32" s="216">
        <f>H32+H31</f>
        <v>0</v>
      </c>
      <c r="J32" s="357">
        <f>TRUNC(I32*D32,2)</f>
        <v>0</v>
      </c>
    </row>
    <row r="33" spans="1:10" s="225" customFormat="1" ht="12.95" customHeight="1">
      <c r="A33" s="333">
        <v>4</v>
      </c>
      <c r="B33" s="333" t="s">
        <v>26</v>
      </c>
      <c r="C33" s="211">
        <v>14.015000000000001</v>
      </c>
      <c r="D33" s="211">
        <f t="shared" si="5"/>
        <v>7.0075000000000003</v>
      </c>
      <c r="E33" s="270">
        <v>3.0089999999999999</v>
      </c>
      <c r="F33" s="216">
        <f t="shared" ref="F33:F40" si="6">E33+E32</f>
        <v>5.0960000000000001</v>
      </c>
      <c r="G33" s="357">
        <f t="shared" ref="G33:G40" si="7">TRUNC(F33*D33,2)</f>
        <v>35.71</v>
      </c>
      <c r="H33" s="270">
        <v>0</v>
      </c>
      <c r="I33" s="216">
        <f t="shared" ref="I33:I40" si="8">H33+H32</f>
        <v>0</v>
      </c>
      <c r="J33" s="357">
        <f t="shared" ref="J33:J40" si="9">TRUNC(I33*D33,2)</f>
        <v>0</v>
      </c>
    </row>
    <row r="34" spans="1:10" s="225" customFormat="1" ht="12.95" customHeight="1">
      <c r="A34" s="333">
        <v>5</v>
      </c>
      <c r="B34" s="333" t="s">
        <v>26</v>
      </c>
      <c r="C34" s="211">
        <v>0</v>
      </c>
      <c r="D34" s="211">
        <f t="shared" si="5"/>
        <v>2.9924999999999997</v>
      </c>
      <c r="E34" s="270">
        <v>2.8039999999999998</v>
      </c>
      <c r="F34" s="216">
        <f t="shared" si="6"/>
        <v>5.8129999999999997</v>
      </c>
      <c r="G34" s="357">
        <f t="shared" si="7"/>
        <v>17.39</v>
      </c>
      <c r="H34" s="270">
        <v>0</v>
      </c>
      <c r="I34" s="216">
        <f t="shared" si="8"/>
        <v>0</v>
      </c>
      <c r="J34" s="357">
        <f t="shared" si="9"/>
        <v>0</v>
      </c>
    </row>
    <row r="35" spans="1:10" s="225" customFormat="1" ht="12.95" customHeight="1">
      <c r="A35" s="333">
        <v>6</v>
      </c>
      <c r="B35" s="333" t="s">
        <v>26</v>
      </c>
      <c r="C35" s="211">
        <v>0</v>
      </c>
      <c r="D35" s="211">
        <f t="shared" si="5"/>
        <v>10</v>
      </c>
      <c r="E35" s="270">
        <v>2.7839999999999998</v>
      </c>
      <c r="F35" s="216">
        <f t="shared" si="6"/>
        <v>5.5879999999999992</v>
      </c>
      <c r="G35" s="357">
        <f t="shared" si="7"/>
        <v>55.88</v>
      </c>
      <c r="H35" s="270">
        <v>0</v>
      </c>
      <c r="I35" s="216">
        <f t="shared" si="8"/>
        <v>0</v>
      </c>
      <c r="J35" s="357">
        <f t="shared" si="9"/>
        <v>0</v>
      </c>
    </row>
    <row r="36" spans="1:10" s="225" customFormat="1" ht="12.95" customHeight="1">
      <c r="A36" s="333">
        <v>7</v>
      </c>
      <c r="B36" s="333" t="s">
        <v>26</v>
      </c>
      <c r="C36" s="211">
        <v>0</v>
      </c>
      <c r="D36" s="211">
        <f>((A36*20+C36)-(A35*20+C35))/2</f>
        <v>10</v>
      </c>
      <c r="E36" s="270">
        <v>4.5060000000000002</v>
      </c>
      <c r="F36" s="216">
        <f t="shared" si="6"/>
        <v>7.29</v>
      </c>
      <c r="G36" s="357">
        <f t="shared" si="7"/>
        <v>72.900000000000006</v>
      </c>
      <c r="H36" s="270">
        <v>0</v>
      </c>
      <c r="I36" s="216">
        <f t="shared" si="8"/>
        <v>0</v>
      </c>
      <c r="J36" s="357">
        <f t="shared" si="9"/>
        <v>0</v>
      </c>
    </row>
    <row r="37" spans="1:10" s="225" customFormat="1" ht="12.95" customHeight="1">
      <c r="A37" s="333">
        <v>8</v>
      </c>
      <c r="B37" s="333" t="s">
        <v>26</v>
      </c>
      <c r="C37" s="211">
        <v>0</v>
      </c>
      <c r="D37" s="211">
        <f>((A37*20+C37)-(A36*20+C36))/2</f>
        <v>10</v>
      </c>
      <c r="E37" s="270">
        <v>4.8760000000000003</v>
      </c>
      <c r="F37" s="216">
        <f t="shared" si="6"/>
        <v>9.3820000000000014</v>
      </c>
      <c r="G37" s="357">
        <f t="shared" si="7"/>
        <v>93.82</v>
      </c>
      <c r="H37" s="270">
        <v>0</v>
      </c>
      <c r="I37" s="216">
        <f t="shared" si="8"/>
        <v>0</v>
      </c>
      <c r="J37" s="357">
        <f t="shared" si="9"/>
        <v>0</v>
      </c>
    </row>
    <row r="38" spans="1:10" s="225" customFormat="1" ht="12.95" customHeight="1">
      <c r="A38" s="333">
        <v>9</v>
      </c>
      <c r="B38" s="333" t="s">
        <v>26</v>
      </c>
      <c r="C38" s="211">
        <v>0</v>
      </c>
      <c r="D38" s="211">
        <f>((A38*20+C38)-(A37*20+C37))/2</f>
        <v>10</v>
      </c>
      <c r="E38" s="270">
        <v>5.2160000000000002</v>
      </c>
      <c r="F38" s="216">
        <f t="shared" si="6"/>
        <v>10.092000000000001</v>
      </c>
      <c r="G38" s="357">
        <f t="shared" si="7"/>
        <v>100.92</v>
      </c>
      <c r="H38" s="270">
        <v>0</v>
      </c>
      <c r="I38" s="216">
        <f t="shared" si="8"/>
        <v>0</v>
      </c>
      <c r="J38" s="357">
        <f t="shared" si="9"/>
        <v>0</v>
      </c>
    </row>
    <row r="39" spans="1:10" s="225" customFormat="1" ht="12.95" customHeight="1">
      <c r="A39" s="333">
        <v>10</v>
      </c>
      <c r="B39" s="333" t="s">
        <v>26</v>
      </c>
      <c r="C39" s="211">
        <v>0</v>
      </c>
      <c r="D39" s="211">
        <f>((A39*20+C39)-(A38*20+C38))/2</f>
        <v>10</v>
      </c>
      <c r="E39" s="270">
        <v>5.1639999999999997</v>
      </c>
      <c r="F39" s="216">
        <f t="shared" si="6"/>
        <v>10.379999999999999</v>
      </c>
      <c r="G39" s="357">
        <f t="shared" si="7"/>
        <v>103.8</v>
      </c>
      <c r="H39" s="270">
        <v>0</v>
      </c>
      <c r="I39" s="216">
        <f t="shared" si="8"/>
        <v>0</v>
      </c>
      <c r="J39" s="357">
        <f t="shared" si="9"/>
        <v>0</v>
      </c>
    </row>
    <row r="40" spans="1:10" s="225" customFormat="1" ht="12.95" customHeight="1">
      <c r="A40" s="333">
        <v>10</v>
      </c>
      <c r="B40" s="333" t="s">
        <v>26</v>
      </c>
      <c r="C40" s="211">
        <v>7.7480000000000002</v>
      </c>
      <c r="D40" s="211">
        <f>((A40*20+C40)-(A39*20+C39))/2</f>
        <v>3.8739999999999952</v>
      </c>
      <c r="E40" s="270">
        <v>4.4669999999999996</v>
      </c>
      <c r="F40" s="216">
        <f t="shared" si="6"/>
        <v>9.6310000000000002</v>
      </c>
      <c r="G40" s="357">
        <f t="shared" si="7"/>
        <v>37.31</v>
      </c>
      <c r="H40" s="270">
        <v>0</v>
      </c>
      <c r="I40" s="216">
        <f t="shared" si="8"/>
        <v>0</v>
      </c>
      <c r="J40" s="357">
        <f t="shared" si="9"/>
        <v>0</v>
      </c>
    </row>
    <row r="41" spans="1:10" s="225" customFormat="1" ht="12.75" customHeight="1">
      <c r="A41" s="245"/>
      <c r="B41" s="217"/>
      <c r="C41" s="218"/>
      <c r="D41" s="218"/>
      <c r="E41" s="218"/>
      <c r="F41" s="217"/>
      <c r="G41" s="356">
        <f>SUM(G28:G40)</f>
        <v>685.26</v>
      </c>
      <c r="H41" s="218"/>
      <c r="I41" s="217"/>
      <c r="J41" s="356">
        <f>SUM(J28:J40)</f>
        <v>0</v>
      </c>
    </row>
    <row r="42" spans="1:10" s="225" customFormat="1" ht="12.75" customHeight="1">
      <c r="A42" s="246"/>
      <c r="B42" s="219"/>
      <c r="C42" s="220"/>
      <c r="D42" s="220"/>
      <c r="E42" s="220"/>
      <c r="F42" s="219"/>
      <c r="G42" s="221"/>
      <c r="H42" s="220"/>
      <c r="I42" s="219"/>
      <c r="J42" s="361"/>
    </row>
    <row r="43" spans="1:10" ht="12.75" customHeight="1">
      <c r="A43" s="455" t="s">
        <v>292</v>
      </c>
      <c r="B43" s="455"/>
      <c r="C43" s="455"/>
      <c r="D43" s="455"/>
      <c r="E43" s="455"/>
      <c r="F43" s="455"/>
      <c r="G43" s="455"/>
      <c r="H43" s="455"/>
      <c r="I43" s="356">
        <f>G11+G24+G41</f>
        <v>1078.29</v>
      </c>
      <c r="J43" s="362"/>
    </row>
    <row r="44" spans="1:10" ht="12.75" customHeight="1"/>
    <row r="45" spans="1:10" ht="12.75" customHeight="1"/>
    <row r="46" spans="1:10" ht="12.75" customHeight="1"/>
    <row r="47" spans="1:10" ht="12.75" customHeight="1"/>
    <row r="48" spans="1:10" ht="12.75" customHeight="1"/>
    <row r="49" ht="12.75" customHeight="1"/>
  </sheetData>
  <mergeCells count="11">
    <mergeCell ref="B1:J1"/>
    <mergeCell ref="A1:A3"/>
    <mergeCell ref="B3:I3"/>
    <mergeCell ref="A43:H43"/>
    <mergeCell ref="A4:C4"/>
    <mergeCell ref="F2:G2"/>
    <mergeCell ref="H2:I2"/>
    <mergeCell ref="B2:E2"/>
    <mergeCell ref="A13:J13"/>
    <mergeCell ref="A26:J26"/>
    <mergeCell ref="A5:J5"/>
  </mergeCells>
  <printOptions horizontalCentered="1"/>
  <pageMargins left="0.51181102362204722" right="0.51181102362204722" top="0.78740157480314965" bottom="0.78740157480314965" header="0.31496062992125984" footer="0.11811023622047245"/>
  <pageSetup paperSize="9" scale="80" orientation="landscape" r:id="rId1"/>
  <headerFooter>
    <oddFooter>&amp;CEng° Darcio Pagani Vieira
Crea/SC - 077.222-9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R67"/>
  <sheetViews>
    <sheetView showGridLines="0" view="pageBreakPreview" zoomScaleNormal="100" zoomScaleSheetLayoutView="100" workbookViewId="0">
      <selection activeCell="F10" sqref="F10"/>
    </sheetView>
  </sheetViews>
  <sheetFormatPr defaultRowHeight="12.75"/>
  <cols>
    <col min="1" max="1" width="6.28515625" style="88" customWidth="1"/>
    <col min="2" max="2" width="6.5703125" style="88" bestFit="1" customWidth="1"/>
    <col min="3" max="3" width="9" style="88" customWidth="1"/>
    <col min="4" max="4" width="9.28515625" style="88" customWidth="1"/>
    <col min="5" max="5" width="8.5703125" style="88" customWidth="1"/>
    <col min="6" max="6" width="11.140625" style="88" customWidth="1"/>
    <col min="7" max="7" width="8" style="88" bestFit="1" customWidth="1"/>
    <col min="8" max="8" width="5.28515625" style="88" customWidth="1"/>
    <col min="9" max="9" width="8" style="88" bestFit="1" customWidth="1"/>
    <col min="10" max="10" width="8.42578125" style="88" customWidth="1"/>
    <col min="11" max="11" width="20.140625" style="88" customWidth="1"/>
    <col min="12" max="12" width="5.7109375" style="88" bestFit="1" customWidth="1"/>
    <col min="13" max="256" width="9.140625" style="88"/>
    <col min="257" max="257" width="6.28515625" style="88" customWidth="1"/>
    <col min="258" max="258" width="6.5703125" style="88" bestFit="1" customWidth="1"/>
    <col min="259" max="259" width="9" style="88" customWidth="1"/>
    <col min="260" max="260" width="9.28515625" style="88" customWidth="1"/>
    <col min="261" max="261" width="8.5703125" style="88" customWidth="1"/>
    <col min="262" max="262" width="11.140625" style="88" customWidth="1"/>
    <col min="263" max="263" width="8" style="88" bestFit="1" customWidth="1"/>
    <col min="264" max="264" width="5.28515625" style="88" customWidth="1"/>
    <col min="265" max="265" width="8" style="88" bestFit="1" customWidth="1"/>
    <col min="266" max="266" width="8.42578125" style="88" customWidth="1"/>
    <col min="267" max="267" width="20.140625" style="88" customWidth="1"/>
    <col min="268" max="268" width="5.7109375" style="88" bestFit="1" customWidth="1"/>
    <col min="269" max="512" width="9.140625" style="88"/>
    <col min="513" max="513" width="6.28515625" style="88" customWidth="1"/>
    <col min="514" max="514" width="6.5703125" style="88" bestFit="1" customWidth="1"/>
    <col min="515" max="515" width="9" style="88" customWidth="1"/>
    <col min="516" max="516" width="9.28515625" style="88" customWidth="1"/>
    <col min="517" max="517" width="8.5703125" style="88" customWidth="1"/>
    <col min="518" max="518" width="11.140625" style="88" customWidth="1"/>
    <col min="519" max="519" width="8" style="88" bestFit="1" customWidth="1"/>
    <col min="520" max="520" width="5.28515625" style="88" customWidth="1"/>
    <col min="521" max="521" width="8" style="88" bestFit="1" customWidth="1"/>
    <col min="522" max="522" width="8.42578125" style="88" customWidth="1"/>
    <col min="523" max="523" width="20.140625" style="88" customWidth="1"/>
    <col min="524" max="524" width="5.7109375" style="88" bestFit="1" customWidth="1"/>
    <col min="525" max="768" width="9.140625" style="88"/>
    <col min="769" max="769" width="6.28515625" style="88" customWidth="1"/>
    <col min="770" max="770" width="6.5703125" style="88" bestFit="1" customWidth="1"/>
    <col min="771" max="771" width="9" style="88" customWidth="1"/>
    <col min="772" max="772" width="9.28515625" style="88" customWidth="1"/>
    <col min="773" max="773" width="8.5703125" style="88" customWidth="1"/>
    <col min="774" max="774" width="11.140625" style="88" customWidth="1"/>
    <col min="775" max="775" width="8" style="88" bestFit="1" customWidth="1"/>
    <col min="776" max="776" width="5.28515625" style="88" customWidth="1"/>
    <col min="777" max="777" width="8" style="88" bestFit="1" customWidth="1"/>
    <col min="778" max="778" width="8.42578125" style="88" customWidth="1"/>
    <col min="779" max="779" width="20.140625" style="88" customWidth="1"/>
    <col min="780" max="780" width="5.7109375" style="88" bestFit="1" customWidth="1"/>
    <col min="781" max="1024" width="9.140625" style="88"/>
    <col min="1025" max="1025" width="6.28515625" style="88" customWidth="1"/>
    <col min="1026" max="1026" width="6.5703125" style="88" bestFit="1" customWidth="1"/>
    <col min="1027" max="1027" width="9" style="88" customWidth="1"/>
    <col min="1028" max="1028" width="9.28515625" style="88" customWidth="1"/>
    <col min="1029" max="1029" width="8.5703125" style="88" customWidth="1"/>
    <col min="1030" max="1030" width="11.140625" style="88" customWidth="1"/>
    <col min="1031" max="1031" width="8" style="88" bestFit="1" customWidth="1"/>
    <col min="1032" max="1032" width="5.28515625" style="88" customWidth="1"/>
    <col min="1033" max="1033" width="8" style="88" bestFit="1" customWidth="1"/>
    <col min="1034" max="1034" width="8.42578125" style="88" customWidth="1"/>
    <col min="1035" max="1035" width="20.140625" style="88" customWidth="1"/>
    <col min="1036" max="1036" width="5.7109375" style="88" bestFit="1" customWidth="1"/>
    <col min="1037" max="1280" width="9.140625" style="88"/>
    <col min="1281" max="1281" width="6.28515625" style="88" customWidth="1"/>
    <col min="1282" max="1282" width="6.5703125" style="88" bestFit="1" customWidth="1"/>
    <col min="1283" max="1283" width="9" style="88" customWidth="1"/>
    <col min="1284" max="1284" width="9.28515625" style="88" customWidth="1"/>
    <col min="1285" max="1285" width="8.5703125" style="88" customWidth="1"/>
    <col min="1286" max="1286" width="11.140625" style="88" customWidth="1"/>
    <col min="1287" max="1287" width="8" style="88" bestFit="1" customWidth="1"/>
    <col min="1288" max="1288" width="5.28515625" style="88" customWidth="1"/>
    <col min="1289" max="1289" width="8" style="88" bestFit="1" customWidth="1"/>
    <col min="1290" max="1290" width="8.42578125" style="88" customWidth="1"/>
    <col min="1291" max="1291" width="20.140625" style="88" customWidth="1"/>
    <col min="1292" max="1292" width="5.7109375" style="88" bestFit="1" customWidth="1"/>
    <col min="1293" max="1536" width="9.140625" style="88"/>
    <col min="1537" max="1537" width="6.28515625" style="88" customWidth="1"/>
    <col min="1538" max="1538" width="6.5703125" style="88" bestFit="1" customWidth="1"/>
    <col min="1539" max="1539" width="9" style="88" customWidth="1"/>
    <col min="1540" max="1540" width="9.28515625" style="88" customWidth="1"/>
    <col min="1541" max="1541" width="8.5703125" style="88" customWidth="1"/>
    <col min="1542" max="1542" width="11.140625" style="88" customWidth="1"/>
    <col min="1543" max="1543" width="8" style="88" bestFit="1" customWidth="1"/>
    <col min="1544" max="1544" width="5.28515625" style="88" customWidth="1"/>
    <col min="1545" max="1545" width="8" style="88" bestFit="1" customWidth="1"/>
    <col min="1546" max="1546" width="8.42578125" style="88" customWidth="1"/>
    <col min="1547" max="1547" width="20.140625" style="88" customWidth="1"/>
    <col min="1548" max="1548" width="5.7109375" style="88" bestFit="1" customWidth="1"/>
    <col min="1549" max="1792" width="9.140625" style="88"/>
    <col min="1793" max="1793" width="6.28515625" style="88" customWidth="1"/>
    <col min="1794" max="1794" width="6.5703125" style="88" bestFit="1" customWidth="1"/>
    <col min="1795" max="1795" width="9" style="88" customWidth="1"/>
    <col min="1796" max="1796" width="9.28515625" style="88" customWidth="1"/>
    <col min="1797" max="1797" width="8.5703125" style="88" customWidth="1"/>
    <col min="1798" max="1798" width="11.140625" style="88" customWidth="1"/>
    <col min="1799" max="1799" width="8" style="88" bestFit="1" customWidth="1"/>
    <col min="1800" max="1800" width="5.28515625" style="88" customWidth="1"/>
    <col min="1801" max="1801" width="8" style="88" bestFit="1" customWidth="1"/>
    <col min="1802" max="1802" width="8.42578125" style="88" customWidth="1"/>
    <col min="1803" max="1803" width="20.140625" style="88" customWidth="1"/>
    <col min="1804" max="1804" width="5.7109375" style="88" bestFit="1" customWidth="1"/>
    <col min="1805" max="2048" width="9.140625" style="88"/>
    <col min="2049" max="2049" width="6.28515625" style="88" customWidth="1"/>
    <col min="2050" max="2050" width="6.5703125" style="88" bestFit="1" customWidth="1"/>
    <col min="2051" max="2051" width="9" style="88" customWidth="1"/>
    <col min="2052" max="2052" width="9.28515625" style="88" customWidth="1"/>
    <col min="2053" max="2053" width="8.5703125" style="88" customWidth="1"/>
    <col min="2054" max="2054" width="11.140625" style="88" customWidth="1"/>
    <col min="2055" max="2055" width="8" style="88" bestFit="1" customWidth="1"/>
    <col min="2056" max="2056" width="5.28515625" style="88" customWidth="1"/>
    <col min="2057" max="2057" width="8" style="88" bestFit="1" customWidth="1"/>
    <col min="2058" max="2058" width="8.42578125" style="88" customWidth="1"/>
    <col min="2059" max="2059" width="20.140625" style="88" customWidth="1"/>
    <col min="2060" max="2060" width="5.7109375" style="88" bestFit="1" customWidth="1"/>
    <col min="2061" max="2304" width="9.140625" style="88"/>
    <col min="2305" max="2305" width="6.28515625" style="88" customWidth="1"/>
    <col min="2306" max="2306" width="6.5703125" style="88" bestFit="1" customWidth="1"/>
    <col min="2307" max="2307" width="9" style="88" customWidth="1"/>
    <col min="2308" max="2308" width="9.28515625" style="88" customWidth="1"/>
    <col min="2309" max="2309" width="8.5703125" style="88" customWidth="1"/>
    <col min="2310" max="2310" width="11.140625" style="88" customWidth="1"/>
    <col min="2311" max="2311" width="8" style="88" bestFit="1" customWidth="1"/>
    <col min="2312" max="2312" width="5.28515625" style="88" customWidth="1"/>
    <col min="2313" max="2313" width="8" style="88" bestFit="1" customWidth="1"/>
    <col min="2314" max="2314" width="8.42578125" style="88" customWidth="1"/>
    <col min="2315" max="2315" width="20.140625" style="88" customWidth="1"/>
    <col min="2316" max="2316" width="5.7109375" style="88" bestFit="1" customWidth="1"/>
    <col min="2317" max="2560" width="9.140625" style="88"/>
    <col min="2561" max="2561" width="6.28515625" style="88" customWidth="1"/>
    <col min="2562" max="2562" width="6.5703125" style="88" bestFit="1" customWidth="1"/>
    <col min="2563" max="2563" width="9" style="88" customWidth="1"/>
    <col min="2564" max="2564" width="9.28515625" style="88" customWidth="1"/>
    <col min="2565" max="2565" width="8.5703125" style="88" customWidth="1"/>
    <col min="2566" max="2566" width="11.140625" style="88" customWidth="1"/>
    <col min="2567" max="2567" width="8" style="88" bestFit="1" customWidth="1"/>
    <col min="2568" max="2568" width="5.28515625" style="88" customWidth="1"/>
    <col min="2569" max="2569" width="8" style="88" bestFit="1" customWidth="1"/>
    <col min="2570" max="2570" width="8.42578125" style="88" customWidth="1"/>
    <col min="2571" max="2571" width="20.140625" style="88" customWidth="1"/>
    <col min="2572" max="2572" width="5.7109375" style="88" bestFit="1" customWidth="1"/>
    <col min="2573" max="2816" width="9.140625" style="88"/>
    <col min="2817" max="2817" width="6.28515625" style="88" customWidth="1"/>
    <col min="2818" max="2818" width="6.5703125" style="88" bestFit="1" customWidth="1"/>
    <col min="2819" max="2819" width="9" style="88" customWidth="1"/>
    <col min="2820" max="2820" width="9.28515625" style="88" customWidth="1"/>
    <col min="2821" max="2821" width="8.5703125" style="88" customWidth="1"/>
    <col min="2822" max="2822" width="11.140625" style="88" customWidth="1"/>
    <col min="2823" max="2823" width="8" style="88" bestFit="1" customWidth="1"/>
    <col min="2824" max="2824" width="5.28515625" style="88" customWidth="1"/>
    <col min="2825" max="2825" width="8" style="88" bestFit="1" customWidth="1"/>
    <col min="2826" max="2826" width="8.42578125" style="88" customWidth="1"/>
    <col min="2827" max="2827" width="20.140625" style="88" customWidth="1"/>
    <col min="2828" max="2828" width="5.7109375" style="88" bestFit="1" customWidth="1"/>
    <col min="2829" max="3072" width="9.140625" style="88"/>
    <col min="3073" max="3073" width="6.28515625" style="88" customWidth="1"/>
    <col min="3074" max="3074" width="6.5703125" style="88" bestFit="1" customWidth="1"/>
    <col min="3075" max="3075" width="9" style="88" customWidth="1"/>
    <col min="3076" max="3076" width="9.28515625" style="88" customWidth="1"/>
    <col min="3077" max="3077" width="8.5703125" style="88" customWidth="1"/>
    <col min="3078" max="3078" width="11.140625" style="88" customWidth="1"/>
    <col min="3079" max="3079" width="8" style="88" bestFit="1" customWidth="1"/>
    <col min="3080" max="3080" width="5.28515625" style="88" customWidth="1"/>
    <col min="3081" max="3081" width="8" style="88" bestFit="1" customWidth="1"/>
    <col min="3082" max="3082" width="8.42578125" style="88" customWidth="1"/>
    <col min="3083" max="3083" width="20.140625" style="88" customWidth="1"/>
    <col min="3084" max="3084" width="5.7109375" style="88" bestFit="1" customWidth="1"/>
    <col min="3085" max="3328" width="9.140625" style="88"/>
    <col min="3329" max="3329" width="6.28515625" style="88" customWidth="1"/>
    <col min="3330" max="3330" width="6.5703125" style="88" bestFit="1" customWidth="1"/>
    <col min="3331" max="3331" width="9" style="88" customWidth="1"/>
    <col min="3332" max="3332" width="9.28515625" style="88" customWidth="1"/>
    <col min="3333" max="3333" width="8.5703125" style="88" customWidth="1"/>
    <col min="3334" max="3334" width="11.140625" style="88" customWidth="1"/>
    <col min="3335" max="3335" width="8" style="88" bestFit="1" customWidth="1"/>
    <col min="3336" max="3336" width="5.28515625" style="88" customWidth="1"/>
    <col min="3337" max="3337" width="8" style="88" bestFit="1" customWidth="1"/>
    <col min="3338" max="3338" width="8.42578125" style="88" customWidth="1"/>
    <col min="3339" max="3339" width="20.140625" style="88" customWidth="1"/>
    <col min="3340" max="3340" width="5.7109375" style="88" bestFit="1" customWidth="1"/>
    <col min="3341" max="3584" width="9.140625" style="88"/>
    <col min="3585" max="3585" width="6.28515625" style="88" customWidth="1"/>
    <col min="3586" max="3586" width="6.5703125" style="88" bestFit="1" customWidth="1"/>
    <col min="3587" max="3587" width="9" style="88" customWidth="1"/>
    <col min="3588" max="3588" width="9.28515625" style="88" customWidth="1"/>
    <col min="3589" max="3589" width="8.5703125" style="88" customWidth="1"/>
    <col min="3590" max="3590" width="11.140625" style="88" customWidth="1"/>
    <col min="3591" max="3591" width="8" style="88" bestFit="1" customWidth="1"/>
    <col min="3592" max="3592" width="5.28515625" style="88" customWidth="1"/>
    <col min="3593" max="3593" width="8" style="88" bestFit="1" customWidth="1"/>
    <col min="3594" max="3594" width="8.42578125" style="88" customWidth="1"/>
    <col min="3595" max="3595" width="20.140625" style="88" customWidth="1"/>
    <col min="3596" max="3596" width="5.7109375" style="88" bestFit="1" customWidth="1"/>
    <col min="3597" max="3840" width="9.140625" style="88"/>
    <col min="3841" max="3841" width="6.28515625" style="88" customWidth="1"/>
    <col min="3842" max="3842" width="6.5703125" style="88" bestFit="1" customWidth="1"/>
    <col min="3843" max="3843" width="9" style="88" customWidth="1"/>
    <col min="3844" max="3844" width="9.28515625" style="88" customWidth="1"/>
    <col min="3845" max="3845" width="8.5703125" style="88" customWidth="1"/>
    <col min="3846" max="3846" width="11.140625" style="88" customWidth="1"/>
    <col min="3847" max="3847" width="8" style="88" bestFit="1" customWidth="1"/>
    <col min="3848" max="3848" width="5.28515625" style="88" customWidth="1"/>
    <col min="3849" max="3849" width="8" style="88" bestFit="1" customWidth="1"/>
    <col min="3850" max="3850" width="8.42578125" style="88" customWidth="1"/>
    <col min="3851" max="3851" width="20.140625" style="88" customWidth="1"/>
    <col min="3852" max="3852" width="5.7109375" style="88" bestFit="1" customWidth="1"/>
    <col min="3853" max="4096" width="9.140625" style="88"/>
    <col min="4097" max="4097" width="6.28515625" style="88" customWidth="1"/>
    <col min="4098" max="4098" width="6.5703125" style="88" bestFit="1" customWidth="1"/>
    <col min="4099" max="4099" width="9" style="88" customWidth="1"/>
    <col min="4100" max="4100" width="9.28515625" style="88" customWidth="1"/>
    <col min="4101" max="4101" width="8.5703125" style="88" customWidth="1"/>
    <col min="4102" max="4102" width="11.140625" style="88" customWidth="1"/>
    <col min="4103" max="4103" width="8" style="88" bestFit="1" customWidth="1"/>
    <col min="4104" max="4104" width="5.28515625" style="88" customWidth="1"/>
    <col min="4105" max="4105" width="8" style="88" bestFit="1" customWidth="1"/>
    <col min="4106" max="4106" width="8.42578125" style="88" customWidth="1"/>
    <col min="4107" max="4107" width="20.140625" style="88" customWidth="1"/>
    <col min="4108" max="4108" width="5.7109375" style="88" bestFit="1" customWidth="1"/>
    <col min="4109" max="4352" width="9.140625" style="88"/>
    <col min="4353" max="4353" width="6.28515625" style="88" customWidth="1"/>
    <col min="4354" max="4354" width="6.5703125" style="88" bestFit="1" customWidth="1"/>
    <col min="4355" max="4355" width="9" style="88" customWidth="1"/>
    <col min="4356" max="4356" width="9.28515625" style="88" customWidth="1"/>
    <col min="4357" max="4357" width="8.5703125" style="88" customWidth="1"/>
    <col min="4358" max="4358" width="11.140625" style="88" customWidth="1"/>
    <col min="4359" max="4359" width="8" style="88" bestFit="1" customWidth="1"/>
    <col min="4360" max="4360" width="5.28515625" style="88" customWidth="1"/>
    <col min="4361" max="4361" width="8" style="88" bestFit="1" customWidth="1"/>
    <col min="4362" max="4362" width="8.42578125" style="88" customWidth="1"/>
    <col min="4363" max="4363" width="20.140625" style="88" customWidth="1"/>
    <col min="4364" max="4364" width="5.7109375" style="88" bestFit="1" customWidth="1"/>
    <col min="4365" max="4608" width="9.140625" style="88"/>
    <col min="4609" max="4609" width="6.28515625" style="88" customWidth="1"/>
    <col min="4610" max="4610" width="6.5703125" style="88" bestFit="1" customWidth="1"/>
    <col min="4611" max="4611" width="9" style="88" customWidth="1"/>
    <col min="4612" max="4612" width="9.28515625" style="88" customWidth="1"/>
    <col min="4613" max="4613" width="8.5703125" style="88" customWidth="1"/>
    <col min="4614" max="4614" width="11.140625" style="88" customWidth="1"/>
    <col min="4615" max="4615" width="8" style="88" bestFit="1" customWidth="1"/>
    <col min="4616" max="4616" width="5.28515625" style="88" customWidth="1"/>
    <col min="4617" max="4617" width="8" style="88" bestFit="1" customWidth="1"/>
    <col min="4618" max="4618" width="8.42578125" style="88" customWidth="1"/>
    <col min="4619" max="4619" width="20.140625" style="88" customWidth="1"/>
    <col min="4620" max="4620" width="5.7109375" style="88" bestFit="1" customWidth="1"/>
    <col min="4621" max="4864" width="9.140625" style="88"/>
    <col min="4865" max="4865" width="6.28515625" style="88" customWidth="1"/>
    <col min="4866" max="4866" width="6.5703125" style="88" bestFit="1" customWidth="1"/>
    <col min="4867" max="4867" width="9" style="88" customWidth="1"/>
    <col min="4868" max="4868" width="9.28515625" style="88" customWidth="1"/>
    <col min="4869" max="4869" width="8.5703125" style="88" customWidth="1"/>
    <col min="4870" max="4870" width="11.140625" style="88" customWidth="1"/>
    <col min="4871" max="4871" width="8" style="88" bestFit="1" customWidth="1"/>
    <col min="4872" max="4872" width="5.28515625" style="88" customWidth="1"/>
    <col min="4873" max="4873" width="8" style="88" bestFit="1" customWidth="1"/>
    <col min="4874" max="4874" width="8.42578125" style="88" customWidth="1"/>
    <col min="4875" max="4875" width="20.140625" style="88" customWidth="1"/>
    <col min="4876" max="4876" width="5.7109375" style="88" bestFit="1" customWidth="1"/>
    <col min="4877" max="5120" width="9.140625" style="88"/>
    <col min="5121" max="5121" width="6.28515625" style="88" customWidth="1"/>
    <col min="5122" max="5122" width="6.5703125" style="88" bestFit="1" customWidth="1"/>
    <col min="5123" max="5123" width="9" style="88" customWidth="1"/>
    <col min="5124" max="5124" width="9.28515625" style="88" customWidth="1"/>
    <col min="5125" max="5125" width="8.5703125" style="88" customWidth="1"/>
    <col min="5126" max="5126" width="11.140625" style="88" customWidth="1"/>
    <col min="5127" max="5127" width="8" style="88" bestFit="1" customWidth="1"/>
    <col min="5128" max="5128" width="5.28515625" style="88" customWidth="1"/>
    <col min="5129" max="5129" width="8" style="88" bestFit="1" customWidth="1"/>
    <col min="5130" max="5130" width="8.42578125" style="88" customWidth="1"/>
    <col min="5131" max="5131" width="20.140625" style="88" customWidth="1"/>
    <col min="5132" max="5132" width="5.7109375" style="88" bestFit="1" customWidth="1"/>
    <col min="5133" max="5376" width="9.140625" style="88"/>
    <col min="5377" max="5377" width="6.28515625" style="88" customWidth="1"/>
    <col min="5378" max="5378" width="6.5703125" style="88" bestFit="1" customWidth="1"/>
    <col min="5379" max="5379" width="9" style="88" customWidth="1"/>
    <col min="5380" max="5380" width="9.28515625" style="88" customWidth="1"/>
    <col min="5381" max="5381" width="8.5703125" style="88" customWidth="1"/>
    <col min="5382" max="5382" width="11.140625" style="88" customWidth="1"/>
    <col min="5383" max="5383" width="8" style="88" bestFit="1" customWidth="1"/>
    <col min="5384" max="5384" width="5.28515625" style="88" customWidth="1"/>
    <col min="5385" max="5385" width="8" style="88" bestFit="1" customWidth="1"/>
    <col min="5386" max="5386" width="8.42578125" style="88" customWidth="1"/>
    <col min="5387" max="5387" width="20.140625" style="88" customWidth="1"/>
    <col min="5388" max="5388" width="5.7109375" style="88" bestFit="1" customWidth="1"/>
    <col min="5389" max="5632" width="9.140625" style="88"/>
    <col min="5633" max="5633" width="6.28515625" style="88" customWidth="1"/>
    <col min="5634" max="5634" width="6.5703125" style="88" bestFit="1" customWidth="1"/>
    <col min="5635" max="5635" width="9" style="88" customWidth="1"/>
    <col min="5636" max="5636" width="9.28515625" style="88" customWidth="1"/>
    <col min="5637" max="5637" width="8.5703125" style="88" customWidth="1"/>
    <col min="5638" max="5638" width="11.140625" style="88" customWidth="1"/>
    <col min="5639" max="5639" width="8" style="88" bestFit="1" customWidth="1"/>
    <col min="5640" max="5640" width="5.28515625" style="88" customWidth="1"/>
    <col min="5641" max="5641" width="8" style="88" bestFit="1" customWidth="1"/>
    <col min="5642" max="5642" width="8.42578125" style="88" customWidth="1"/>
    <col min="5643" max="5643" width="20.140625" style="88" customWidth="1"/>
    <col min="5644" max="5644" width="5.7109375" style="88" bestFit="1" customWidth="1"/>
    <col min="5645" max="5888" width="9.140625" style="88"/>
    <col min="5889" max="5889" width="6.28515625" style="88" customWidth="1"/>
    <col min="5890" max="5890" width="6.5703125" style="88" bestFit="1" customWidth="1"/>
    <col min="5891" max="5891" width="9" style="88" customWidth="1"/>
    <col min="5892" max="5892" width="9.28515625" style="88" customWidth="1"/>
    <col min="5893" max="5893" width="8.5703125" style="88" customWidth="1"/>
    <col min="5894" max="5894" width="11.140625" style="88" customWidth="1"/>
    <col min="5895" max="5895" width="8" style="88" bestFit="1" customWidth="1"/>
    <col min="5896" max="5896" width="5.28515625" style="88" customWidth="1"/>
    <col min="5897" max="5897" width="8" style="88" bestFit="1" customWidth="1"/>
    <col min="5898" max="5898" width="8.42578125" style="88" customWidth="1"/>
    <col min="5899" max="5899" width="20.140625" style="88" customWidth="1"/>
    <col min="5900" max="5900" width="5.7109375" style="88" bestFit="1" customWidth="1"/>
    <col min="5901" max="6144" width="9.140625" style="88"/>
    <col min="6145" max="6145" width="6.28515625" style="88" customWidth="1"/>
    <col min="6146" max="6146" width="6.5703125" style="88" bestFit="1" customWidth="1"/>
    <col min="6147" max="6147" width="9" style="88" customWidth="1"/>
    <col min="6148" max="6148" width="9.28515625" style="88" customWidth="1"/>
    <col min="6149" max="6149" width="8.5703125" style="88" customWidth="1"/>
    <col min="6150" max="6150" width="11.140625" style="88" customWidth="1"/>
    <col min="6151" max="6151" width="8" style="88" bestFit="1" customWidth="1"/>
    <col min="6152" max="6152" width="5.28515625" style="88" customWidth="1"/>
    <col min="6153" max="6153" width="8" style="88" bestFit="1" customWidth="1"/>
    <col min="6154" max="6154" width="8.42578125" style="88" customWidth="1"/>
    <col min="6155" max="6155" width="20.140625" style="88" customWidth="1"/>
    <col min="6156" max="6156" width="5.7109375" style="88" bestFit="1" customWidth="1"/>
    <col min="6157" max="6400" width="9.140625" style="88"/>
    <col min="6401" max="6401" width="6.28515625" style="88" customWidth="1"/>
    <col min="6402" max="6402" width="6.5703125" style="88" bestFit="1" customWidth="1"/>
    <col min="6403" max="6403" width="9" style="88" customWidth="1"/>
    <col min="6404" max="6404" width="9.28515625" style="88" customWidth="1"/>
    <col min="6405" max="6405" width="8.5703125" style="88" customWidth="1"/>
    <col min="6406" max="6406" width="11.140625" style="88" customWidth="1"/>
    <col min="6407" max="6407" width="8" style="88" bestFit="1" customWidth="1"/>
    <col min="6408" max="6408" width="5.28515625" style="88" customWidth="1"/>
    <col min="6409" max="6409" width="8" style="88" bestFit="1" customWidth="1"/>
    <col min="6410" max="6410" width="8.42578125" style="88" customWidth="1"/>
    <col min="6411" max="6411" width="20.140625" style="88" customWidth="1"/>
    <col min="6412" max="6412" width="5.7109375" style="88" bestFit="1" customWidth="1"/>
    <col min="6413" max="6656" width="9.140625" style="88"/>
    <col min="6657" max="6657" width="6.28515625" style="88" customWidth="1"/>
    <col min="6658" max="6658" width="6.5703125" style="88" bestFit="1" customWidth="1"/>
    <col min="6659" max="6659" width="9" style="88" customWidth="1"/>
    <col min="6660" max="6660" width="9.28515625" style="88" customWidth="1"/>
    <col min="6661" max="6661" width="8.5703125" style="88" customWidth="1"/>
    <col min="6662" max="6662" width="11.140625" style="88" customWidth="1"/>
    <col min="6663" max="6663" width="8" style="88" bestFit="1" customWidth="1"/>
    <col min="6664" max="6664" width="5.28515625" style="88" customWidth="1"/>
    <col min="6665" max="6665" width="8" style="88" bestFit="1" customWidth="1"/>
    <col min="6666" max="6666" width="8.42578125" style="88" customWidth="1"/>
    <col min="6667" max="6667" width="20.140625" style="88" customWidth="1"/>
    <col min="6668" max="6668" width="5.7109375" style="88" bestFit="1" customWidth="1"/>
    <col min="6669" max="6912" width="9.140625" style="88"/>
    <col min="6913" max="6913" width="6.28515625" style="88" customWidth="1"/>
    <col min="6914" max="6914" width="6.5703125" style="88" bestFit="1" customWidth="1"/>
    <col min="6915" max="6915" width="9" style="88" customWidth="1"/>
    <col min="6916" max="6916" width="9.28515625" style="88" customWidth="1"/>
    <col min="6917" max="6917" width="8.5703125" style="88" customWidth="1"/>
    <col min="6918" max="6918" width="11.140625" style="88" customWidth="1"/>
    <col min="6919" max="6919" width="8" style="88" bestFit="1" customWidth="1"/>
    <col min="6920" max="6920" width="5.28515625" style="88" customWidth="1"/>
    <col min="6921" max="6921" width="8" style="88" bestFit="1" customWidth="1"/>
    <col min="6922" max="6922" width="8.42578125" style="88" customWidth="1"/>
    <col min="6923" max="6923" width="20.140625" style="88" customWidth="1"/>
    <col min="6924" max="6924" width="5.7109375" style="88" bestFit="1" customWidth="1"/>
    <col min="6925" max="7168" width="9.140625" style="88"/>
    <col min="7169" max="7169" width="6.28515625" style="88" customWidth="1"/>
    <col min="7170" max="7170" width="6.5703125" style="88" bestFit="1" customWidth="1"/>
    <col min="7171" max="7171" width="9" style="88" customWidth="1"/>
    <col min="7172" max="7172" width="9.28515625" style="88" customWidth="1"/>
    <col min="7173" max="7173" width="8.5703125" style="88" customWidth="1"/>
    <col min="7174" max="7174" width="11.140625" style="88" customWidth="1"/>
    <col min="7175" max="7175" width="8" style="88" bestFit="1" customWidth="1"/>
    <col min="7176" max="7176" width="5.28515625" style="88" customWidth="1"/>
    <col min="7177" max="7177" width="8" style="88" bestFit="1" customWidth="1"/>
    <col min="7178" max="7178" width="8.42578125" style="88" customWidth="1"/>
    <col min="7179" max="7179" width="20.140625" style="88" customWidth="1"/>
    <col min="7180" max="7180" width="5.7109375" style="88" bestFit="1" customWidth="1"/>
    <col min="7181" max="7424" width="9.140625" style="88"/>
    <col min="7425" max="7425" width="6.28515625" style="88" customWidth="1"/>
    <col min="7426" max="7426" width="6.5703125" style="88" bestFit="1" customWidth="1"/>
    <col min="7427" max="7427" width="9" style="88" customWidth="1"/>
    <col min="7428" max="7428" width="9.28515625" style="88" customWidth="1"/>
    <col min="7429" max="7429" width="8.5703125" style="88" customWidth="1"/>
    <col min="7430" max="7430" width="11.140625" style="88" customWidth="1"/>
    <col min="7431" max="7431" width="8" style="88" bestFit="1" customWidth="1"/>
    <col min="7432" max="7432" width="5.28515625" style="88" customWidth="1"/>
    <col min="7433" max="7433" width="8" style="88" bestFit="1" customWidth="1"/>
    <col min="7434" max="7434" width="8.42578125" style="88" customWidth="1"/>
    <col min="7435" max="7435" width="20.140625" style="88" customWidth="1"/>
    <col min="7436" max="7436" width="5.7109375" style="88" bestFit="1" customWidth="1"/>
    <col min="7437" max="7680" width="9.140625" style="88"/>
    <col min="7681" max="7681" width="6.28515625" style="88" customWidth="1"/>
    <col min="7682" max="7682" width="6.5703125" style="88" bestFit="1" customWidth="1"/>
    <col min="7683" max="7683" width="9" style="88" customWidth="1"/>
    <col min="7684" max="7684" width="9.28515625" style="88" customWidth="1"/>
    <col min="7685" max="7685" width="8.5703125" style="88" customWidth="1"/>
    <col min="7686" max="7686" width="11.140625" style="88" customWidth="1"/>
    <col min="7687" max="7687" width="8" style="88" bestFit="1" customWidth="1"/>
    <col min="7688" max="7688" width="5.28515625" style="88" customWidth="1"/>
    <col min="7689" max="7689" width="8" style="88" bestFit="1" customWidth="1"/>
    <col min="7690" max="7690" width="8.42578125" style="88" customWidth="1"/>
    <col min="7691" max="7691" width="20.140625" style="88" customWidth="1"/>
    <col min="7692" max="7692" width="5.7109375" style="88" bestFit="1" customWidth="1"/>
    <col min="7693" max="7936" width="9.140625" style="88"/>
    <col min="7937" max="7937" width="6.28515625" style="88" customWidth="1"/>
    <col min="7938" max="7938" width="6.5703125" style="88" bestFit="1" customWidth="1"/>
    <col min="7939" max="7939" width="9" style="88" customWidth="1"/>
    <col min="7940" max="7940" width="9.28515625" style="88" customWidth="1"/>
    <col min="7941" max="7941" width="8.5703125" style="88" customWidth="1"/>
    <col min="7942" max="7942" width="11.140625" style="88" customWidth="1"/>
    <col min="7943" max="7943" width="8" style="88" bestFit="1" customWidth="1"/>
    <col min="7944" max="7944" width="5.28515625" style="88" customWidth="1"/>
    <col min="7945" max="7945" width="8" style="88" bestFit="1" customWidth="1"/>
    <col min="7946" max="7946" width="8.42578125" style="88" customWidth="1"/>
    <col min="7947" max="7947" width="20.140625" style="88" customWidth="1"/>
    <col min="7948" max="7948" width="5.7109375" style="88" bestFit="1" customWidth="1"/>
    <col min="7949" max="8192" width="9.140625" style="88"/>
    <col min="8193" max="8193" width="6.28515625" style="88" customWidth="1"/>
    <col min="8194" max="8194" width="6.5703125" style="88" bestFit="1" customWidth="1"/>
    <col min="8195" max="8195" width="9" style="88" customWidth="1"/>
    <col min="8196" max="8196" width="9.28515625" style="88" customWidth="1"/>
    <col min="8197" max="8197" width="8.5703125" style="88" customWidth="1"/>
    <col min="8198" max="8198" width="11.140625" style="88" customWidth="1"/>
    <col min="8199" max="8199" width="8" style="88" bestFit="1" customWidth="1"/>
    <col min="8200" max="8200" width="5.28515625" style="88" customWidth="1"/>
    <col min="8201" max="8201" width="8" style="88" bestFit="1" customWidth="1"/>
    <col min="8202" max="8202" width="8.42578125" style="88" customWidth="1"/>
    <col min="8203" max="8203" width="20.140625" style="88" customWidth="1"/>
    <col min="8204" max="8204" width="5.7109375" style="88" bestFit="1" customWidth="1"/>
    <col min="8205" max="8448" width="9.140625" style="88"/>
    <col min="8449" max="8449" width="6.28515625" style="88" customWidth="1"/>
    <col min="8450" max="8450" width="6.5703125" style="88" bestFit="1" customWidth="1"/>
    <col min="8451" max="8451" width="9" style="88" customWidth="1"/>
    <col min="8452" max="8452" width="9.28515625" style="88" customWidth="1"/>
    <col min="8453" max="8453" width="8.5703125" style="88" customWidth="1"/>
    <col min="8454" max="8454" width="11.140625" style="88" customWidth="1"/>
    <col min="8455" max="8455" width="8" style="88" bestFit="1" customWidth="1"/>
    <col min="8456" max="8456" width="5.28515625" style="88" customWidth="1"/>
    <col min="8457" max="8457" width="8" style="88" bestFit="1" customWidth="1"/>
    <col min="8458" max="8458" width="8.42578125" style="88" customWidth="1"/>
    <col min="8459" max="8459" width="20.140625" style="88" customWidth="1"/>
    <col min="8460" max="8460" width="5.7109375" style="88" bestFit="1" customWidth="1"/>
    <col min="8461" max="8704" width="9.140625" style="88"/>
    <col min="8705" max="8705" width="6.28515625" style="88" customWidth="1"/>
    <col min="8706" max="8706" width="6.5703125" style="88" bestFit="1" customWidth="1"/>
    <col min="8707" max="8707" width="9" style="88" customWidth="1"/>
    <col min="8708" max="8708" width="9.28515625" style="88" customWidth="1"/>
    <col min="8709" max="8709" width="8.5703125" style="88" customWidth="1"/>
    <col min="8710" max="8710" width="11.140625" style="88" customWidth="1"/>
    <col min="8711" max="8711" width="8" style="88" bestFit="1" customWidth="1"/>
    <col min="8712" max="8712" width="5.28515625" style="88" customWidth="1"/>
    <col min="8713" max="8713" width="8" style="88" bestFit="1" customWidth="1"/>
    <col min="8714" max="8714" width="8.42578125" style="88" customWidth="1"/>
    <col min="8715" max="8715" width="20.140625" style="88" customWidth="1"/>
    <col min="8716" max="8716" width="5.7109375" style="88" bestFit="1" customWidth="1"/>
    <col min="8717" max="8960" width="9.140625" style="88"/>
    <col min="8961" max="8961" width="6.28515625" style="88" customWidth="1"/>
    <col min="8962" max="8962" width="6.5703125" style="88" bestFit="1" customWidth="1"/>
    <col min="8963" max="8963" width="9" style="88" customWidth="1"/>
    <col min="8964" max="8964" width="9.28515625" style="88" customWidth="1"/>
    <col min="8965" max="8965" width="8.5703125" style="88" customWidth="1"/>
    <col min="8966" max="8966" width="11.140625" style="88" customWidth="1"/>
    <col min="8967" max="8967" width="8" style="88" bestFit="1" customWidth="1"/>
    <col min="8968" max="8968" width="5.28515625" style="88" customWidth="1"/>
    <col min="8969" max="8969" width="8" style="88" bestFit="1" customWidth="1"/>
    <col min="8970" max="8970" width="8.42578125" style="88" customWidth="1"/>
    <col min="8971" max="8971" width="20.140625" style="88" customWidth="1"/>
    <col min="8972" max="8972" width="5.7109375" style="88" bestFit="1" customWidth="1"/>
    <col min="8973" max="9216" width="9.140625" style="88"/>
    <col min="9217" max="9217" width="6.28515625" style="88" customWidth="1"/>
    <col min="9218" max="9218" width="6.5703125" style="88" bestFit="1" customWidth="1"/>
    <col min="9219" max="9219" width="9" style="88" customWidth="1"/>
    <col min="9220" max="9220" width="9.28515625" style="88" customWidth="1"/>
    <col min="9221" max="9221" width="8.5703125" style="88" customWidth="1"/>
    <col min="9222" max="9222" width="11.140625" style="88" customWidth="1"/>
    <col min="9223" max="9223" width="8" style="88" bestFit="1" customWidth="1"/>
    <col min="9224" max="9224" width="5.28515625" style="88" customWidth="1"/>
    <col min="9225" max="9225" width="8" style="88" bestFit="1" customWidth="1"/>
    <col min="9226" max="9226" width="8.42578125" style="88" customWidth="1"/>
    <col min="9227" max="9227" width="20.140625" style="88" customWidth="1"/>
    <col min="9228" max="9228" width="5.7109375" style="88" bestFit="1" customWidth="1"/>
    <col min="9229" max="9472" width="9.140625" style="88"/>
    <col min="9473" max="9473" width="6.28515625" style="88" customWidth="1"/>
    <col min="9474" max="9474" width="6.5703125" style="88" bestFit="1" customWidth="1"/>
    <col min="9475" max="9475" width="9" style="88" customWidth="1"/>
    <col min="9476" max="9476" width="9.28515625" style="88" customWidth="1"/>
    <col min="9477" max="9477" width="8.5703125" style="88" customWidth="1"/>
    <col min="9478" max="9478" width="11.140625" style="88" customWidth="1"/>
    <col min="9479" max="9479" width="8" style="88" bestFit="1" customWidth="1"/>
    <col min="9480" max="9480" width="5.28515625" style="88" customWidth="1"/>
    <col min="9481" max="9481" width="8" style="88" bestFit="1" customWidth="1"/>
    <col min="9482" max="9482" width="8.42578125" style="88" customWidth="1"/>
    <col min="9483" max="9483" width="20.140625" style="88" customWidth="1"/>
    <col min="9484" max="9484" width="5.7109375" style="88" bestFit="1" customWidth="1"/>
    <col min="9485" max="9728" width="9.140625" style="88"/>
    <col min="9729" max="9729" width="6.28515625" style="88" customWidth="1"/>
    <col min="9730" max="9730" width="6.5703125" style="88" bestFit="1" customWidth="1"/>
    <col min="9731" max="9731" width="9" style="88" customWidth="1"/>
    <col min="9732" max="9732" width="9.28515625" style="88" customWidth="1"/>
    <col min="9733" max="9733" width="8.5703125" style="88" customWidth="1"/>
    <col min="9734" max="9734" width="11.140625" style="88" customWidth="1"/>
    <col min="9735" max="9735" width="8" style="88" bestFit="1" customWidth="1"/>
    <col min="9736" max="9736" width="5.28515625" style="88" customWidth="1"/>
    <col min="9737" max="9737" width="8" style="88" bestFit="1" customWidth="1"/>
    <col min="9738" max="9738" width="8.42578125" style="88" customWidth="1"/>
    <col min="9739" max="9739" width="20.140625" style="88" customWidth="1"/>
    <col min="9740" max="9740" width="5.7109375" style="88" bestFit="1" customWidth="1"/>
    <col min="9741" max="9984" width="9.140625" style="88"/>
    <col min="9985" max="9985" width="6.28515625" style="88" customWidth="1"/>
    <col min="9986" max="9986" width="6.5703125" style="88" bestFit="1" customWidth="1"/>
    <col min="9987" max="9987" width="9" style="88" customWidth="1"/>
    <col min="9988" max="9988" width="9.28515625" style="88" customWidth="1"/>
    <col min="9989" max="9989" width="8.5703125" style="88" customWidth="1"/>
    <col min="9990" max="9990" width="11.140625" style="88" customWidth="1"/>
    <col min="9991" max="9991" width="8" style="88" bestFit="1" customWidth="1"/>
    <col min="9992" max="9992" width="5.28515625" style="88" customWidth="1"/>
    <col min="9993" max="9993" width="8" style="88" bestFit="1" customWidth="1"/>
    <col min="9994" max="9994" width="8.42578125" style="88" customWidth="1"/>
    <col min="9995" max="9995" width="20.140625" style="88" customWidth="1"/>
    <col min="9996" max="9996" width="5.7109375" style="88" bestFit="1" customWidth="1"/>
    <col min="9997" max="10240" width="9.140625" style="88"/>
    <col min="10241" max="10241" width="6.28515625" style="88" customWidth="1"/>
    <col min="10242" max="10242" width="6.5703125" style="88" bestFit="1" customWidth="1"/>
    <col min="10243" max="10243" width="9" style="88" customWidth="1"/>
    <col min="10244" max="10244" width="9.28515625" style="88" customWidth="1"/>
    <col min="10245" max="10245" width="8.5703125" style="88" customWidth="1"/>
    <col min="10246" max="10246" width="11.140625" style="88" customWidth="1"/>
    <col min="10247" max="10247" width="8" style="88" bestFit="1" customWidth="1"/>
    <col min="10248" max="10248" width="5.28515625" style="88" customWidth="1"/>
    <col min="10249" max="10249" width="8" style="88" bestFit="1" customWidth="1"/>
    <col min="10250" max="10250" width="8.42578125" style="88" customWidth="1"/>
    <col min="10251" max="10251" width="20.140625" style="88" customWidth="1"/>
    <col min="10252" max="10252" width="5.7109375" style="88" bestFit="1" customWidth="1"/>
    <col min="10253" max="10496" width="9.140625" style="88"/>
    <col min="10497" max="10497" width="6.28515625" style="88" customWidth="1"/>
    <col min="10498" max="10498" width="6.5703125" style="88" bestFit="1" customWidth="1"/>
    <col min="10499" max="10499" width="9" style="88" customWidth="1"/>
    <col min="10500" max="10500" width="9.28515625" style="88" customWidth="1"/>
    <col min="10501" max="10501" width="8.5703125" style="88" customWidth="1"/>
    <col min="10502" max="10502" width="11.140625" style="88" customWidth="1"/>
    <col min="10503" max="10503" width="8" style="88" bestFit="1" customWidth="1"/>
    <col min="10504" max="10504" width="5.28515625" style="88" customWidth="1"/>
    <col min="10505" max="10505" width="8" style="88" bestFit="1" customWidth="1"/>
    <col min="10506" max="10506" width="8.42578125" style="88" customWidth="1"/>
    <col min="10507" max="10507" width="20.140625" style="88" customWidth="1"/>
    <col min="10508" max="10508" width="5.7109375" style="88" bestFit="1" customWidth="1"/>
    <col min="10509" max="10752" width="9.140625" style="88"/>
    <col min="10753" max="10753" width="6.28515625" style="88" customWidth="1"/>
    <col min="10754" max="10754" width="6.5703125" style="88" bestFit="1" customWidth="1"/>
    <col min="10755" max="10755" width="9" style="88" customWidth="1"/>
    <col min="10756" max="10756" width="9.28515625" style="88" customWidth="1"/>
    <col min="10757" max="10757" width="8.5703125" style="88" customWidth="1"/>
    <col min="10758" max="10758" width="11.140625" style="88" customWidth="1"/>
    <col min="10759" max="10759" width="8" style="88" bestFit="1" customWidth="1"/>
    <col min="10760" max="10760" width="5.28515625" style="88" customWidth="1"/>
    <col min="10761" max="10761" width="8" style="88" bestFit="1" customWidth="1"/>
    <col min="10762" max="10762" width="8.42578125" style="88" customWidth="1"/>
    <col min="10763" max="10763" width="20.140625" style="88" customWidth="1"/>
    <col min="10764" max="10764" width="5.7109375" style="88" bestFit="1" customWidth="1"/>
    <col min="10765" max="11008" width="9.140625" style="88"/>
    <col min="11009" max="11009" width="6.28515625" style="88" customWidth="1"/>
    <col min="11010" max="11010" width="6.5703125" style="88" bestFit="1" customWidth="1"/>
    <col min="11011" max="11011" width="9" style="88" customWidth="1"/>
    <col min="11012" max="11012" width="9.28515625" style="88" customWidth="1"/>
    <col min="11013" max="11013" width="8.5703125" style="88" customWidth="1"/>
    <col min="11014" max="11014" width="11.140625" style="88" customWidth="1"/>
    <col min="11015" max="11015" width="8" style="88" bestFit="1" customWidth="1"/>
    <col min="11016" max="11016" width="5.28515625" style="88" customWidth="1"/>
    <col min="11017" max="11017" width="8" style="88" bestFit="1" customWidth="1"/>
    <col min="11018" max="11018" width="8.42578125" style="88" customWidth="1"/>
    <col min="11019" max="11019" width="20.140625" style="88" customWidth="1"/>
    <col min="11020" max="11020" width="5.7109375" style="88" bestFit="1" customWidth="1"/>
    <col min="11021" max="11264" width="9.140625" style="88"/>
    <col min="11265" max="11265" width="6.28515625" style="88" customWidth="1"/>
    <col min="11266" max="11266" width="6.5703125" style="88" bestFit="1" customWidth="1"/>
    <col min="11267" max="11267" width="9" style="88" customWidth="1"/>
    <col min="11268" max="11268" width="9.28515625" style="88" customWidth="1"/>
    <col min="11269" max="11269" width="8.5703125" style="88" customWidth="1"/>
    <col min="11270" max="11270" width="11.140625" style="88" customWidth="1"/>
    <col min="11271" max="11271" width="8" style="88" bestFit="1" customWidth="1"/>
    <col min="11272" max="11272" width="5.28515625" style="88" customWidth="1"/>
    <col min="11273" max="11273" width="8" style="88" bestFit="1" customWidth="1"/>
    <col min="11274" max="11274" width="8.42578125" style="88" customWidth="1"/>
    <col min="11275" max="11275" width="20.140625" style="88" customWidth="1"/>
    <col min="11276" max="11276" width="5.7109375" style="88" bestFit="1" customWidth="1"/>
    <col min="11277" max="11520" width="9.140625" style="88"/>
    <col min="11521" max="11521" width="6.28515625" style="88" customWidth="1"/>
    <col min="11522" max="11522" width="6.5703125" style="88" bestFit="1" customWidth="1"/>
    <col min="11523" max="11523" width="9" style="88" customWidth="1"/>
    <col min="11524" max="11524" width="9.28515625" style="88" customWidth="1"/>
    <col min="11525" max="11525" width="8.5703125" style="88" customWidth="1"/>
    <col min="11526" max="11526" width="11.140625" style="88" customWidth="1"/>
    <col min="11527" max="11527" width="8" style="88" bestFit="1" customWidth="1"/>
    <col min="11528" max="11528" width="5.28515625" style="88" customWidth="1"/>
    <col min="11529" max="11529" width="8" style="88" bestFit="1" customWidth="1"/>
    <col min="11530" max="11530" width="8.42578125" style="88" customWidth="1"/>
    <col min="11531" max="11531" width="20.140625" style="88" customWidth="1"/>
    <col min="11532" max="11532" width="5.7109375" style="88" bestFit="1" customWidth="1"/>
    <col min="11533" max="11776" width="9.140625" style="88"/>
    <col min="11777" max="11777" width="6.28515625" style="88" customWidth="1"/>
    <col min="11778" max="11778" width="6.5703125" style="88" bestFit="1" customWidth="1"/>
    <col min="11779" max="11779" width="9" style="88" customWidth="1"/>
    <col min="11780" max="11780" width="9.28515625" style="88" customWidth="1"/>
    <col min="11781" max="11781" width="8.5703125" style="88" customWidth="1"/>
    <col min="11782" max="11782" width="11.140625" style="88" customWidth="1"/>
    <col min="11783" max="11783" width="8" style="88" bestFit="1" customWidth="1"/>
    <col min="11784" max="11784" width="5.28515625" style="88" customWidth="1"/>
    <col min="11785" max="11785" width="8" style="88" bestFit="1" customWidth="1"/>
    <col min="11786" max="11786" width="8.42578125" style="88" customWidth="1"/>
    <col min="11787" max="11787" width="20.140625" style="88" customWidth="1"/>
    <col min="11788" max="11788" width="5.7109375" style="88" bestFit="1" customWidth="1"/>
    <col min="11789" max="12032" width="9.140625" style="88"/>
    <col min="12033" max="12033" width="6.28515625" style="88" customWidth="1"/>
    <col min="12034" max="12034" width="6.5703125" style="88" bestFit="1" customWidth="1"/>
    <col min="12035" max="12035" width="9" style="88" customWidth="1"/>
    <col min="12036" max="12036" width="9.28515625" style="88" customWidth="1"/>
    <col min="12037" max="12037" width="8.5703125" style="88" customWidth="1"/>
    <col min="12038" max="12038" width="11.140625" style="88" customWidth="1"/>
    <col min="12039" max="12039" width="8" style="88" bestFit="1" customWidth="1"/>
    <col min="12040" max="12040" width="5.28515625" style="88" customWidth="1"/>
    <col min="12041" max="12041" width="8" style="88" bestFit="1" customWidth="1"/>
    <col min="12042" max="12042" width="8.42578125" style="88" customWidth="1"/>
    <col min="12043" max="12043" width="20.140625" style="88" customWidth="1"/>
    <col min="12044" max="12044" width="5.7109375" style="88" bestFit="1" customWidth="1"/>
    <col min="12045" max="12288" width="9.140625" style="88"/>
    <col min="12289" max="12289" width="6.28515625" style="88" customWidth="1"/>
    <col min="12290" max="12290" width="6.5703125" style="88" bestFit="1" customWidth="1"/>
    <col min="12291" max="12291" width="9" style="88" customWidth="1"/>
    <col min="12292" max="12292" width="9.28515625" style="88" customWidth="1"/>
    <col min="12293" max="12293" width="8.5703125" style="88" customWidth="1"/>
    <col min="12294" max="12294" width="11.140625" style="88" customWidth="1"/>
    <col min="12295" max="12295" width="8" style="88" bestFit="1" customWidth="1"/>
    <col min="12296" max="12296" width="5.28515625" style="88" customWidth="1"/>
    <col min="12297" max="12297" width="8" style="88" bestFit="1" customWidth="1"/>
    <col min="12298" max="12298" width="8.42578125" style="88" customWidth="1"/>
    <col min="12299" max="12299" width="20.140625" style="88" customWidth="1"/>
    <col min="12300" max="12300" width="5.7109375" style="88" bestFit="1" customWidth="1"/>
    <col min="12301" max="12544" width="9.140625" style="88"/>
    <col min="12545" max="12545" width="6.28515625" style="88" customWidth="1"/>
    <col min="12546" max="12546" width="6.5703125" style="88" bestFit="1" customWidth="1"/>
    <col min="12547" max="12547" width="9" style="88" customWidth="1"/>
    <col min="12548" max="12548" width="9.28515625" style="88" customWidth="1"/>
    <col min="12549" max="12549" width="8.5703125" style="88" customWidth="1"/>
    <col min="12550" max="12550" width="11.140625" style="88" customWidth="1"/>
    <col min="12551" max="12551" width="8" style="88" bestFit="1" customWidth="1"/>
    <col min="12552" max="12552" width="5.28515625" style="88" customWidth="1"/>
    <col min="12553" max="12553" width="8" style="88" bestFit="1" customWidth="1"/>
    <col min="12554" max="12554" width="8.42578125" style="88" customWidth="1"/>
    <col min="12555" max="12555" width="20.140625" style="88" customWidth="1"/>
    <col min="12556" max="12556" width="5.7109375" style="88" bestFit="1" customWidth="1"/>
    <col min="12557" max="12800" width="9.140625" style="88"/>
    <col min="12801" max="12801" width="6.28515625" style="88" customWidth="1"/>
    <col min="12802" max="12802" width="6.5703125" style="88" bestFit="1" customWidth="1"/>
    <col min="12803" max="12803" width="9" style="88" customWidth="1"/>
    <col min="12804" max="12804" width="9.28515625" style="88" customWidth="1"/>
    <col min="12805" max="12805" width="8.5703125" style="88" customWidth="1"/>
    <col min="12806" max="12806" width="11.140625" style="88" customWidth="1"/>
    <col min="12807" max="12807" width="8" style="88" bestFit="1" customWidth="1"/>
    <col min="12808" max="12808" width="5.28515625" style="88" customWidth="1"/>
    <col min="12809" max="12809" width="8" style="88" bestFit="1" customWidth="1"/>
    <col min="12810" max="12810" width="8.42578125" style="88" customWidth="1"/>
    <col min="12811" max="12811" width="20.140625" style="88" customWidth="1"/>
    <col min="12812" max="12812" width="5.7109375" style="88" bestFit="1" customWidth="1"/>
    <col min="12813" max="13056" width="9.140625" style="88"/>
    <col min="13057" max="13057" width="6.28515625" style="88" customWidth="1"/>
    <col min="13058" max="13058" width="6.5703125" style="88" bestFit="1" customWidth="1"/>
    <col min="13059" max="13059" width="9" style="88" customWidth="1"/>
    <col min="13060" max="13060" width="9.28515625" style="88" customWidth="1"/>
    <col min="13061" max="13061" width="8.5703125" style="88" customWidth="1"/>
    <col min="13062" max="13062" width="11.140625" style="88" customWidth="1"/>
    <col min="13063" max="13063" width="8" style="88" bestFit="1" customWidth="1"/>
    <col min="13064" max="13064" width="5.28515625" style="88" customWidth="1"/>
    <col min="13065" max="13065" width="8" style="88" bestFit="1" customWidth="1"/>
    <col min="13066" max="13066" width="8.42578125" style="88" customWidth="1"/>
    <col min="13067" max="13067" width="20.140625" style="88" customWidth="1"/>
    <col min="13068" max="13068" width="5.7109375" style="88" bestFit="1" customWidth="1"/>
    <col min="13069" max="13312" width="9.140625" style="88"/>
    <col min="13313" max="13313" width="6.28515625" style="88" customWidth="1"/>
    <col min="13314" max="13314" width="6.5703125" style="88" bestFit="1" customWidth="1"/>
    <col min="13315" max="13315" width="9" style="88" customWidth="1"/>
    <col min="13316" max="13316" width="9.28515625" style="88" customWidth="1"/>
    <col min="13317" max="13317" width="8.5703125" style="88" customWidth="1"/>
    <col min="13318" max="13318" width="11.140625" style="88" customWidth="1"/>
    <col min="13319" max="13319" width="8" style="88" bestFit="1" customWidth="1"/>
    <col min="13320" max="13320" width="5.28515625" style="88" customWidth="1"/>
    <col min="13321" max="13321" width="8" style="88" bestFit="1" customWidth="1"/>
    <col min="13322" max="13322" width="8.42578125" style="88" customWidth="1"/>
    <col min="13323" max="13323" width="20.140625" style="88" customWidth="1"/>
    <col min="13324" max="13324" width="5.7109375" style="88" bestFit="1" customWidth="1"/>
    <col min="13325" max="13568" width="9.140625" style="88"/>
    <col min="13569" max="13569" width="6.28515625" style="88" customWidth="1"/>
    <col min="13570" max="13570" width="6.5703125" style="88" bestFit="1" customWidth="1"/>
    <col min="13571" max="13571" width="9" style="88" customWidth="1"/>
    <col min="13572" max="13572" width="9.28515625" style="88" customWidth="1"/>
    <col min="13573" max="13573" width="8.5703125" style="88" customWidth="1"/>
    <col min="13574" max="13574" width="11.140625" style="88" customWidth="1"/>
    <col min="13575" max="13575" width="8" style="88" bestFit="1" customWidth="1"/>
    <col min="13576" max="13576" width="5.28515625" style="88" customWidth="1"/>
    <col min="13577" max="13577" width="8" style="88" bestFit="1" customWidth="1"/>
    <col min="13578" max="13578" width="8.42578125" style="88" customWidth="1"/>
    <col min="13579" max="13579" width="20.140625" style="88" customWidth="1"/>
    <col min="13580" max="13580" width="5.7109375" style="88" bestFit="1" customWidth="1"/>
    <col min="13581" max="13824" width="9.140625" style="88"/>
    <col min="13825" max="13825" width="6.28515625" style="88" customWidth="1"/>
    <col min="13826" max="13826" width="6.5703125" style="88" bestFit="1" customWidth="1"/>
    <col min="13827" max="13827" width="9" style="88" customWidth="1"/>
    <col min="13828" max="13828" width="9.28515625" style="88" customWidth="1"/>
    <col min="13829" max="13829" width="8.5703125" style="88" customWidth="1"/>
    <col min="13830" max="13830" width="11.140625" style="88" customWidth="1"/>
    <col min="13831" max="13831" width="8" style="88" bestFit="1" customWidth="1"/>
    <col min="13832" max="13832" width="5.28515625" style="88" customWidth="1"/>
    <col min="13833" max="13833" width="8" style="88" bestFit="1" customWidth="1"/>
    <col min="13834" max="13834" width="8.42578125" style="88" customWidth="1"/>
    <col min="13835" max="13835" width="20.140625" style="88" customWidth="1"/>
    <col min="13836" max="13836" width="5.7109375" style="88" bestFit="1" customWidth="1"/>
    <col min="13837" max="14080" width="9.140625" style="88"/>
    <col min="14081" max="14081" width="6.28515625" style="88" customWidth="1"/>
    <col min="14082" max="14082" width="6.5703125" style="88" bestFit="1" customWidth="1"/>
    <col min="14083" max="14083" width="9" style="88" customWidth="1"/>
    <col min="14084" max="14084" width="9.28515625" style="88" customWidth="1"/>
    <col min="14085" max="14085" width="8.5703125" style="88" customWidth="1"/>
    <col min="14086" max="14086" width="11.140625" style="88" customWidth="1"/>
    <col min="14087" max="14087" width="8" style="88" bestFit="1" customWidth="1"/>
    <col min="14088" max="14088" width="5.28515625" style="88" customWidth="1"/>
    <col min="14089" max="14089" width="8" style="88" bestFit="1" customWidth="1"/>
    <col min="14090" max="14090" width="8.42578125" style="88" customWidth="1"/>
    <col min="14091" max="14091" width="20.140625" style="88" customWidth="1"/>
    <col min="14092" max="14092" width="5.7109375" style="88" bestFit="1" customWidth="1"/>
    <col min="14093" max="14336" width="9.140625" style="88"/>
    <col min="14337" max="14337" width="6.28515625" style="88" customWidth="1"/>
    <col min="14338" max="14338" width="6.5703125" style="88" bestFit="1" customWidth="1"/>
    <col min="14339" max="14339" width="9" style="88" customWidth="1"/>
    <col min="14340" max="14340" width="9.28515625" style="88" customWidth="1"/>
    <col min="14341" max="14341" width="8.5703125" style="88" customWidth="1"/>
    <col min="14342" max="14342" width="11.140625" style="88" customWidth="1"/>
    <col min="14343" max="14343" width="8" style="88" bestFit="1" customWidth="1"/>
    <col min="14344" max="14344" width="5.28515625" style="88" customWidth="1"/>
    <col min="14345" max="14345" width="8" style="88" bestFit="1" customWidth="1"/>
    <col min="14346" max="14346" width="8.42578125" style="88" customWidth="1"/>
    <col min="14347" max="14347" width="20.140625" style="88" customWidth="1"/>
    <col min="14348" max="14348" width="5.7109375" style="88" bestFit="1" customWidth="1"/>
    <col min="14349" max="14592" width="9.140625" style="88"/>
    <col min="14593" max="14593" width="6.28515625" style="88" customWidth="1"/>
    <col min="14594" max="14594" width="6.5703125" style="88" bestFit="1" customWidth="1"/>
    <col min="14595" max="14595" width="9" style="88" customWidth="1"/>
    <col min="14596" max="14596" width="9.28515625" style="88" customWidth="1"/>
    <col min="14597" max="14597" width="8.5703125" style="88" customWidth="1"/>
    <col min="14598" max="14598" width="11.140625" style="88" customWidth="1"/>
    <col min="14599" max="14599" width="8" style="88" bestFit="1" customWidth="1"/>
    <col min="14600" max="14600" width="5.28515625" style="88" customWidth="1"/>
    <col min="14601" max="14601" width="8" style="88" bestFit="1" customWidth="1"/>
    <col min="14602" max="14602" width="8.42578125" style="88" customWidth="1"/>
    <col min="14603" max="14603" width="20.140625" style="88" customWidth="1"/>
    <col min="14604" max="14604" width="5.7109375" style="88" bestFit="1" customWidth="1"/>
    <col min="14605" max="14848" width="9.140625" style="88"/>
    <col min="14849" max="14849" width="6.28515625" style="88" customWidth="1"/>
    <col min="14850" max="14850" width="6.5703125" style="88" bestFit="1" customWidth="1"/>
    <col min="14851" max="14851" width="9" style="88" customWidth="1"/>
    <col min="14852" max="14852" width="9.28515625" style="88" customWidth="1"/>
    <col min="14853" max="14853" width="8.5703125" style="88" customWidth="1"/>
    <col min="14854" max="14854" width="11.140625" style="88" customWidth="1"/>
    <col min="14855" max="14855" width="8" style="88" bestFit="1" customWidth="1"/>
    <col min="14856" max="14856" width="5.28515625" style="88" customWidth="1"/>
    <col min="14857" max="14857" width="8" style="88" bestFit="1" customWidth="1"/>
    <col min="14858" max="14858" width="8.42578125" style="88" customWidth="1"/>
    <col min="14859" max="14859" width="20.140625" style="88" customWidth="1"/>
    <col min="14860" max="14860" width="5.7109375" style="88" bestFit="1" customWidth="1"/>
    <col min="14861" max="15104" width="9.140625" style="88"/>
    <col min="15105" max="15105" width="6.28515625" style="88" customWidth="1"/>
    <col min="15106" max="15106" width="6.5703125" style="88" bestFit="1" customWidth="1"/>
    <col min="15107" max="15107" width="9" style="88" customWidth="1"/>
    <col min="15108" max="15108" width="9.28515625" style="88" customWidth="1"/>
    <col min="15109" max="15109" width="8.5703125" style="88" customWidth="1"/>
    <col min="15110" max="15110" width="11.140625" style="88" customWidth="1"/>
    <col min="15111" max="15111" width="8" style="88" bestFit="1" customWidth="1"/>
    <col min="15112" max="15112" width="5.28515625" style="88" customWidth="1"/>
    <col min="15113" max="15113" width="8" style="88" bestFit="1" customWidth="1"/>
    <col min="15114" max="15114" width="8.42578125" style="88" customWidth="1"/>
    <col min="15115" max="15115" width="20.140625" style="88" customWidth="1"/>
    <col min="15116" max="15116" width="5.7109375" style="88" bestFit="1" customWidth="1"/>
    <col min="15117" max="15360" width="9.140625" style="88"/>
    <col min="15361" max="15361" width="6.28515625" style="88" customWidth="1"/>
    <col min="15362" max="15362" width="6.5703125" style="88" bestFit="1" customWidth="1"/>
    <col min="15363" max="15363" width="9" style="88" customWidth="1"/>
    <col min="15364" max="15364" width="9.28515625" style="88" customWidth="1"/>
    <col min="15365" max="15365" width="8.5703125" style="88" customWidth="1"/>
    <col min="15366" max="15366" width="11.140625" style="88" customWidth="1"/>
    <col min="15367" max="15367" width="8" style="88" bestFit="1" customWidth="1"/>
    <col min="15368" max="15368" width="5.28515625" style="88" customWidth="1"/>
    <col min="15369" max="15369" width="8" style="88" bestFit="1" customWidth="1"/>
    <col min="15370" max="15370" width="8.42578125" style="88" customWidth="1"/>
    <col min="15371" max="15371" width="20.140625" style="88" customWidth="1"/>
    <col min="15372" max="15372" width="5.7109375" style="88" bestFit="1" customWidth="1"/>
    <col min="15373" max="15616" width="9.140625" style="88"/>
    <col min="15617" max="15617" width="6.28515625" style="88" customWidth="1"/>
    <col min="15618" max="15618" width="6.5703125" style="88" bestFit="1" customWidth="1"/>
    <col min="15619" max="15619" width="9" style="88" customWidth="1"/>
    <col min="15620" max="15620" width="9.28515625" style="88" customWidth="1"/>
    <col min="15621" max="15621" width="8.5703125" style="88" customWidth="1"/>
    <col min="15622" max="15622" width="11.140625" style="88" customWidth="1"/>
    <col min="15623" max="15623" width="8" style="88" bestFit="1" customWidth="1"/>
    <col min="15624" max="15624" width="5.28515625" style="88" customWidth="1"/>
    <col min="15625" max="15625" width="8" style="88" bestFit="1" customWidth="1"/>
    <col min="15626" max="15626" width="8.42578125" style="88" customWidth="1"/>
    <col min="15627" max="15627" width="20.140625" style="88" customWidth="1"/>
    <col min="15628" max="15628" width="5.7109375" style="88" bestFit="1" customWidth="1"/>
    <col min="15629" max="15872" width="9.140625" style="88"/>
    <col min="15873" max="15873" width="6.28515625" style="88" customWidth="1"/>
    <col min="15874" max="15874" width="6.5703125" style="88" bestFit="1" customWidth="1"/>
    <col min="15875" max="15875" width="9" style="88" customWidth="1"/>
    <col min="15876" max="15876" width="9.28515625" style="88" customWidth="1"/>
    <col min="15877" max="15877" width="8.5703125" style="88" customWidth="1"/>
    <col min="15878" max="15878" width="11.140625" style="88" customWidth="1"/>
    <col min="15879" max="15879" width="8" style="88" bestFit="1" customWidth="1"/>
    <col min="15880" max="15880" width="5.28515625" style="88" customWidth="1"/>
    <col min="15881" max="15881" width="8" style="88" bestFit="1" customWidth="1"/>
    <col min="15882" max="15882" width="8.42578125" style="88" customWidth="1"/>
    <col min="15883" max="15883" width="20.140625" style="88" customWidth="1"/>
    <col min="15884" max="15884" width="5.7109375" style="88" bestFit="1" customWidth="1"/>
    <col min="15885" max="16128" width="9.140625" style="88"/>
    <col min="16129" max="16129" width="6.28515625" style="88" customWidth="1"/>
    <col min="16130" max="16130" width="6.5703125" style="88" bestFit="1" customWidth="1"/>
    <col min="16131" max="16131" width="9" style="88" customWidth="1"/>
    <col min="16132" max="16132" width="9.28515625" style="88" customWidth="1"/>
    <col min="16133" max="16133" width="8.5703125" style="88" customWidth="1"/>
    <col min="16134" max="16134" width="11.140625" style="88" customWidth="1"/>
    <col min="16135" max="16135" width="8" style="88" bestFit="1" customWidth="1"/>
    <col min="16136" max="16136" width="5.28515625" style="88" customWidth="1"/>
    <col min="16137" max="16137" width="8" style="88" bestFit="1" customWidth="1"/>
    <col min="16138" max="16138" width="8.42578125" style="88" customWidth="1"/>
    <col min="16139" max="16139" width="20.140625" style="88" customWidth="1"/>
    <col min="16140" max="16140" width="5.7109375" style="88" bestFit="1" customWidth="1"/>
    <col min="16141" max="16384" width="9.140625" style="88"/>
  </cols>
  <sheetData>
    <row r="1" spans="1:226" ht="3" customHeight="1" thickBot="1"/>
    <row r="2" spans="1:226" ht="25.5" customHeight="1">
      <c r="A2" s="89"/>
      <c r="B2" s="90"/>
      <c r="C2" s="474" t="s">
        <v>183</v>
      </c>
      <c r="D2" s="474"/>
      <c r="E2" s="474"/>
      <c r="F2" s="474"/>
      <c r="G2" s="474"/>
      <c r="H2" s="474"/>
      <c r="I2" s="474"/>
      <c r="J2" s="474"/>
      <c r="K2" s="475"/>
    </row>
    <row r="3" spans="1:226" ht="25.5" customHeight="1" thickBot="1">
      <c r="A3" s="91"/>
      <c r="B3" s="92"/>
      <c r="C3" s="476" t="s">
        <v>184</v>
      </c>
      <c r="D3" s="476"/>
      <c r="E3" s="476"/>
      <c r="F3" s="476"/>
      <c r="G3" s="476"/>
      <c r="H3" s="476"/>
      <c r="I3" s="476"/>
      <c r="J3" s="476"/>
      <c r="K3" s="477"/>
    </row>
    <row r="4" spans="1:226" ht="4.5" customHeight="1" thickBot="1">
      <c r="A4" s="93"/>
      <c r="B4" s="94"/>
      <c r="C4" s="94"/>
      <c r="D4" s="94"/>
      <c r="E4" s="94"/>
      <c r="F4" s="95"/>
      <c r="G4" s="95"/>
      <c r="H4" s="95"/>
      <c r="I4" s="95"/>
      <c r="J4" s="95"/>
      <c r="K4" s="95"/>
    </row>
    <row r="5" spans="1:226" s="97" customFormat="1" ht="12.75" customHeight="1">
      <c r="A5" s="478" t="s">
        <v>236</v>
      </c>
      <c r="B5" s="479"/>
      <c r="C5" s="479"/>
      <c r="D5" s="479"/>
      <c r="E5" s="480" t="s">
        <v>94</v>
      </c>
      <c r="F5" s="481"/>
      <c r="G5" s="482"/>
      <c r="H5" s="481" t="s">
        <v>156</v>
      </c>
      <c r="I5" s="481"/>
      <c r="J5" s="481"/>
      <c r="K5" s="483"/>
      <c r="L5" s="96"/>
      <c r="M5" s="96"/>
      <c r="N5" s="96"/>
    </row>
    <row r="6" spans="1:226" s="97" customFormat="1" ht="12.75" customHeight="1" thickBot="1">
      <c r="A6" s="462" t="s">
        <v>237</v>
      </c>
      <c r="B6" s="463"/>
      <c r="C6" s="463"/>
      <c r="D6" s="463"/>
      <c r="E6" s="464" t="s">
        <v>95</v>
      </c>
      <c r="F6" s="465"/>
      <c r="G6" s="466"/>
      <c r="H6" s="467" t="e">
        <f>#REF!</f>
        <v>#REF!</v>
      </c>
      <c r="I6" s="467"/>
      <c r="J6" s="467"/>
      <c r="K6" s="98" t="s">
        <v>21</v>
      </c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  <c r="BF6" s="96"/>
      <c r="BG6" s="96"/>
      <c r="BH6" s="96"/>
      <c r="BI6" s="96"/>
      <c r="BJ6" s="96"/>
      <c r="BK6" s="96"/>
      <c r="BL6" s="96"/>
      <c r="BM6" s="96"/>
      <c r="BN6" s="96"/>
      <c r="BO6" s="96"/>
      <c r="BP6" s="96"/>
      <c r="BQ6" s="96"/>
      <c r="BR6" s="96"/>
      <c r="BS6" s="96"/>
      <c r="BT6" s="96"/>
      <c r="BU6" s="96"/>
      <c r="BV6" s="96"/>
      <c r="BW6" s="96"/>
      <c r="BX6" s="96"/>
      <c r="BY6" s="96"/>
      <c r="BZ6" s="96"/>
      <c r="CA6" s="96"/>
      <c r="CB6" s="96"/>
      <c r="CC6" s="96"/>
      <c r="CD6" s="96"/>
      <c r="CE6" s="96"/>
      <c r="CF6" s="96"/>
      <c r="CG6" s="96"/>
      <c r="CH6" s="96"/>
      <c r="CI6" s="96"/>
      <c r="CJ6" s="96"/>
      <c r="CK6" s="96"/>
      <c r="CL6" s="96"/>
      <c r="CM6" s="96"/>
      <c r="CN6" s="96"/>
      <c r="CO6" s="96"/>
      <c r="CP6" s="96"/>
      <c r="CQ6" s="96"/>
      <c r="CR6" s="96"/>
      <c r="CS6" s="96"/>
      <c r="CT6" s="96"/>
      <c r="CU6" s="96"/>
      <c r="CV6" s="96"/>
      <c r="CW6" s="96"/>
      <c r="CX6" s="96"/>
      <c r="CY6" s="96"/>
      <c r="CZ6" s="96"/>
      <c r="DA6" s="96"/>
      <c r="DB6" s="96"/>
      <c r="DC6" s="96"/>
      <c r="DD6" s="96"/>
      <c r="DE6" s="96"/>
      <c r="DF6" s="96"/>
      <c r="DG6" s="96"/>
      <c r="DH6" s="96"/>
      <c r="DI6" s="96"/>
      <c r="DJ6" s="96"/>
      <c r="DK6" s="96"/>
      <c r="DL6" s="96"/>
      <c r="DM6" s="96"/>
      <c r="DN6" s="96"/>
      <c r="DO6" s="96"/>
      <c r="DP6" s="96"/>
      <c r="DQ6" s="96"/>
      <c r="DR6" s="96"/>
      <c r="DS6" s="96"/>
      <c r="DT6" s="96"/>
      <c r="DU6" s="96"/>
      <c r="DV6" s="96"/>
      <c r="DW6" s="96"/>
      <c r="DX6" s="96"/>
      <c r="DY6" s="96"/>
      <c r="DZ6" s="96"/>
      <c r="EA6" s="96"/>
      <c r="EB6" s="96"/>
      <c r="EC6" s="96"/>
      <c r="ED6" s="96"/>
      <c r="EE6" s="96"/>
      <c r="EF6" s="96"/>
      <c r="EG6" s="96"/>
      <c r="EH6" s="96"/>
      <c r="EI6" s="96"/>
      <c r="EJ6" s="96"/>
      <c r="EK6" s="96"/>
      <c r="EL6" s="96"/>
      <c r="EM6" s="96"/>
      <c r="EN6" s="96"/>
      <c r="EO6" s="96"/>
      <c r="EP6" s="96"/>
      <c r="EQ6" s="96"/>
      <c r="ER6" s="96"/>
      <c r="ES6" s="96"/>
      <c r="ET6" s="96"/>
      <c r="EU6" s="96"/>
      <c r="EV6" s="96"/>
      <c r="EW6" s="96"/>
      <c r="EX6" s="96"/>
      <c r="EY6" s="96"/>
      <c r="EZ6" s="96"/>
      <c r="FA6" s="96"/>
      <c r="FB6" s="96"/>
      <c r="FC6" s="96"/>
      <c r="FD6" s="96"/>
      <c r="FE6" s="96"/>
      <c r="FF6" s="96"/>
      <c r="FG6" s="96"/>
      <c r="FH6" s="96"/>
      <c r="FI6" s="96"/>
      <c r="FJ6" s="96"/>
      <c r="FK6" s="96"/>
      <c r="FL6" s="96"/>
      <c r="FM6" s="96"/>
      <c r="FN6" s="96"/>
      <c r="FO6" s="96"/>
      <c r="FP6" s="96"/>
      <c r="FQ6" s="96"/>
      <c r="FR6" s="96"/>
      <c r="FS6" s="96"/>
      <c r="FT6" s="96"/>
      <c r="FU6" s="96"/>
      <c r="FV6" s="96"/>
      <c r="FW6" s="96"/>
      <c r="FX6" s="96"/>
      <c r="FY6" s="96"/>
      <c r="FZ6" s="96"/>
      <c r="GA6" s="96"/>
      <c r="GB6" s="96"/>
      <c r="GC6" s="96"/>
      <c r="GD6" s="96"/>
      <c r="GE6" s="96"/>
      <c r="GF6" s="96"/>
      <c r="GG6" s="96"/>
      <c r="GH6" s="96"/>
      <c r="GI6" s="96"/>
      <c r="GJ6" s="96"/>
      <c r="GK6" s="96"/>
      <c r="GL6" s="96"/>
      <c r="GM6" s="96"/>
      <c r="GN6" s="96"/>
      <c r="GO6" s="96"/>
      <c r="GP6" s="96"/>
      <c r="GQ6" s="96"/>
      <c r="GR6" s="96"/>
      <c r="GS6" s="96"/>
      <c r="GT6" s="96"/>
      <c r="GU6" s="96"/>
      <c r="GV6" s="96"/>
      <c r="GW6" s="96"/>
      <c r="GX6" s="96"/>
      <c r="GY6" s="96"/>
      <c r="GZ6" s="96"/>
      <c r="HA6" s="96"/>
      <c r="HB6" s="96"/>
      <c r="HC6" s="96"/>
      <c r="HD6" s="96"/>
      <c r="HE6" s="96"/>
      <c r="HF6" s="96"/>
      <c r="HG6" s="96"/>
      <c r="HH6" s="96"/>
      <c r="HI6" s="96"/>
      <c r="HJ6" s="96"/>
      <c r="HK6" s="96"/>
      <c r="HL6" s="96"/>
      <c r="HM6" s="96"/>
      <c r="HN6" s="96"/>
      <c r="HO6" s="96"/>
      <c r="HP6" s="96"/>
      <c r="HQ6" s="96"/>
      <c r="HR6" s="96"/>
    </row>
    <row r="7" spans="1:226" s="100" customFormat="1" ht="4.5" customHeight="1" thickBot="1">
      <c r="A7" s="93"/>
      <c r="B7" s="94"/>
      <c r="C7" s="94"/>
      <c r="D7" s="94"/>
      <c r="E7" s="94"/>
      <c r="F7" s="95"/>
      <c r="G7" s="95"/>
      <c r="H7" s="95"/>
      <c r="I7" s="95"/>
      <c r="J7" s="95"/>
      <c r="K7" s="95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/>
      <c r="CN7" s="99"/>
      <c r="CO7" s="99"/>
      <c r="CP7" s="99"/>
      <c r="CQ7" s="99"/>
      <c r="CR7" s="99"/>
      <c r="CS7" s="99"/>
      <c r="CT7" s="99"/>
      <c r="CU7" s="99"/>
      <c r="CV7" s="99"/>
      <c r="CW7" s="99"/>
      <c r="CX7" s="99"/>
      <c r="CY7" s="99"/>
      <c r="CZ7" s="99"/>
      <c r="DA7" s="99"/>
      <c r="DB7" s="99"/>
      <c r="DC7" s="99"/>
      <c r="DD7" s="99"/>
      <c r="DE7" s="99"/>
      <c r="DF7" s="99"/>
      <c r="DG7" s="99"/>
      <c r="DH7" s="99"/>
      <c r="DI7" s="99"/>
      <c r="DJ7" s="99"/>
      <c r="DK7" s="99"/>
      <c r="DL7" s="99"/>
      <c r="DM7" s="99"/>
      <c r="DN7" s="99"/>
      <c r="DO7" s="99"/>
      <c r="DP7" s="99"/>
      <c r="DQ7" s="99"/>
      <c r="DR7" s="99"/>
      <c r="DS7" s="99"/>
      <c r="DT7" s="99"/>
      <c r="DU7" s="99"/>
      <c r="DV7" s="99"/>
      <c r="DW7" s="99"/>
      <c r="DX7" s="99"/>
      <c r="DY7" s="99"/>
      <c r="DZ7" s="99"/>
      <c r="EA7" s="99"/>
      <c r="EB7" s="99"/>
      <c r="EC7" s="99"/>
      <c r="ED7" s="99"/>
      <c r="EE7" s="99"/>
      <c r="EF7" s="99"/>
      <c r="EG7" s="99"/>
      <c r="EH7" s="99"/>
      <c r="EI7" s="99"/>
      <c r="EJ7" s="99"/>
      <c r="EK7" s="99"/>
      <c r="EL7" s="99"/>
      <c r="EM7" s="99"/>
      <c r="EN7" s="99"/>
      <c r="EO7" s="99"/>
      <c r="EP7" s="99"/>
      <c r="EQ7" s="99"/>
      <c r="ER7" s="99"/>
      <c r="ES7" s="99"/>
      <c r="ET7" s="99"/>
      <c r="EU7" s="99"/>
      <c r="EV7" s="99"/>
      <c r="EW7" s="99"/>
      <c r="EX7" s="99"/>
      <c r="EY7" s="99"/>
      <c r="EZ7" s="99"/>
      <c r="FA7" s="99"/>
      <c r="FB7" s="99"/>
      <c r="FC7" s="99"/>
      <c r="FD7" s="99"/>
      <c r="FE7" s="99"/>
      <c r="FF7" s="99"/>
      <c r="FG7" s="99"/>
      <c r="FH7" s="99"/>
      <c r="FI7" s="99"/>
      <c r="FJ7" s="99"/>
      <c r="FK7" s="99"/>
      <c r="FL7" s="99"/>
      <c r="FM7" s="99"/>
      <c r="FN7" s="99"/>
      <c r="FO7" s="99"/>
      <c r="FP7" s="99"/>
      <c r="FQ7" s="99"/>
      <c r="FR7" s="99"/>
      <c r="FS7" s="99"/>
      <c r="FT7" s="99"/>
      <c r="FU7" s="99"/>
      <c r="FV7" s="99"/>
      <c r="FW7" s="99"/>
      <c r="FX7" s="99"/>
      <c r="FY7" s="99"/>
      <c r="FZ7" s="99"/>
      <c r="GA7" s="99"/>
      <c r="GB7" s="99"/>
      <c r="GC7" s="99"/>
      <c r="GD7" s="99"/>
      <c r="GE7" s="99"/>
      <c r="GF7" s="99"/>
      <c r="GG7" s="99"/>
      <c r="GH7" s="99"/>
      <c r="GI7" s="99"/>
      <c r="GJ7" s="99"/>
      <c r="GK7" s="99"/>
      <c r="GL7" s="99"/>
      <c r="GM7" s="99"/>
      <c r="GN7" s="99"/>
      <c r="GO7" s="99"/>
      <c r="GP7" s="99"/>
      <c r="GQ7" s="99"/>
      <c r="GR7" s="99"/>
      <c r="GS7" s="99"/>
      <c r="GT7" s="99"/>
      <c r="GU7" s="99"/>
      <c r="GV7" s="99"/>
      <c r="GW7" s="99"/>
      <c r="GX7" s="99"/>
      <c r="GY7" s="99"/>
      <c r="GZ7" s="99"/>
      <c r="HA7" s="99"/>
      <c r="HB7" s="99"/>
      <c r="HC7" s="99"/>
      <c r="HD7" s="99"/>
      <c r="HE7" s="99"/>
      <c r="HF7" s="99"/>
      <c r="HG7" s="99"/>
      <c r="HH7" s="99"/>
      <c r="HI7" s="99"/>
      <c r="HJ7" s="99"/>
      <c r="HK7" s="99"/>
      <c r="HL7" s="99"/>
      <c r="HM7" s="99"/>
      <c r="HN7" s="99"/>
      <c r="HO7" s="99"/>
      <c r="HP7" s="99"/>
      <c r="HQ7" s="99"/>
      <c r="HR7" s="99"/>
    </row>
    <row r="8" spans="1:226" s="101" customFormat="1" ht="13.5" customHeight="1">
      <c r="A8" s="468" t="s">
        <v>157</v>
      </c>
      <c r="B8" s="469"/>
      <c r="C8" s="469"/>
      <c r="D8" s="469"/>
      <c r="E8" s="469"/>
      <c r="F8" s="469"/>
      <c r="G8" s="469"/>
      <c r="H8" s="469"/>
      <c r="I8" s="469"/>
      <c r="J8" s="469"/>
      <c r="K8" s="470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99"/>
      <c r="BW8" s="99"/>
      <c r="BX8" s="99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99"/>
      <c r="CM8" s="99"/>
      <c r="CN8" s="99"/>
      <c r="CO8" s="99"/>
      <c r="CP8" s="99"/>
      <c r="CQ8" s="99"/>
      <c r="CR8" s="99"/>
      <c r="CS8" s="99"/>
      <c r="CT8" s="99"/>
      <c r="CU8" s="99"/>
      <c r="CV8" s="99"/>
      <c r="CW8" s="99"/>
      <c r="CX8" s="99"/>
      <c r="CY8" s="99"/>
      <c r="CZ8" s="99"/>
      <c r="DA8" s="99"/>
      <c r="DB8" s="99"/>
      <c r="DC8" s="99"/>
      <c r="DD8" s="99"/>
      <c r="DE8" s="99"/>
      <c r="DF8" s="99"/>
      <c r="DG8" s="99"/>
      <c r="DH8" s="99"/>
      <c r="DI8" s="99"/>
      <c r="DJ8" s="99"/>
      <c r="DK8" s="99"/>
      <c r="DL8" s="99"/>
      <c r="DM8" s="99"/>
      <c r="DN8" s="99"/>
      <c r="DO8" s="99"/>
      <c r="DP8" s="99"/>
      <c r="DQ8" s="99"/>
      <c r="DR8" s="99"/>
      <c r="DS8" s="99"/>
      <c r="DT8" s="99"/>
      <c r="DU8" s="99"/>
      <c r="DV8" s="99"/>
      <c r="DW8" s="99"/>
      <c r="DX8" s="99"/>
      <c r="DY8" s="99"/>
      <c r="DZ8" s="99"/>
      <c r="EA8" s="99"/>
      <c r="EB8" s="99"/>
      <c r="EC8" s="99"/>
      <c r="ED8" s="99"/>
      <c r="EE8" s="99"/>
      <c r="EF8" s="99"/>
      <c r="EG8" s="99"/>
      <c r="EH8" s="99"/>
      <c r="EI8" s="99"/>
      <c r="EJ8" s="99"/>
      <c r="EK8" s="99"/>
      <c r="EL8" s="99"/>
      <c r="EM8" s="99"/>
      <c r="EN8" s="99"/>
      <c r="EO8" s="99"/>
      <c r="EP8" s="99"/>
      <c r="EQ8" s="99"/>
      <c r="ER8" s="99"/>
      <c r="ES8" s="99"/>
      <c r="ET8" s="99"/>
      <c r="EU8" s="99"/>
      <c r="EV8" s="99"/>
      <c r="EW8" s="99"/>
      <c r="EX8" s="99"/>
      <c r="EY8" s="99"/>
      <c r="EZ8" s="99"/>
      <c r="FA8" s="99"/>
      <c r="FB8" s="99"/>
      <c r="FC8" s="99"/>
      <c r="FD8" s="99"/>
      <c r="FE8" s="99"/>
      <c r="FF8" s="99"/>
      <c r="FG8" s="99"/>
      <c r="FH8" s="99"/>
      <c r="FI8" s="99"/>
      <c r="FJ8" s="99"/>
      <c r="FK8" s="99"/>
      <c r="FL8" s="99"/>
      <c r="FM8" s="99"/>
      <c r="FN8" s="99"/>
      <c r="FO8" s="99"/>
      <c r="FP8" s="99"/>
      <c r="FQ8" s="99"/>
      <c r="FR8" s="99"/>
      <c r="FS8" s="99"/>
      <c r="FT8" s="99"/>
      <c r="FU8" s="99"/>
      <c r="FV8" s="99"/>
      <c r="FW8" s="99"/>
      <c r="FX8" s="99"/>
      <c r="FY8" s="99"/>
      <c r="FZ8" s="99"/>
      <c r="GA8" s="99"/>
      <c r="GB8" s="99"/>
      <c r="GC8" s="99"/>
      <c r="GD8" s="99"/>
      <c r="GE8" s="99"/>
      <c r="GF8" s="99"/>
      <c r="GG8" s="99"/>
      <c r="GH8" s="99"/>
      <c r="GI8" s="99"/>
      <c r="GJ8" s="99"/>
      <c r="GK8" s="99"/>
      <c r="GL8" s="99"/>
      <c r="GM8" s="99"/>
      <c r="GN8" s="99"/>
      <c r="GO8" s="99"/>
      <c r="GP8" s="99"/>
      <c r="GQ8" s="99"/>
      <c r="GR8" s="99"/>
      <c r="GS8" s="99"/>
      <c r="GT8" s="99"/>
      <c r="GU8" s="99"/>
      <c r="GV8" s="99"/>
      <c r="GW8" s="99"/>
      <c r="GX8" s="99"/>
      <c r="GY8" s="99"/>
      <c r="GZ8" s="99"/>
      <c r="HA8" s="99"/>
      <c r="HB8" s="99"/>
      <c r="HC8" s="99"/>
      <c r="HD8" s="99"/>
      <c r="HE8" s="99"/>
      <c r="HF8" s="99"/>
      <c r="HG8" s="99"/>
      <c r="HH8" s="99"/>
      <c r="HI8" s="99"/>
      <c r="HJ8" s="99"/>
      <c r="HK8" s="99"/>
      <c r="HL8" s="99"/>
      <c r="HM8" s="99"/>
      <c r="HN8" s="99"/>
      <c r="HO8" s="99"/>
      <c r="HP8" s="99"/>
      <c r="HQ8" s="99"/>
      <c r="HR8" s="99"/>
    </row>
    <row r="9" spans="1:226" ht="13.5" customHeight="1">
      <c r="A9" s="102" t="s">
        <v>158</v>
      </c>
      <c r="B9" s="103" t="s">
        <v>159</v>
      </c>
      <c r="C9" s="103" t="s">
        <v>160</v>
      </c>
      <c r="D9" s="103" t="s">
        <v>161</v>
      </c>
      <c r="E9" s="103" t="s">
        <v>162</v>
      </c>
      <c r="F9" s="103" t="s">
        <v>163</v>
      </c>
      <c r="G9" s="103" t="s">
        <v>164</v>
      </c>
      <c r="H9" s="103" t="s">
        <v>22</v>
      </c>
      <c r="I9" s="103" t="s">
        <v>165</v>
      </c>
      <c r="J9" s="103" t="s">
        <v>166</v>
      </c>
      <c r="K9" s="104" t="s">
        <v>167</v>
      </c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99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99"/>
      <c r="BW9" s="99"/>
      <c r="BX9" s="99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99"/>
      <c r="CM9" s="99"/>
      <c r="CN9" s="99"/>
      <c r="CO9" s="99"/>
      <c r="CP9" s="99"/>
      <c r="CQ9" s="99"/>
      <c r="CR9" s="99"/>
      <c r="CS9" s="99"/>
      <c r="CT9" s="99"/>
      <c r="CU9" s="99"/>
      <c r="CV9" s="99"/>
      <c r="CW9" s="99"/>
      <c r="CX9" s="99"/>
      <c r="CY9" s="99"/>
      <c r="CZ9" s="99"/>
      <c r="DA9" s="99"/>
      <c r="DB9" s="99"/>
      <c r="DC9" s="99"/>
      <c r="DD9" s="99"/>
      <c r="DE9" s="99"/>
      <c r="DF9" s="99"/>
      <c r="DG9" s="99"/>
      <c r="DH9" s="99"/>
      <c r="DI9" s="99"/>
      <c r="DJ9" s="99"/>
      <c r="DK9" s="99"/>
      <c r="DL9" s="99"/>
      <c r="DM9" s="99"/>
      <c r="DN9" s="99"/>
      <c r="DO9" s="99"/>
      <c r="DP9" s="99"/>
      <c r="DQ9" s="99"/>
      <c r="DR9" s="99"/>
      <c r="DS9" s="99"/>
      <c r="DT9" s="99"/>
      <c r="DU9" s="99"/>
      <c r="DV9" s="99"/>
      <c r="DW9" s="99"/>
      <c r="DX9" s="99"/>
      <c r="DY9" s="99"/>
      <c r="DZ9" s="99"/>
      <c r="EA9" s="99"/>
      <c r="EB9" s="99"/>
      <c r="EC9" s="99"/>
      <c r="ED9" s="99"/>
      <c r="EE9" s="99"/>
      <c r="EF9" s="99"/>
      <c r="EG9" s="99"/>
      <c r="EH9" s="99"/>
      <c r="EI9" s="99"/>
      <c r="EJ9" s="99"/>
      <c r="EK9" s="99"/>
      <c r="EL9" s="99"/>
      <c r="EM9" s="99"/>
      <c r="EN9" s="99"/>
      <c r="EO9" s="99"/>
      <c r="EP9" s="99"/>
      <c r="EQ9" s="99"/>
      <c r="ER9" s="99"/>
      <c r="ES9" s="99"/>
      <c r="ET9" s="99"/>
      <c r="EU9" s="99"/>
      <c r="EV9" s="99"/>
      <c r="EW9" s="99"/>
      <c r="EX9" s="99"/>
      <c r="EY9" s="99"/>
      <c r="EZ9" s="99"/>
      <c r="FA9" s="99"/>
      <c r="FB9" s="99"/>
      <c r="FC9" s="99"/>
      <c r="FD9" s="99"/>
      <c r="FE9" s="99"/>
      <c r="FF9" s="99"/>
      <c r="FG9" s="99"/>
      <c r="FH9" s="99"/>
      <c r="FI9" s="99"/>
      <c r="FJ9" s="99"/>
      <c r="FK9" s="99"/>
      <c r="FL9" s="99"/>
      <c r="FM9" s="99"/>
      <c r="FN9" s="99"/>
      <c r="FO9" s="99"/>
      <c r="FP9" s="99"/>
      <c r="FQ9" s="99"/>
      <c r="FR9" s="99"/>
      <c r="FS9" s="99"/>
      <c r="FT9" s="99"/>
      <c r="FU9" s="99"/>
      <c r="FV9" s="99"/>
      <c r="FW9" s="99"/>
      <c r="FX9" s="99"/>
      <c r="FY9" s="99"/>
      <c r="FZ9" s="99"/>
      <c r="GA9" s="99"/>
      <c r="GB9" s="99"/>
      <c r="GC9" s="99"/>
      <c r="GD9" s="99"/>
      <c r="GE9" s="99"/>
      <c r="GF9" s="99"/>
      <c r="GG9" s="99"/>
      <c r="GH9" s="99"/>
      <c r="GI9" s="99"/>
      <c r="GJ9" s="99"/>
      <c r="GK9" s="99"/>
      <c r="GL9" s="99"/>
      <c r="GM9" s="99"/>
      <c r="GN9" s="99"/>
      <c r="GO9" s="99"/>
      <c r="GP9" s="99"/>
      <c r="GQ9" s="99"/>
      <c r="GR9" s="99"/>
      <c r="GS9" s="99"/>
      <c r="GT9" s="99"/>
      <c r="GU9" s="99"/>
      <c r="GV9" s="99"/>
      <c r="GW9" s="99"/>
      <c r="GX9" s="99"/>
      <c r="GY9" s="99"/>
      <c r="GZ9" s="99"/>
      <c r="HA9" s="99"/>
      <c r="HB9" s="99"/>
      <c r="HC9" s="99"/>
      <c r="HD9" s="99"/>
      <c r="HE9" s="99"/>
      <c r="HF9" s="99"/>
      <c r="HG9" s="99"/>
      <c r="HH9" s="99"/>
      <c r="HI9" s="99"/>
      <c r="HJ9" s="99"/>
      <c r="HK9" s="99"/>
      <c r="HL9" s="99"/>
      <c r="HM9" s="99"/>
      <c r="HN9" s="99"/>
      <c r="HO9" s="99"/>
      <c r="HP9" s="99"/>
      <c r="HQ9" s="99"/>
      <c r="HR9" s="99"/>
    </row>
    <row r="10" spans="1:226" s="99" customFormat="1" ht="13.5" thickBot="1">
      <c r="A10" s="105">
        <v>1</v>
      </c>
      <c r="B10" s="106">
        <v>866</v>
      </c>
      <c r="C10" s="107">
        <f>BACIAS!G5</f>
        <v>0.264293</v>
      </c>
      <c r="D10" s="107">
        <v>16</v>
      </c>
      <c r="E10" s="107">
        <v>13.722</v>
      </c>
      <c r="F10" s="108">
        <f>(D10-E10)/(B10/1000)</f>
        <v>2.6304849884526567</v>
      </c>
      <c r="G10" s="109">
        <v>25</v>
      </c>
      <c r="H10" s="110">
        <f>57*(((B10/1000)^2/(F10))^0.385)</f>
        <v>35.160078728538743</v>
      </c>
      <c r="I10" s="107">
        <f>(3445.7*G10^0.138)/(H10+26)^1.012</f>
        <v>83.615642625866741</v>
      </c>
      <c r="J10" s="111">
        <v>0.25</v>
      </c>
      <c r="K10" s="112">
        <f>(J10*I10*C10)/3.6</f>
        <v>1.5346547942026527</v>
      </c>
    </row>
    <row r="11" spans="1:226" s="99" customFormat="1" ht="6" customHeight="1" thickBot="1">
      <c r="A11" s="113"/>
      <c r="B11" s="114"/>
      <c r="C11" s="114"/>
      <c r="D11" s="114"/>
      <c r="E11" s="114"/>
      <c r="F11" s="115"/>
      <c r="G11" s="116"/>
      <c r="H11" s="117"/>
      <c r="I11" s="118"/>
      <c r="J11" s="115"/>
      <c r="K11" s="119"/>
    </row>
    <row r="12" spans="1:226" s="99" customFormat="1" ht="13.5" thickBot="1">
      <c r="A12" s="471" t="s">
        <v>168</v>
      </c>
      <c r="B12" s="472"/>
      <c r="C12" s="472"/>
      <c r="D12" s="472"/>
      <c r="E12" s="472"/>
      <c r="F12" s="472"/>
      <c r="G12" s="472"/>
      <c r="H12" s="472"/>
      <c r="I12" s="472"/>
      <c r="J12" s="472"/>
      <c r="K12" s="473"/>
    </row>
    <row r="13" spans="1:226" s="99" customFormat="1" ht="12.75" customHeight="1">
      <c r="A13" s="487" t="s">
        <v>169</v>
      </c>
      <c r="B13" s="486"/>
      <c r="C13" s="486"/>
      <c r="D13" s="120" t="s">
        <v>159</v>
      </c>
      <c r="E13" s="486" t="s">
        <v>161</v>
      </c>
      <c r="F13" s="486"/>
      <c r="G13" s="486" t="s">
        <v>162</v>
      </c>
      <c r="H13" s="486"/>
      <c r="I13" s="486" t="s">
        <v>170</v>
      </c>
      <c r="J13" s="486"/>
      <c r="K13" s="121" t="s">
        <v>171</v>
      </c>
    </row>
    <row r="14" spans="1:226" s="99" customFormat="1" ht="13.5" thickBot="1">
      <c r="A14" s="105">
        <v>30</v>
      </c>
      <c r="B14" s="109" t="s">
        <v>26</v>
      </c>
      <c r="C14" s="110">
        <v>6</v>
      </c>
      <c r="D14" s="110">
        <v>13</v>
      </c>
      <c r="E14" s="484">
        <f>E10</f>
        <v>13.722</v>
      </c>
      <c r="F14" s="484"/>
      <c r="G14" s="484">
        <v>13.45</v>
      </c>
      <c r="H14" s="484"/>
      <c r="I14" s="485">
        <f>(E14-G14)/D14</f>
        <v>2.092307692307694E-2</v>
      </c>
      <c r="J14" s="485"/>
      <c r="K14" s="122" t="s">
        <v>238</v>
      </c>
      <c r="M14" s="123"/>
      <c r="N14" s="124"/>
    </row>
    <row r="15" spans="1:226" s="99" customFormat="1">
      <c r="A15" s="89"/>
      <c r="B15" s="90"/>
      <c r="C15" s="90"/>
      <c r="D15" s="90"/>
      <c r="E15" s="90"/>
      <c r="F15" s="125"/>
      <c r="G15" s="126"/>
      <c r="H15" s="127"/>
      <c r="I15" s="128"/>
      <c r="J15" s="125"/>
      <c r="K15" s="129" t="s">
        <v>172</v>
      </c>
    </row>
    <row r="16" spans="1:226" s="99" customFormat="1" ht="12.75" customHeight="1">
      <c r="A16" s="130"/>
      <c r="B16" s="131"/>
      <c r="C16" s="131"/>
      <c r="D16" s="131"/>
      <c r="E16" s="131"/>
      <c r="F16" s="132"/>
      <c r="G16" s="133"/>
      <c r="H16" s="134"/>
      <c r="I16" s="135"/>
      <c r="J16" s="132"/>
      <c r="K16" s="136"/>
    </row>
    <row r="17" spans="1:11" s="99" customFormat="1">
      <c r="A17" s="130"/>
      <c r="B17" s="131"/>
      <c r="C17" s="131"/>
      <c r="D17" s="131"/>
      <c r="E17" s="131"/>
      <c r="F17" s="132"/>
      <c r="G17" s="133"/>
      <c r="H17" s="134"/>
      <c r="I17" s="135"/>
      <c r="J17" s="132"/>
      <c r="K17" s="136"/>
    </row>
    <row r="18" spans="1:11" s="99" customFormat="1">
      <c r="A18" s="130"/>
      <c r="B18" s="131"/>
      <c r="C18" s="131"/>
      <c r="D18" s="131"/>
      <c r="E18" s="131"/>
      <c r="F18" s="132"/>
      <c r="G18" s="133"/>
      <c r="H18" s="134"/>
      <c r="I18" s="135"/>
      <c r="J18" s="132"/>
      <c r="K18" s="136"/>
    </row>
    <row r="19" spans="1:11" s="99" customFormat="1">
      <c r="A19" s="130"/>
      <c r="B19" s="131"/>
      <c r="C19" s="131"/>
      <c r="D19" s="131"/>
      <c r="E19" s="131"/>
      <c r="F19" s="132"/>
      <c r="G19" s="133"/>
      <c r="H19" s="134"/>
      <c r="I19" s="135"/>
      <c r="J19" s="132"/>
      <c r="K19" s="136"/>
    </row>
    <row r="20" spans="1:11" s="99" customFormat="1">
      <c r="A20" s="130"/>
      <c r="B20" s="131"/>
      <c r="C20" s="131"/>
      <c r="D20" s="131"/>
      <c r="E20" s="131"/>
      <c r="F20" s="132"/>
      <c r="G20" s="133"/>
      <c r="H20" s="134"/>
      <c r="I20" s="135"/>
      <c r="J20" s="132"/>
      <c r="K20" s="136"/>
    </row>
    <row r="21" spans="1:11" s="99" customFormat="1">
      <c r="A21" s="130"/>
      <c r="B21" s="131"/>
      <c r="C21" s="131"/>
      <c r="D21" s="131"/>
      <c r="E21" s="131"/>
      <c r="F21" s="132"/>
      <c r="G21" s="133"/>
      <c r="H21" s="134"/>
      <c r="I21" s="135"/>
      <c r="J21" s="132"/>
      <c r="K21" s="136"/>
    </row>
    <row r="22" spans="1:11" s="99" customFormat="1">
      <c r="A22" s="130"/>
      <c r="B22" s="131"/>
      <c r="C22" s="131"/>
      <c r="D22" s="131"/>
      <c r="E22" s="131"/>
      <c r="F22" s="132"/>
      <c r="G22" s="133"/>
      <c r="H22" s="134"/>
      <c r="I22" s="135"/>
      <c r="J22" s="132"/>
      <c r="K22" s="136"/>
    </row>
    <row r="23" spans="1:11" s="99" customFormat="1">
      <c r="A23" s="130"/>
      <c r="B23" s="131"/>
      <c r="C23" s="131"/>
      <c r="D23" s="131"/>
      <c r="E23" s="131"/>
      <c r="F23" s="132"/>
      <c r="G23" s="133"/>
      <c r="H23" s="134"/>
      <c r="I23" s="135"/>
      <c r="J23" s="132"/>
      <c r="K23" s="136"/>
    </row>
    <row r="24" spans="1:11" s="99" customFormat="1">
      <c r="A24" s="130"/>
      <c r="B24" s="131"/>
      <c r="C24" s="131"/>
      <c r="D24" s="131"/>
      <c r="E24" s="131"/>
      <c r="F24" s="132"/>
      <c r="G24" s="133"/>
      <c r="H24" s="134"/>
      <c r="I24" s="135"/>
      <c r="J24" s="132"/>
      <c r="K24" s="136"/>
    </row>
    <row r="25" spans="1:11" s="99" customFormat="1">
      <c r="A25" s="130"/>
      <c r="B25" s="131"/>
      <c r="C25" s="131"/>
      <c r="D25" s="131"/>
      <c r="E25" s="131"/>
      <c r="F25" s="132"/>
      <c r="G25" s="133"/>
      <c r="H25" s="134"/>
      <c r="I25" s="135"/>
      <c r="J25" s="132"/>
      <c r="K25" s="136"/>
    </row>
    <row r="26" spans="1:11" s="99" customFormat="1">
      <c r="A26" s="130"/>
      <c r="B26" s="131"/>
      <c r="C26" s="131"/>
      <c r="D26" s="131"/>
      <c r="E26" s="131"/>
      <c r="F26" s="132"/>
      <c r="G26" s="133"/>
      <c r="H26" s="134"/>
      <c r="I26" s="135"/>
      <c r="J26" s="132"/>
      <c r="K26" s="136"/>
    </row>
    <row r="27" spans="1:11" s="99" customFormat="1">
      <c r="A27" s="130"/>
      <c r="B27" s="131"/>
      <c r="C27" s="131"/>
      <c r="D27" s="131"/>
      <c r="E27" s="131"/>
      <c r="F27" s="132"/>
      <c r="G27" s="133"/>
      <c r="H27" s="134"/>
      <c r="I27" s="135"/>
      <c r="J27" s="132"/>
      <c r="K27" s="136"/>
    </row>
    <row r="28" spans="1:11" s="99" customFormat="1">
      <c r="A28" s="130"/>
      <c r="B28" s="131"/>
      <c r="C28" s="131"/>
      <c r="D28" s="131"/>
      <c r="E28" s="131"/>
      <c r="F28" s="132"/>
      <c r="G28" s="133"/>
      <c r="H28" s="134"/>
      <c r="I28" s="135"/>
      <c r="J28" s="132"/>
      <c r="K28" s="136"/>
    </row>
    <row r="29" spans="1:11" s="99" customFormat="1">
      <c r="A29" s="130"/>
      <c r="B29" s="131"/>
      <c r="C29" s="131"/>
      <c r="D29" s="131"/>
      <c r="E29" s="131"/>
      <c r="F29" s="132"/>
      <c r="G29" s="133"/>
      <c r="H29" s="134"/>
      <c r="I29" s="135"/>
      <c r="J29" s="132"/>
      <c r="K29" s="136"/>
    </row>
    <row r="30" spans="1:11" s="99" customFormat="1">
      <c r="A30" s="130"/>
      <c r="B30" s="131"/>
      <c r="C30" s="131"/>
      <c r="D30" s="131"/>
      <c r="E30" s="131"/>
      <c r="F30" s="132"/>
      <c r="G30" s="133"/>
      <c r="H30" s="134"/>
      <c r="I30" s="135"/>
      <c r="J30" s="132"/>
      <c r="K30" s="136"/>
    </row>
    <row r="31" spans="1:11" s="99" customFormat="1">
      <c r="A31" s="130"/>
      <c r="B31" s="131"/>
      <c r="C31" s="131"/>
      <c r="D31" s="131"/>
      <c r="E31" s="131"/>
      <c r="F31" s="132"/>
      <c r="G31" s="133"/>
      <c r="H31" s="134"/>
      <c r="I31" s="135"/>
      <c r="J31" s="132"/>
      <c r="K31" s="136"/>
    </row>
    <row r="32" spans="1:11" s="99" customFormat="1">
      <c r="A32" s="130"/>
      <c r="B32" s="131"/>
      <c r="C32" s="131"/>
      <c r="D32" s="131"/>
      <c r="E32" s="131"/>
      <c r="F32" s="132"/>
      <c r="G32" s="133"/>
      <c r="H32" s="134"/>
      <c r="I32" s="135"/>
      <c r="J32" s="132"/>
      <c r="K32" s="136"/>
    </row>
    <row r="33" spans="1:226" s="99" customFormat="1">
      <c r="A33" s="130"/>
      <c r="B33" s="131"/>
      <c r="C33" s="131"/>
      <c r="D33" s="131"/>
      <c r="E33" s="131"/>
      <c r="F33" s="132"/>
      <c r="G33" s="133"/>
      <c r="H33" s="134"/>
      <c r="I33" s="135"/>
      <c r="J33" s="132"/>
      <c r="K33" s="136"/>
    </row>
    <row r="34" spans="1:226" s="99" customFormat="1">
      <c r="A34" s="130"/>
      <c r="B34" s="131"/>
      <c r="C34" s="131"/>
      <c r="D34" s="131"/>
      <c r="E34" s="131"/>
      <c r="F34" s="132"/>
      <c r="G34" s="133"/>
      <c r="H34" s="134"/>
      <c r="I34" s="135"/>
      <c r="J34" s="132"/>
      <c r="K34" s="136"/>
    </row>
    <row r="35" spans="1:226" s="99" customFormat="1">
      <c r="A35" s="130"/>
      <c r="B35" s="131"/>
      <c r="C35" s="131"/>
      <c r="D35" s="131"/>
      <c r="E35" s="131"/>
      <c r="F35" s="132"/>
      <c r="G35" s="133"/>
      <c r="H35" s="134"/>
      <c r="I35" s="135"/>
      <c r="J35" s="132"/>
      <c r="K35" s="136"/>
    </row>
    <row r="36" spans="1:226" s="99" customFormat="1">
      <c r="A36" s="130"/>
      <c r="B36" s="131"/>
      <c r="C36" s="131"/>
      <c r="D36" s="131"/>
      <c r="E36" s="131"/>
      <c r="F36" s="132"/>
      <c r="G36" s="133"/>
      <c r="H36" s="134"/>
      <c r="I36" s="135"/>
      <c r="J36" s="132"/>
      <c r="K36" s="136"/>
    </row>
    <row r="37" spans="1:226" s="99" customFormat="1" ht="13.5" thickBot="1">
      <c r="A37" s="91"/>
      <c r="B37" s="92"/>
      <c r="C37" s="92"/>
      <c r="D37" s="92"/>
      <c r="E37" s="92"/>
      <c r="F37" s="137"/>
      <c r="G37" s="137"/>
      <c r="H37" s="137"/>
      <c r="I37" s="137"/>
      <c r="J37" s="138"/>
      <c r="K37" s="139"/>
    </row>
    <row r="38" spans="1:226" s="101" customFormat="1" ht="13.5" customHeight="1">
      <c r="A38" s="468" t="s">
        <v>157</v>
      </c>
      <c r="B38" s="469"/>
      <c r="C38" s="469"/>
      <c r="D38" s="469"/>
      <c r="E38" s="469"/>
      <c r="F38" s="469"/>
      <c r="G38" s="469"/>
      <c r="H38" s="469"/>
      <c r="I38" s="469"/>
      <c r="J38" s="469"/>
      <c r="K38" s="470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99"/>
      <c r="BM38" s="99"/>
      <c r="BN38" s="99"/>
      <c r="BO38" s="99"/>
      <c r="BP38" s="99"/>
      <c r="BQ38" s="99"/>
      <c r="BR38" s="99"/>
      <c r="BS38" s="99"/>
      <c r="BT38" s="99"/>
      <c r="BU38" s="99"/>
      <c r="BV38" s="99"/>
      <c r="BW38" s="99"/>
      <c r="BX38" s="99"/>
      <c r="BY38" s="99"/>
      <c r="BZ38" s="99"/>
      <c r="CA38" s="99"/>
      <c r="CB38" s="99"/>
      <c r="CC38" s="99"/>
      <c r="CD38" s="99"/>
      <c r="CE38" s="99"/>
      <c r="CF38" s="99"/>
      <c r="CG38" s="99"/>
      <c r="CH38" s="99"/>
      <c r="CI38" s="99"/>
      <c r="CJ38" s="99"/>
      <c r="CK38" s="99"/>
      <c r="CL38" s="99"/>
      <c r="CM38" s="99"/>
      <c r="CN38" s="99"/>
      <c r="CO38" s="99"/>
      <c r="CP38" s="99"/>
      <c r="CQ38" s="99"/>
      <c r="CR38" s="99"/>
      <c r="CS38" s="99"/>
      <c r="CT38" s="99"/>
      <c r="CU38" s="99"/>
      <c r="CV38" s="99"/>
      <c r="CW38" s="99"/>
      <c r="CX38" s="99"/>
      <c r="CY38" s="99"/>
      <c r="CZ38" s="99"/>
      <c r="DA38" s="99"/>
      <c r="DB38" s="99"/>
      <c r="DC38" s="99"/>
      <c r="DD38" s="99"/>
      <c r="DE38" s="99"/>
      <c r="DF38" s="99"/>
      <c r="DG38" s="99"/>
      <c r="DH38" s="99"/>
      <c r="DI38" s="99"/>
      <c r="DJ38" s="99"/>
      <c r="DK38" s="99"/>
      <c r="DL38" s="99"/>
      <c r="DM38" s="99"/>
      <c r="DN38" s="99"/>
      <c r="DO38" s="99"/>
      <c r="DP38" s="99"/>
      <c r="DQ38" s="99"/>
      <c r="DR38" s="99"/>
      <c r="DS38" s="99"/>
      <c r="DT38" s="99"/>
      <c r="DU38" s="99"/>
      <c r="DV38" s="99"/>
      <c r="DW38" s="99"/>
      <c r="DX38" s="99"/>
      <c r="DY38" s="99"/>
      <c r="DZ38" s="99"/>
      <c r="EA38" s="99"/>
      <c r="EB38" s="99"/>
      <c r="EC38" s="99"/>
      <c r="ED38" s="99"/>
      <c r="EE38" s="99"/>
      <c r="EF38" s="99"/>
      <c r="EG38" s="99"/>
      <c r="EH38" s="99"/>
      <c r="EI38" s="99"/>
      <c r="EJ38" s="99"/>
      <c r="EK38" s="99"/>
      <c r="EL38" s="99"/>
      <c r="EM38" s="99"/>
      <c r="EN38" s="99"/>
      <c r="EO38" s="99"/>
      <c r="EP38" s="99"/>
      <c r="EQ38" s="99"/>
      <c r="ER38" s="99"/>
      <c r="ES38" s="99"/>
      <c r="ET38" s="99"/>
      <c r="EU38" s="99"/>
      <c r="EV38" s="99"/>
      <c r="EW38" s="99"/>
      <c r="EX38" s="99"/>
      <c r="EY38" s="99"/>
      <c r="EZ38" s="99"/>
      <c r="FA38" s="99"/>
      <c r="FB38" s="99"/>
      <c r="FC38" s="99"/>
      <c r="FD38" s="99"/>
      <c r="FE38" s="99"/>
      <c r="FF38" s="99"/>
      <c r="FG38" s="99"/>
      <c r="FH38" s="99"/>
      <c r="FI38" s="99"/>
      <c r="FJ38" s="99"/>
      <c r="FK38" s="99"/>
      <c r="FL38" s="99"/>
      <c r="FM38" s="99"/>
      <c r="FN38" s="99"/>
      <c r="FO38" s="99"/>
      <c r="FP38" s="99"/>
      <c r="FQ38" s="99"/>
      <c r="FR38" s="99"/>
      <c r="FS38" s="99"/>
      <c r="FT38" s="99"/>
      <c r="FU38" s="99"/>
      <c r="FV38" s="99"/>
      <c r="FW38" s="99"/>
      <c r="FX38" s="99"/>
      <c r="FY38" s="99"/>
      <c r="FZ38" s="99"/>
      <c r="GA38" s="99"/>
      <c r="GB38" s="99"/>
      <c r="GC38" s="99"/>
      <c r="GD38" s="99"/>
      <c r="GE38" s="99"/>
      <c r="GF38" s="99"/>
      <c r="GG38" s="99"/>
      <c r="GH38" s="99"/>
      <c r="GI38" s="99"/>
      <c r="GJ38" s="99"/>
      <c r="GK38" s="99"/>
      <c r="GL38" s="99"/>
      <c r="GM38" s="99"/>
      <c r="GN38" s="99"/>
      <c r="GO38" s="99"/>
      <c r="GP38" s="99"/>
      <c r="GQ38" s="99"/>
      <c r="GR38" s="99"/>
      <c r="GS38" s="99"/>
      <c r="GT38" s="99"/>
      <c r="GU38" s="99"/>
      <c r="GV38" s="99"/>
      <c r="GW38" s="99"/>
      <c r="GX38" s="99"/>
      <c r="GY38" s="99"/>
      <c r="GZ38" s="99"/>
      <c r="HA38" s="99"/>
      <c r="HB38" s="99"/>
      <c r="HC38" s="99"/>
      <c r="HD38" s="99"/>
      <c r="HE38" s="99"/>
      <c r="HF38" s="99"/>
      <c r="HG38" s="99"/>
      <c r="HH38" s="99"/>
      <c r="HI38" s="99"/>
      <c r="HJ38" s="99"/>
      <c r="HK38" s="99"/>
      <c r="HL38" s="99"/>
      <c r="HM38" s="99"/>
      <c r="HN38" s="99"/>
      <c r="HO38" s="99"/>
      <c r="HP38" s="99"/>
      <c r="HQ38" s="99"/>
      <c r="HR38" s="99"/>
    </row>
    <row r="39" spans="1:226" ht="13.5" customHeight="1">
      <c r="A39" s="102" t="s">
        <v>158</v>
      </c>
      <c r="B39" s="103" t="s">
        <v>159</v>
      </c>
      <c r="C39" s="103" t="s">
        <v>160</v>
      </c>
      <c r="D39" s="103" t="s">
        <v>161</v>
      </c>
      <c r="E39" s="103" t="s">
        <v>162</v>
      </c>
      <c r="F39" s="103" t="s">
        <v>163</v>
      </c>
      <c r="G39" s="103" t="s">
        <v>164</v>
      </c>
      <c r="H39" s="103" t="s">
        <v>22</v>
      </c>
      <c r="I39" s="103" t="s">
        <v>165</v>
      </c>
      <c r="J39" s="103" t="s">
        <v>166</v>
      </c>
      <c r="K39" s="104" t="s">
        <v>167</v>
      </c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99"/>
      <c r="BM39" s="99"/>
      <c r="BN39" s="99"/>
      <c r="BO39" s="99"/>
      <c r="BP39" s="99"/>
      <c r="BQ39" s="99"/>
      <c r="BR39" s="99"/>
      <c r="BS39" s="99"/>
      <c r="BT39" s="99"/>
      <c r="BU39" s="99"/>
      <c r="BV39" s="99"/>
      <c r="BW39" s="99"/>
      <c r="BX39" s="99"/>
      <c r="BY39" s="99"/>
      <c r="BZ39" s="99"/>
      <c r="CA39" s="99"/>
      <c r="CB39" s="99"/>
      <c r="CC39" s="99"/>
      <c r="CD39" s="99"/>
      <c r="CE39" s="99"/>
      <c r="CF39" s="99"/>
      <c r="CG39" s="99"/>
      <c r="CH39" s="99"/>
      <c r="CI39" s="99"/>
      <c r="CJ39" s="99"/>
      <c r="CK39" s="99"/>
      <c r="CL39" s="99"/>
      <c r="CM39" s="99"/>
      <c r="CN39" s="99"/>
      <c r="CO39" s="99"/>
      <c r="CP39" s="99"/>
      <c r="CQ39" s="99"/>
      <c r="CR39" s="99"/>
      <c r="CS39" s="99"/>
      <c r="CT39" s="99"/>
      <c r="CU39" s="99"/>
      <c r="CV39" s="99"/>
      <c r="CW39" s="99"/>
      <c r="CX39" s="99"/>
      <c r="CY39" s="99"/>
      <c r="CZ39" s="99"/>
      <c r="DA39" s="99"/>
      <c r="DB39" s="99"/>
      <c r="DC39" s="99"/>
      <c r="DD39" s="99"/>
      <c r="DE39" s="99"/>
      <c r="DF39" s="99"/>
      <c r="DG39" s="99"/>
      <c r="DH39" s="99"/>
      <c r="DI39" s="99"/>
      <c r="DJ39" s="99"/>
      <c r="DK39" s="99"/>
      <c r="DL39" s="99"/>
      <c r="DM39" s="99"/>
      <c r="DN39" s="99"/>
      <c r="DO39" s="99"/>
      <c r="DP39" s="99"/>
      <c r="DQ39" s="99"/>
      <c r="DR39" s="99"/>
      <c r="DS39" s="99"/>
      <c r="DT39" s="99"/>
      <c r="DU39" s="99"/>
      <c r="DV39" s="99"/>
      <c r="DW39" s="99"/>
      <c r="DX39" s="99"/>
      <c r="DY39" s="99"/>
      <c r="DZ39" s="99"/>
      <c r="EA39" s="99"/>
      <c r="EB39" s="99"/>
      <c r="EC39" s="99"/>
      <c r="ED39" s="99"/>
      <c r="EE39" s="99"/>
      <c r="EF39" s="99"/>
      <c r="EG39" s="99"/>
      <c r="EH39" s="99"/>
      <c r="EI39" s="99"/>
      <c r="EJ39" s="99"/>
      <c r="EK39" s="99"/>
      <c r="EL39" s="99"/>
      <c r="EM39" s="99"/>
      <c r="EN39" s="99"/>
      <c r="EO39" s="99"/>
      <c r="EP39" s="99"/>
      <c r="EQ39" s="99"/>
      <c r="ER39" s="99"/>
      <c r="ES39" s="99"/>
      <c r="ET39" s="99"/>
      <c r="EU39" s="99"/>
      <c r="EV39" s="99"/>
      <c r="EW39" s="99"/>
      <c r="EX39" s="99"/>
      <c r="EY39" s="99"/>
      <c r="EZ39" s="99"/>
      <c r="FA39" s="99"/>
      <c r="FB39" s="99"/>
      <c r="FC39" s="99"/>
      <c r="FD39" s="99"/>
      <c r="FE39" s="99"/>
      <c r="FF39" s="99"/>
      <c r="FG39" s="99"/>
      <c r="FH39" s="99"/>
      <c r="FI39" s="99"/>
      <c r="FJ39" s="99"/>
      <c r="FK39" s="99"/>
      <c r="FL39" s="99"/>
      <c r="FM39" s="99"/>
      <c r="FN39" s="99"/>
      <c r="FO39" s="99"/>
      <c r="FP39" s="99"/>
      <c r="FQ39" s="99"/>
      <c r="FR39" s="99"/>
      <c r="FS39" s="99"/>
      <c r="FT39" s="99"/>
      <c r="FU39" s="99"/>
      <c r="FV39" s="99"/>
      <c r="FW39" s="99"/>
      <c r="FX39" s="99"/>
      <c r="FY39" s="99"/>
      <c r="FZ39" s="99"/>
      <c r="GA39" s="99"/>
      <c r="GB39" s="99"/>
      <c r="GC39" s="99"/>
      <c r="GD39" s="99"/>
      <c r="GE39" s="99"/>
      <c r="GF39" s="99"/>
      <c r="GG39" s="99"/>
      <c r="GH39" s="99"/>
      <c r="GI39" s="99"/>
      <c r="GJ39" s="99"/>
      <c r="GK39" s="99"/>
      <c r="GL39" s="99"/>
      <c r="GM39" s="99"/>
      <c r="GN39" s="99"/>
      <c r="GO39" s="99"/>
      <c r="GP39" s="99"/>
      <c r="GQ39" s="99"/>
      <c r="GR39" s="99"/>
      <c r="GS39" s="99"/>
      <c r="GT39" s="99"/>
      <c r="GU39" s="99"/>
      <c r="GV39" s="99"/>
      <c r="GW39" s="99"/>
      <c r="GX39" s="99"/>
      <c r="GY39" s="99"/>
      <c r="GZ39" s="99"/>
      <c r="HA39" s="99"/>
      <c r="HB39" s="99"/>
      <c r="HC39" s="99"/>
      <c r="HD39" s="99"/>
      <c r="HE39" s="99"/>
      <c r="HF39" s="99"/>
      <c r="HG39" s="99"/>
      <c r="HH39" s="99"/>
      <c r="HI39" s="99"/>
      <c r="HJ39" s="99"/>
      <c r="HK39" s="99"/>
      <c r="HL39" s="99"/>
      <c r="HM39" s="99"/>
      <c r="HN39" s="99"/>
      <c r="HO39" s="99"/>
      <c r="HP39" s="99"/>
      <c r="HQ39" s="99"/>
      <c r="HR39" s="99"/>
    </row>
    <row r="40" spans="1:226" s="99" customFormat="1" ht="13.5" thickBot="1">
      <c r="A40" s="105">
        <v>2</v>
      </c>
      <c r="B40" s="106">
        <v>900</v>
      </c>
      <c r="C40" s="107">
        <f>BACIAS!G6</f>
        <v>0.17380799999999999</v>
      </c>
      <c r="D40" s="107">
        <v>15</v>
      </c>
      <c r="E40" s="107">
        <v>13.157999999999999</v>
      </c>
      <c r="F40" s="108">
        <f>(D40-E40)/(B40/1000)</f>
        <v>2.0466666666666673</v>
      </c>
      <c r="G40" s="109">
        <v>25</v>
      </c>
      <c r="H40" s="110">
        <f>57*(((B40/1000)^2/(F40))^0.385)</f>
        <v>39.892242290557796</v>
      </c>
      <c r="I40" s="107">
        <f>(3445.7*G40^0.138)/(H40+26)^1.012</f>
        <v>77.541265748726843</v>
      </c>
      <c r="J40" s="111">
        <v>0.25</v>
      </c>
      <c r="K40" s="112">
        <f>(J40*I40*C40)/3.6</f>
        <v>0.935923077587133</v>
      </c>
    </row>
    <row r="41" spans="1:226" s="99" customFormat="1" ht="6" customHeight="1" thickBot="1">
      <c r="A41" s="113"/>
      <c r="B41" s="114"/>
      <c r="C41" s="114"/>
      <c r="D41" s="114"/>
      <c r="E41" s="114"/>
      <c r="F41" s="115"/>
      <c r="G41" s="116"/>
      <c r="H41" s="117"/>
      <c r="I41" s="118"/>
      <c r="J41" s="115"/>
      <c r="K41" s="119"/>
    </row>
    <row r="42" spans="1:226" s="99" customFormat="1" ht="13.5" thickBot="1">
      <c r="A42" s="471" t="s">
        <v>168</v>
      </c>
      <c r="B42" s="472"/>
      <c r="C42" s="472"/>
      <c r="D42" s="472"/>
      <c r="E42" s="472"/>
      <c r="F42" s="472"/>
      <c r="G42" s="472"/>
      <c r="H42" s="472"/>
      <c r="I42" s="472"/>
      <c r="J42" s="472"/>
      <c r="K42" s="473"/>
    </row>
    <row r="43" spans="1:226" s="99" customFormat="1" ht="12.75" customHeight="1">
      <c r="A43" s="487" t="s">
        <v>169</v>
      </c>
      <c r="B43" s="486"/>
      <c r="C43" s="486"/>
      <c r="D43" s="120" t="s">
        <v>159</v>
      </c>
      <c r="E43" s="486" t="s">
        <v>161</v>
      </c>
      <c r="F43" s="486"/>
      <c r="G43" s="486" t="s">
        <v>162</v>
      </c>
      <c r="H43" s="486"/>
      <c r="I43" s="486" t="s">
        <v>170</v>
      </c>
      <c r="J43" s="486"/>
      <c r="K43" s="121" t="s">
        <v>171</v>
      </c>
    </row>
    <row r="44" spans="1:226" s="99" customFormat="1" ht="13.5" thickBot="1">
      <c r="A44" s="105">
        <v>50</v>
      </c>
      <c r="B44" s="109" t="s">
        <v>26</v>
      </c>
      <c r="C44" s="110">
        <v>0</v>
      </c>
      <c r="D44" s="110">
        <v>13</v>
      </c>
      <c r="E44" s="484">
        <f>E40</f>
        <v>13.157999999999999</v>
      </c>
      <c r="F44" s="484"/>
      <c r="G44" s="484">
        <v>12.898</v>
      </c>
      <c r="H44" s="484"/>
      <c r="I44" s="485">
        <f>(E44-G44)/D44</f>
        <v>1.9999999999999983E-2</v>
      </c>
      <c r="J44" s="485"/>
      <c r="K44" s="122" t="s">
        <v>238</v>
      </c>
      <c r="M44" s="123"/>
    </row>
    <row r="45" spans="1:226" s="99" customFormat="1">
      <c r="A45" s="130"/>
      <c r="B45" s="131"/>
      <c r="C45" s="131"/>
      <c r="D45" s="131"/>
      <c r="E45" s="131"/>
      <c r="F45" s="132"/>
      <c r="G45" s="133"/>
      <c r="H45" s="134"/>
      <c r="I45" s="135"/>
      <c r="J45" s="132"/>
      <c r="K45" s="129" t="s">
        <v>172</v>
      </c>
      <c r="N45" s="124"/>
    </row>
    <row r="46" spans="1:226" s="99" customFormat="1" ht="12.75" customHeight="1">
      <c r="A46" s="130"/>
      <c r="B46" s="131"/>
      <c r="C46" s="131"/>
      <c r="D46" s="131"/>
      <c r="E46" s="131"/>
      <c r="F46" s="132"/>
      <c r="G46" s="133"/>
      <c r="H46" s="134"/>
      <c r="I46" s="135"/>
      <c r="J46" s="132"/>
      <c r="K46" s="140"/>
    </row>
    <row r="47" spans="1:226" s="99" customFormat="1">
      <c r="A47" s="130"/>
      <c r="B47" s="131"/>
      <c r="C47" s="131"/>
      <c r="D47" s="131"/>
      <c r="E47" s="131"/>
      <c r="F47" s="132"/>
      <c r="G47" s="133"/>
      <c r="H47" s="134"/>
      <c r="I47" s="135"/>
      <c r="J47" s="132"/>
      <c r="K47" s="136"/>
    </row>
    <row r="48" spans="1:226" s="99" customFormat="1">
      <c r="A48" s="130"/>
      <c r="B48" s="131"/>
      <c r="C48" s="131"/>
      <c r="D48" s="131"/>
      <c r="E48" s="131"/>
      <c r="F48" s="132"/>
      <c r="G48" s="133"/>
      <c r="H48" s="134"/>
      <c r="I48" s="135"/>
      <c r="J48" s="132"/>
      <c r="K48" s="136"/>
    </row>
    <row r="49" spans="1:11" s="99" customFormat="1">
      <c r="A49" s="130"/>
      <c r="B49" s="131"/>
      <c r="C49" s="131"/>
      <c r="D49" s="131"/>
      <c r="E49" s="131"/>
      <c r="F49" s="132"/>
      <c r="G49" s="133"/>
      <c r="H49" s="134"/>
      <c r="I49" s="135"/>
      <c r="J49" s="132"/>
      <c r="K49" s="136"/>
    </row>
    <row r="50" spans="1:11" s="99" customFormat="1">
      <c r="A50" s="130"/>
      <c r="B50" s="131"/>
      <c r="C50" s="131"/>
      <c r="D50" s="131"/>
      <c r="E50" s="131"/>
      <c r="F50" s="132"/>
      <c r="G50" s="133"/>
      <c r="H50" s="134"/>
      <c r="I50" s="135"/>
      <c r="J50" s="132"/>
      <c r="K50" s="136"/>
    </row>
    <row r="51" spans="1:11" s="99" customFormat="1">
      <c r="A51" s="130"/>
      <c r="B51" s="131"/>
      <c r="C51" s="131"/>
      <c r="D51" s="131"/>
      <c r="E51" s="131"/>
      <c r="F51" s="132"/>
      <c r="G51" s="133"/>
      <c r="H51" s="134"/>
      <c r="I51" s="135"/>
      <c r="J51" s="132"/>
      <c r="K51" s="136"/>
    </row>
    <row r="52" spans="1:11" s="99" customFormat="1">
      <c r="A52" s="130"/>
      <c r="B52" s="131"/>
      <c r="C52" s="131"/>
      <c r="D52" s="131"/>
      <c r="E52" s="131"/>
      <c r="F52" s="132"/>
      <c r="G52" s="133"/>
      <c r="H52" s="134"/>
      <c r="I52" s="135"/>
      <c r="J52" s="132"/>
      <c r="K52" s="136"/>
    </row>
    <row r="53" spans="1:11" s="99" customFormat="1">
      <c r="A53" s="130"/>
      <c r="B53" s="131"/>
      <c r="C53" s="131"/>
      <c r="D53" s="131"/>
      <c r="E53" s="131"/>
      <c r="F53" s="132"/>
      <c r="G53" s="133"/>
      <c r="H53" s="134"/>
      <c r="I53" s="135"/>
      <c r="J53" s="132"/>
      <c r="K53" s="136"/>
    </row>
    <row r="54" spans="1:11" s="99" customFormat="1">
      <c r="A54" s="130"/>
      <c r="B54" s="131"/>
      <c r="C54" s="131"/>
      <c r="D54" s="131"/>
      <c r="E54" s="131"/>
      <c r="F54" s="132"/>
      <c r="G54" s="133"/>
      <c r="H54" s="134"/>
      <c r="I54" s="135"/>
      <c r="J54" s="132"/>
      <c r="K54" s="136"/>
    </row>
    <row r="55" spans="1:11" s="99" customFormat="1">
      <c r="A55" s="130"/>
      <c r="B55" s="131"/>
      <c r="C55" s="131"/>
      <c r="D55" s="131"/>
      <c r="E55" s="131"/>
      <c r="F55" s="132"/>
      <c r="G55" s="133"/>
      <c r="H55" s="134"/>
      <c r="I55" s="135"/>
      <c r="J55" s="132"/>
      <c r="K55" s="136"/>
    </row>
    <row r="56" spans="1:11" s="99" customFormat="1">
      <c r="A56" s="130"/>
      <c r="B56" s="131"/>
      <c r="C56" s="131"/>
      <c r="D56" s="131"/>
      <c r="E56" s="131"/>
      <c r="F56" s="132"/>
      <c r="G56" s="133"/>
      <c r="H56" s="134"/>
      <c r="I56" s="135"/>
      <c r="J56" s="132"/>
      <c r="K56" s="136"/>
    </row>
    <row r="57" spans="1:11" s="99" customFormat="1">
      <c r="A57" s="130"/>
      <c r="B57" s="131"/>
      <c r="C57" s="131"/>
      <c r="D57" s="131"/>
      <c r="E57" s="131"/>
      <c r="F57" s="132"/>
      <c r="G57" s="133"/>
      <c r="H57" s="134"/>
      <c r="I57" s="135"/>
      <c r="J57" s="132"/>
      <c r="K57" s="136"/>
    </row>
    <row r="58" spans="1:11" s="99" customFormat="1">
      <c r="A58" s="130"/>
      <c r="B58" s="131"/>
      <c r="C58" s="131"/>
      <c r="D58" s="131"/>
      <c r="E58" s="131"/>
      <c r="F58" s="132"/>
      <c r="G58" s="133"/>
      <c r="H58" s="134"/>
      <c r="I58" s="135"/>
      <c r="J58" s="132"/>
      <c r="K58" s="136"/>
    </row>
    <row r="59" spans="1:11" s="99" customFormat="1">
      <c r="A59" s="130"/>
      <c r="B59" s="131"/>
      <c r="C59" s="131"/>
      <c r="D59" s="131"/>
      <c r="E59" s="131"/>
      <c r="F59" s="132"/>
      <c r="G59" s="133"/>
      <c r="H59" s="134"/>
      <c r="I59" s="135"/>
      <c r="J59" s="132"/>
      <c r="K59" s="136"/>
    </row>
    <row r="60" spans="1:11" s="99" customFormat="1">
      <c r="A60" s="130"/>
      <c r="B60" s="131"/>
      <c r="C60" s="131"/>
      <c r="D60" s="131"/>
      <c r="E60" s="131"/>
      <c r="F60" s="132"/>
      <c r="G60" s="133"/>
      <c r="H60" s="134"/>
      <c r="I60" s="135"/>
      <c r="J60" s="132"/>
      <c r="K60" s="136"/>
    </row>
    <row r="61" spans="1:11" s="99" customFormat="1">
      <c r="A61" s="130"/>
      <c r="B61" s="131"/>
      <c r="C61" s="131"/>
      <c r="D61" s="131"/>
      <c r="E61" s="131"/>
      <c r="F61" s="132"/>
      <c r="G61" s="133"/>
      <c r="H61" s="134"/>
      <c r="I61" s="135"/>
      <c r="J61" s="132"/>
      <c r="K61" s="136"/>
    </row>
    <row r="62" spans="1:11" s="99" customFormat="1">
      <c r="A62" s="130"/>
      <c r="B62" s="131"/>
      <c r="C62" s="131"/>
      <c r="D62" s="131"/>
      <c r="E62" s="131"/>
      <c r="F62" s="132"/>
      <c r="G62" s="133"/>
      <c r="H62" s="134"/>
      <c r="I62" s="135"/>
      <c r="J62" s="132"/>
      <c r="K62" s="136"/>
    </row>
    <row r="63" spans="1:11" s="99" customFormat="1">
      <c r="A63" s="130"/>
      <c r="B63" s="131"/>
      <c r="C63" s="131"/>
      <c r="D63" s="131"/>
      <c r="E63" s="131"/>
      <c r="F63" s="132"/>
      <c r="G63" s="133"/>
      <c r="H63" s="134"/>
      <c r="I63" s="135"/>
      <c r="J63" s="132"/>
      <c r="K63" s="136"/>
    </row>
    <row r="64" spans="1:11" s="99" customFormat="1">
      <c r="A64" s="130"/>
      <c r="B64" s="131"/>
      <c r="C64" s="131"/>
      <c r="D64" s="131"/>
      <c r="E64" s="131"/>
      <c r="F64" s="132"/>
      <c r="G64" s="133"/>
      <c r="H64" s="134"/>
      <c r="I64" s="135"/>
      <c r="J64" s="132"/>
      <c r="K64" s="136"/>
    </row>
    <row r="65" spans="1:11" s="99" customFormat="1">
      <c r="A65" s="130"/>
      <c r="B65" s="131"/>
      <c r="C65" s="131"/>
      <c r="D65" s="131"/>
      <c r="E65" s="131"/>
      <c r="F65" s="132"/>
      <c r="G65" s="133"/>
      <c r="H65" s="134"/>
      <c r="I65" s="135"/>
      <c r="J65" s="132"/>
      <c r="K65" s="136"/>
    </row>
    <row r="66" spans="1:11" s="99" customFormat="1">
      <c r="A66" s="130"/>
      <c r="B66" s="131"/>
      <c r="C66" s="131"/>
      <c r="D66" s="131"/>
      <c r="E66" s="131"/>
      <c r="F66" s="132"/>
      <c r="G66" s="133"/>
      <c r="H66" s="134"/>
      <c r="I66" s="135"/>
      <c r="J66" s="132"/>
      <c r="K66" s="136"/>
    </row>
    <row r="67" spans="1:11" s="99" customFormat="1" ht="13.5" thickBot="1">
      <c r="A67" s="91"/>
      <c r="B67" s="92"/>
      <c r="C67" s="92"/>
      <c r="D67" s="92"/>
      <c r="E67" s="92"/>
      <c r="F67" s="137"/>
      <c r="G67" s="137"/>
      <c r="H67" s="137"/>
      <c r="I67" s="137"/>
      <c r="J67" s="138"/>
      <c r="K67" s="139"/>
    </row>
  </sheetData>
  <mergeCells count="26">
    <mergeCell ref="E44:F44"/>
    <mergeCell ref="G44:H44"/>
    <mergeCell ref="I44:J44"/>
    <mergeCell ref="G13:H13"/>
    <mergeCell ref="I13:J13"/>
    <mergeCell ref="G14:H14"/>
    <mergeCell ref="I14:J14"/>
    <mergeCell ref="E43:F43"/>
    <mergeCell ref="G43:H43"/>
    <mergeCell ref="I43:J43"/>
    <mergeCell ref="A38:K38"/>
    <mergeCell ref="A42:K42"/>
    <mergeCell ref="A43:C43"/>
    <mergeCell ref="E14:F14"/>
    <mergeCell ref="A13:C13"/>
    <mergeCell ref="E13:F13"/>
    <mergeCell ref="C2:K2"/>
    <mergeCell ref="C3:K3"/>
    <mergeCell ref="A5:D5"/>
    <mergeCell ref="E5:G5"/>
    <mergeCell ref="H5:K5"/>
    <mergeCell ref="A6:D6"/>
    <mergeCell ref="E6:G6"/>
    <mergeCell ref="H6:J6"/>
    <mergeCell ref="A8:K8"/>
    <mergeCell ref="A12:K12"/>
  </mergeCells>
  <printOptions horizontalCentered="1"/>
  <pageMargins left="0.59055118110236227" right="0.59055118110236227" top="0.78740157480314965" bottom="0.59055118110236227" header="0" footer="0"/>
  <pageSetup paperSize="9" scale="89" orientation="portrait" r:id="rId1"/>
  <headerFooter alignWithMargins="0">
    <oddFooter>&amp;CDarcio Pagani Vieira
Engenheiro Agrimensor
Crea/SC - 077.222-9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D4:G14"/>
  <sheetViews>
    <sheetView showGridLines="0" zoomScale="130" zoomScaleNormal="130" workbookViewId="0">
      <selection activeCell="G15" sqref="G15"/>
    </sheetView>
  </sheetViews>
  <sheetFormatPr defaultRowHeight="12.75"/>
  <cols>
    <col min="1" max="1" width="6.5703125" style="88" bestFit="1" customWidth="1"/>
    <col min="2" max="2" width="19.42578125" style="88" bestFit="1" customWidth="1"/>
    <col min="3" max="3" width="9.140625" style="88"/>
    <col min="4" max="4" width="5.5703125" style="144" bestFit="1" customWidth="1"/>
    <col min="5" max="5" width="23.7109375" style="144" bestFit="1" customWidth="1"/>
    <col min="6" max="6" width="23.5703125" style="88" hidden="1" customWidth="1"/>
    <col min="7" max="7" width="24.7109375" style="88" customWidth="1"/>
    <col min="8" max="8" width="22" style="88" bestFit="1" customWidth="1"/>
    <col min="9" max="256" width="9.140625" style="88"/>
    <col min="257" max="257" width="6.5703125" style="88" bestFit="1" customWidth="1"/>
    <col min="258" max="258" width="19.42578125" style="88" bestFit="1" customWidth="1"/>
    <col min="259" max="259" width="9.140625" style="88"/>
    <col min="260" max="260" width="5.5703125" style="88" bestFit="1" customWidth="1"/>
    <col min="261" max="261" width="23.7109375" style="88" bestFit="1" customWidth="1"/>
    <col min="262" max="262" width="0" style="88" hidden="1" customWidth="1"/>
    <col min="263" max="263" width="23.5703125" style="88" customWidth="1"/>
    <col min="264" max="264" width="22" style="88" bestFit="1" customWidth="1"/>
    <col min="265" max="512" width="9.140625" style="88"/>
    <col min="513" max="513" width="6.5703125" style="88" bestFit="1" customWidth="1"/>
    <col min="514" max="514" width="19.42578125" style="88" bestFit="1" customWidth="1"/>
    <col min="515" max="515" width="9.140625" style="88"/>
    <col min="516" max="516" width="5.5703125" style="88" bestFit="1" customWidth="1"/>
    <col min="517" max="517" width="23.7109375" style="88" bestFit="1" customWidth="1"/>
    <col min="518" max="518" width="0" style="88" hidden="1" customWidth="1"/>
    <col min="519" max="519" width="23.5703125" style="88" customWidth="1"/>
    <col min="520" max="520" width="22" style="88" bestFit="1" customWidth="1"/>
    <col min="521" max="768" width="9.140625" style="88"/>
    <col min="769" max="769" width="6.5703125" style="88" bestFit="1" customWidth="1"/>
    <col min="770" max="770" width="19.42578125" style="88" bestFit="1" customWidth="1"/>
    <col min="771" max="771" width="9.140625" style="88"/>
    <col min="772" max="772" width="5.5703125" style="88" bestFit="1" customWidth="1"/>
    <col min="773" max="773" width="23.7109375" style="88" bestFit="1" customWidth="1"/>
    <col min="774" max="774" width="0" style="88" hidden="1" customWidth="1"/>
    <col min="775" max="775" width="23.5703125" style="88" customWidth="1"/>
    <col min="776" max="776" width="22" style="88" bestFit="1" customWidth="1"/>
    <col min="777" max="1024" width="9.140625" style="88"/>
    <col min="1025" max="1025" width="6.5703125" style="88" bestFit="1" customWidth="1"/>
    <col min="1026" max="1026" width="19.42578125" style="88" bestFit="1" customWidth="1"/>
    <col min="1027" max="1027" width="9.140625" style="88"/>
    <col min="1028" max="1028" width="5.5703125" style="88" bestFit="1" customWidth="1"/>
    <col min="1029" max="1029" width="23.7109375" style="88" bestFit="1" customWidth="1"/>
    <col min="1030" max="1030" width="0" style="88" hidden="1" customWidth="1"/>
    <col min="1031" max="1031" width="23.5703125" style="88" customWidth="1"/>
    <col min="1032" max="1032" width="22" style="88" bestFit="1" customWidth="1"/>
    <col min="1033" max="1280" width="9.140625" style="88"/>
    <col min="1281" max="1281" width="6.5703125" style="88" bestFit="1" customWidth="1"/>
    <col min="1282" max="1282" width="19.42578125" style="88" bestFit="1" customWidth="1"/>
    <col min="1283" max="1283" width="9.140625" style="88"/>
    <col min="1284" max="1284" width="5.5703125" style="88" bestFit="1" customWidth="1"/>
    <col min="1285" max="1285" width="23.7109375" style="88" bestFit="1" customWidth="1"/>
    <col min="1286" max="1286" width="0" style="88" hidden="1" customWidth="1"/>
    <col min="1287" max="1287" width="23.5703125" style="88" customWidth="1"/>
    <col min="1288" max="1288" width="22" style="88" bestFit="1" customWidth="1"/>
    <col min="1289" max="1536" width="9.140625" style="88"/>
    <col min="1537" max="1537" width="6.5703125" style="88" bestFit="1" customWidth="1"/>
    <col min="1538" max="1538" width="19.42578125" style="88" bestFit="1" customWidth="1"/>
    <col min="1539" max="1539" width="9.140625" style="88"/>
    <col min="1540" max="1540" width="5.5703125" style="88" bestFit="1" customWidth="1"/>
    <col min="1541" max="1541" width="23.7109375" style="88" bestFit="1" customWidth="1"/>
    <col min="1542" max="1542" width="0" style="88" hidden="1" customWidth="1"/>
    <col min="1543" max="1543" width="23.5703125" style="88" customWidth="1"/>
    <col min="1544" max="1544" width="22" style="88" bestFit="1" customWidth="1"/>
    <col min="1545" max="1792" width="9.140625" style="88"/>
    <col min="1793" max="1793" width="6.5703125" style="88" bestFit="1" customWidth="1"/>
    <col min="1794" max="1794" width="19.42578125" style="88" bestFit="1" customWidth="1"/>
    <col min="1795" max="1795" width="9.140625" style="88"/>
    <col min="1796" max="1796" width="5.5703125" style="88" bestFit="1" customWidth="1"/>
    <col min="1797" max="1797" width="23.7109375" style="88" bestFit="1" customWidth="1"/>
    <col min="1798" max="1798" width="0" style="88" hidden="1" customWidth="1"/>
    <col min="1799" max="1799" width="23.5703125" style="88" customWidth="1"/>
    <col min="1800" max="1800" width="22" style="88" bestFit="1" customWidth="1"/>
    <col min="1801" max="2048" width="9.140625" style="88"/>
    <col min="2049" max="2049" width="6.5703125" style="88" bestFit="1" customWidth="1"/>
    <col min="2050" max="2050" width="19.42578125" style="88" bestFit="1" customWidth="1"/>
    <col min="2051" max="2051" width="9.140625" style="88"/>
    <col min="2052" max="2052" width="5.5703125" style="88" bestFit="1" customWidth="1"/>
    <col min="2053" max="2053" width="23.7109375" style="88" bestFit="1" customWidth="1"/>
    <col min="2054" max="2054" width="0" style="88" hidden="1" customWidth="1"/>
    <col min="2055" max="2055" width="23.5703125" style="88" customWidth="1"/>
    <col min="2056" max="2056" width="22" style="88" bestFit="1" customWidth="1"/>
    <col min="2057" max="2304" width="9.140625" style="88"/>
    <col min="2305" max="2305" width="6.5703125" style="88" bestFit="1" customWidth="1"/>
    <col min="2306" max="2306" width="19.42578125" style="88" bestFit="1" customWidth="1"/>
    <col min="2307" max="2307" width="9.140625" style="88"/>
    <col min="2308" max="2308" width="5.5703125" style="88" bestFit="1" customWidth="1"/>
    <col min="2309" max="2309" width="23.7109375" style="88" bestFit="1" customWidth="1"/>
    <col min="2310" max="2310" width="0" style="88" hidden="1" customWidth="1"/>
    <col min="2311" max="2311" width="23.5703125" style="88" customWidth="1"/>
    <col min="2312" max="2312" width="22" style="88" bestFit="1" customWidth="1"/>
    <col min="2313" max="2560" width="9.140625" style="88"/>
    <col min="2561" max="2561" width="6.5703125" style="88" bestFit="1" customWidth="1"/>
    <col min="2562" max="2562" width="19.42578125" style="88" bestFit="1" customWidth="1"/>
    <col min="2563" max="2563" width="9.140625" style="88"/>
    <col min="2564" max="2564" width="5.5703125" style="88" bestFit="1" customWidth="1"/>
    <col min="2565" max="2565" width="23.7109375" style="88" bestFit="1" customWidth="1"/>
    <col min="2566" max="2566" width="0" style="88" hidden="1" customWidth="1"/>
    <col min="2567" max="2567" width="23.5703125" style="88" customWidth="1"/>
    <col min="2568" max="2568" width="22" style="88" bestFit="1" customWidth="1"/>
    <col min="2569" max="2816" width="9.140625" style="88"/>
    <col min="2817" max="2817" width="6.5703125" style="88" bestFit="1" customWidth="1"/>
    <col min="2818" max="2818" width="19.42578125" style="88" bestFit="1" customWidth="1"/>
    <col min="2819" max="2819" width="9.140625" style="88"/>
    <col min="2820" max="2820" width="5.5703125" style="88" bestFit="1" customWidth="1"/>
    <col min="2821" max="2821" width="23.7109375" style="88" bestFit="1" customWidth="1"/>
    <col min="2822" max="2822" width="0" style="88" hidden="1" customWidth="1"/>
    <col min="2823" max="2823" width="23.5703125" style="88" customWidth="1"/>
    <col min="2824" max="2824" width="22" style="88" bestFit="1" customWidth="1"/>
    <col min="2825" max="3072" width="9.140625" style="88"/>
    <col min="3073" max="3073" width="6.5703125" style="88" bestFit="1" customWidth="1"/>
    <col min="3074" max="3074" width="19.42578125" style="88" bestFit="1" customWidth="1"/>
    <col min="3075" max="3075" width="9.140625" style="88"/>
    <col min="3076" max="3076" width="5.5703125" style="88" bestFit="1" customWidth="1"/>
    <col min="3077" max="3077" width="23.7109375" style="88" bestFit="1" customWidth="1"/>
    <col min="3078" max="3078" width="0" style="88" hidden="1" customWidth="1"/>
    <col min="3079" max="3079" width="23.5703125" style="88" customWidth="1"/>
    <col min="3080" max="3080" width="22" style="88" bestFit="1" customWidth="1"/>
    <col min="3081" max="3328" width="9.140625" style="88"/>
    <col min="3329" max="3329" width="6.5703125" style="88" bestFit="1" customWidth="1"/>
    <col min="3330" max="3330" width="19.42578125" style="88" bestFit="1" customWidth="1"/>
    <col min="3331" max="3331" width="9.140625" style="88"/>
    <col min="3332" max="3332" width="5.5703125" style="88" bestFit="1" customWidth="1"/>
    <col min="3333" max="3333" width="23.7109375" style="88" bestFit="1" customWidth="1"/>
    <col min="3334" max="3334" width="0" style="88" hidden="1" customWidth="1"/>
    <col min="3335" max="3335" width="23.5703125" style="88" customWidth="1"/>
    <col min="3336" max="3336" width="22" style="88" bestFit="1" customWidth="1"/>
    <col min="3337" max="3584" width="9.140625" style="88"/>
    <col min="3585" max="3585" width="6.5703125" style="88" bestFit="1" customWidth="1"/>
    <col min="3586" max="3586" width="19.42578125" style="88" bestFit="1" customWidth="1"/>
    <col min="3587" max="3587" width="9.140625" style="88"/>
    <col min="3588" max="3588" width="5.5703125" style="88" bestFit="1" customWidth="1"/>
    <col min="3589" max="3589" width="23.7109375" style="88" bestFit="1" customWidth="1"/>
    <col min="3590" max="3590" width="0" style="88" hidden="1" customWidth="1"/>
    <col min="3591" max="3591" width="23.5703125" style="88" customWidth="1"/>
    <col min="3592" max="3592" width="22" style="88" bestFit="1" customWidth="1"/>
    <col min="3593" max="3840" width="9.140625" style="88"/>
    <col min="3841" max="3841" width="6.5703125" style="88" bestFit="1" customWidth="1"/>
    <col min="3842" max="3842" width="19.42578125" style="88" bestFit="1" customWidth="1"/>
    <col min="3843" max="3843" width="9.140625" style="88"/>
    <col min="3844" max="3844" width="5.5703125" style="88" bestFit="1" customWidth="1"/>
    <col min="3845" max="3845" width="23.7109375" style="88" bestFit="1" customWidth="1"/>
    <col min="3846" max="3846" width="0" style="88" hidden="1" customWidth="1"/>
    <col min="3847" max="3847" width="23.5703125" style="88" customWidth="1"/>
    <col min="3848" max="3848" width="22" style="88" bestFit="1" customWidth="1"/>
    <col min="3849" max="4096" width="9.140625" style="88"/>
    <col min="4097" max="4097" width="6.5703125" style="88" bestFit="1" customWidth="1"/>
    <col min="4098" max="4098" width="19.42578125" style="88" bestFit="1" customWidth="1"/>
    <col min="4099" max="4099" width="9.140625" style="88"/>
    <col min="4100" max="4100" width="5.5703125" style="88" bestFit="1" customWidth="1"/>
    <col min="4101" max="4101" width="23.7109375" style="88" bestFit="1" customWidth="1"/>
    <col min="4102" max="4102" width="0" style="88" hidden="1" customWidth="1"/>
    <col min="4103" max="4103" width="23.5703125" style="88" customWidth="1"/>
    <col min="4104" max="4104" width="22" style="88" bestFit="1" customWidth="1"/>
    <col min="4105" max="4352" width="9.140625" style="88"/>
    <col min="4353" max="4353" width="6.5703125" style="88" bestFit="1" customWidth="1"/>
    <col min="4354" max="4354" width="19.42578125" style="88" bestFit="1" customWidth="1"/>
    <col min="4355" max="4355" width="9.140625" style="88"/>
    <col min="4356" max="4356" width="5.5703125" style="88" bestFit="1" customWidth="1"/>
    <col min="4357" max="4357" width="23.7109375" style="88" bestFit="1" customWidth="1"/>
    <col min="4358" max="4358" width="0" style="88" hidden="1" customWidth="1"/>
    <col min="4359" max="4359" width="23.5703125" style="88" customWidth="1"/>
    <col min="4360" max="4360" width="22" style="88" bestFit="1" customWidth="1"/>
    <col min="4361" max="4608" width="9.140625" style="88"/>
    <col min="4609" max="4609" width="6.5703125" style="88" bestFit="1" customWidth="1"/>
    <col min="4610" max="4610" width="19.42578125" style="88" bestFit="1" customWidth="1"/>
    <col min="4611" max="4611" width="9.140625" style="88"/>
    <col min="4612" max="4612" width="5.5703125" style="88" bestFit="1" customWidth="1"/>
    <col min="4613" max="4613" width="23.7109375" style="88" bestFit="1" customWidth="1"/>
    <col min="4614" max="4614" width="0" style="88" hidden="1" customWidth="1"/>
    <col min="4615" max="4615" width="23.5703125" style="88" customWidth="1"/>
    <col min="4616" max="4616" width="22" style="88" bestFit="1" customWidth="1"/>
    <col min="4617" max="4864" width="9.140625" style="88"/>
    <col min="4865" max="4865" width="6.5703125" style="88" bestFit="1" customWidth="1"/>
    <col min="4866" max="4866" width="19.42578125" style="88" bestFit="1" customWidth="1"/>
    <col min="4867" max="4867" width="9.140625" style="88"/>
    <col min="4868" max="4868" width="5.5703125" style="88" bestFit="1" customWidth="1"/>
    <col min="4869" max="4869" width="23.7109375" style="88" bestFit="1" customWidth="1"/>
    <col min="4870" max="4870" width="0" style="88" hidden="1" customWidth="1"/>
    <col min="4871" max="4871" width="23.5703125" style="88" customWidth="1"/>
    <col min="4872" max="4872" width="22" style="88" bestFit="1" customWidth="1"/>
    <col min="4873" max="5120" width="9.140625" style="88"/>
    <col min="5121" max="5121" width="6.5703125" style="88" bestFit="1" customWidth="1"/>
    <col min="5122" max="5122" width="19.42578125" style="88" bestFit="1" customWidth="1"/>
    <col min="5123" max="5123" width="9.140625" style="88"/>
    <col min="5124" max="5124" width="5.5703125" style="88" bestFit="1" customWidth="1"/>
    <col min="5125" max="5125" width="23.7109375" style="88" bestFit="1" customWidth="1"/>
    <col min="5126" max="5126" width="0" style="88" hidden="1" customWidth="1"/>
    <col min="5127" max="5127" width="23.5703125" style="88" customWidth="1"/>
    <col min="5128" max="5128" width="22" style="88" bestFit="1" customWidth="1"/>
    <col min="5129" max="5376" width="9.140625" style="88"/>
    <col min="5377" max="5377" width="6.5703125" style="88" bestFit="1" customWidth="1"/>
    <col min="5378" max="5378" width="19.42578125" style="88" bestFit="1" customWidth="1"/>
    <col min="5379" max="5379" width="9.140625" style="88"/>
    <col min="5380" max="5380" width="5.5703125" style="88" bestFit="1" customWidth="1"/>
    <col min="5381" max="5381" width="23.7109375" style="88" bestFit="1" customWidth="1"/>
    <col min="5382" max="5382" width="0" style="88" hidden="1" customWidth="1"/>
    <col min="5383" max="5383" width="23.5703125" style="88" customWidth="1"/>
    <col min="5384" max="5384" width="22" style="88" bestFit="1" customWidth="1"/>
    <col min="5385" max="5632" width="9.140625" style="88"/>
    <col min="5633" max="5633" width="6.5703125" style="88" bestFit="1" customWidth="1"/>
    <col min="5634" max="5634" width="19.42578125" style="88" bestFit="1" customWidth="1"/>
    <col min="5635" max="5635" width="9.140625" style="88"/>
    <col min="5636" max="5636" width="5.5703125" style="88" bestFit="1" customWidth="1"/>
    <col min="5637" max="5637" width="23.7109375" style="88" bestFit="1" customWidth="1"/>
    <col min="5638" max="5638" width="0" style="88" hidden="1" customWidth="1"/>
    <col min="5639" max="5639" width="23.5703125" style="88" customWidth="1"/>
    <col min="5640" max="5640" width="22" style="88" bestFit="1" customWidth="1"/>
    <col min="5641" max="5888" width="9.140625" style="88"/>
    <col min="5889" max="5889" width="6.5703125" style="88" bestFit="1" customWidth="1"/>
    <col min="5890" max="5890" width="19.42578125" style="88" bestFit="1" customWidth="1"/>
    <col min="5891" max="5891" width="9.140625" style="88"/>
    <col min="5892" max="5892" width="5.5703125" style="88" bestFit="1" customWidth="1"/>
    <col min="5893" max="5893" width="23.7109375" style="88" bestFit="1" customWidth="1"/>
    <col min="5894" max="5894" width="0" style="88" hidden="1" customWidth="1"/>
    <col min="5895" max="5895" width="23.5703125" style="88" customWidth="1"/>
    <col min="5896" max="5896" width="22" style="88" bestFit="1" customWidth="1"/>
    <col min="5897" max="6144" width="9.140625" style="88"/>
    <col min="6145" max="6145" width="6.5703125" style="88" bestFit="1" customWidth="1"/>
    <col min="6146" max="6146" width="19.42578125" style="88" bestFit="1" customWidth="1"/>
    <col min="6147" max="6147" width="9.140625" style="88"/>
    <col min="6148" max="6148" width="5.5703125" style="88" bestFit="1" customWidth="1"/>
    <col min="6149" max="6149" width="23.7109375" style="88" bestFit="1" customWidth="1"/>
    <col min="6150" max="6150" width="0" style="88" hidden="1" customWidth="1"/>
    <col min="6151" max="6151" width="23.5703125" style="88" customWidth="1"/>
    <col min="6152" max="6152" width="22" style="88" bestFit="1" customWidth="1"/>
    <col min="6153" max="6400" width="9.140625" style="88"/>
    <col min="6401" max="6401" width="6.5703125" style="88" bestFit="1" customWidth="1"/>
    <col min="6402" max="6402" width="19.42578125" style="88" bestFit="1" customWidth="1"/>
    <col min="6403" max="6403" width="9.140625" style="88"/>
    <col min="6404" max="6404" width="5.5703125" style="88" bestFit="1" customWidth="1"/>
    <col min="6405" max="6405" width="23.7109375" style="88" bestFit="1" customWidth="1"/>
    <col min="6406" max="6406" width="0" style="88" hidden="1" customWidth="1"/>
    <col min="6407" max="6407" width="23.5703125" style="88" customWidth="1"/>
    <col min="6408" max="6408" width="22" style="88" bestFit="1" customWidth="1"/>
    <col min="6409" max="6656" width="9.140625" style="88"/>
    <col min="6657" max="6657" width="6.5703125" style="88" bestFit="1" customWidth="1"/>
    <col min="6658" max="6658" width="19.42578125" style="88" bestFit="1" customWidth="1"/>
    <col min="6659" max="6659" width="9.140625" style="88"/>
    <col min="6660" max="6660" width="5.5703125" style="88" bestFit="1" customWidth="1"/>
    <col min="6661" max="6661" width="23.7109375" style="88" bestFit="1" customWidth="1"/>
    <col min="6662" max="6662" width="0" style="88" hidden="1" customWidth="1"/>
    <col min="6663" max="6663" width="23.5703125" style="88" customWidth="1"/>
    <col min="6664" max="6664" width="22" style="88" bestFit="1" customWidth="1"/>
    <col min="6665" max="6912" width="9.140625" style="88"/>
    <col min="6913" max="6913" width="6.5703125" style="88" bestFit="1" customWidth="1"/>
    <col min="6914" max="6914" width="19.42578125" style="88" bestFit="1" customWidth="1"/>
    <col min="6915" max="6915" width="9.140625" style="88"/>
    <col min="6916" max="6916" width="5.5703125" style="88" bestFit="1" customWidth="1"/>
    <col min="6917" max="6917" width="23.7109375" style="88" bestFit="1" customWidth="1"/>
    <col min="6918" max="6918" width="0" style="88" hidden="1" customWidth="1"/>
    <col min="6919" max="6919" width="23.5703125" style="88" customWidth="1"/>
    <col min="6920" max="6920" width="22" style="88" bestFit="1" customWidth="1"/>
    <col min="6921" max="7168" width="9.140625" style="88"/>
    <col min="7169" max="7169" width="6.5703125" style="88" bestFit="1" customWidth="1"/>
    <col min="7170" max="7170" width="19.42578125" style="88" bestFit="1" customWidth="1"/>
    <col min="7171" max="7171" width="9.140625" style="88"/>
    <col min="7172" max="7172" width="5.5703125" style="88" bestFit="1" customWidth="1"/>
    <col min="7173" max="7173" width="23.7109375" style="88" bestFit="1" customWidth="1"/>
    <col min="7174" max="7174" width="0" style="88" hidden="1" customWidth="1"/>
    <col min="7175" max="7175" width="23.5703125" style="88" customWidth="1"/>
    <col min="7176" max="7176" width="22" style="88" bestFit="1" customWidth="1"/>
    <col min="7177" max="7424" width="9.140625" style="88"/>
    <col min="7425" max="7425" width="6.5703125" style="88" bestFit="1" customWidth="1"/>
    <col min="7426" max="7426" width="19.42578125" style="88" bestFit="1" customWidth="1"/>
    <col min="7427" max="7427" width="9.140625" style="88"/>
    <col min="7428" max="7428" width="5.5703125" style="88" bestFit="1" customWidth="1"/>
    <col min="7429" max="7429" width="23.7109375" style="88" bestFit="1" customWidth="1"/>
    <col min="7430" max="7430" width="0" style="88" hidden="1" customWidth="1"/>
    <col min="7431" max="7431" width="23.5703125" style="88" customWidth="1"/>
    <col min="7432" max="7432" width="22" style="88" bestFit="1" customWidth="1"/>
    <col min="7433" max="7680" width="9.140625" style="88"/>
    <col min="7681" max="7681" width="6.5703125" style="88" bestFit="1" customWidth="1"/>
    <col min="7682" max="7682" width="19.42578125" style="88" bestFit="1" customWidth="1"/>
    <col min="7683" max="7683" width="9.140625" style="88"/>
    <col min="7684" max="7684" width="5.5703125" style="88" bestFit="1" customWidth="1"/>
    <col min="7685" max="7685" width="23.7109375" style="88" bestFit="1" customWidth="1"/>
    <col min="7686" max="7686" width="0" style="88" hidden="1" customWidth="1"/>
    <col min="7687" max="7687" width="23.5703125" style="88" customWidth="1"/>
    <col min="7688" max="7688" width="22" style="88" bestFit="1" customWidth="1"/>
    <col min="7689" max="7936" width="9.140625" style="88"/>
    <col min="7937" max="7937" width="6.5703125" style="88" bestFit="1" customWidth="1"/>
    <col min="7938" max="7938" width="19.42578125" style="88" bestFit="1" customWidth="1"/>
    <col min="7939" max="7939" width="9.140625" style="88"/>
    <col min="7940" max="7940" width="5.5703125" style="88" bestFit="1" customWidth="1"/>
    <col min="7941" max="7941" width="23.7109375" style="88" bestFit="1" customWidth="1"/>
    <col min="7942" max="7942" width="0" style="88" hidden="1" customWidth="1"/>
    <col min="7943" max="7943" width="23.5703125" style="88" customWidth="1"/>
    <col min="7944" max="7944" width="22" style="88" bestFit="1" customWidth="1"/>
    <col min="7945" max="8192" width="9.140625" style="88"/>
    <col min="8193" max="8193" width="6.5703125" style="88" bestFit="1" customWidth="1"/>
    <col min="8194" max="8194" width="19.42578125" style="88" bestFit="1" customWidth="1"/>
    <col min="8195" max="8195" width="9.140625" style="88"/>
    <col min="8196" max="8196" width="5.5703125" style="88" bestFit="1" customWidth="1"/>
    <col min="8197" max="8197" width="23.7109375" style="88" bestFit="1" customWidth="1"/>
    <col min="8198" max="8198" width="0" style="88" hidden="1" customWidth="1"/>
    <col min="8199" max="8199" width="23.5703125" style="88" customWidth="1"/>
    <col min="8200" max="8200" width="22" style="88" bestFit="1" customWidth="1"/>
    <col min="8201" max="8448" width="9.140625" style="88"/>
    <col min="8449" max="8449" width="6.5703125" style="88" bestFit="1" customWidth="1"/>
    <col min="8450" max="8450" width="19.42578125" style="88" bestFit="1" customWidth="1"/>
    <col min="8451" max="8451" width="9.140625" style="88"/>
    <col min="8452" max="8452" width="5.5703125" style="88" bestFit="1" customWidth="1"/>
    <col min="8453" max="8453" width="23.7109375" style="88" bestFit="1" customWidth="1"/>
    <col min="8454" max="8454" width="0" style="88" hidden="1" customWidth="1"/>
    <col min="8455" max="8455" width="23.5703125" style="88" customWidth="1"/>
    <col min="8456" max="8456" width="22" style="88" bestFit="1" customWidth="1"/>
    <col min="8457" max="8704" width="9.140625" style="88"/>
    <col min="8705" max="8705" width="6.5703125" style="88" bestFit="1" customWidth="1"/>
    <col min="8706" max="8706" width="19.42578125" style="88" bestFit="1" customWidth="1"/>
    <col min="8707" max="8707" width="9.140625" style="88"/>
    <col min="8708" max="8708" width="5.5703125" style="88" bestFit="1" customWidth="1"/>
    <col min="8709" max="8709" width="23.7109375" style="88" bestFit="1" customWidth="1"/>
    <col min="8710" max="8710" width="0" style="88" hidden="1" customWidth="1"/>
    <col min="8711" max="8711" width="23.5703125" style="88" customWidth="1"/>
    <col min="8712" max="8712" width="22" style="88" bestFit="1" customWidth="1"/>
    <col min="8713" max="8960" width="9.140625" style="88"/>
    <col min="8961" max="8961" width="6.5703125" style="88" bestFit="1" customWidth="1"/>
    <col min="8962" max="8962" width="19.42578125" style="88" bestFit="1" customWidth="1"/>
    <col min="8963" max="8963" width="9.140625" style="88"/>
    <col min="8964" max="8964" width="5.5703125" style="88" bestFit="1" customWidth="1"/>
    <col min="8965" max="8965" width="23.7109375" style="88" bestFit="1" customWidth="1"/>
    <col min="8966" max="8966" width="0" style="88" hidden="1" customWidth="1"/>
    <col min="8967" max="8967" width="23.5703125" style="88" customWidth="1"/>
    <col min="8968" max="8968" width="22" style="88" bestFit="1" customWidth="1"/>
    <col min="8969" max="9216" width="9.140625" style="88"/>
    <col min="9217" max="9217" width="6.5703125" style="88" bestFit="1" customWidth="1"/>
    <col min="9218" max="9218" width="19.42578125" style="88" bestFit="1" customWidth="1"/>
    <col min="9219" max="9219" width="9.140625" style="88"/>
    <col min="9220" max="9220" width="5.5703125" style="88" bestFit="1" customWidth="1"/>
    <col min="9221" max="9221" width="23.7109375" style="88" bestFit="1" customWidth="1"/>
    <col min="9222" max="9222" width="0" style="88" hidden="1" customWidth="1"/>
    <col min="9223" max="9223" width="23.5703125" style="88" customWidth="1"/>
    <col min="9224" max="9224" width="22" style="88" bestFit="1" customWidth="1"/>
    <col min="9225" max="9472" width="9.140625" style="88"/>
    <col min="9473" max="9473" width="6.5703125" style="88" bestFit="1" customWidth="1"/>
    <col min="9474" max="9474" width="19.42578125" style="88" bestFit="1" customWidth="1"/>
    <col min="9475" max="9475" width="9.140625" style="88"/>
    <col min="9476" max="9476" width="5.5703125" style="88" bestFit="1" customWidth="1"/>
    <col min="9477" max="9477" width="23.7109375" style="88" bestFit="1" customWidth="1"/>
    <col min="9478" max="9478" width="0" style="88" hidden="1" customWidth="1"/>
    <col min="9479" max="9479" width="23.5703125" style="88" customWidth="1"/>
    <col min="9480" max="9480" width="22" style="88" bestFit="1" customWidth="1"/>
    <col min="9481" max="9728" width="9.140625" style="88"/>
    <col min="9729" max="9729" width="6.5703125" style="88" bestFit="1" customWidth="1"/>
    <col min="9730" max="9730" width="19.42578125" style="88" bestFit="1" customWidth="1"/>
    <col min="9731" max="9731" width="9.140625" style="88"/>
    <col min="9732" max="9732" width="5.5703125" style="88" bestFit="1" customWidth="1"/>
    <col min="9733" max="9733" width="23.7109375" style="88" bestFit="1" customWidth="1"/>
    <col min="9734" max="9734" width="0" style="88" hidden="1" customWidth="1"/>
    <col min="9735" max="9735" width="23.5703125" style="88" customWidth="1"/>
    <col min="9736" max="9736" width="22" style="88" bestFit="1" customWidth="1"/>
    <col min="9737" max="9984" width="9.140625" style="88"/>
    <col min="9985" max="9985" width="6.5703125" style="88" bestFit="1" customWidth="1"/>
    <col min="9986" max="9986" width="19.42578125" style="88" bestFit="1" customWidth="1"/>
    <col min="9987" max="9987" width="9.140625" style="88"/>
    <col min="9988" max="9988" width="5.5703125" style="88" bestFit="1" customWidth="1"/>
    <col min="9989" max="9989" width="23.7109375" style="88" bestFit="1" customWidth="1"/>
    <col min="9990" max="9990" width="0" style="88" hidden="1" customWidth="1"/>
    <col min="9991" max="9991" width="23.5703125" style="88" customWidth="1"/>
    <col min="9992" max="9992" width="22" style="88" bestFit="1" customWidth="1"/>
    <col min="9993" max="10240" width="9.140625" style="88"/>
    <col min="10241" max="10241" width="6.5703125" style="88" bestFit="1" customWidth="1"/>
    <col min="10242" max="10242" width="19.42578125" style="88" bestFit="1" customWidth="1"/>
    <col min="10243" max="10243" width="9.140625" style="88"/>
    <col min="10244" max="10244" width="5.5703125" style="88" bestFit="1" customWidth="1"/>
    <col min="10245" max="10245" width="23.7109375" style="88" bestFit="1" customWidth="1"/>
    <col min="10246" max="10246" width="0" style="88" hidden="1" customWidth="1"/>
    <col min="10247" max="10247" width="23.5703125" style="88" customWidth="1"/>
    <col min="10248" max="10248" width="22" style="88" bestFit="1" customWidth="1"/>
    <col min="10249" max="10496" width="9.140625" style="88"/>
    <col min="10497" max="10497" width="6.5703125" style="88" bestFit="1" customWidth="1"/>
    <col min="10498" max="10498" width="19.42578125" style="88" bestFit="1" customWidth="1"/>
    <col min="10499" max="10499" width="9.140625" style="88"/>
    <col min="10500" max="10500" width="5.5703125" style="88" bestFit="1" customWidth="1"/>
    <col min="10501" max="10501" width="23.7109375" style="88" bestFit="1" customWidth="1"/>
    <col min="10502" max="10502" width="0" style="88" hidden="1" customWidth="1"/>
    <col min="10503" max="10503" width="23.5703125" style="88" customWidth="1"/>
    <col min="10504" max="10504" width="22" style="88" bestFit="1" customWidth="1"/>
    <col min="10505" max="10752" width="9.140625" style="88"/>
    <col min="10753" max="10753" width="6.5703125" style="88" bestFit="1" customWidth="1"/>
    <col min="10754" max="10754" width="19.42578125" style="88" bestFit="1" customWidth="1"/>
    <col min="10755" max="10755" width="9.140625" style="88"/>
    <col min="10756" max="10756" width="5.5703125" style="88" bestFit="1" customWidth="1"/>
    <col min="10757" max="10757" width="23.7109375" style="88" bestFit="1" customWidth="1"/>
    <col min="10758" max="10758" width="0" style="88" hidden="1" customWidth="1"/>
    <col min="10759" max="10759" width="23.5703125" style="88" customWidth="1"/>
    <col min="10760" max="10760" width="22" style="88" bestFit="1" customWidth="1"/>
    <col min="10761" max="11008" width="9.140625" style="88"/>
    <col min="11009" max="11009" width="6.5703125" style="88" bestFit="1" customWidth="1"/>
    <col min="11010" max="11010" width="19.42578125" style="88" bestFit="1" customWidth="1"/>
    <col min="11011" max="11011" width="9.140625" style="88"/>
    <col min="11012" max="11012" width="5.5703125" style="88" bestFit="1" customWidth="1"/>
    <col min="11013" max="11013" width="23.7109375" style="88" bestFit="1" customWidth="1"/>
    <col min="11014" max="11014" width="0" style="88" hidden="1" customWidth="1"/>
    <col min="11015" max="11015" width="23.5703125" style="88" customWidth="1"/>
    <col min="11016" max="11016" width="22" style="88" bestFit="1" customWidth="1"/>
    <col min="11017" max="11264" width="9.140625" style="88"/>
    <col min="11265" max="11265" width="6.5703125" style="88" bestFit="1" customWidth="1"/>
    <col min="11266" max="11266" width="19.42578125" style="88" bestFit="1" customWidth="1"/>
    <col min="11267" max="11267" width="9.140625" style="88"/>
    <col min="11268" max="11268" width="5.5703125" style="88" bestFit="1" customWidth="1"/>
    <col min="11269" max="11269" width="23.7109375" style="88" bestFit="1" customWidth="1"/>
    <col min="11270" max="11270" width="0" style="88" hidden="1" customWidth="1"/>
    <col min="11271" max="11271" width="23.5703125" style="88" customWidth="1"/>
    <col min="11272" max="11272" width="22" style="88" bestFit="1" customWidth="1"/>
    <col min="11273" max="11520" width="9.140625" style="88"/>
    <col min="11521" max="11521" width="6.5703125" style="88" bestFit="1" customWidth="1"/>
    <col min="11522" max="11522" width="19.42578125" style="88" bestFit="1" customWidth="1"/>
    <col min="11523" max="11523" width="9.140625" style="88"/>
    <col min="11524" max="11524" width="5.5703125" style="88" bestFit="1" customWidth="1"/>
    <col min="11525" max="11525" width="23.7109375" style="88" bestFit="1" customWidth="1"/>
    <col min="11526" max="11526" width="0" style="88" hidden="1" customWidth="1"/>
    <col min="11527" max="11527" width="23.5703125" style="88" customWidth="1"/>
    <col min="11528" max="11528" width="22" style="88" bestFit="1" customWidth="1"/>
    <col min="11529" max="11776" width="9.140625" style="88"/>
    <col min="11777" max="11777" width="6.5703125" style="88" bestFit="1" customWidth="1"/>
    <col min="11778" max="11778" width="19.42578125" style="88" bestFit="1" customWidth="1"/>
    <col min="11779" max="11779" width="9.140625" style="88"/>
    <col min="11780" max="11780" width="5.5703125" style="88" bestFit="1" customWidth="1"/>
    <col min="11781" max="11781" width="23.7109375" style="88" bestFit="1" customWidth="1"/>
    <col min="11782" max="11782" width="0" style="88" hidden="1" customWidth="1"/>
    <col min="11783" max="11783" width="23.5703125" style="88" customWidth="1"/>
    <col min="11784" max="11784" width="22" style="88" bestFit="1" customWidth="1"/>
    <col min="11785" max="12032" width="9.140625" style="88"/>
    <col min="12033" max="12033" width="6.5703125" style="88" bestFit="1" customWidth="1"/>
    <col min="12034" max="12034" width="19.42578125" style="88" bestFit="1" customWidth="1"/>
    <col min="12035" max="12035" width="9.140625" style="88"/>
    <col min="12036" max="12036" width="5.5703125" style="88" bestFit="1" customWidth="1"/>
    <col min="12037" max="12037" width="23.7109375" style="88" bestFit="1" customWidth="1"/>
    <col min="12038" max="12038" width="0" style="88" hidden="1" customWidth="1"/>
    <col min="12039" max="12039" width="23.5703125" style="88" customWidth="1"/>
    <col min="12040" max="12040" width="22" style="88" bestFit="1" customWidth="1"/>
    <col min="12041" max="12288" width="9.140625" style="88"/>
    <col min="12289" max="12289" width="6.5703125" style="88" bestFit="1" customWidth="1"/>
    <col min="12290" max="12290" width="19.42578125" style="88" bestFit="1" customWidth="1"/>
    <col min="12291" max="12291" width="9.140625" style="88"/>
    <col min="12292" max="12292" width="5.5703125" style="88" bestFit="1" customWidth="1"/>
    <col min="12293" max="12293" width="23.7109375" style="88" bestFit="1" customWidth="1"/>
    <col min="12294" max="12294" width="0" style="88" hidden="1" customWidth="1"/>
    <col min="12295" max="12295" width="23.5703125" style="88" customWidth="1"/>
    <col min="12296" max="12296" width="22" style="88" bestFit="1" customWidth="1"/>
    <col min="12297" max="12544" width="9.140625" style="88"/>
    <col min="12545" max="12545" width="6.5703125" style="88" bestFit="1" customWidth="1"/>
    <col min="12546" max="12546" width="19.42578125" style="88" bestFit="1" customWidth="1"/>
    <col min="12547" max="12547" width="9.140625" style="88"/>
    <col min="12548" max="12548" width="5.5703125" style="88" bestFit="1" customWidth="1"/>
    <col min="12549" max="12549" width="23.7109375" style="88" bestFit="1" customWidth="1"/>
    <col min="12550" max="12550" width="0" style="88" hidden="1" customWidth="1"/>
    <col min="12551" max="12551" width="23.5703125" style="88" customWidth="1"/>
    <col min="12552" max="12552" width="22" style="88" bestFit="1" customWidth="1"/>
    <col min="12553" max="12800" width="9.140625" style="88"/>
    <col min="12801" max="12801" width="6.5703125" style="88" bestFit="1" customWidth="1"/>
    <col min="12802" max="12802" width="19.42578125" style="88" bestFit="1" customWidth="1"/>
    <col min="12803" max="12803" width="9.140625" style="88"/>
    <col min="12804" max="12804" width="5.5703125" style="88" bestFit="1" customWidth="1"/>
    <col min="12805" max="12805" width="23.7109375" style="88" bestFit="1" customWidth="1"/>
    <col min="12806" max="12806" width="0" style="88" hidden="1" customWidth="1"/>
    <col min="12807" max="12807" width="23.5703125" style="88" customWidth="1"/>
    <col min="12808" max="12808" width="22" style="88" bestFit="1" customWidth="1"/>
    <col min="12809" max="13056" width="9.140625" style="88"/>
    <col min="13057" max="13057" width="6.5703125" style="88" bestFit="1" customWidth="1"/>
    <col min="13058" max="13058" width="19.42578125" style="88" bestFit="1" customWidth="1"/>
    <col min="13059" max="13059" width="9.140625" style="88"/>
    <col min="13060" max="13060" width="5.5703125" style="88" bestFit="1" customWidth="1"/>
    <col min="13061" max="13061" width="23.7109375" style="88" bestFit="1" customWidth="1"/>
    <col min="13062" max="13062" width="0" style="88" hidden="1" customWidth="1"/>
    <col min="13063" max="13063" width="23.5703125" style="88" customWidth="1"/>
    <col min="13064" max="13064" width="22" style="88" bestFit="1" customWidth="1"/>
    <col min="13065" max="13312" width="9.140625" style="88"/>
    <col min="13313" max="13313" width="6.5703125" style="88" bestFit="1" customWidth="1"/>
    <col min="13314" max="13314" width="19.42578125" style="88" bestFit="1" customWidth="1"/>
    <col min="13315" max="13315" width="9.140625" style="88"/>
    <col min="13316" max="13316" width="5.5703125" style="88" bestFit="1" customWidth="1"/>
    <col min="13317" max="13317" width="23.7109375" style="88" bestFit="1" customWidth="1"/>
    <col min="13318" max="13318" width="0" style="88" hidden="1" customWidth="1"/>
    <col min="13319" max="13319" width="23.5703125" style="88" customWidth="1"/>
    <col min="13320" max="13320" width="22" style="88" bestFit="1" customWidth="1"/>
    <col min="13321" max="13568" width="9.140625" style="88"/>
    <col min="13569" max="13569" width="6.5703125" style="88" bestFit="1" customWidth="1"/>
    <col min="13570" max="13570" width="19.42578125" style="88" bestFit="1" customWidth="1"/>
    <col min="13571" max="13571" width="9.140625" style="88"/>
    <col min="13572" max="13572" width="5.5703125" style="88" bestFit="1" customWidth="1"/>
    <col min="13573" max="13573" width="23.7109375" style="88" bestFit="1" customWidth="1"/>
    <col min="13574" max="13574" width="0" style="88" hidden="1" customWidth="1"/>
    <col min="13575" max="13575" width="23.5703125" style="88" customWidth="1"/>
    <col min="13576" max="13576" width="22" style="88" bestFit="1" customWidth="1"/>
    <col min="13577" max="13824" width="9.140625" style="88"/>
    <col min="13825" max="13825" width="6.5703125" style="88" bestFit="1" customWidth="1"/>
    <col min="13826" max="13826" width="19.42578125" style="88" bestFit="1" customWidth="1"/>
    <col min="13827" max="13827" width="9.140625" style="88"/>
    <col min="13828" max="13828" width="5.5703125" style="88" bestFit="1" customWidth="1"/>
    <col min="13829" max="13829" width="23.7109375" style="88" bestFit="1" customWidth="1"/>
    <col min="13830" max="13830" width="0" style="88" hidden="1" customWidth="1"/>
    <col min="13831" max="13831" width="23.5703125" style="88" customWidth="1"/>
    <col min="13832" max="13832" width="22" style="88" bestFit="1" customWidth="1"/>
    <col min="13833" max="14080" width="9.140625" style="88"/>
    <col min="14081" max="14081" width="6.5703125" style="88" bestFit="1" customWidth="1"/>
    <col min="14082" max="14082" width="19.42578125" style="88" bestFit="1" customWidth="1"/>
    <col min="14083" max="14083" width="9.140625" style="88"/>
    <col min="14084" max="14084" width="5.5703125" style="88" bestFit="1" customWidth="1"/>
    <col min="14085" max="14085" width="23.7109375" style="88" bestFit="1" customWidth="1"/>
    <col min="14086" max="14086" width="0" style="88" hidden="1" customWidth="1"/>
    <col min="14087" max="14087" width="23.5703125" style="88" customWidth="1"/>
    <col min="14088" max="14088" width="22" style="88" bestFit="1" customWidth="1"/>
    <col min="14089" max="14336" width="9.140625" style="88"/>
    <col min="14337" max="14337" width="6.5703125" style="88" bestFit="1" customWidth="1"/>
    <col min="14338" max="14338" width="19.42578125" style="88" bestFit="1" customWidth="1"/>
    <col min="14339" max="14339" width="9.140625" style="88"/>
    <col min="14340" max="14340" width="5.5703125" style="88" bestFit="1" customWidth="1"/>
    <col min="14341" max="14341" width="23.7109375" style="88" bestFit="1" customWidth="1"/>
    <col min="14342" max="14342" width="0" style="88" hidden="1" customWidth="1"/>
    <col min="14343" max="14343" width="23.5703125" style="88" customWidth="1"/>
    <col min="14344" max="14344" width="22" style="88" bestFit="1" customWidth="1"/>
    <col min="14345" max="14592" width="9.140625" style="88"/>
    <col min="14593" max="14593" width="6.5703125" style="88" bestFit="1" customWidth="1"/>
    <col min="14594" max="14594" width="19.42578125" style="88" bestFit="1" customWidth="1"/>
    <col min="14595" max="14595" width="9.140625" style="88"/>
    <col min="14596" max="14596" width="5.5703125" style="88" bestFit="1" customWidth="1"/>
    <col min="14597" max="14597" width="23.7109375" style="88" bestFit="1" customWidth="1"/>
    <col min="14598" max="14598" width="0" style="88" hidden="1" customWidth="1"/>
    <col min="14599" max="14599" width="23.5703125" style="88" customWidth="1"/>
    <col min="14600" max="14600" width="22" style="88" bestFit="1" customWidth="1"/>
    <col min="14601" max="14848" width="9.140625" style="88"/>
    <col min="14849" max="14849" width="6.5703125" style="88" bestFit="1" customWidth="1"/>
    <col min="14850" max="14850" width="19.42578125" style="88" bestFit="1" customWidth="1"/>
    <col min="14851" max="14851" width="9.140625" style="88"/>
    <col min="14852" max="14852" width="5.5703125" style="88" bestFit="1" customWidth="1"/>
    <col min="14853" max="14853" width="23.7109375" style="88" bestFit="1" customWidth="1"/>
    <col min="14854" max="14854" width="0" style="88" hidden="1" customWidth="1"/>
    <col min="14855" max="14855" width="23.5703125" style="88" customWidth="1"/>
    <col min="14856" max="14856" width="22" style="88" bestFit="1" customWidth="1"/>
    <col min="14857" max="15104" width="9.140625" style="88"/>
    <col min="15105" max="15105" width="6.5703125" style="88" bestFit="1" customWidth="1"/>
    <col min="15106" max="15106" width="19.42578125" style="88" bestFit="1" customWidth="1"/>
    <col min="15107" max="15107" width="9.140625" style="88"/>
    <col min="15108" max="15108" width="5.5703125" style="88" bestFit="1" customWidth="1"/>
    <col min="15109" max="15109" width="23.7109375" style="88" bestFit="1" customWidth="1"/>
    <col min="15110" max="15110" width="0" style="88" hidden="1" customWidth="1"/>
    <col min="15111" max="15111" width="23.5703125" style="88" customWidth="1"/>
    <col min="15112" max="15112" width="22" style="88" bestFit="1" customWidth="1"/>
    <col min="15113" max="15360" width="9.140625" style="88"/>
    <col min="15361" max="15361" width="6.5703125" style="88" bestFit="1" customWidth="1"/>
    <col min="15362" max="15362" width="19.42578125" style="88" bestFit="1" customWidth="1"/>
    <col min="15363" max="15363" width="9.140625" style="88"/>
    <col min="15364" max="15364" width="5.5703125" style="88" bestFit="1" customWidth="1"/>
    <col min="15365" max="15365" width="23.7109375" style="88" bestFit="1" customWidth="1"/>
    <col min="15366" max="15366" width="0" style="88" hidden="1" customWidth="1"/>
    <col min="15367" max="15367" width="23.5703125" style="88" customWidth="1"/>
    <col min="15368" max="15368" width="22" style="88" bestFit="1" customWidth="1"/>
    <col min="15369" max="15616" width="9.140625" style="88"/>
    <col min="15617" max="15617" width="6.5703125" style="88" bestFit="1" customWidth="1"/>
    <col min="15618" max="15618" width="19.42578125" style="88" bestFit="1" customWidth="1"/>
    <col min="15619" max="15619" width="9.140625" style="88"/>
    <col min="15620" max="15620" width="5.5703125" style="88" bestFit="1" customWidth="1"/>
    <col min="15621" max="15621" width="23.7109375" style="88" bestFit="1" customWidth="1"/>
    <col min="15622" max="15622" width="0" style="88" hidden="1" customWidth="1"/>
    <col min="15623" max="15623" width="23.5703125" style="88" customWidth="1"/>
    <col min="15624" max="15624" width="22" style="88" bestFit="1" customWidth="1"/>
    <col min="15625" max="15872" width="9.140625" style="88"/>
    <col min="15873" max="15873" width="6.5703125" style="88" bestFit="1" customWidth="1"/>
    <col min="15874" max="15874" width="19.42578125" style="88" bestFit="1" customWidth="1"/>
    <col min="15875" max="15875" width="9.140625" style="88"/>
    <col min="15876" max="15876" width="5.5703125" style="88" bestFit="1" customWidth="1"/>
    <col min="15877" max="15877" width="23.7109375" style="88" bestFit="1" customWidth="1"/>
    <col min="15878" max="15878" width="0" style="88" hidden="1" customWidth="1"/>
    <col min="15879" max="15879" width="23.5703125" style="88" customWidth="1"/>
    <col min="15880" max="15880" width="22" style="88" bestFit="1" customWidth="1"/>
    <col min="15881" max="16128" width="9.140625" style="88"/>
    <col min="16129" max="16129" width="6.5703125" style="88" bestFit="1" customWidth="1"/>
    <col min="16130" max="16130" width="19.42578125" style="88" bestFit="1" customWidth="1"/>
    <col min="16131" max="16131" width="9.140625" style="88"/>
    <col min="16132" max="16132" width="5.5703125" style="88" bestFit="1" customWidth="1"/>
    <col min="16133" max="16133" width="23.7109375" style="88" bestFit="1" customWidth="1"/>
    <col min="16134" max="16134" width="0" style="88" hidden="1" customWidth="1"/>
    <col min="16135" max="16135" width="23.5703125" style="88" customWidth="1"/>
    <col min="16136" max="16136" width="22" style="88" bestFit="1" customWidth="1"/>
    <col min="16137" max="16384" width="9.140625" style="88"/>
  </cols>
  <sheetData>
    <row r="4" spans="4:7">
      <c r="D4" s="141" t="s">
        <v>158</v>
      </c>
      <c r="E4" s="141" t="s">
        <v>173</v>
      </c>
      <c r="F4" s="141" t="s">
        <v>174</v>
      </c>
      <c r="G4" s="141" t="s">
        <v>175</v>
      </c>
    </row>
    <row r="5" spans="4:7">
      <c r="D5" s="141">
        <v>1</v>
      </c>
      <c r="E5" s="142">
        <v>264293</v>
      </c>
      <c r="F5" s="142">
        <f>E5/10000</f>
        <v>26.429300000000001</v>
      </c>
      <c r="G5" s="143">
        <f>E5/(1000*1000)</f>
        <v>0.264293</v>
      </c>
    </row>
    <row r="6" spans="4:7">
      <c r="D6" s="141">
        <v>2</v>
      </c>
      <c r="E6" s="142">
        <v>173808</v>
      </c>
      <c r="F6" s="142">
        <f>E6/10000</f>
        <v>17.380800000000001</v>
      </c>
      <c r="G6" s="143">
        <f>E6/(1000*1000)</f>
        <v>0.17380799999999999</v>
      </c>
    </row>
    <row r="11" spans="4:7">
      <c r="G11" s="88">
        <f>1232*7.5</f>
        <v>9240</v>
      </c>
    </row>
    <row r="12" spans="4:7">
      <c r="G12" s="88">
        <f>G11-G13</f>
        <v>2700</v>
      </c>
    </row>
    <row r="13" spans="4:7">
      <c r="G13" s="88">
        <v>6540</v>
      </c>
    </row>
    <row r="14" spans="4:7">
      <c r="G14" s="88">
        <f>G12/1232</f>
        <v>2.1915584415584415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showGridLines="0" view="pageBreakPreview" zoomScale="130" zoomScaleSheetLayoutView="130" workbookViewId="0">
      <pane ySplit="3" topLeftCell="A4" activePane="bottomLeft" state="frozen"/>
      <selection activeCell="C26" sqref="C26"/>
      <selection pane="bottomLeft" activeCell="G3" sqref="G3:L3"/>
    </sheetView>
  </sheetViews>
  <sheetFormatPr defaultRowHeight="12.75"/>
  <cols>
    <col min="1" max="1" width="2.7109375" style="19" customWidth="1"/>
    <col min="2" max="2" width="1.5703125" style="19" bestFit="1" customWidth="1"/>
    <col min="3" max="3" width="4.28515625" style="19" bestFit="1" customWidth="1"/>
    <col min="4" max="4" width="2.42578125" style="19" bestFit="1" customWidth="1"/>
    <col min="5" max="5" width="1.5703125" style="19" bestFit="1" customWidth="1"/>
    <col min="6" max="6" width="4.28515625" style="19" bestFit="1" customWidth="1"/>
    <col min="7" max="7" width="29" style="19" customWidth="1"/>
    <col min="8" max="8" width="4.7109375" style="19" bestFit="1" customWidth="1"/>
    <col min="9" max="9" width="13.28515625" style="19" customWidth="1"/>
    <col min="10" max="10" width="7.7109375" style="19" bestFit="1" customWidth="1"/>
    <col min="11" max="11" width="7.7109375" style="19" customWidth="1"/>
    <col min="12" max="12" width="9.5703125" style="19" bestFit="1" customWidth="1"/>
    <col min="13" max="13" width="17.5703125" style="19" customWidth="1"/>
    <col min="14" max="14" width="9.140625" style="19"/>
    <col min="15" max="15" width="3" style="19" bestFit="1" customWidth="1"/>
    <col min="16" max="16" width="1.85546875" style="19" bestFit="1" customWidth="1"/>
    <col min="17" max="17" width="10.42578125" style="19" bestFit="1" customWidth="1"/>
    <col min="18" max="258" width="9.140625" style="19"/>
    <col min="259" max="264" width="5.5703125" style="19" customWidth="1"/>
    <col min="265" max="265" width="12.7109375" style="19" customWidth="1"/>
    <col min="266" max="266" width="15.42578125" style="19" bestFit="1" customWidth="1"/>
    <col min="267" max="269" width="12.7109375" style="19" customWidth="1"/>
    <col min="270" max="514" width="9.140625" style="19"/>
    <col min="515" max="520" width="5.5703125" style="19" customWidth="1"/>
    <col min="521" max="521" width="12.7109375" style="19" customWidth="1"/>
    <col min="522" max="522" width="15.42578125" style="19" bestFit="1" customWidth="1"/>
    <col min="523" max="525" width="12.7109375" style="19" customWidth="1"/>
    <col min="526" max="770" width="9.140625" style="19"/>
    <col min="771" max="776" width="5.5703125" style="19" customWidth="1"/>
    <col min="777" max="777" width="12.7109375" style="19" customWidth="1"/>
    <col min="778" max="778" width="15.42578125" style="19" bestFit="1" customWidth="1"/>
    <col min="779" max="781" width="12.7109375" style="19" customWidth="1"/>
    <col min="782" max="1026" width="9.140625" style="19"/>
    <col min="1027" max="1032" width="5.5703125" style="19" customWidth="1"/>
    <col min="1033" max="1033" width="12.7109375" style="19" customWidth="1"/>
    <col min="1034" max="1034" width="15.42578125" style="19" bestFit="1" customWidth="1"/>
    <col min="1035" max="1037" width="12.7109375" style="19" customWidth="1"/>
    <col min="1038" max="1282" width="9.140625" style="19"/>
    <col min="1283" max="1288" width="5.5703125" style="19" customWidth="1"/>
    <col min="1289" max="1289" width="12.7109375" style="19" customWidth="1"/>
    <col min="1290" max="1290" width="15.42578125" style="19" bestFit="1" customWidth="1"/>
    <col min="1291" max="1293" width="12.7109375" style="19" customWidth="1"/>
    <col min="1294" max="1538" width="9.140625" style="19"/>
    <col min="1539" max="1544" width="5.5703125" style="19" customWidth="1"/>
    <col min="1545" max="1545" width="12.7109375" style="19" customWidth="1"/>
    <col min="1546" max="1546" width="15.42578125" style="19" bestFit="1" customWidth="1"/>
    <col min="1547" max="1549" width="12.7109375" style="19" customWidth="1"/>
    <col min="1550" max="1794" width="9.140625" style="19"/>
    <col min="1795" max="1800" width="5.5703125" style="19" customWidth="1"/>
    <col min="1801" max="1801" width="12.7109375" style="19" customWidth="1"/>
    <col min="1802" max="1802" width="15.42578125" style="19" bestFit="1" customWidth="1"/>
    <col min="1803" max="1805" width="12.7109375" style="19" customWidth="1"/>
    <col min="1806" max="2050" width="9.140625" style="19"/>
    <col min="2051" max="2056" width="5.5703125" style="19" customWidth="1"/>
    <col min="2057" max="2057" width="12.7109375" style="19" customWidth="1"/>
    <col min="2058" max="2058" width="15.42578125" style="19" bestFit="1" customWidth="1"/>
    <col min="2059" max="2061" width="12.7109375" style="19" customWidth="1"/>
    <col min="2062" max="2306" width="9.140625" style="19"/>
    <col min="2307" max="2312" width="5.5703125" style="19" customWidth="1"/>
    <col min="2313" max="2313" width="12.7109375" style="19" customWidth="1"/>
    <col min="2314" max="2314" width="15.42578125" style="19" bestFit="1" customWidth="1"/>
    <col min="2315" max="2317" width="12.7109375" style="19" customWidth="1"/>
    <col min="2318" max="2562" width="9.140625" style="19"/>
    <col min="2563" max="2568" width="5.5703125" style="19" customWidth="1"/>
    <col min="2569" max="2569" width="12.7109375" style="19" customWidth="1"/>
    <col min="2570" max="2570" width="15.42578125" style="19" bestFit="1" customWidth="1"/>
    <col min="2571" max="2573" width="12.7109375" style="19" customWidth="1"/>
    <col min="2574" max="2818" width="9.140625" style="19"/>
    <col min="2819" max="2824" width="5.5703125" style="19" customWidth="1"/>
    <col min="2825" max="2825" width="12.7109375" style="19" customWidth="1"/>
    <col min="2826" max="2826" width="15.42578125" style="19" bestFit="1" customWidth="1"/>
    <col min="2827" max="2829" width="12.7109375" style="19" customWidth="1"/>
    <col min="2830" max="3074" width="9.140625" style="19"/>
    <col min="3075" max="3080" width="5.5703125" style="19" customWidth="1"/>
    <col min="3081" max="3081" width="12.7109375" style="19" customWidth="1"/>
    <col min="3082" max="3082" width="15.42578125" style="19" bestFit="1" customWidth="1"/>
    <col min="3083" max="3085" width="12.7109375" style="19" customWidth="1"/>
    <col min="3086" max="3330" width="9.140625" style="19"/>
    <col min="3331" max="3336" width="5.5703125" style="19" customWidth="1"/>
    <col min="3337" max="3337" width="12.7109375" style="19" customWidth="1"/>
    <col min="3338" max="3338" width="15.42578125" style="19" bestFit="1" customWidth="1"/>
    <col min="3339" max="3341" width="12.7109375" style="19" customWidth="1"/>
    <col min="3342" max="3586" width="9.140625" style="19"/>
    <col min="3587" max="3592" width="5.5703125" style="19" customWidth="1"/>
    <col min="3593" max="3593" width="12.7109375" style="19" customWidth="1"/>
    <col min="3594" max="3594" width="15.42578125" style="19" bestFit="1" customWidth="1"/>
    <col min="3595" max="3597" width="12.7109375" style="19" customWidth="1"/>
    <col min="3598" max="3842" width="9.140625" style="19"/>
    <col min="3843" max="3848" width="5.5703125" style="19" customWidth="1"/>
    <col min="3849" max="3849" width="12.7109375" style="19" customWidth="1"/>
    <col min="3850" max="3850" width="15.42578125" style="19" bestFit="1" customWidth="1"/>
    <col min="3851" max="3853" width="12.7109375" style="19" customWidth="1"/>
    <col min="3854" max="4098" width="9.140625" style="19"/>
    <col min="4099" max="4104" width="5.5703125" style="19" customWidth="1"/>
    <col min="4105" max="4105" width="12.7109375" style="19" customWidth="1"/>
    <col min="4106" max="4106" width="15.42578125" style="19" bestFit="1" customWidth="1"/>
    <col min="4107" max="4109" width="12.7109375" style="19" customWidth="1"/>
    <col min="4110" max="4354" width="9.140625" style="19"/>
    <col min="4355" max="4360" width="5.5703125" style="19" customWidth="1"/>
    <col min="4361" max="4361" width="12.7109375" style="19" customWidth="1"/>
    <col min="4362" max="4362" width="15.42578125" style="19" bestFit="1" customWidth="1"/>
    <col min="4363" max="4365" width="12.7109375" style="19" customWidth="1"/>
    <col min="4366" max="4610" width="9.140625" style="19"/>
    <col min="4611" max="4616" width="5.5703125" style="19" customWidth="1"/>
    <col min="4617" max="4617" width="12.7109375" style="19" customWidth="1"/>
    <col min="4618" max="4618" width="15.42578125" style="19" bestFit="1" customWidth="1"/>
    <col min="4619" max="4621" width="12.7109375" style="19" customWidth="1"/>
    <col min="4622" max="4866" width="9.140625" style="19"/>
    <col min="4867" max="4872" width="5.5703125" style="19" customWidth="1"/>
    <col min="4873" max="4873" width="12.7109375" style="19" customWidth="1"/>
    <col min="4874" max="4874" width="15.42578125" style="19" bestFit="1" customWidth="1"/>
    <col min="4875" max="4877" width="12.7109375" style="19" customWidth="1"/>
    <col min="4878" max="5122" width="9.140625" style="19"/>
    <col min="5123" max="5128" width="5.5703125" style="19" customWidth="1"/>
    <col min="5129" max="5129" width="12.7109375" style="19" customWidth="1"/>
    <col min="5130" max="5130" width="15.42578125" style="19" bestFit="1" customWidth="1"/>
    <col min="5131" max="5133" width="12.7109375" style="19" customWidth="1"/>
    <col min="5134" max="5378" width="9.140625" style="19"/>
    <col min="5379" max="5384" width="5.5703125" style="19" customWidth="1"/>
    <col min="5385" max="5385" width="12.7109375" style="19" customWidth="1"/>
    <col min="5386" max="5386" width="15.42578125" style="19" bestFit="1" customWidth="1"/>
    <col min="5387" max="5389" width="12.7109375" style="19" customWidth="1"/>
    <col min="5390" max="5634" width="9.140625" style="19"/>
    <col min="5635" max="5640" width="5.5703125" style="19" customWidth="1"/>
    <col min="5641" max="5641" width="12.7109375" style="19" customWidth="1"/>
    <col min="5642" max="5642" width="15.42578125" style="19" bestFit="1" customWidth="1"/>
    <col min="5643" max="5645" width="12.7109375" style="19" customWidth="1"/>
    <col min="5646" max="5890" width="9.140625" style="19"/>
    <col min="5891" max="5896" width="5.5703125" style="19" customWidth="1"/>
    <col min="5897" max="5897" width="12.7109375" style="19" customWidth="1"/>
    <col min="5898" max="5898" width="15.42578125" style="19" bestFit="1" customWidth="1"/>
    <col min="5899" max="5901" width="12.7109375" style="19" customWidth="1"/>
    <col min="5902" max="6146" width="9.140625" style="19"/>
    <col min="6147" max="6152" width="5.5703125" style="19" customWidth="1"/>
    <col min="6153" max="6153" width="12.7109375" style="19" customWidth="1"/>
    <col min="6154" max="6154" width="15.42578125" style="19" bestFit="1" customWidth="1"/>
    <col min="6155" max="6157" width="12.7109375" style="19" customWidth="1"/>
    <col min="6158" max="6402" width="9.140625" style="19"/>
    <col min="6403" max="6408" width="5.5703125" style="19" customWidth="1"/>
    <col min="6409" max="6409" width="12.7109375" style="19" customWidth="1"/>
    <col min="6410" max="6410" width="15.42578125" style="19" bestFit="1" customWidth="1"/>
    <col min="6411" max="6413" width="12.7109375" style="19" customWidth="1"/>
    <col min="6414" max="6658" width="9.140625" style="19"/>
    <col min="6659" max="6664" width="5.5703125" style="19" customWidth="1"/>
    <col min="6665" max="6665" width="12.7109375" style="19" customWidth="1"/>
    <col min="6666" max="6666" width="15.42578125" style="19" bestFit="1" customWidth="1"/>
    <col min="6667" max="6669" width="12.7109375" style="19" customWidth="1"/>
    <col min="6670" max="6914" width="9.140625" style="19"/>
    <col min="6915" max="6920" width="5.5703125" style="19" customWidth="1"/>
    <col min="6921" max="6921" width="12.7109375" style="19" customWidth="1"/>
    <col min="6922" max="6922" width="15.42578125" style="19" bestFit="1" customWidth="1"/>
    <col min="6923" max="6925" width="12.7109375" style="19" customWidth="1"/>
    <col min="6926" max="7170" width="9.140625" style="19"/>
    <col min="7171" max="7176" width="5.5703125" style="19" customWidth="1"/>
    <col min="7177" max="7177" width="12.7109375" style="19" customWidth="1"/>
    <col min="7178" max="7178" width="15.42578125" style="19" bestFit="1" customWidth="1"/>
    <col min="7179" max="7181" width="12.7109375" style="19" customWidth="1"/>
    <col min="7182" max="7426" width="9.140625" style="19"/>
    <col min="7427" max="7432" width="5.5703125" style="19" customWidth="1"/>
    <col min="7433" max="7433" width="12.7109375" style="19" customWidth="1"/>
    <col min="7434" max="7434" width="15.42578125" style="19" bestFit="1" customWidth="1"/>
    <col min="7435" max="7437" width="12.7109375" style="19" customWidth="1"/>
    <col min="7438" max="7682" width="9.140625" style="19"/>
    <col min="7683" max="7688" width="5.5703125" style="19" customWidth="1"/>
    <col min="7689" max="7689" width="12.7109375" style="19" customWidth="1"/>
    <col min="7690" max="7690" width="15.42578125" style="19" bestFit="1" customWidth="1"/>
    <col min="7691" max="7693" width="12.7109375" style="19" customWidth="1"/>
    <col min="7694" max="7938" width="9.140625" style="19"/>
    <col min="7939" max="7944" width="5.5703125" style="19" customWidth="1"/>
    <col min="7945" max="7945" width="12.7109375" style="19" customWidth="1"/>
    <col min="7946" max="7946" width="15.42578125" style="19" bestFit="1" customWidth="1"/>
    <col min="7947" max="7949" width="12.7109375" style="19" customWidth="1"/>
    <col min="7950" max="8194" width="9.140625" style="19"/>
    <col min="8195" max="8200" width="5.5703125" style="19" customWidth="1"/>
    <col min="8201" max="8201" width="12.7109375" style="19" customWidth="1"/>
    <col min="8202" max="8202" width="15.42578125" style="19" bestFit="1" customWidth="1"/>
    <col min="8203" max="8205" width="12.7109375" style="19" customWidth="1"/>
    <col min="8206" max="8450" width="9.140625" style="19"/>
    <col min="8451" max="8456" width="5.5703125" style="19" customWidth="1"/>
    <col min="8457" max="8457" width="12.7109375" style="19" customWidth="1"/>
    <col min="8458" max="8458" width="15.42578125" style="19" bestFit="1" customWidth="1"/>
    <col min="8459" max="8461" width="12.7109375" style="19" customWidth="1"/>
    <col min="8462" max="8706" width="9.140625" style="19"/>
    <col min="8707" max="8712" width="5.5703125" style="19" customWidth="1"/>
    <col min="8713" max="8713" width="12.7109375" style="19" customWidth="1"/>
    <col min="8714" max="8714" width="15.42578125" style="19" bestFit="1" customWidth="1"/>
    <col min="8715" max="8717" width="12.7109375" style="19" customWidth="1"/>
    <col min="8718" max="8962" width="9.140625" style="19"/>
    <col min="8963" max="8968" width="5.5703125" style="19" customWidth="1"/>
    <col min="8969" max="8969" width="12.7109375" style="19" customWidth="1"/>
    <col min="8970" max="8970" width="15.42578125" style="19" bestFit="1" customWidth="1"/>
    <col min="8971" max="8973" width="12.7109375" style="19" customWidth="1"/>
    <col min="8974" max="9218" width="9.140625" style="19"/>
    <col min="9219" max="9224" width="5.5703125" style="19" customWidth="1"/>
    <col min="9225" max="9225" width="12.7109375" style="19" customWidth="1"/>
    <col min="9226" max="9226" width="15.42578125" style="19" bestFit="1" customWidth="1"/>
    <col min="9227" max="9229" width="12.7109375" style="19" customWidth="1"/>
    <col min="9230" max="9474" width="9.140625" style="19"/>
    <col min="9475" max="9480" width="5.5703125" style="19" customWidth="1"/>
    <col min="9481" max="9481" width="12.7109375" style="19" customWidth="1"/>
    <col min="9482" max="9482" width="15.42578125" style="19" bestFit="1" customWidth="1"/>
    <col min="9483" max="9485" width="12.7109375" style="19" customWidth="1"/>
    <col min="9486" max="9730" width="9.140625" style="19"/>
    <col min="9731" max="9736" width="5.5703125" style="19" customWidth="1"/>
    <col min="9737" max="9737" width="12.7109375" style="19" customWidth="1"/>
    <col min="9738" max="9738" width="15.42578125" style="19" bestFit="1" customWidth="1"/>
    <col min="9739" max="9741" width="12.7109375" style="19" customWidth="1"/>
    <col min="9742" max="9986" width="9.140625" style="19"/>
    <col min="9987" max="9992" width="5.5703125" style="19" customWidth="1"/>
    <col min="9993" max="9993" width="12.7109375" style="19" customWidth="1"/>
    <col min="9994" max="9994" width="15.42578125" style="19" bestFit="1" customWidth="1"/>
    <col min="9995" max="9997" width="12.7109375" style="19" customWidth="1"/>
    <col min="9998" max="10242" width="9.140625" style="19"/>
    <col min="10243" max="10248" width="5.5703125" style="19" customWidth="1"/>
    <col min="10249" max="10249" width="12.7109375" style="19" customWidth="1"/>
    <col min="10250" max="10250" width="15.42578125" style="19" bestFit="1" customWidth="1"/>
    <col min="10251" max="10253" width="12.7109375" style="19" customWidth="1"/>
    <col min="10254" max="10498" width="9.140625" style="19"/>
    <col min="10499" max="10504" width="5.5703125" style="19" customWidth="1"/>
    <col min="10505" max="10505" width="12.7109375" style="19" customWidth="1"/>
    <col min="10506" max="10506" width="15.42578125" style="19" bestFit="1" customWidth="1"/>
    <col min="10507" max="10509" width="12.7109375" style="19" customWidth="1"/>
    <col min="10510" max="10754" width="9.140625" style="19"/>
    <col min="10755" max="10760" width="5.5703125" style="19" customWidth="1"/>
    <col min="10761" max="10761" width="12.7109375" style="19" customWidth="1"/>
    <col min="10762" max="10762" width="15.42578125" style="19" bestFit="1" customWidth="1"/>
    <col min="10763" max="10765" width="12.7109375" style="19" customWidth="1"/>
    <col min="10766" max="11010" width="9.140625" style="19"/>
    <col min="11011" max="11016" width="5.5703125" style="19" customWidth="1"/>
    <col min="11017" max="11017" width="12.7109375" style="19" customWidth="1"/>
    <col min="11018" max="11018" width="15.42578125" style="19" bestFit="1" customWidth="1"/>
    <col min="11019" max="11021" width="12.7109375" style="19" customWidth="1"/>
    <col min="11022" max="11266" width="9.140625" style="19"/>
    <col min="11267" max="11272" width="5.5703125" style="19" customWidth="1"/>
    <col min="11273" max="11273" width="12.7109375" style="19" customWidth="1"/>
    <col min="11274" max="11274" width="15.42578125" style="19" bestFit="1" customWidth="1"/>
    <col min="11275" max="11277" width="12.7109375" style="19" customWidth="1"/>
    <col min="11278" max="11522" width="9.140625" style="19"/>
    <col min="11523" max="11528" width="5.5703125" style="19" customWidth="1"/>
    <col min="11529" max="11529" width="12.7109375" style="19" customWidth="1"/>
    <col min="11530" max="11530" width="15.42578125" style="19" bestFit="1" customWidth="1"/>
    <col min="11531" max="11533" width="12.7109375" style="19" customWidth="1"/>
    <col min="11534" max="11778" width="9.140625" style="19"/>
    <col min="11779" max="11784" width="5.5703125" style="19" customWidth="1"/>
    <col min="11785" max="11785" width="12.7109375" style="19" customWidth="1"/>
    <col min="11786" max="11786" width="15.42578125" style="19" bestFit="1" customWidth="1"/>
    <col min="11787" max="11789" width="12.7109375" style="19" customWidth="1"/>
    <col min="11790" max="12034" width="9.140625" style="19"/>
    <col min="12035" max="12040" width="5.5703125" style="19" customWidth="1"/>
    <col min="12041" max="12041" width="12.7109375" style="19" customWidth="1"/>
    <col min="12042" max="12042" width="15.42578125" style="19" bestFit="1" customWidth="1"/>
    <col min="12043" max="12045" width="12.7109375" style="19" customWidth="1"/>
    <col min="12046" max="12290" width="9.140625" style="19"/>
    <col min="12291" max="12296" width="5.5703125" style="19" customWidth="1"/>
    <col min="12297" max="12297" width="12.7109375" style="19" customWidth="1"/>
    <col min="12298" max="12298" width="15.42578125" style="19" bestFit="1" customWidth="1"/>
    <col min="12299" max="12301" width="12.7109375" style="19" customWidth="1"/>
    <col min="12302" max="12546" width="9.140625" style="19"/>
    <col min="12547" max="12552" width="5.5703125" style="19" customWidth="1"/>
    <col min="12553" max="12553" width="12.7109375" style="19" customWidth="1"/>
    <col min="12554" max="12554" width="15.42578125" style="19" bestFit="1" customWidth="1"/>
    <col min="12555" max="12557" width="12.7109375" style="19" customWidth="1"/>
    <col min="12558" max="12802" width="9.140625" style="19"/>
    <col min="12803" max="12808" width="5.5703125" style="19" customWidth="1"/>
    <col min="12809" max="12809" width="12.7109375" style="19" customWidth="1"/>
    <col min="12810" max="12810" width="15.42578125" style="19" bestFit="1" customWidth="1"/>
    <col min="12811" max="12813" width="12.7109375" style="19" customWidth="1"/>
    <col min="12814" max="13058" width="9.140625" style="19"/>
    <col min="13059" max="13064" width="5.5703125" style="19" customWidth="1"/>
    <col min="13065" max="13065" width="12.7109375" style="19" customWidth="1"/>
    <col min="13066" max="13066" width="15.42578125" style="19" bestFit="1" customWidth="1"/>
    <col min="13067" max="13069" width="12.7109375" style="19" customWidth="1"/>
    <col min="13070" max="13314" width="9.140625" style="19"/>
    <col min="13315" max="13320" width="5.5703125" style="19" customWidth="1"/>
    <col min="13321" max="13321" width="12.7109375" style="19" customWidth="1"/>
    <col min="13322" max="13322" width="15.42578125" style="19" bestFit="1" customWidth="1"/>
    <col min="13323" max="13325" width="12.7109375" style="19" customWidth="1"/>
    <col min="13326" max="13570" width="9.140625" style="19"/>
    <col min="13571" max="13576" width="5.5703125" style="19" customWidth="1"/>
    <col min="13577" max="13577" width="12.7109375" style="19" customWidth="1"/>
    <col min="13578" max="13578" width="15.42578125" style="19" bestFit="1" customWidth="1"/>
    <col min="13579" max="13581" width="12.7109375" style="19" customWidth="1"/>
    <col min="13582" max="13826" width="9.140625" style="19"/>
    <col min="13827" max="13832" width="5.5703125" style="19" customWidth="1"/>
    <col min="13833" max="13833" width="12.7109375" style="19" customWidth="1"/>
    <col min="13834" max="13834" width="15.42578125" style="19" bestFit="1" customWidth="1"/>
    <col min="13835" max="13837" width="12.7109375" style="19" customWidth="1"/>
    <col min="13838" max="14082" width="9.140625" style="19"/>
    <col min="14083" max="14088" width="5.5703125" style="19" customWidth="1"/>
    <col min="14089" max="14089" width="12.7109375" style="19" customWidth="1"/>
    <col min="14090" max="14090" width="15.42578125" style="19" bestFit="1" customWidth="1"/>
    <col min="14091" max="14093" width="12.7109375" style="19" customWidth="1"/>
    <col min="14094" max="14338" width="9.140625" style="19"/>
    <col min="14339" max="14344" width="5.5703125" style="19" customWidth="1"/>
    <col min="14345" max="14345" width="12.7109375" style="19" customWidth="1"/>
    <col min="14346" max="14346" width="15.42578125" style="19" bestFit="1" customWidth="1"/>
    <col min="14347" max="14349" width="12.7109375" style="19" customWidth="1"/>
    <col min="14350" max="14594" width="9.140625" style="19"/>
    <col min="14595" max="14600" width="5.5703125" style="19" customWidth="1"/>
    <col min="14601" max="14601" width="12.7109375" style="19" customWidth="1"/>
    <col min="14602" max="14602" width="15.42578125" style="19" bestFit="1" customWidth="1"/>
    <col min="14603" max="14605" width="12.7109375" style="19" customWidth="1"/>
    <col min="14606" max="14850" width="9.140625" style="19"/>
    <col min="14851" max="14856" width="5.5703125" style="19" customWidth="1"/>
    <col min="14857" max="14857" width="12.7109375" style="19" customWidth="1"/>
    <col min="14858" max="14858" width="15.42578125" style="19" bestFit="1" customWidth="1"/>
    <col min="14859" max="14861" width="12.7109375" style="19" customWidth="1"/>
    <col min="14862" max="15106" width="9.140625" style="19"/>
    <col min="15107" max="15112" width="5.5703125" style="19" customWidth="1"/>
    <col min="15113" max="15113" width="12.7109375" style="19" customWidth="1"/>
    <col min="15114" max="15114" width="15.42578125" style="19" bestFit="1" customWidth="1"/>
    <col min="15115" max="15117" width="12.7109375" style="19" customWidth="1"/>
    <col min="15118" max="15362" width="9.140625" style="19"/>
    <col min="15363" max="15368" width="5.5703125" style="19" customWidth="1"/>
    <col min="15369" max="15369" width="12.7109375" style="19" customWidth="1"/>
    <col min="15370" max="15370" width="15.42578125" style="19" bestFit="1" customWidth="1"/>
    <col min="15371" max="15373" width="12.7109375" style="19" customWidth="1"/>
    <col min="15374" max="15618" width="9.140625" style="19"/>
    <col min="15619" max="15624" width="5.5703125" style="19" customWidth="1"/>
    <col min="15625" max="15625" width="12.7109375" style="19" customWidth="1"/>
    <col min="15626" max="15626" width="15.42578125" style="19" bestFit="1" customWidth="1"/>
    <col min="15627" max="15629" width="12.7109375" style="19" customWidth="1"/>
    <col min="15630" max="15874" width="9.140625" style="19"/>
    <col min="15875" max="15880" width="5.5703125" style="19" customWidth="1"/>
    <col min="15881" max="15881" width="12.7109375" style="19" customWidth="1"/>
    <col min="15882" max="15882" width="15.42578125" style="19" bestFit="1" customWidth="1"/>
    <col min="15883" max="15885" width="12.7109375" style="19" customWidth="1"/>
    <col min="15886" max="16130" width="9.140625" style="19"/>
    <col min="16131" max="16136" width="5.5703125" style="19" customWidth="1"/>
    <col min="16137" max="16137" width="12.7109375" style="19" customWidth="1"/>
    <col min="16138" max="16138" width="15.42578125" style="19" bestFit="1" customWidth="1"/>
    <col min="16139" max="16141" width="12.7109375" style="19" customWidth="1"/>
    <col min="16142" max="16384" width="9.140625" style="19"/>
  </cols>
  <sheetData>
    <row r="1" spans="1:17" ht="36.75" customHeight="1">
      <c r="A1" s="488">
        <f>ORÇAMENTO!B7</f>
        <v>0</v>
      </c>
      <c r="B1" s="488"/>
      <c r="C1" s="488"/>
      <c r="D1" s="488"/>
      <c r="E1" s="488"/>
      <c r="F1" s="488"/>
      <c r="G1" s="450" t="s">
        <v>295</v>
      </c>
      <c r="H1" s="450"/>
      <c r="I1" s="450"/>
      <c r="J1" s="450"/>
      <c r="K1" s="450"/>
      <c r="L1" s="450"/>
      <c r="M1" s="450"/>
    </row>
    <row r="2" spans="1:17" ht="12.75" customHeight="1">
      <c r="A2" s="488"/>
      <c r="B2" s="488"/>
      <c r="C2" s="488"/>
      <c r="D2" s="488"/>
      <c r="E2" s="488"/>
      <c r="F2" s="488"/>
      <c r="G2" s="490" t="s">
        <v>11</v>
      </c>
      <c r="H2" s="490"/>
      <c r="I2" s="488" t="s">
        <v>316</v>
      </c>
      <c r="J2" s="488"/>
      <c r="K2" s="489" t="s">
        <v>94</v>
      </c>
      <c r="L2" s="489"/>
      <c r="M2" s="339" t="s">
        <v>269</v>
      </c>
    </row>
    <row r="3" spans="1:17" ht="12" customHeight="1">
      <c r="A3" s="488"/>
      <c r="B3" s="488"/>
      <c r="C3" s="488"/>
      <c r="D3" s="488"/>
      <c r="E3" s="488"/>
      <c r="F3" s="488"/>
      <c r="G3" s="488" t="s">
        <v>325</v>
      </c>
      <c r="H3" s="488"/>
      <c r="I3" s="488"/>
      <c r="J3" s="488"/>
      <c r="K3" s="488"/>
      <c r="L3" s="488"/>
      <c r="M3" s="274" t="str">
        <f ca="1">CONCATENATE("DATA:"," ",TEXT(TODAY(),"DD/MM/AA"))</f>
        <v>DATA: 28/04/26</v>
      </c>
    </row>
    <row r="4" spans="1:17" ht="12" customHeight="1">
      <c r="A4" s="275"/>
      <c r="B4" s="57"/>
      <c r="C4" s="57"/>
      <c r="D4" s="57"/>
      <c r="E4" s="57"/>
      <c r="F4" s="57"/>
      <c r="G4" s="57"/>
      <c r="H4" s="57"/>
      <c r="I4" s="57"/>
      <c r="J4" s="20"/>
      <c r="K4" s="20"/>
      <c r="L4" s="20"/>
      <c r="M4" s="276"/>
    </row>
    <row r="5" spans="1:17" ht="12" customHeight="1">
      <c r="A5" s="494" t="s">
        <v>98</v>
      </c>
      <c r="B5" s="494"/>
      <c r="C5" s="494"/>
      <c r="D5" s="494"/>
      <c r="E5" s="494"/>
      <c r="F5" s="494"/>
      <c r="G5" s="494"/>
      <c r="H5" s="494"/>
      <c r="I5" s="494"/>
      <c r="J5" s="494"/>
      <c r="K5" s="494"/>
      <c r="L5" s="494"/>
      <c r="M5" s="494"/>
      <c r="O5" s="223"/>
      <c r="P5" s="222"/>
      <c r="Q5" s="222"/>
    </row>
    <row r="6" spans="1:17" ht="12" customHeight="1">
      <c r="A6" s="494" t="s">
        <v>24</v>
      </c>
      <c r="B6" s="494"/>
      <c r="C6" s="494"/>
      <c r="D6" s="494" t="s">
        <v>25</v>
      </c>
      <c r="E6" s="494"/>
      <c r="F6" s="494"/>
      <c r="G6" s="266" t="s">
        <v>268</v>
      </c>
      <c r="H6" s="266" t="s">
        <v>273</v>
      </c>
      <c r="I6" s="266" t="s">
        <v>27</v>
      </c>
      <c r="J6" s="266" t="s">
        <v>23</v>
      </c>
      <c r="K6" s="266" t="s">
        <v>270</v>
      </c>
      <c r="L6" s="266" t="s">
        <v>99</v>
      </c>
      <c r="M6" s="266" t="s">
        <v>103</v>
      </c>
      <c r="N6" s="222"/>
      <c r="O6" s="222"/>
      <c r="P6" s="222"/>
      <c r="Q6" s="222"/>
    </row>
    <row r="7" spans="1:17" s="21" customFormat="1" ht="12" customHeight="1">
      <c r="A7" s="249">
        <v>0</v>
      </c>
      <c r="B7" s="249" t="s">
        <v>26</v>
      </c>
      <c r="C7" s="265">
        <v>0</v>
      </c>
      <c r="D7" s="249">
        <v>4</v>
      </c>
      <c r="E7" s="249" t="s">
        <v>26</v>
      </c>
      <c r="F7" s="265">
        <v>17</v>
      </c>
      <c r="G7" s="265" t="s">
        <v>317</v>
      </c>
      <c r="H7" s="265" t="s">
        <v>28</v>
      </c>
      <c r="I7" s="70">
        <f>(D7*20+F7)-(A7*20+C7)</f>
        <v>97</v>
      </c>
      <c r="J7" s="265">
        <v>8</v>
      </c>
      <c r="K7" s="70">
        <f>TRUNC(I7*J7,2)</f>
        <v>776</v>
      </c>
      <c r="L7" s="265" t="s">
        <v>20</v>
      </c>
      <c r="M7" s="229">
        <f>K7</f>
        <v>776</v>
      </c>
      <c r="N7" s="224"/>
      <c r="O7" s="224"/>
      <c r="P7" s="224"/>
      <c r="Q7" s="224"/>
    </row>
    <row r="8" spans="1:17" s="21" customFormat="1" ht="12" customHeight="1">
      <c r="A8" s="249">
        <v>0</v>
      </c>
      <c r="B8" s="249" t="str">
        <f>E7</f>
        <v>+</v>
      </c>
      <c r="C8" s="346">
        <v>0</v>
      </c>
      <c r="D8" s="249">
        <v>3</v>
      </c>
      <c r="E8" s="249" t="s">
        <v>26</v>
      </c>
      <c r="F8" s="346">
        <v>10</v>
      </c>
      <c r="G8" s="346" t="s">
        <v>318</v>
      </c>
      <c r="H8" s="346" t="s">
        <v>28</v>
      </c>
      <c r="I8" s="70">
        <f>(D8*20+F8)-(A8*20+C8)</f>
        <v>70</v>
      </c>
      <c r="J8" s="346">
        <v>3.5</v>
      </c>
      <c r="K8" s="70">
        <f>TRUNC(I8*J8,2)</f>
        <v>245</v>
      </c>
      <c r="L8" s="346" t="s">
        <v>20</v>
      </c>
      <c r="M8" s="229">
        <f>K8</f>
        <v>245</v>
      </c>
      <c r="N8" s="224"/>
      <c r="O8" s="224"/>
      <c r="P8" s="224"/>
      <c r="Q8" s="224"/>
    </row>
    <row r="9" spans="1:17" s="21" customFormat="1" ht="12" customHeight="1">
      <c r="A9" s="249">
        <v>0</v>
      </c>
      <c r="B9" s="249" t="str">
        <f>E8</f>
        <v>+</v>
      </c>
      <c r="C9" s="355">
        <v>0</v>
      </c>
      <c r="D9" s="249">
        <v>0</v>
      </c>
      <c r="E9" s="249" t="s">
        <v>26</v>
      </c>
      <c r="F9" s="355">
        <v>5</v>
      </c>
      <c r="G9" s="355" t="s">
        <v>324</v>
      </c>
      <c r="H9" s="355" t="s">
        <v>28</v>
      </c>
      <c r="I9" s="70">
        <f>(D9*20+F9)-(A9*20+C9)</f>
        <v>5</v>
      </c>
      <c r="J9" s="355">
        <v>8</v>
      </c>
      <c r="K9" s="70">
        <f>TRUNC(I9*J9,2)</f>
        <v>40</v>
      </c>
      <c r="L9" s="355" t="s">
        <v>20</v>
      </c>
      <c r="M9" s="229">
        <f>K9</f>
        <v>40</v>
      </c>
      <c r="N9" s="224"/>
      <c r="O9" s="224"/>
      <c r="P9" s="224"/>
      <c r="Q9" s="224"/>
    </row>
    <row r="10" spans="1:17" s="21" customFormat="1" ht="12" customHeight="1">
      <c r="A10" s="249">
        <v>0</v>
      </c>
      <c r="B10" s="249" t="s">
        <v>26</v>
      </c>
      <c r="C10" s="334">
        <v>0</v>
      </c>
      <c r="D10" s="249">
        <v>6</v>
      </c>
      <c r="E10" s="249" t="s">
        <v>26</v>
      </c>
      <c r="F10" s="334">
        <v>10</v>
      </c>
      <c r="G10" s="334" t="s">
        <v>319</v>
      </c>
      <c r="H10" s="340" t="s">
        <v>28</v>
      </c>
      <c r="I10" s="70">
        <f>(D10*20+F10)-(A10*20+C10)</f>
        <v>130</v>
      </c>
      <c r="J10" s="334">
        <v>8</v>
      </c>
      <c r="K10" s="70">
        <f>TRUNC(I10*J10,2)</f>
        <v>1040</v>
      </c>
      <c r="L10" s="334" t="s">
        <v>20</v>
      </c>
      <c r="M10" s="229">
        <f>K10</f>
        <v>1040</v>
      </c>
      <c r="N10" s="224"/>
      <c r="O10" s="224"/>
      <c r="P10" s="224"/>
      <c r="Q10" s="224"/>
    </row>
    <row r="11" spans="1:17" s="21" customFormat="1" ht="12" customHeight="1">
      <c r="A11" s="249">
        <v>0</v>
      </c>
      <c r="B11" s="249" t="str">
        <f>E10</f>
        <v>+</v>
      </c>
      <c r="C11" s="346">
        <v>0</v>
      </c>
      <c r="D11" s="249">
        <v>4</v>
      </c>
      <c r="E11" s="249" t="s">
        <v>26</v>
      </c>
      <c r="F11" s="346">
        <v>10</v>
      </c>
      <c r="G11" s="346" t="s">
        <v>320</v>
      </c>
      <c r="H11" s="346" t="s">
        <v>28</v>
      </c>
      <c r="I11" s="70">
        <f>(D11*20+F11)-(A11*20+C11)</f>
        <v>90</v>
      </c>
      <c r="J11" s="346">
        <v>8</v>
      </c>
      <c r="K11" s="70">
        <f>TRUNC(I11*J11,2)</f>
        <v>720</v>
      </c>
      <c r="L11" s="346" t="s">
        <v>20</v>
      </c>
      <c r="M11" s="229">
        <f>K11</f>
        <v>720</v>
      </c>
      <c r="N11" s="224"/>
      <c r="O11" s="224"/>
      <c r="P11" s="224"/>
      <c r="Q11" s="224"/>
    </row>
    <row r="12" spans="1:17" s="21" customFormat="1" ht="12" customHeight="1">
      <c r="A12" s="492" t="s">
        <v>13</v>
      </c>
      <c r="B12" s="492"/>
      <c r="C12" s="492"/>
      <c r="D12" s="492"/>
      <c r="E12" s="492"/>
      <c r="F12" s="492"/>
      <c r="G12" s="492"/>
      <c r="H12" s="492"/>
      <c r="I12" s="492"/>
      <c r="J12" s="492"/>
      <c r="K12" s="492"/>
      <c r="L12" s="492"/>
      <c r="M12" s="229">
        <f>SUM(M7:M11)</f>
        <v>2821</v>
      </c>
      <c r="N12" s="224"/>
      <c r="O12" s="224"/>
      <c r="P12" s="224"/>
      <c r="Q12" s="224"/>
    </row>
    <row r="13" spans="1:17" ht="12" customHeight="1">
      <c r="A13" s="275"/>
      <c r="B13" s="57"/>
      <c r="C13" s="57"/>
      <c r="D13" s="57"/>
      <c r="E13" s="57"/>
      <c r="F13" s="57"/>
      <c r="G13" s="57"/>
      <c r="H13" s="57"/>
      <c r="I13" s="57"/>
      <c r="J13" s="20"/>
      <c r="K13" s="20"/>
      <c r="L13" s="20"/>
      <c r="M13" s="276"/>
    </row>
    <row r="14" spans="1:17" s="21" customFormat="1" ht="12" customHeight="1">
      <c r="A14" s="494" t="s">
        <v>321</v>
      </c>
      <c r="B14" s="494"/>
      <c r="C14" s="494"/>
      <c r="D14" s="494"/>
      <c r="E14" s="494"/>
      <c r="F14" s="494"/>
      <c r="G14" s="494"/>
      <c r="H14" s="494"/>
      <c r="I14" s="494"/>
      <c r="J14" s="494"/>
      <c r="K14" s="494"/>
      <c r="L14" s="494"/>
      <c r="M14" s="494"/>
    </row>
    <row r="15" spans="1:17" s="21" customFormat="1" ht="12" customHeight="1">
      <c r="A15" s="494" t="s">
        <v>24</v>
      </c>
      <c r="B15" s="494"/>
      <c r="C15" s="494"/>
      <c r="D15" s="494" t="s">
        <v>25</v>
      </c>
      <c r="E15" s="494"/>
      <c r="F15" s="494"/>
      <c r="G15" s="266" t="s">
        <v>268</v>
      </c>
      <c r="H15" s="266" t="s">
        <v>273</v>
      </c>
      <c r="I15" s="266" t="s">
        <v>27</v>
      </c>
      <c r="J15" s="266" t="s">
        <v>23</v>
      </c>
      <c r="K15" s="266" t="s">
        <v>270</v>
      </c>
      <c r="L15" s="266" t="s">
        <v>99</v>
      </c>
      <c r="M15" s="266" t="s">
        <v>102</v>
      </c>
      <c r="Q15" s="271"/>
    </row>
    <row r="16" spans="1:17" s="21" customFormat="1" ht="12" customHeight="1">
      <c r="A16" s="249">
        <f t="shared" ref="A16:H20" si="0">A7</f>
        <v>0</v>
      </c>
      <c r="B16" s="249" t="str">
        <f t="shared" si="0"/>
        <v>+</v>
      </c>
      <c r="C16" s="265">
        <f t="shared" si="0"/>
        <v>0</v>
      </c>
      <c r="D16" s="249">
        <f t="shared" si="0"/>
        <v>4</v>
      </c>
      <c r="E16" s="249" t="str">
        <f t="shared" si="0"/>
        <v>+</v>
      </c>
      <c r="F16" s="265">
        <f t="shared" si="0"/>
        <v>17</v>
      </c>
      <c r="G16" s="265" t="str">
        <f t="shared" si="0"/>
        <v>RUA JOSÉ MARQUES</v>
      </c>
      <c r="H16" s="265" t="str">
        <f t="shared" si="0"/>
        <v>LE/LD</v>
      </c>
      <c r="I16" s="70">
        <f>(D16*20+F16)-(A16*20+C16)</f>
        <v>97</v>
      </c>
      <c r="J16" s="265">
        <f>J7</f>
        <v>8</v>
      </c>
      <c r="K16" s="70">
        <f>TRUNC(I16*J16,2)</f>
        <v>776</v>
      </c>
      <c r="L16" s="265">
        <v>0.2</v>
      </c>
      <c r="M16" s="229">
        <f>TRUNC(K16*L16,2)</f>
        <v>155.19999999999999</v>
      </c>
    </row>
    <row r="17" spans="1:13" s="21" customFormat="1" ht="12" customHeight="1">
      <c r="A17" s="249">
        <f t="shared" si="0"/>
        <v>0</v>
      </c>
      <c r="B17" s="249" t="str">
        <f t="shared" si="0"/>
        <v>+</v>
      </c>
      <c r="C17" s="346">
        <f t="shared" si="0"/>
        <v>0</v>
      </c>
      <c r="D17" s="249">
        <f t="shared" si="0"/>
        <v>3</v>
      </c>
      <c r="E17" s="249" t="str">
        <f t="shared" si="0"/>
        <v>+</v>
      </c>
      <c r="F17" s="346">
        <f t="shared" si="0"/>
        <v>10</v>
      </c>
      <c r="G17" s="346" t="str">
        <f t="shared" si="0"/>
        <v>RUA VEREADOR FLÁVIO ROCHA</v>
      </c>
      <c r="H17" s="346" t="str">
        <f t="shared" si="0"/>
        <v>LE/LD</v>
      </c>
      <c r="I17" s="70">
        <f>(D17*20+F17)-(A17*20+C17)</f>
        <v>70</v>
      </c>
      <c r="J17" s="346">
        <f>J8</f>
        <v>3.5</v>
      </c>
      <c r="K17" s="70">
        <f>TRUNC(I17*J17,2)</f>
        <v>245</v>
      </c>
      <c r="L17" s="346">
        <v>0.2</v>
      </c>
      <c r="M17" s="229">
        <f>TRUNC(K17*L17,2)</f>
        <v>49</v>
      </c>
    </row>
    <row r="18" spans="1:13" s="21" customFormat="1" ht="12" customHeight="1">
      <c r="A18" s="249">
        <f t="shared" si="0"/>
        <v>0</v>
      </c>
      <c r="B18" s="249" t="str">
        <f t="shared" si="0"/>
        <v>+</v>
      </c>
      <c r="C18" s="355">
        <f t="shared" si="0"/>
        <v>0</v>
      </c>
      <c r="D18" s="249">
        <f t="shared" si="0"/>
        <v>0</v>
      </c>
      <c r="E18" s="249" t="str">
        <f t="shared" si="0"/>
        <v>+</v>
      </c>
      <c r="F18" s="355">
        <f t="shared" si="0"/>
        <v>5</v>
      </c>
      <c r="G18" s="355" t="str">
        <f t="shared" si="0"/>
        <v>RUA 123</v>
      </c>
      <c r="H18" s="355" t="str">
        <f t="shared" si="0"/>
        <v>LE/LD</v>
      </c>
      <c r="I18" s="70">
        <f>(D18*20+F18)-(A18*20+C18)</f>
        <v>5</v>
      </c>
      <c r="J18" s="355">
        <f>J9</f>
        <v>8</v>
      </c>
      <c r="K18" s="70">
        <f>TRUNC(I18*J18,2)</f>
        <v>40</v>
      </c>
      <c r="L18" s="355">
        <v>0.2</v>
      </c>
      <c r="M18" s="229">
        <f>TRUNC(K18*L18,2)</f>
        <v>8</v>
      </c>
    </row>
    <row r="19" spans="1:13" s="21" customFormat="1" ht="12" customHeight="1">
      <c r="A19" s="249">
        <f t="shared" si="0"/>
        <v>0</v>
      </c>
      <c r="B19" s="249" t="str">
        <f t="shared" si="0"/>
        <v>+</v>
      </c>
      <c r="C19" s="346">
        <f t="shared" si="0"/>
        <v>0</v>
      </c>
      <c r="D19" s="249">
        <f t="shared" si="0"/>
        <v>6</v>
      </c>
      <c r="E19" s="249" t="str">
        <f t="shared" si="0"/>
        <v>+</v>
      </c>
      <c r="F19" s="346">
        <f t="shared" si="0"/>
        <v>10</v>
      </c>
      <c r="G19" s="346" t="str">
        <f t="shared" si="0"/>
        <v>RUA 156</v>
      </c>
      <c r="H19" s="346" t="str">
        <f t="shared" si="0"/>
        <v>LE/LD</v>
      </c>
      <c r="I19" s="70">
        <f>(D19*20+F19)-(A19*20+C19)</f>
        <v>130</v>
      </c>
      <c r="J19" s="340">
        <f>J10</f>
        <v>8</v>
      </c>
      <c r="K19" s="70">
        <f>TRUNC(I19*J19,2)</f>
        <v>1040</v>
      </c>
      <c r="L19" s="340">
        <v>0.2</v>
      </c>
      <c r="M19" s="229">
        <f>TRUNC(K19*L19,2)</f>
        <v>208</v>
      </c>
    </row>
    <row r="20" spans="1:13" s="21" customFormat="1" ht="12" customHeight="1">
      <c r="A20" s="249">
        <f t="shared" si="0"/>
        <v>0</v>
      </c>
      <c r="B20" s="249" t="str">
        <f t="shared" si="0"/>
        <v>+</v>
      </c>
      <c r="C20" s="346">
        <f t="shared" si="0"/>
        <v>0</v>
      </c>
      <c r="D20" s="249">
        <f t="shared" si="0"/>
        <v>4</v>
      </c>
      <c r="E20" s="249" t="str">
        <f t="shared" si="0"/>
        <v>+</v>
      </c>
      <c r="F20" s="346">
        <f t="shared" si="0"/>
        <v>10</v>
      </c>
      <c r="G20" s="346" t="str">
        <f t="shared" si="0"/>
        <v>RUA CRICIÚMA</v>
      </c>
      <c r="H20" s="346" t="str">
        <f t="shared" si="0"/>
        <v>LE/LD</v>
      </c>
      <c r="I20" s="70">
        <f>(D20*20+F20)-(A20*20+C20)</f>
        <v>90</v>
      </c>
      <c r="J20" s="340">
        <f>J11</f>
        <v>8</v>
      </c>
      <c r="K20" s="70">
        <f>TRUNC(I20*J20,2)</f>
        <v>720</v>
      </c>
      <c r="L20" s="340">
        <v>0.2</v>
      </c>
      <c r="M20" s="229">
        <f>TRUNC(K20*L20,2)</f>
        <v>144</v>
      </c>
    </row>
    <row r="21" spans="1:13" s="21" customFormat="1" ht="12" customHeight="1">
      <c r="A21" s="492" t="s">
        <v>13</v>
      </c>
      <c r="B21" s="492"/>
      <c r="C21" s="492"/>
      <c r="D21" s="492"/>
      <c r="E21" s="492"/>
      <c r="F21" s="492"/>
      <c r="G21" s="492"/>
      <c r="H21" s="492"/>
      <c r="I21" s="492"/>
      <c r="J21" s="492"/>
      <c r="K21" s="492"/>
      <c r="L21" s="492"/>
      <c r="M21" s="229">
        <f>SUM(M16:M20)</f>
        <v>564.20000000000005</v>
      </c>
    </row>
    <row r="22" spans="1:13" s="21" customFormat="1" ht="12" customHeight="1">
      <c r="A22" s="277"/>
      <c r="B22" s="247"/>
      <c r="C22" s="248"/>
      <c r="D22" s="247"/>
      <c r="E22" s="247"/>
      <c r="F22" s="248"/>
      <c r="G22" s="248"/>
      <c r="H22" s="248"/>
      <c r="I22" s="248"/>
      <c r="J22" s="248"/>
      <c r="K22" s="248"/>
      <c r="L22" s="248"/>
      <c r="M22" s="278"/>
    </row>
    <row r="23" spans="1:13" s="21" customFormat="1" ht="12" customHeight="1">
      <c r="A23" s="494" t="s">
        <v>187</v>
      </c>
      <c r="B23" s="494"/>
      <c r="C23" s="494"/>
      <c r="D23" s="494"/>
      <c r="E23" s="494"/>
      <c r="F23" s="494"/>
      <c r="G23" s="494"/>
      <c r="H23" s="494"/>
      <c r="I23" s="494"/>
      <c r="J23" s="494"/>
      <c r="K23" s="494"/>
      <c r="L23" s="494"/>
      <c r="M23" s="494"/>
    </row>
    <row r="24" spans="1:13" s="21" customFormat="1" ht="12" customHeight="1">
      <c r="A24" s="494" t="s">
        <v>24</v>
      </c>
      <c r="B24" s="494"/>
      <c r="C24" s="494"/>
      <c r="D24" s="494" t="s">
        <v>25</v>
      </c>
      <c r="E24" s="494"/>
      <c r="F24" s="494"/>
      <c r="G24" s="266" t="s">
        <v>268</v>
      </c>
      <c r="H24" s="266" t="s">
        <v>273</v>
      </c>
      <c r="I24" s="266" t="s">
        <v>27</v>
      </c>
      <c r="J24" s="266" t="s">
        <v>23</v>
      </c>
      <c r="K24" s="266" t="s">
        <v>270</v>
      </c>
      <c r="L24" s="266" t="s">
        <v>99</v>
      </c>
      <c r="M24" s="266" t="s">
        <v>102</v>
      </c>
    </row>
    <row r="25" spans="1:13" s="21" customFormat="1" ht="12" customHeight="1">
      <c r="A25" s="249">
        <f t="shared" ref="A25:H29" si="1">A16</f>
        <v>0</v>
      </c>
      <c r="B25" s="249" t="str">
        <f t="shared" si="1"/>
        <v>+</v>
      </c>
      <c r="C25" s="265">
        <f t="shared" si="1"/>
        <v>0</v>
      </c>
      <c r="D25" s="249">
        <f t="shared" si="1"/>
        <v>4</v>
      </c>
      <c r="E25" s="249" t="str">
        <f t="shared" si="1"/>
        <v>+</v>
      </c>
      <c r="F25" s="265">
        <f t="shared" si="1"/>
        <v>17</v>
      </c>
      <c r="G25" s="265" t="str">
        <f t="shared" si="1"/>
        <v>RUA JOSÉ MARQUES</v>
      </c>
      <c r="H25" s="334" t="str">
        <f t="shared" si="1"/>
        <v>LE/LD</v>
      </c>
      <c r="I25" s="70">
        <f>(D25*20+F25)-(A25*20+C25)</f>
        <v>97</v>
      </c>
      <c r="J25" s="70">
        <f>J16</f>
        <v>8</v>
      </c>
      <c r="K25" s="70">
        <f>TRUNC(I25*J25,2)</f>
        <v>776</v>
      </c>
      <c r="L25" s="265">
        <v>0.15</v>
      </c>
      <c r="M25" s="229">
        <f>TRUNC(K25*L25,2)</f>
        <v>116.4</v>
      </c>
    </row>
    <row r="26" spans="1:13" s="21" customFormat="1" ht="12" customHeight="1">
      <c r="A26" s="249">
        <f t="shared" si="1"/>
        <v>0</v>
      </c>
      <c r="B26" s="249" t="str">
        <f t="shared" si="1"/>
        <v>+</v>
      </c>
      <c r="C26" s="346">
        <f t="shared" si="1"/>
        <v>0</v>
      </c>
      <c r="D26" s="249">
        <f t="shared" si="1"/>
        <v>3</v>
      </c>
      <c r="E26" s="249" t="str">
        <f t="shared" si="1"/>
        <v>+</v>
      </c>
      <c r="F26" s="346">
        <f t="shared" si="1"/>
        <v>10</v>
      </c>
      <c r="G26" s="346" t="str">
        <f t="shared" si="1"/>
        <v>RUA VEREADOR FLÁVIO ROCHA</v>
      </c>
      <c r="H26" s="346" t="str">
        <f t="shared" si="1"/>
        <v>LE/LD</v>
      </c>
      <c r="I26" s="70">
        <f>(D26*20+F26)-(A26*20+C26)</f>
        <v>70</v>
      </c>
      <c r="J26" s="70">
        <f>J17</f>
        <v>3.5</v>
      </c>
      <c r="K26" s="70">
        <f>TRUNC(I26*J26,2)</f>
        <v>245</v>
      </c>
      <c r="L26" s="346">
        <v>0.15</v>
      </c>
      <c r="M26" s="229">
        <f>TRUNC(K26*L26,2)</f>
        <v>36.75</v>
      </c>
    </row>
    <row r="27" spans="1:13" s="21" customFormat="1" ht="12" customHeight="1">
      <c r="A27" s="249">
        <f t="shared" si="1"/>
        <v>0</v>
      </c>
      <c r="B27" s="249" t="str">
        <f t="shared" si="1"/>
        <v>+</v>
      </c>
      <c r="C27" s="355">
        <f t="shared" si="1"/>
        <v>0</v>
      </c>
      <c r="D27" s="249">
        <f t="shared" si="1"/>
        <v>0</v>
      </c>
      <c r="E27" s="249" t="str">
        <f t="shared" si="1"/>
        <v>+</v>
      </c>
      <c r="F27" s="355">
        <f t="shared" si="1"/>
        <v>5</v>
      </c>
      <c r="G27" s="355" t="str">
        <f t="shared" si="1"/>
        <v>RUA 123</v>
      </c>
      <c r="H27" s="355" t="str">
        <f t="shared" si="1"/>
        <v>LE/LD</v>
      </c>
      <c r="I27" s="70">
        <f>(D27*20+F27)-(A27*20+C27)</f>
        <v>5</v>
      </c>
      <c r="J27" s="70">
        <f>J18</f>
        <v>8</v>
      </c>
      <c r="K27" s="70">
        <f>TRUNC(I27*J27,2)</f>
        <v>40</v>
      </c>
      <c r="L27" s="355">
        <v>0.15</v>
      </c>
      <c r="M27" s="229">
        <f>TRUNC(K27*L27,2)</f>
        <v>6</v>
      </c>
    </row>
    <row r="28" spans="1:13" s="21" customFormat="1" ht="12" customHeight="1">
      <c r="A28" s="249">
        <f t="shared" si="1"/>
        <v>0</v>
      </c>
      <c r="B28" s="249" t="str">
        <f t="shared" si="1"/>
        <v>+</v>
      </c>
      <c r="C28" s="346">
        <f t="shared" si="1"/>
        <v>0</v>
      </c>
      <c r="D28" s="249">
        <f t="shared" si="1"/>
        <v>6</v>
      </c>
      <c r="E28" s="249" t="str">
        <f t="shared" si="1"/>
        <v>+</v>
      </c>
      <c r="F28" s="346">
        <f t="shared" si="1"/>
        <v>10</v>
      </c>
      <c r="G28" s="346" t="str">
        <f t="shared" si="1"/>
        <v>RUA 156</v>
      </c>
      <c r="H28" s="346" t="str">
        <f t="shared" si="1"/>
        <v>LE/LD</v>
      </c>
      <c r="I28" s="70">
        <f>(D28*20+F28)-(A28*20+C28)</f>
        <v>130</v>
      </c>
      <c r="J28" s="70">
        <f>J19</f>
        <v>8</v>
      </c>
      <c r="K28" s="70">
        <f>TRUNC(I28*J28,2)</f>
        <v>1040</v>
      </c>
      <c r="L28" s="340">
        <v>0.15</v>
      </c>
      <c r="M28" s="229">
        <f>TRUNC(K28*L28,2)</f>
        <v>156</v>
      </c>
    </row>
    <row r="29" spans="1:13" s="21" customFormat="1" ht="12" customHeight="1">
      <c r="A29" s="249">
        <f t="shared" si="1"/>
        <v>0</v>
      </c>
      <c r="B29" s="249" t="str">
        <f t="shared" si="1"/>
        <v>+</v>
      </c>
      <c r="C29" s="346">
        <f t="shared" si="1"/>
        <v>0</v>
      </c>
      <c r="D29" s="249">
        <f t="shared" si="1"/>
        <v>4</v>
      </c>
      <c r="E29" s="249" t="str">
        <f t="shared" si="1"/>
        <v>+</v>
      </c>
      <c r="F29" s="346">
        <f t="shared" si="1"/>
        <v>10</v>
      </c>
      <c r="G29" s="346" t="str">
        <f t="shared" si="1"/>
        <v>RUA CRICIÚMA</v>
      </c>
      <c r="H29" s="346" t="str">
        <f t="shared" si="1"/>
        <v>LE/LD</v>
      </c>
      <c r="I29" s="70">
        <f>(D29*20+F29)-(A29*20+C29)</f>
        <v>90</v>
      </c>
      <c r="J29" s="70">
        <f>J19</f>
        <v>8</v>
      </c>
      <c r="K29" s="70">
        <f>TRUNC(I29*J29,2)</f>
        <v>720</v>
      </c>
      <c r="L29" s="346">
        <v>0.15</v>
      </c>
      <c r="M29" s="229">
        <f>TRUNC(K29*L29,2)</f>
        <v>108</v>
      </c>
    </row>
    <row r="30" spans="1:13" s="21" customFormat="1" ht="12" customHeight="1">
      <c r="A30" s="493" t="s">
        <v>13</v>
      </c>
      <c r="B30" s="493"/>
      <c r="C30" s="493"/>
      <c r="D30" s="493"/>
      <c r="E30" s="493"/>
      <c r="F30" s="493"/>
      <c r="G30" s="493"/>
      <c r="H30" s="493"/>
      <c r="I30" s="493"/>
      <c r="J30" s="493"/>
      <c r="K30" s="493"/>
      <c r="L30" s="493"/>
      <c r="M30" s="229">
        <f>SUM(M25:M29)</f>
        <v>423.15</v>
      </c>
    </row>
    <row r="31" spans="1:13" s="21" customFormat="1" ht="12" customHeight="1">
      <c r="A31" s="277"/>
      <c r="B31" s="247"/>
      <c r="C31" s="248"/>
      <c r="D31" s="247"/>
      <c r="E31" s="247"/>
      <c r="F31" s="248"/>
      <c r="G31" s="248"/>
      <c r="H31" s="248"/>
      <c r="I31" s="248"/>
      <c r="J31" s="248"/>
      <c r="K31" s="248"/>
      <c r="L31" s="248"/>
      <c r="M31" s="278"/>
    </row>
    <row r="32" spans="1:13" s="21" customFormat="1" ht="12" customHeight="1">
      <c r="A32" s="494" t="s">
        <v>100</v>
      </c>
      <c r="B32" s="494"/>
      <c r="C32" s="494"/>
      <c r="D32" s="494"/>
      <c r="E32" s="494"/>
      <c r="F32" s="494"/>
      <c r="G32" s="494"/>
      <c r="H32" s="494"/>
      <c r="I32" s="494"/>
      <c r="J32" s="494"/>
      <c r="K32" s="494"/>
      <c r="L32" s="494"/>
      <c r="M32" s="494"/>
    </row>
    <row r="33" spans="1:13" s="21" customFormat="1" ht="12" customHeight="1">
      <c r="A33" s="494" t="s">
        <v>24</v>
      </c>
      <c r="B33" s="494"/>
      <c r="C33" s="494"/>
      <c r="D33" s="494" t="s">
        <v>25</v>
      </c>
      <c r="E33" s="494"/>
      <c r="F33" s="494"/>
      <c r="G33" s="266" t="s">
        <v>268</v>
      </c>
      <c r="H33" s="266" t="s">
        <v>273</v>
      </c>
      <c r="I33" s="266" t="s">
        <v>27</v>
      </c>
      <c r="J33" s="266" t="s">
        <v>23</v>
      </c>
      <c r="K33" s="266" t="s">
        <v>270</v>
      </c>
      <c r="L33" s="266" t="s">
        <v>99</v>
      </c>
      <c r="M33" s="266" t="s">
        <v>103</v>
      </c>
    </row>
    <row r="34" spans="1:13" s="21" customFormat="1" ht="12" customHeight="1">
      <c r="A34" s="249">
        <f t="shared" ref="A34:H38" si="2">A25</f>
        <v>0</v>
      </c>
      <c r="B34" s="249" t="str">
        <f t="shared" si="2"/>
        <v>+</v>
      </c>
      <c r="C34" s="265">
        <f t="shared" si="2"/>
        <v>0</v>
      </c>
      <c r="D34" s="249">
        <f t="shared" si="2"/>
        <v>4</v>
      </c>
      <c r="E34" s="249" t="str">
        <f t="shared" si="2"/>
        <v>+</v>
      </c>
      <c r="F34" s="265">
        <f t="shared" si="2"/>
        <v>17</v>
      </c>
      <c r="G34" s="265" t="str">
        <f t="shared" si="2"/>
        <v>RUA JOSÉ MARQUES</v>
      </c>
      <c r="H34" s="334" t="str">
        <f t="shared" si="2"/>
        <v>LE/LD</v>
      </c>
      <c r="I34" s="70">
        <f>(D34*20+F34)-(A34*20+C34)</f>
        <v>97</v>
      </c>
      <c r="J34" s="265">
        <f>J25</f>
        <v>8</v>
      </c>
      <c r="K34" s="70">
        <f>TRUNC(I34*J34,2)</f>
        <v>776</v>
      </c>
      <c r="L34" s="265" t="s">
        <v>20</v>
      </c>
      <c r="M34" s="229">
        <f>K34</f>
        <v>776</v>
      </c>
    </row>
    <row r="35" spans="1:13" s="21" customFormat="1" ht="12" customHeight="1">
      <c r="A35" s="249">
        <f t="shared" si="2"/>
        <v>0</v>
      </c>
      <c r="B35" s="249" t="str">
        <f t="shared" si="2"/>
        <v>+</v>
      </c>
      <c r="C35" s="346">
        <f t="shared" si="2"/>
        <v>0</v>
      </c>
      <c r="D35" s="249">
        <f t="shared" si="2"/>
        <v>3</v>
      </c>
      <c r="E35" s="249" t="str">
        <f t="shared" si="2"/>
        <v>+</v>
      </c>
      <c r="F35" s="346">
        <f t="shared" si="2"/>
        <v>10</v>
      </c>
      <c r="G35" s="346" t="str">
        <f t="shared" si="2"/>
        <v>RUA VEREADOR FLÁVIO ROCHA</v>
      </c>
      <c r="H35" s="346" t="str">
        <f t="shared" si="2"/>
        <v>LE/LD</v>
      </c>
      <c r="I35" s="70">
        <f>(D35*20+F35)-(A35*20+C35)</f>
        <v>70</v>
      </c>
      <c r="J35" s="346">
        <f>J26</f>
        <v>3.5</v>
      </c>
      <c r="K35" s="70">
        <f>TRUNC(I35*J35,2)</f>
        <v>245</v>
      </c>
      <c r="L35" s="346" t="s">
        <v>20</v>
      </c>
      <c r="M35" s="229">
        <f>K35</f>
        <v>245</v>
      </c>
    </row>
    <row r="36" spans="1:13" s="21" customFormat="1" ht="12" customHeight="1">
      <c r="A36" s="249">
        <f t="shared" si="2"/>
        <v>0</v>
      </c>
      <c r="B36" s="249" t="str">
        <f t="shared" si="2"/>
        <v>+</v>
      </c>
      <c r="C36" s="355">
        <f t="shared" si="2"/>
        <v>0</v>
      </c>
      <c r="D36" s="249">
        <f t="shared" si="2"/>
        <v>0</v>
      </c>
      <c r="E36" s="249" t="str">
        <f t="shared" si="2"/>
        <v>+</v>
      </c>
      <c r="F36" s="355">
        <f t="shared" si="2"/>
        <v>5</v>
      </c>
      <c r="G36" s="355" t="str">
        <f t="shared" si="2"/>
        <v>RUA 123</v>
      </c>
      <c r="H36" s="355" t="str">
        <f t="shared" si="2"/>
        <v>LE/LD</v>
      </c>
      <c r="I36" s="70">
        <f>(D36*20+F36)-(A36*20+C36)</f>
        <v>5</v>
      </c>
      <c r="J36" s="355">
        <f>J27</f>
        <v>8</v>
      </c>
      <c r="K36" s="70">
        <f>TRUNC(I36*J36,2)</f>
        <v>40</v>
      </c>
      <c r="L36" s="355" t="s">
        <v>20</v>
      </c>
      <c r="M36" s="229">
        <f>K36</f>
        <v>40</v>
      </c>
    </row>
    <row r="37" spans="1:13" s="21" customFormat="1" ht="12" customHeight="1">
      <c r="A37" s="249">
        <f t="shared" si="2"/>
        <v>0</v>
      </c>
      <c r="B37" s="249" t="str">
        <f t="shared" si="2"/>
        <v>+</v>
      </c>
      <c r="C37" s="346">
        <f t="shared" si="2"/>
        <v>0</v>
      </c>
      <c r="D37" s="249">
        <f t="shared" si="2"/>
        <v>6</v>
      </c>
      <c r="E37" s="249" t="str">
        <f t="shared" si="2"/>
        <v>+</v>
      </c>
      <c r="F37" s="346">
        <f t="shared" si="2"/>
        <v>10</v>
      </c>
      <c r="G37" s="346" t="str">
        <f t="shared" si="2"/>
        <v>RUA 156</v>
      </c>
      <c r="H37" s="346" t="str">
        <f t="shared" si="2"/>
        <v>LE/LD</v>
      </c>
      <c r="I37" s="70">
        <f>(D37*20+F37)-(A37*20+C37)</f>
        <v>130</v>
      </c>
      <c r="J37" s="340">
        <f>J28</f>
        <v>8</v>
      </c>
      <c r="K37" s="70">
        <f>TRUNC(I37*J37,2)</f>
        <v>1040</v>
      </c>
      <c r="L37" s="340" t="s">
        <v>20</v>
      </c>
      <c r="M37" s="229">
        <f>K37</f>
        <v>1040</v>
      </c>
    </row>
    <row r="38" spans="1:13" s="21" customFormat="1" ht="12" customHeight="1">
      <c r="A38" s="249">
        <f t="shared" si="2"/>
        <v>0</v>
      </c>
      <c r="B38" s="249" t="str">
        <f t="shared" si="2"/>
        <v>+</v>
      </c>
      <c r="C38" s="346">
        <f t="shared" si="2"/>
        <v>0</v>
      </c>
      <c r="D38" s="249">
        <f t="shared" si="2"/>
        <v>4</v>
      </c>
      <c r="E38" s="249" t="str">
        <f t="shared" si="2"/>
        <v>+</v>
      </c>
      <c r="F38" s="346">
        <f t="shared" si="2"/>
        <v>10</v>
      </c>
      <c r="G38" s="346" t="str">
        <f t="shared" si="2"/>
        <v>RUA CRICIÚMA</v>
      </c>
      <c r="H38" s="346" t="str">
        <f t="shared" si="2"/>
        <v>LE/LD</v>
      </c>
      <c r="I38" s="70">
        <f>(D38*20+F38)-(A38*20+C38)</f>
        <v>90</v>
      </c>
      <c r="J38" s="346">
        <f>J29</f>
        <v>8</v>
      </c>
      <c r="K38" s="70">
        <f>TRUNC(I38*J38,2)</f>
        <v>720</v>
      </c>
      <c r="L38" s="346" t="s">
        <v>20</v>
      </c>
      <c r="M38" s="229">
        <f>K38</f>
        <v>720</v>
      </c>
    </row>
    <row r="39" spans="1:13" s="21" customFormat="1" ht="12" customHeight="1">
      <c r="A39" s="492" t="s">
        <v>233</v>
      </c>
      <c r="B39" s="492"/>
      <c r="C39" s="492"/>
      <c r="D39" s="492"/>
      <c r="E39" s="492"/>
      <c r="F39" s="492"/>
      <c r="G39" s="492"/>
      <c r="H39" s="492"/>
      <c r="I39" s="492"/>
      <c r="J39" s="492"/>
      <c r="K39" s="492"/>
      <c r="L39" s="492"/>
      <c r="M39" s="229">
        <f>SUM(M34:M38)</f>
        <v>2821</v>
      </c>
    </row>
    <row r="40" spans="1:13" s="21" customFormat="1" ht="12" customHeight="1">
      <c r="A40" s="492" t="s">
        <v>306</v>
      </c>
      <c r="B40" s="492"/>
      <c r="C40" s="492"/>
      <c r="D40" s="492"/>
      <c r="E40" s="492"/>
      <c r="F40" s="492"/>
      <c r="G40" s="492"/>
      <c r="H40" s="492"/>
      <c r="I40" s="492"/>
      <c r="J40" s="492"/>
      <c r="K40" s="492"/>
      <c r="L40" s="492"/>
      <c r="M40" s="273">
        <f>TRUNC(M39*0.0013,2)</f>
        <v>3.66</v>
      </c>
    </row>
    <row r="41" spans="1:13" s="21" customFormat="1" ht="12" customHeight="1">
      <c r="A41" s="491" t="s">
        <v>307</v>
      </c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305">
        <f>M40</f>
        <v>3.66</v>
      </c>
    </row>
    <row r="42" spans="1:13" s="21" customFormat="1" ht="21.75" customHeight="1">
      <c r="A42" s="491" t="s">
        <v>322</v>
      </c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306">
        <f>TRUNC(((26.939*(581.407/270.237))+(0.253*581.407/270.237)*488)*1.17,2)</f>
        <v>378.59</v>
      </c>
    </row>
    <row r="43" spans="1:13" s="21" customFormat="1" ht="12" customHeight="1">
      <c r="A43" s="491" t="s">
        <v>232</v>
      </c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</row>
    <row r="44" spans="1:13" s="21" customFormat="1" ht="12" customHeight="1">
      <c r="A44" s="277"/>
      <c r="B44" s="247"/>
      <c r="C44" s="248"/>
      <c r="D44" s="247"/>
      <c r="E44" s="247"/>
      <c r="F44" s="248"/>
      <c r="G44" s="248"/>
      <c r="H44" s="248"/>
      <c r="I44" s="248"/>
      <c r="J44" s="248"/>
      <c r="K44" s="248"/>
      <c r="L44" s="248"/>
      <c r="M44" s="278"/>
    </row>
    <row r="45" spans="1:13" s="21" customFormat="1" ht="12" customHeight="1">
      <c r="A45" s="494" t="s">
        <v>101</v>
      </c>
      <c r="B45" s="494"/>
      <c r="C45" s="494"/>
      <c r="D45" s="494"/>
      <c r="E45" s="494"/>
      <c r="F45" s="494"/>
      <c r="G45" s="494"/>
      <c r="H45" s="494"/>
      <c r="I45" s="494"/>
      <c r="J45" s="494"/>
      <c r="K45" s="494"/>
      <c r="L45" s="494"/>
      <c r="M45" s="494"/>
    </row>
    <row r="46" spans="1:13" s="21" customFormat="1" ht="12" customHeight="1">
      <c r="A46" s="494" t="s">
        <v>24</v>
      </c>
      <c r="B46" s="494"/>
      <c r="C46" s="494"/>
      <c r="D46" s="494" t="s">
        <v>25</v>
      </c>
      <c r="E46" s="494"/>
      <c r="F46" s="494"/>
      <c r="G46" s="266" t="s">
        <v>268</v>
      </c>
      <c r="H46" s="266" t="s">
        <v>273</v>
      </c>
      <c r="I46" s="266" t="s">
        <v>27</v>
      </c>
      <c r="J46" s="266" t="s">
        <v>23</v>
      </c>
      <c r="K46" s="266" t="s">
        <v>270</v>
      </c>
      <c r="L46" s="266" t="s">
        <v>99</v>
      </c>
      <c r="M46" s="266" t="s">
        <v>103</v>
      </c>
    </row>
    <row r="47" spans="1:13" s="21" customFormat="1" ht="12" customHeight="1">
      <c r="A47" s="249">
        <f t="shared" ref="A47:H47" si="3">A34</f>
        <v>0</v>
      </c>
      <c r="B47" s="249" t="str">
        <f t="shared" si="3"/>
        <v>+</v>
      </c>
      <c r="C47" s="265">
        <f t="shared" si="3"/>
        <v>0</v>
      </c>
      <c r="D47" s="249">
        <f t="shared" si="3"/>
        <v>4</v>
      </c>
      <c r="E47" s="249" t="str">
        <f t="shared" si="3"/>
        <v>+</v>
      </c>
      <c r="F47" s="265">
        <f t="shared" si="3"/>
        <v>17</v>
      </c>
      <c r="G47" s="265" t="str">
        <f t="shared" si="3"/>
        <v>RUA JOSÉ MARQUES</v>
      </c>
      <c r="H47" s="265" t="str">
        <f t="shared" si="3"/>
        <v>LE/LD</v>
      </c>
      <c r="I47" s="70">
        <f>(D47*20+F47)-(A47*20+C47)</f>
        <v>97</v>
      </c>
      <c r="J47" s="265">
        <f>J34</f>
        <v>8</v>
      </c>
      <c r="K47" s="70">
        <f>TRUNC(I47*J47,2)</f>
        <v>776</v>
      </c>
      <c r="L47" s="265" t="s">
        <v>20</v>
      </c>
      <c r="M47" s="229">
        <f>K47</f>
        <v>776</v>
      </c>
    </row>
    <row r="48" spans="1:13" s="21" customFormat="1" ht="12" customHeight="1">
      <c r="A48" s="249">
        <v>0</v>
      </c>
      <c r="B48" s="249" t="s">
        <v>26</v>
      </c>
      <c r="C48" s="351">
        <v>0</v>
      </c>
      <c r="D48" s="249">
        <v>16</v>
      </c>
      <c r="E48" s="249" t="s">
        <v>26</v>
      </c>
      <c r="F48" s="351">
        <v>13</v>
      </c>
      <c r="G48" s="351" t="s">
        <v>318</v>
      </c>
      <c r="H48" s="351" t="s">
        <v>28</v>
      </c>
      <c r="I48" s="70">
        <f>(D48*20+F48)-(A48*20+C48)</f>
        <v>333</v>
      </c>
      <c r="J48" s="351">
        <v>7</v>
      </c>
      <c r="K48" s="70">
        <f>TRUNC(I48*J48,2)</f>
        <v>2331</v>
      </c>
      <c r="L48" s="351" t="s">
        <v>20</v>
      </c>
      <c r="M48" s="229">
        <f>K48</f>
        <v>2331</v>
      </c>
    </row>
    <row r="49" spans="1:13" s="21" customFormat="1" ht="12" customHeight="1">
      <c r="A49" s="249">
        <f>A36</f>
        <v>0</v>
      </c>
      <c r="B49" s="249" t="str">
        <f t="shared" ref="B49:H49" si="4">B36</f>
        <v>+</v>
      </c>
      <c r="C49" s="355">
        <f t="shared" si="4"/>
        <v>0</v>
      </c>
      <c r="D49" s="249">
        <f t="shared" si="4"/>
        <v>0</v>
      </c>
      <c r="E49" s="249" t="str">
        <f t="shared" si="4"/>
        <v>+</v>
      </c>
      <c r="F49" s="355">
        <f t="shared" si="4"/>
        <v>5</v>
      </c>
      <c r="G49" s="355" t="str">
        <f t="shared" si="4"/>
        <v>RUA 123</v>
      </c>
      <c r="H49" s="355" t="str">
        <f t="shared" si="4"/>
        <v>LE/LD</v>
      </c>
      <c r="I49" s="70">
        <f>(D49*20+F49)-(A49*20+C49)</f>
        <v>5</v>
      </c>
      <c r="J49" s="355">
        <f>J37</f>
        <v>8</v>
      </c>
      <c r="K49" s="70">
        <f>TRUNC(I49*J49,2)</f>
        <v>40</v>
      </c>
      <c r="L49" s="355" t="s">
        <v>20</v>
      </c>
      <c r="M49" s="229">
        <f>K49</f>
        <v>40</v>
      </c>
    </row>
    <row r="50" spans="1:13" s="21" customFormat="1" ht="12" customHeight="1">
      <c r="A50" s="249">
        <f>A37</f>
        <v>0</v>
      </c>
      <c r="B50" s="249" t="str">
        <f t="shared" ref="B50:H51" si="5">B37</f>
        <v>+</v>
      </c>
      <c r="C50" s="351">
        <f t="shared" si="5"/>
        <v>0</v>
      </c>
      <c r="D50" s="249">
        <f t="shared" si="5"/>
        <v>6</v>
      </c>
      <c r="E50" s="249" t="str">
        <f t="shared" si="5"/>
        <v>+</v>
      </c>
      <c r="F50" s="351">
        <f t="shared" si="5"/>
        <v>10</v>
      </c>
      <c r="G50" s="351" t="str">
        <f t="shared" si="5"/>
        <v>RUA 156</v>
      </c>
      <c r="H50" s="351" t="str">
        <f t="shared" si="5"/>
        <v>LE/LD</v>
      </c>
      <c r="I50" s="70">
        <f>(D50*20+F50)-(A50*20+C50)</f>
        <v>130</v>
      </c>
      <c r="J50" s="351">
        <f>J37</f>
        <v>8</v>
      </c>
      <c r="K50" s="70">
        <f>TRUNC(I50*J50,2)</f>
        <v>1040</v>
      </c>
      <c r="L50" s="351" t="s">
        <v>20</v>
      </c>
      <c r="M50" s="229">
        <f>K50</f>
        <v>1040</v>
      </c>
    </row>
    <row r="51" spans="1:13" s="21" customFormat="1" ht="12" customHeight="1">
      <c r="A51" s="249">
        <f>A38</f>
        <v>0</v>
      </c>
      <c r="B51" s="249" t="str">
        <f t="shared" si="5"/>
        <v>+</v>
      </c>
      <c r="C51" s="351">
        <f t="shared" si="5"/>
        <v>0</v>
      </c>
      <c r="D51" s="249">
        <f t="shared" si="5"/>
        <v>4</v>
      </c>
      <c r="E51" s="249" t="str">
        <f t="shared" si="5"/>
        <v>+</v>
      </c>
      <c r="F51" s="351">
        <f t="shared" si="5"/>
        <v>10</v>
      </c>
      <c r="G51" s="351" t="str">
        <f t="shared" si="5"/>
        <v>RUA CRICIÚMA</v>
      </c>
      <c r="H51" s="351" t="str">
        <f t="shared" si="5"/>
        <v>LE/LD</v>
      </c>
      <c r="I51" s="70">
        <f>(D51*20+F51)-(A51*20+C51)</f>
        <v>90</v>
      </c>
      <c r="J51" s="351">
        <f>J38</f>
        <v>8</v>
      </c>
      <c r="K51" s="70">
        <f>TRUNC(I51*J51,2)</f>
        <v>720</v>
      </c>
      <c r="L51" s="351" t="s">
        <v>20</v>
      </c>
      <c r="M51" s="229">
        <f>K51</f>
        <v>720</v>
      </c>
    </row>
    <row r="52" spans="1:13" s="21" customFormat="1" ht="12" customHeight="1">
      <c r="A52" s="492" t="s">
        <v>233</v>
      </c>
      <c r="B52" s="492"/>
      <c r="C52" s="492"/>
      <c r="D52" s="492"/>
      <c r="E52" s="492"/>
      <c r="F52" s="492"/>
      <c r="G52" s="492"/>
      <c r="H52" s="492"/>
      <c r="I52" s="492"/>
      <c r="J52" s="492"/>
      <c r="K52" s="492"/>
      <c r="L52" s="492"/>
      <c r="M52" s="229">
        <f>SUM(M47:M51)</f>
        <v>4907</v>
      </c>
    </row>
    <row r="53" spans="1:13" s="21" customFormat="1" ht="12" customHeight="1">
      <c r="A53" s="492" t="s">
        <v>308</v>
      </c>
      <c r="B53" s="492"/>
      <c r="C53" s="492"/>
      <c r="D53" s="492"/>
      <c r="E53" s="492"/>
      <c r="F53" s="492"/>
      <c r="G53" s="492"/>
      <c r="H53" s="492"/>
      <c r="I53" s="492"/>
      <c r="J53" s="492"/>
      <c r="K53" s="492"/>
      <c r="L53" s="492"/>
      <c r="M53" s="273">
        <f>TRUNC(M52*0.00045,2)</f>
        <v>2.2000000000000002</v>
      </c>
    </row>
    <row r="54" spans="1:13" s="21" customFormat="1" ht="12" customHeight="1">
      <c r="A54" s="491" t="s">
        <v>234</v>
      </c>
      <c r="B54" s="491"/>
      <c r="C54" s="491"/>
      <c r="D54" s="491"/>
      <c r="E54" s="491"/>
      <c r="F54" s="491"/>
      <c r="G54" s="491"/>
      <c r="H54" s="491"/>
      <c r="I54" s="491"/>
      <c r="J54" s="491"/>
      <c r="K54" s="491"/>
      <c r="L54" s="491"/>
      <c r="M54" s="305">
        <f>M53</f>
        <v>2.2000000000000002</v>
      </c>
    </row>
    <row r="55" spans="1:13" s="21" customFormat="1" ht="21" customHeight="1">
      <c r="A55" s="491" t="s">
        <v>322</v>
      </c>
      <c r="B55" s="491"/>
      <c r="C55" s="491"/>
      <c r="D55" s="491"/>
      <c r="E55" s="491"/>
      <c r="F55" s="491"/>
      <c r="G55" s="491"/>
      <c r="H55" s="491"/>
      <c r="I55" s="491"/>
      <c r="J55" s="491"/>
      <c r="K55" s="491"/>
      <c r="L55" s="491"/>
      <c r="M55" s="306">
        <f>TRUNC(((26.939*(581.407/270.237))+(0.253*581.407/270.237)*488)*1.17,2)</f>
        <v>378.59</v>
      </c>
    </row>
    <row r="56" spans="1:13" s="21" customFormat="1" ht="12" customHeight="1">
      <c r="A56" s="491" t="s">
        <v>232</v>
      </c>
      <c r="B56" s="491"/>
      <c r="C56" s="491"/>
      <c r="D56" s="491"/>
      <c r="E56" s="491"/>
      <c r="F56" s="491"/>
      <c r="G56" s="491"/>
      <c r="H56" s="491"/>
      <c r="I56" s="491"/>
      <c r="J56" s="491"/>
      <c r="K56" s="491"/>
      <c r="L56" s="491"/>
      <c r="M56" s="491"/>
    </row>
    <row r="57" spans="1:13" s="21" customFormat="1" ht="12" customHeight="1">
      <c r="A57" s="277"/>
      <c r="B57" s="247"/>
      <c r="C57" s="248"/>
      <c r="D57" s="247"/>
      <c r="E57" s="247"/>
      <c r="F57" s="248"/>
      <c r="G57" s="248"/>
      <c r="H57" s="248"/>
      <c r="I57" s="248"/>
      <c r="J57" s="248"/>
      <c r="K57" s="248"/>
      <c r="L57" s="248"/>
      <c r="M57" s="278"/>
    </row>
    <row r="58" spans="1:13" s="21" customFormat="1" ht="12" customHeight="1">
      <c r="A58" s="494" t="s">
        <v>271</v>
      </c>
      <c r="B58" s="494"/>
      <c r="C58" s="494"/>
      <c r="D58" s="494"/>
      <c r="E58" s="494"/>
      <c r="F58" s="494"/>
      <c r="G58" s="494"/>
      <c r="H58" s="494"/>
      <c r="I58" s="494"/>
      <c r="J58" s="494"/>
      <c r="K58" s="494"/>
      <c r="L58" s="494"/>
      <c r="M58" s="494"/>
    </row>
    <row r="59" spans="1:13" s="21" customFormat="1" ht="12" customHeight="1">
      <c r="A59" s="494" t="s">
        <v>24</v>
      </c>
      <c r="B59" s="494"/>
      <c r="C59" s="494"/>
      <c r="D59" s="494" t="s">
        <v>25</v>
      </c>
      <c r="E59" s="494"/>
      <c r="F59" s="494"/>
      <c r="G59" s="266" t="s">
        <v>268</v>
      </c>
      <c r="H59" s="266" t="s">
        <v>273</v>
      </c>
      <c r="I59" s="266" t="s">
        <v>27</v>
      </c>
      <c r="J59" s="266" t="s">
        <v>23</v>
      </c>
      <c r="K59" s="266" t="s">
        <v>270</v>
      </c>
      <c r="L59" s="266" t="s">
        <v>99</v>
      </c>
      <c r="M59" s="266" t="s">
        <v>102</v>
      </c>
    </row>
    <row r="60" spans="1:13" s="21" customFormat="1" ht="12" customHeight="1">
      <c r="A60" s="249">
        <f t="shared" ref="A60:H64" si="6">A47</f>
        <v>0</v>
      </c>
      <c r="B60" s="249" t="str">
        <f t="shared" si="6"/>
        <v>+</v>
      </c>
      <c r="C60" s="265">
        <f t="shared" si="6"/>
        <v>0</v>
      </c>
      <c r="D60" s="249">
        <f t="shared" si="6"/>
        <v>4</v>
      </c>
      <c r="E60" s="265" t="str">
        <f t="shared" si="6"/>
        <v>+</v>
      </c>
      <c r="F60" s="265">
        <f t="shared" si="6"/>
        <v>17</v>
      </c>
      <c r="G60" s="265" t="str">
        <f t="shared" si="6"/>
        <v>RUA JOSÉ MARQUES</v>
      </c>
      <c r="H60" s="265" t="str">
        <f t="shared" si="6"/>
        <v>LE/LD</v>
      </c>
      <c r="I60" s="70">
        <f>(D60*20+F60)-(A60*20+C60)</f>
        <v>97</v>
      </c>
      <c r="J60" s="265">
        <f>J47</f>
        <v>8</v>
      </c>
      <c r="K60" s="70">
        <f>TRUNC(I60*J60,2)</f>
        <v>776</v>
      </c>
      <c r="L60" s="265">
        <v>0.05</v>
      </c>
      <c r="M60" s="229">
        <f>TRUNC(K60*L60,2)</f>
        <v>38.799999999999997</v>
      </c>
    </row>
    <row r="61" spans="1:13" s="21" customFormat="1" ht="12" customHeight="1">
      <c r="A61" s="249">
        <f t="shared" si="6"/>
        <v>0</v>
      </c>
      <c r="B61" s="249" t="str">
        <f t="shared" si="6"/>
        <v>+</v>
      </c>
      <c r="C61" s="346">
        <f t="shared" si="6"/>
        <v>0</v>
      </c>
      <c r="D61" s="249">
        <f t="shared" si="6"/>
        <v>16</v>
      </c>
      <c r="E61" s="346" t="str">
        <f t="shared" si="6"/>
        <v>+</v>
      </c>
      <c r="F61" s="346">
        <f t="shared" si="6"/>
        <v>13</v>
      </c>
      <c r="G61" s="346" t="str">
        <f t="shared" si="6"/>
        <v>RUA VEREADOR FLÁVIO ROCHA</v>
      </c>
      <c r="H61" s="346" t="str">
        <f t="shared" si="6"/>
        <v>LE/LD</v>
      </c>
      <c r="I61" s="70">
        <f>(D61*20+F61)-(A61*20+C61)</f>
        <v>333</v>
      </c>
      <c r="J61" s="346">
        <f>J48</f>
        <v>7</v>
      </c>
      <c r="K61" s="70">
        <f>TRUNC(I61*J61,2)</f>
        <v>2331</v>
      </c>
      <c r="L61" s="346">
        <v>0.04</v>
      </c>
      <c r="M61" s="229">
        <f>TRUNC(K61*L61,2)</f>
        <v>93.24</v>
      </c>
    </row>
    <row r="62" spans="1:13" s="21" customFormat="1" ht="12" customHeight="1">
      <c r="A62" s="249">
        <f t="shared" si="6"/>
        <v>0</v>
      </c>
      <c r="B62" s="249" t="str">
        <f t="shared" si="6"/>
        <v>+</v>
      </c>
      <c r="C62" s="355">
        <f t="shared" si="6"/>
        <v>0</v>
      </c>
      <c r="D62" s="249">
        <f t="shared" si="6"/>
        <v>0</v>
      </c>
      <c r="E62" s="355" t="str">
        <f t="shared" si="6"/>
        <v>+</v>
      </c>
      <c r="F62" s="355">
        <f t="shared" si="6"/>
        <v>5</v>
      </c>
      <c r="G62" s="355" t="str">
        <f t="shared" si="6"/>
        <v>RUA 123</v>
      </c>
      <c r="H62" s="355" t="str">
        <f t="shared" si="6"/>
        <v>LE/LD</v>
      </c>
      <c r="I62" s="70">
        <f>(D62*20+F62)-(A62*20+C62)</f>
        <v>5</v>
      </c>
      <c r="J62" s="355">
        <f>J49</f>
        <v>8</v>
      </c>
      <c r="K62" s="70">
        <f>TRUNC(I62*J62,2)</f>
        <v>40</v>
      </c>
      <c r="L62" s="355">
        <v>0.05</v>
      </c>
      <c r="M62" s="229">
        <f>TRUNC(K62*L62,2)</f>
        <v>2</v>
      </c>
    </row>
    <row r="63" spans="1:13" s="21" customFormat="1" ht="12" customHeight="1">
      <c r="A63" s="249">
        <f t="shared" si="6"/>
        <v>0</v>
      </c>
      <c r="B63" s="249" t="str">
        <f t="shared" si="6"/>
        <v>+</v>
      </c>
      <c r="C63" s="347">
        <f t="shared" si="6"/>
        <v>0</v>
      </c>
      <c r="D63" s="249">
        <f t="shared" si="6"/>
        <v>6</v>
      </c>
      <c r="E63" s="347" t="str">
        <f t="shared" si="6"/>
        <v>+</v>
      </c>
      <c r="F63" s="347">
        <f t="shared" si="6"/>
        <v>10</v>
      </c>
      <c r="G63" s="347" t="str">
        <f t="shared" si="6"/>
        <v>RUA 156</v>
      </c>
      <c r="H63" s="347" t="str">
        <f t="shared" si="6"/>
        <v>LE/LD</v>
      </c>
      <c r="I63" s="70">
        <f>(D63*20+F63)-(A63*20+C63)</f>
        <v>130</v>
      </c>
      <c r="J63" s="347">
        <f>J50</f>
        <v>8</v>
      </c>
      <c r="K63" s="70">
        <f>TRUNC(I63*J63,2)</f>
        <v>1040</v>
      </c>
      <c r="L63" s="347">
        <v>0.05</v>
      </c>
      <c r="M63" s="229">
        <f>TRUNC(K63*L63,2)</f>
        <v>52</v>
      </c>
    </row>
    <row r="64" spans="1:13" s="21" customFormat="1" ht="12" customHeight="1">
      <c r="A64" s="249">
        <f t="shared" si="6"/>
        <v>0</v>
      </c>
      <c r="B64" s="249" t="str">
        <f t="shared" si="6"/>
        <v>+</v>
      </c>
      <c r="C64" s="346">
        <f t="shared" si="6"/>
        <v>0</v>
      </c>
      <c r="D64" s="249">
        <f t="shared" si="6"/>
        <v>4</v>
      </c>
      <c r="E64" s="346" t="str">
        <f t="shared" si="6"/>
        <v>+</v>
      </c>
      <c r="F64" s="346">
        <f t="shared" si="6"/>
        <v>10</v>
      </c>
      <c r="G64" s="346" t="str">
        <f t="shared" si="6"/>
        <v>RUA CRICIÚMA</v>
      </c>
      <c r="H64" s="346" t="str">
        <f t="shared" si="6"/>
        <v>LE/LD</v>
      </c>
      <c r="I64" s="70">
        <f>(D64*20+F64)-(A64*20+C64)</f>
        <v>90</v>
      </c>
      <c r="J64" s="340">
        <f>J51</f>
        <v>8</v>
      </c>
      <c r="K64" s="70">
        <f>TRUNC(I64*J64,2)</f>
        <v>720</v>
      </c>
      <c r="L64" s="340">
        <v>0.05</v>
      </c>
      <c r="M64" s="229">
        <f>TRUNC(K64*L64,2)</f>
        <v>36</v>
      </c>
    </row>
    <row r="65" spans="1:13" ht="12" customHeight="1">
      <c r="A65" s="492" t="s">
        <v>104</v>
      </c>
      <c r="B65" s="492"/>
      <c r="C65" s="492"/>
      <c r="D65" s="492"/>
      <c r="E65" s="492"/>
      <c r="F65" s="492"/>
      <c r="G65" s="492"/>
      <c r="H65" s="492"/>
      <c r="I65" s="492"/>
      <c r="J65" s="492"/>
      <c r="K65" s="492"/>
      <c r="L65" s="492"/>
      <c r="M65" s="229">
        <f>SUM(M60:M64)</f>
        <v>222.04</v>
      </c>
    </row>
    <row r="66" spans="1:13" ht="12" customHeight="1">
      <c r="A66" s="492" t="s">
        <v>235</v>
      </c>
      <c r="B66" s="492"/>
      <c r="C66" s="492"/>
      <c r="D66" s="492"/>
      <c r="E66" s="492"/>
      <c r="F66" s="492"/>
      <c r="G66" s="492"/>
      <c r="H66" s="492"/>
      <c r="I66" s="492"/>
      <c r="J66" s="492"/>
      <c r="K66" s="492"/>
      <c r="L66" s="492"/>
      <c r="M66" s="229">
        <f>TRUNC(M65*2.55,2)</f>
        <v>566.20000000000005</v>
      </c>
    </row>
    <row r="67" spans="1:13" ht="12" customHeight="1">
      <c r="A67" s="492" t="s">
        <v>289</v>
      </c>
      <c r="B67" s="492"/>
      <c r="C67" s="492"/>
      <c r="D67" s="492"/>
      <c r="E67" s="492"/>
      <c r="F67" s="492"/>
      <c r="G67" s="492"/>
      <c r="H67" s="492"/>
      <c r="I67" s="492"/>
      <c r="J67" s="492"/>
      <c r="K67" s="492"/>
      <c r="L67" s="492"/>
      <c r="M67" s="229">
        <f>TRUNC(M66*5.5%,2)</f>
        <v>31.14</v>
      </c>
    </row>
    <row r="68" spans="1:13" ht="12" customHeight="1">
      <c r="A68" s="492" t="s">
        <v>288</v>
      </c>
      <c r="B68" s="492"/>
      <c r="C68" s="492"/>
      <c r="D68" s="492"/>
      <c r="E68" s="492"/>
      <c r="F68" s="492"/>
      <c r="G68" s="492"/>
      <c r="H68" s="492"/>
      <c r="I68" s="492"/>
      <c r="J68" s="492"/>
      <c r="K68" s="492"/>
      <c r="L68" s="492"/>
      <c r="M68" s="229">
        <f>M67</f>
        <v>31.14</v>
      </c>
    </row>
    <row r="69" spans="1:13" ht="21" customHeight="1">
      <c r="A69" s="495" t="s">
        <v>322</v>
      </c>
      <c r="B69" s="495"/>
      <c r="C69" s="495"/>
      <c r="D69" s="495"/>
      <c r="E69" s="495"/>
      <c r="F69" s="495"/>
      <c r="G69" s="495"/>
      <c r="H69" s="495"/>
      <c r="I69" s="495"/>
      <c r="J69" s="495"/>
      <c r="K69" s="495"/>
      <c r="L69" s="495"/>
      <c r="M69" s="307">
        <f>TRUNC(((26.939*(581.407/270.237))+(0.253*581.407/270.237)*488)*1.17,2)</f>
        <v>378.59</v>
      </c>
    </row>
    <row r="70" spans="1:13" ht="12" customHeight="1">
      <c r="A70" s="491" t="s">
        <v>298</v>
      </c>
      <c r="B70" s="491"/>
      <c r="C70" s="491"/>
      <c r="D70" s="491"/>
      <c r="E70" s="491"/>
      <c r="F70" s="491"/>
      <c r="G70" s="491"/>
      <c r="H70" s="491"/>
      <c r="I70" s="491"/>
      <c r="J70" s="491"/>
      <c r="K70" s="491"/>
      <c r="L70" s="491"/>
      <c r="M70" s="491"/>
    </row>
    <row r="71" spans="1:13" ht="12" customHeight="1">
      <c r="A71" s="308"/>
      <c r="B71" s="308"/>
      <c r="C71" s="308"/>
      <c r="D71" s="308"/>
      <c r="E71" s="308"/>
      <c r="F71" s="308"/>
      <c r="G71" s="308"/>
      <c r="H71" s="308"/>
      <c r="I71" s="308"/>
      <c r="J71" s="308"/>
      <c r="K71" s="308"/>
      <c r="L71" s="308"/>
      <c r="M71" s="308"/>
    </row>
    <row r="72" spans="1:13" ht="12" customHeight="1">
      <c r="A72" s="309"/>
      <c r="B72" s="309"/>
      <c r="C72" s="309"/>
      <c r="D72" s="309"/>
      <c r="E72" s="309"/>
      <c r="F72" s="309"/>
      <c r="G72" s="309"/>
      <c r="H72" s="309"/>
      <c r="I72" s="309"/>
      <c r="J72" s="309"/>
      <c r="K72" s="309"/>
      <c r="L72" s="309"/>
      <c r="M72" s="309"/>
    </row>
    <row r="78" spans="1:13" ht="3" customHeight="1"/>
  </sheetData>
  <mergeCells count="43">
    <mergeCell ref="A65:L65"/>
    <mergeCell ref="A70:M70"/>
    <mergeCell ref="A67:L67"/>
    <mergeCell ref="A68:L68"/>
    <mergeCell ref="A69:L69"/>
    <mergeCell ref="A66:L66"/>
    <mergeCell ref="A59:C59"/>
    <mergeCell ref="D59:F59"/>
    <mergeCell ref="A5:M5"/>
    <mergeCell ref="A6:C6"/>
    <mergeCell ref="D6:F6"/>
    <mergeCell ref="A43:M43"/>
    <mergeCell ref="A32:M32"/>
    <mergeCell ref="A33:C33"/>
    <mergeCell ref="D33:F33"/>
    <mergeCell ref="A56:M56"/>
    <mergeCell ref="A58:M58"/>
    <mergeCell ref="A55:L55"/>
    <mergeCell ref="A54:L54"/>
    <mergeCell ref="A14:M14"/>
    <mergeCell ref="D15:F15"/>
    <mergeCell ref="A24:C24"/>
    <mergeCell ref="A41:L41"/>
    <mergeCell ref="A42:L42"/>
    <mergeCell ref="A52:L52"/>
    <mergeCell ref="A53:L53"/>
    <mergeCell ref="A12:L12"/>
    <mergeCell ref="A21:L21"/>
    <mergeCell ref="A30:L30"/>
    <mergeCell ref="A39:L39"/>
    <mergeCell ref="A45:M45"/>
    <mergeCell ref="A46:C46"/>
    <mergeCell ref="D46:F46"/>
    <mergeCell ref="A40:L40"/>
    <mergeCell ref="D24:F24"/>
    <mergeCell ref="A23:M23"/>
    <mergeCell ref="A15:C15"/>
    <mergeCell ref="A1:F3"/>
    <mergeCell ref="K2:L2"/>
    <mergeCell ref="I2:J2"/>
    <mergeCell ref="G2:H2"/>
    <mergeCell ref="G3:L3"/>
    <mergeCell ref="G1:M1"/>
  </mergeCells>
  <printOptions horizontalCentered="1"/>
  <pageMargins left="0.78740157480314965" right="0.78740157480314965" top="0.78740157480314965" bottom="0.98425196850393704" header="0" footer="0.19685039370078741"/>
  <pageSetup paperSize="9" scale="80" orientation="portrait" r:id="rId1"/>
  <headerFooter alignWithMargins="0">
    <oddFooter>&amp;CEng° Darcio Pagani Vieira
Crea/SC - 077.222-9</oddFooter>
  </headerFooter>
  <ignoredErrors>
    <ignoredError sqref="I25:I27 I34:I36 I62:I64 I50:I51 I37:I38 I28 I16:I20 I47 I60 I48 I61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showGridLines="0" view="pageBreakPreview" zoomScale="130" zoomScaleSheetLayoutView="130" workbookViewId="0">
      <pane ySplit="3" topLeftCell="A13" activePane="bottomLeft" state="frozen"/>
      <selection activeCell="C26" sqref="C26"/>
      <selection pane="bottomLeft" activeCell="A33" sqref="A33:M33"/>
    </sheetView>
  </sheetViews>
  <sheetFormatPr defaultRowHeight="12.75"/>
  <cols>
    <col min="1" max="4" width="4" style="258" customWidth="1"/>
    <col min="5" max="5" width="1.5703125" style="258" bestFit="1" customWidth="1"/>
    <col min="6" max="6" width="4" style="258" customWidth="1"/>
    <col min="7" max="7" width="25" style="258" bestFit="1" customWidth="1"/>
    <col min="8" max="8" width="7.85546875" style="258" bestFit="1" customWidth="1"/>
    <col min="9" max="9" width="11.5703125" style="258" bestFit="1" customWidth="1"/>
    <col min="10" max="11" width="7.7109375" style="258" bestFit="1" customWidth="1"/>
    <col min="12" max="12" width="24.140625" style="258" bestFit="1" customWidth="1"/>
    <col min="13" max="13" width="20.42578125" style="258" customWidth="1"/>
    <col min="14" max="257" width="9.140625" style="258"/>
    <col min="258" max="263" width="4.85546875" style="258" customWidth="1"/>
    <col min="264" max="264" width="8.42578125" style="258" bestFit="1" customWidth="1"/>
    <col min="265" max="265" width="12.7109375" style="258" customWidth="1"/>
    <col min="266" max="266" width="15.42578125" style="258" bestFit="1" customWidth="1"/>
    <col min="267" max="269" width="12.7109375" style="258" customWidth="1"/>
    <col min="270" max="513" width="9.140625" style="258"/>
    <col min="514" max="519" width="4.85546875" style="258" customWidth="1"/>
    <col min="520" max="520" width="8.42578125" style="258" bestFit="1" customWidth="1"/>
    <col min="521" max="521" width="12.7109375" style="258" customWidth="1"/>
    <col min="522" max="522" width="15.42578125" style="258" bestFit="1" customWidth="1"/>
    <col min="523" max="525" width="12.7109375" style="258" customWidth="1"/>
    <col min="526" max="769" width="9.140625" style="258"/>
    <col min="770" max="775" width="4.85546875" style="258" customWidth="1"/>
    <col min="776" max="776" width="8.42578125" style="258" bestFit="1" customWidth="1"/>
    <col min="777" max="777" width="12.7109375" style="258" customWidth="1"/>
    <col min="778" max="778" width="15.42578125" style="258" bestFit="1" customWidth="1"/>
    <col min="779" max="781" width="12.7109375" style="258" customWidth="1"/>
    <col min="782" max="1025" width="9.140625" style="258"/>
    <col min="1026" max="1031" width="4.85546875" style="258" customWidth="1"/>
    <col min="1032" max="1032" width="8.42578125" style="258" bestFit="1" customWidth="1"/>
    <col min="1033" max="1033" width="12.7109375" style="258" customWidth="1"/>
    <col min="1034" max="1034" width="15.42578125" style="258" bestFit="1" customWidth="1"/>
    <col min="1035" max="1037" width="12.7109375" style="258" customWidth="1"/>
    <col min="1038" max="1281" width="9.140625" style="258"/>
    <col min="1282" max="1287" width="4.85546875" style="258" customWidth="1"/>
    <col min="1288" max="1288" width="8.42578125" style="258" bestFit="1" customWidth="1"/>
    <col min="1289" max="1289" width="12.7109375" style="258" customWidth="1"/>
    <col min="1290" max="1290" width="15.42578125" style="258" bestFit="1" customWidth="1"/>
    <col min="1291" max="1293" width="12.7109375" style="258" customWidth="1"/>
    <col min="1294" max="1537" width="9.140625" style="258"/>
    <col min="1538" max="1543" width="4.85546875" style="258" customWidth="1"/>
    <col min="1544" max="1544" width="8.42578125" style="258" bestFit="1" customWidth="1"/>
    <col min="1545" max="1545" width="12.7109375" style="258" customWidth="1"/>
    <col min="1546" max="1546" width="15.42578125" style="258" bestFit="1" customWidth="1"/>
    <col min="1547" max="1549" width="12.7109375" style="258" customWidth="1"/>
    <col min="1550" max="1793" width="9.140625" style="258"/>
    <col min="1794" max="1799" width="4.85546875" style="258" customWidth="1"/>
    <col min="1800" max="1800" width="8.42578125" style="258" bestFit="1" customWidth="1"/>
    <col min="1801" max="1801" width="12.7109375" style="258" customWidth="1"/>
    <col min="1802" max="1802" width="15.42578125" style="258" bestFit="1" customWidth="1"/>
    <col min="1803" max="1805" width="12.7109375" style="258" customWidth="1"/>
    <col min="1806" max="2049" width="9.140625" style="258"/>
    <col min="2050" max="2055" width="4.85546875" style="258" customWidth="1"/>
    <col min="2056" max="2056" width="8.42578125" style="258" bestFit="1" customWidth="1"/>
    <col min="2057" max="2057" width="12.7109375" style="258" customWidth="1"/>
    <col min="2058" max="2058" width="15.42578125" style="258" bestFit="1" customWidth="1"/>
    <col min="2059" max="2061" width="12.7109375" style="258" customWidth="1"/>
    <col min="2062" max="2305" width="9.140625" style="258"/>
    <col min="2306" max="2311" width="4.85546875" style="258" customWidth="1"/>
    <col min="2312" max="2312" width="8.42578125" style="258" bestFit="1" customWidth="1"/>
    <col min="2313" max="2313" width="12.7109375" style="258" customWidth="1"/>
    <col min="2314" max="2314" width="15.42578125" style="258" bestFit="1" customWidth="1"/>
    <col min="2315" max="2317" width="12.7109375" style="258" customWidth="1"/>
    <col min="2318" max="2561" width="9.140625" style="258"/>
    <col min="2562" max="2567" width="4.85546875" style="258" customWidth="1"/>
    <col min="2568" max="2568" width="8.42578125" style="258" bestFit="1" customWidth="1"/>
    <col min="2569" max="2569" width="12.7109375" style="258" customWidth="1"/>
    <col min="2570" max="2570" width="15.42578125" style="258" bestFit="1" customWidth="1"/>
    <col min="2571" max="2573" width="12.7109375" style="258" customWidth="1"/>
    <col min="2574" max="2817" width="9.140625" style="258"/>
    <col min="2818" max="2823" width="4.85546875" style="258" customWidth="1"/>
    <col min="2824" max="2824" width="8.42578125" style="258" bestFit="1" customWidth="1"/>
    <col min="2825" max="2825" width="12.7109375" style="258" customWidth="1"/>
    <col min="2826" max="2826" width="15.42578125" style="258" bestFit="1" customWidth="1"/>
    <col min="2827" max="2829" width="12.7109375" style="258" customWidth="1"/>
    <col min="2830" max="3073" width="9.140625" style="258"/>
    <col min="3074" max="3079" width="4.85546875" style="258" customWidth="1"/>
    <col min="3080" max="3080" width="8.42578125" style="258" bestFit="1" customWidth="1"/>
    <col min="3081" max="3081" width="12.7109375" style="258" customWidth="1"/>
    <col min="3082" max="3082" width="15.42578125" style="258" bestFit="1" customWidth="1"/>
    <col min="3083" max="3085" width="12.7109375" style="258" customWidth="1"/>
    <col min="3086" max="3329" width="9.140625" style="258"/>
    <col min="3330" max="3335" width="4.85546875" style="258" customWidth="1"/>
    <col min="3336" max="3336" width="8.42578125" style="258" bestFit="1" customWidth="1"/>
    <col min="3337" max="3337" width="12.7109375" style="258" customWidth="1"/>
    <col min="3338" max="3338" width="15.42578125" style="258" bestFit="1" customWidth="1"/>
    <col min="3339" max="3341" width="12.7109375" style="258" customWidth="1"/>
    <col min="3342" max="3585" width="9.140625" style="258"/>
    <col min="3586" max="3591" width="4.85546875" style="258" customWidth="1"/>
    <col min="3592" max="3592" width="8.42578125" style="258" bestFit="1" customWidth="1"/>
    <col min="3593" max="3593" width="12.7109375" style="258" customWidth="1"/>
    <col min="3594" max="3594" width="15.42578125" style="258" bestFit="1" customWidth="1"/>
    <col min="3595" max="3597" width="12.7109375" style="258" customWidth="1"/>
    <col min="3598" max="3841" width="9.140625" style="258"/>
    <col min="3842" max="3847" width="4.85546875" style="258" customWidth="1"/>
    <col min="3848" max="3848" width="8.42578125" style="258" bestFit="1" customWidth="1"/>
    <col min="3849" max="3849" width="12.7109375" style="258" customWidth="1"/>
    <col min="3850" max="3850" width="15.42578125" style="258" bestFit="1" customWidth="1"/>
    <col min="3851" max="3853" width="12.7109375" style="258" customWidth="1"/>
    <col min="3854" max="4097" width="9.140625" style="258"/>
    <col min="4098" max="4103" width="4.85546875" style="258" customWidth="1"/>
    <col min="4104" max="4104" width="8.42578125" style="258" bestFit="1" customWidth="1"/>
    <col min="4105" max="4105" width="12.7109375" style="258" customWidth="1"/>
    <col min="4106" max="4106" width="15.42578125" style="258" bestFit="1" customWidth="1"/>
    <col min="4107" max="4109" width="12.7109375" style="258" customWidth="1"/>
    <col min="4110" max="4353" width="9.140625" style="258"/>
    <col min="4354" max="4359" width="4.85546875" style="258" customWidth="1"/>
    <col min="4360" max="4360" width="8.42578125" style="258" bestFit="1" customWidth="1"/>
    <col min="4361" max="4361" width="12.7109375" style="258" customWidth="1"/>
    <col min="4362" max="4362" width="15.42578125" style="258" bestFit="1" customWidth="1"/>
    <col min="4363" max="4365" width="12.7109375" style="258" customWidth="1"/>
    <col min="4366" max="4609" width="9.140625" style="258"/>
    <col min="4610" max="4615" width="4.85546875" style="258" customWidth="1"/>
    <col min="4616" max="4616" width="8.42578125" style="258" bestFit="1" customWidth="1"/>
    <col min="4617" max="4617" width="12.7109375" style="258" customWidth="1"/>
    <col min="4618" max="4618" width="15.42578125" style="258" bestFit="1" customWidth="1"/>
    <col min="4619" max="4621" width="12.7109375" style="258" customWidth="1"/>
    <col min="4622" max="4865" width="9.140625" style="258"/>
    <col min="4866" max="4871" width="4.85546875" style="258" customWidth="1"/>
    <col min="4872" max="4872" width="8.42578125" style="258" bestFit="1" customWidth="1"/>
    <col min="4873" max="4873" width="12.7109375" style="258" customWidth="1"/>
    <col min="4874" max="4874" width="15.42578125" style="258" bestFit="1" customWidth="1"/>
    <col min="4875" max="4877" width="12.7109375" style="258" customWidth="1"/>
    <col min="4878" max="5121" width="9.140625" style="258"/>
    <col min="5122" max="5127" width="4.85546875" style="258" customWidth="1"/>
    <col min="5128" max="5128" width="8.42578125" style="258" bestFit="1" customWidth="1"/>
    <col min="5129" max="5129" width="12.7109375" style="258" customWidth="1"/>
    <col min="5130" max="5130" width="15.42578125" style="258" bestFit="1" customWidth="1"/>
    <col min="5131" max="5133" width="12.7109375" style="258" customWidth="1"/>
    <col min="5134" max="5377" width="9.140625" style="258"/>
    <col min="5378" max="5383" width="4.85546875" style="258" customWidth="1"/>
    <col min="5384" max="5384" width="8.42578125" style="258" bestFit="1" customWidth="1"/>
    <col min="5385" max="5385" width="12.7109375" style="258" customWidth="1"/>
    <col min="5386" max="5386" width="15.42578125" style="258" bestFit="1" customWidth="1"/>
    <col min="5387" max="5389" width="12.7109375" style="258" customWidth="1"/>
    <col min="5390" max="5633" width="9.140625" style="258"/>
    <col min="5634" max="5639" width="4.85546875" style="258" customWidth="1"/>
    <col min="5640" max="5640" width="8.42578125" style="258" bestFit="1" customWidth="1"/>
    <col min="5641" max="5641" width="12.7109375" style="258" customWidth="1"/>
    <col min="5642" max="5642" width="15.42578125" style="258" bestFit="1" customWidth="1"/>
    <col min="5643" max="5645" width="12.7109375" style="258" customWidth="1"/>
    <col min="5646" max="5889" width="9.140625" style="258"/>
    <col min="5890" max="5895" width="4.85546875" style="258" customWidth="1"/>
    <col min="5896" max="5896" width="8.42578125" style="258" bestFit="1" customWidth="1"/>
    <col min="5897" max="5897" width="12.7109375" style="258" customWidth="1"/>
    <col min="5898" max="5898" width="15.42578125" style="258" bestFit="1" customWidth="1"/>
    <col min="5899" max="5901" width="12.7109375" style="258" customWidth="1"/>
    <col min="5902" max="6145" width="9.140625" style="258"/>
    <col min="6146" max="6151" width="4.85546875" style="258" customWidth="1"/>
    <col min="6152" max="6152" width="8.42578125" style="258" bestFit="1" customWidth="1"/>
    <col min="6153" max="6153" width="12.7109375" style="258" customWidth="1"/>
    <col min="6154" max="6154" width="15.42578125" style="258" bestFit="1" customWidth="1"/>
    <col min="6155" max="6157" width="12.7109375" style="258" customWidth="1"/>
    <col min="6158" max="6401" width="9.140625" style="258"/>
    <col min="6402" max="6407" width="4.85546875" style="258" customWidth="1"/>
    <col min="6408" max="6408" width="8.42578125" style="258" bestFit="1" customWidth="1"/>
    <col min="6409" max="6409" width="12.7109375" style="258" customWidth="1"/>
    <col min="6410" max="6410" width="15.42578125" style="258" bestFit="1" customWidth="1"/>
    <col min="6411" max="6413" width="12.7109375" style="258" customWidth="1"/>
    <col min="6414" max="6657" width="9.140625" style="258"/>
    <col min="6658" max="6663" width="4.85546875" style="258" customWidth="1"/>
    <col min="6664" max="6664" width="8.42578125" style="258" bestFit="1" customWidth="1"/>
    <col min="6665" max="6665" width="12.7109375" style="258" customWidth="1"/>
    <col min="6666" max="6666" width="15.42578125" style="258" bestFit="1" customWidth="1"/>
    <col min="6667" max="6669" width="12.7109375" style="258" customWidth="1"/>
    <col min="6670" max="6913" width="9.140625" style="258"/>
    <col min="6914" max="6919" width="4.85546875" style="258" customWidth="1"/>
    <col min="6920" max="6920" width="8.42578125" style="258" bestFit="1" customWidth="1"/>
    <col min="6921" max="6921" width="12.7109375" style="258" customWidth="1"/>
    <col min="6922" max="6922" width="15.42578125" style="258" bestFit="1" customWidth="1"/>
    <col min="6923" max="6925" width="12.7109375" style="258" customWidth="1"/>
    <col min="6926" max="7169" width="9.140625" style="258"/>
    <col min="7170" max="7175" width="4.85546875" style="258" customWidth="1"/>
    <col min="7176" max="7176" width="8.42578125" style="258" bestFit="1" customWidth="1"/>
    <col min="7177" max="7177" width="12.7109375" style="258" customWidth="1"/>
    <col min="7178" max="7178" width="15.42578125" style="258" bestFit="1" customWidth="1"/>
    <col min="7179" max="7181" width="12.7109375" style="258" customWidth="1"/>
    <col min="7182" max="7425" width="9.140625" style="258"/>
    <col min="7426" max="7431" width="4.85546875" style="258" customWidth="1"/>
    <col min="7432" max="7432" width="8.42578125" style="258" bestFit="1" customWidth="1"/>
    <col min="7433" max="7433" width="12.7109375" style="258" customWidth="1"/>
    <col min="7434" max="7434" width="15.42578125" style="258" bestFit="1" customWidth="1"/>
    <col min="7435" max="7437" width="12.7109375" style="258" customWidth="1"/>
    <col min="7438" max="7681" width="9.140625" style="258"/>
    <col min="7682" max="7687" width="4.85546875" style="258" customWidth="1"/>
    <col min="7688" max="7688" width="8.42578125" style="258" bestFit="1" customWidth="1"/>
    <col min="7689" max="7689" width="12.7109375" style="258" customWidth="1"/>
    <col min="7690" max="7690" width="15.42578125" style="258" bestFit="1" customWidth="1"/>
    <col min="7691" max="7693" width="12.7109375" style="258" customWidth="1"/>
    <col min="7694" max="7937" width="9.140625" style="258"/>
    <col min="7938" max="7943" width="4.85546875" style="258" customWidth="1"/>
    <col min="7944" max="7944" width="8.42578125" style="258" bestFit="1" customWidth="1"/>
    <col min="7945" max="7945" width="12.7109375" style="258" customWidth="1"/>
    <col min="7946" max="7946" width="15.42578125" style="258" bestFit="1" customWidth="1"/>
    <col min="7947" max="7949" width="12.7109375" style="258" customWidth="1"/>
    <col min="7950" max="8193" width="9.140625" style="258"/>
    <col min="8194" max="8199" width="4.85546875" style="258" customWidth="1"/>
    <col min="8200" max="8200" width="8.42578125" style="258" bestFit="1" customWidth="1"/>
    <col min="8201" max="8201" width="12.7109375" style="258" customWidth="1"/>
    <col min="8202" max="8202" width="15.42578125" style="258" bestFit="1" customWidth="1"/>
    <col min="8203" max="8205" width="12.7109375" style="258" customWidth="1"/>
    <col min="8206" max="8449" width="9.140625" style="258"/>
    <col min="8450" max="8455" width="4.85546875" style="258" customWidth="1"/>
    <col min="8456" max="8456" width="8.42578125" style="258" bestFit="1" customWidth="1"/>
    <col min="8457" max="8457" width="12.7109375" style="258" customWidth="1"/>
    <col min="8458" max="8458" width="15.42578125" style="258" bestFit="1" customWidth="1"/>
    <col min="8459" max="8461" width="12.7109375" style="258" customWidth="1"/>
    <col min="8462" max="8705" width="9.140625" style="258"/>
    <col min="8706" max="8711" width="4.85546875" style="258" customWidth="1"/>
    <col min="8712" max="8712" width="8.42578125" style="258" bestFit="1" customWidth="1"/>
    <col min="8713" max="8713" width="12.7109375" style="258" customWidth="1"/>
    <col min="8714" max="8714" width="15.42578125" style="258" bestFit="1" customWidth="1"/>
    <col min="8715" max="8717" width="12.7109375" style="258" customWidth="1"/>
    <col min="8718" max="8961" width="9.140625" style="258"/>
    <col min="8962" max="8967" width="4.85546875" style="258" customWidth="1"/>
    <col min="8968" max="8968" width="8.42578125" style="258" bestFit="1" customWidth="1"/>
    <col min="8969" max="8969" width="12.7109375" style="258" customWidth="1"/>
    <col min="8970" max="8970" width="15.42578125" style="258" bestFit="1" customWidth="1"/>
    <col min="8971" max="8973" width="12.7109375" style="258" customWidth="1"/>
    <col min="8974" max="9217" width="9.140625" style="258"/>
    <col min="9218" max="9223" width="4.85546875" style="258" customWidth="1"/>
    <col min="9224" max="9224" width="8.42578125" style="258" bestFit="1" customWidth="1"/>
    <col min="9225" max="9225" width="12.7109375" style="258" customWidth="1"/>
    <col min="9226" max="9226" width="15.42578125" style="258" bestFit="1" customWidth="1"/>
    <col min="9227" max="9229" width="12.7109375" style="258" customWidth="1"/>
    <col min="9230" max="9473" width="9.140625" style="258"/>
    <col min="9474" max="9479" width="4.85546875" style="258" customWidth="1"/>
    <col min="9480" max="9480" width="8.42578125" style="258" bestFit="1" customWidth="1"/>
    <col min="9481" max="9481" width="12.7109375" style="258" customWidth="1"/>
    <col min="9482" max="9482" width="15.42578125" style="258" bestFit="1" customWidth="1"/>
    <col min="9483" max="9485" width="12.7109375" style="258" customWidth="1"/>
    <col min="9486" max="9729" width="9.140625" style="258"/>
    <col min="9730" max="9735" width="4.85546875" style="258" customWidth="1"/>
    <col min="9736" max="9736" width="8.42578125" style="258" bestFit="1" customWidth="1"/>
    <col min="9737" max="9737" width="12.7109375" style="258" customWidth="1"/>
    <col min="9738" max="9738" width="15.42578125" style="258" bestFit="1" customWidth="1"/>
    <col min="9739" max="9741" width="12.7109375" style="258" customWidth="1"/>
    <col min="9742" max="9985" width="9.140625" style="258"/>
    <col min="9986" max="9991" width="4.85546875" style="258" customWidth="1"/>
    <col min="9992" max="9992" width="8.42578125" style="258" bestFit="1" customWidth="1"/>
    <col min="9993" max="9993" width="12.7109375" style="258" customWidth="1"/>
    <col min="9994" max="9994" width="15.42578125" style="258" bestFit="1" customWidth="1"/>
    <col min="9995" max="9997" width="12.7109375" style="258" customWidth="1"/>
    <col min="9998" max="10241" width="9.140625" style="258"/>
    <col min="10242" max="10247" width="4.85546875" style="258" customWidth="1"/>
    <col min="10248" max="10248" width="8.42578125" style="258" bestFit="1" customWidth="1"/>
    <col min="10249" max="10249" width="12.7109375" style="258" customWidth="1"/>
    <col min="10250" max="10250" width="15.42578125" style="258" bestFit="1" customWidth="1"/>
    <col min="10251" max="10253" width="12.7109375" style="258" customWidth="1"/>
    <col min="10254" max="10497" width="9.140625" style="258"/>
    <col min="10498" max="10503" width="4.85546875" style="258" customWidth="1"/>
    <col min="10504" max="10504" width="8.42578125" style="258" bestFit="1" customWidth="1"/>
    <col min="10505" max="10505" width="12.7109375" style="258" customWidth="1"/>
    <col min="10506" max="10506" width="15.42578125" style="258" bestFit="1" customWidth="1"/>
    <col min="10507" max="10509" width="12.7109375" style="258" customWidth="1"/>
    <col min="10510" max="10753" width="9.140625" style="258"/>
    <col min="10754" max="10759" width="4.85546875" style="258" customWidth="1"/>
    <col min="10760" max="10760" width="8.42578125" style="258" bestFit="1" customWidth="1"/>
    <col min="10761" max="10761" width="12.7109375" style="258" customWidth="1"/>
    <col min="10762" max="10762" width="15.42578125" style="258" bestFit="1" customWidth="1"/>
    <col min="10763" max="10765" width="12.7109375" style="258" customWidth="1"/>
    <col min="10766" max="11009" width="9.140625" style="258"/>
    <col min="11010" max="11015" width="4.85546875" style="258" customWidth="1"/>
    <col min="11016" max="11016" width="8.42578125" style="258" bestFit="1" customWidth="1"/>
    <col min="11017" max="11017" width="12.7109375" style="258" customWidth="1"/>
    <col min="11018" max="11018" width="15.42578125" style="258" bestFit="1" customWidth="1"/>
    <col min="11019" max="11021" width="12.7109375" style="258" customWidth="1"/>
    <col min="11022" max="11265" width="9.140625" style="258"/>
    <col min="11266" max="11271" width="4.85546875" style="258" customWidth="1"/>
    <col min="11272" max="11272" width="8.42578125" style="258" bestFit="1" customWidth="1"/>
    <col min="11273" max="11273" width="12.7109375" style="258" customWidth="1"/>
    <col min="11274" max="11274" width="15.42578125" style="258" bestFit="1" customWidth="1"/>
    <col min="11275" max="11277" width="12.7109375" style="258" customWidth="1"/>
    <col min="11278" max="11521" width="9.140625" style="258"/>
    <col min="11522" max="11527" width="4.85546875" style="258" customWidth="1"/>
    <col min="11528" max="11528" width="8.42578125" style="258" bestFit="1" customWidth="1"/>
    <col min="11529" max="11529" width="12.7109375" style="258" customWidth="1"/>
    <col min="11530" max="11530" width="15.42578125" style="258" bestFit="1" customWidth="1"/>
    <col min="11531" max="11533" width="12.7109375" style="258" customWidth="1"/>
    <col min="11534" max="11777" width="9.140625" style="258"/>
    <col min="11778" max="11783" width="4.85546875" style="258" customWidth="1"/>
    <col min="11784" max="11784" width="8.42578125" style="258" bestFit="1" customWidth="1"/>
    <col min="11785" max="11785" width="12.7109375" style="258" customWidth="1"/>
    <col min="11786" max="11786" width="15.42578125" style="258" bestFit="1" customWidth="1"/>
    <col min="11787" max="11789" width="12.7109375" style="258" customWidth="1"/>
    <col min="11790" max="12033" width="9.140625" style="258"/>
    <col min="12034" max="12039" width="4.85546875" style="258" customWidth="1"/>
    <col min="12040" max="12040" width="8.42578125" style="258" bestFit="1" customWidth="1"/>
    <col min="12041" max="12041" width="12.7109375" style="258" customWidth="1"/>
    <col min="12042" max="12042" width="15.42578125" style="258" bestFit="1" customWidth="1"/>
    <col min="12043" max="12045" width="12.7109375" style="258" customWidth="1"/>
    <col min="12046" max="12289" width="9.140625" style="258"/>
    <col min="12290" max="12295" width="4.85546875" style="258" customWidth="1"/>
    <col min="12296" max="12296" width="8.42578125" style="258" bestFit="1" customWidth="1"/>
    <col min="12297" max="12297" width="12.7109375" style="258" customWidth="1"/>
    <col min="12298" max="12298" width="15.42578125" style="258" bestFit="1" customWidth="1"/>
    <col min="12299" max="12301" width="12.7109375" style="258" customWidth="1"/>
    <col min="12302" max="12545" width="9.140625" style="258"/>
    <col min="12546" max="12551" width="4.85546875" style="258" customWidth="1"/>
    <col min="12552" max="12552" width="8.42578125" style="258" bestFit="1" customWidth="1"/>
    <col min="12553" max="12553" width="12.7109375" style="258" customWidth="1"/>
    <col min="12554" max="12554" width="15.42578125" style="258" bestFit="1" customWidth="1"/>
    <col min="12555" max="12557" width="12.7109375" style="258" customWidth="1"/>
    <col min="12558" max="12801" width="9.140625" style="258"/>
    <col min="12802" max="12807" width="4.85546875" style="258" customWidth="1"/>
    <col min="12808" max="12808" width="8.42578125" style="258" bestFit="1" customWidth="1"/>
    <col min="12809" max="12809" width="12.7109375" style="258" customWidth="1"/>
    <col min="12810" max="12810" width="15.42578125" style="258" bestFit="1" customWidth="1"/>
    <col min="12811" max="12813" width="12.7109375" style="258" customWidth="1"/>
    <col min="12814" max="13057" width="9.140625" style="258"/>
    <col min="13058" max="13063" width="4.85546875" style="258" customWidth="1"/>
    <col min="13064" max="13064" width="8.42578125" style="258" bestFit="1" customWidth="1"/>
    <col min="13065" max="13065" width="12.7109375" style="258" customWidth="1"/>
    <col min="13066" max="13066" width="15.42578125" style="258" bestFit="1" customWidth="1"/>
    <col min="13067" max="13069" width="12.7109375" style="258" customWidth="1"/>
    <col min="13070" max="13313" width="9.140625" style="258"/>
    <col min="13314" max="13319" width="4.85546875" style="258" customWidth="1"/>
    <col min="13320" max="13320" width="8.42578125" style="258" bestFit="1" customWidth="1"/>
    <col min="13321" max="13321" width="12.7109375" style="258" customWidth="1"/>
    <col min="13322" max="13322" width="15.42578125" style="258" bestFit="1" customWidth="1"/>
    <col min="13323" max="13325" width="12.7109375" style="258" customWidth="1"/>
    <col min="13326" max="13569" width="9.140625" style="258"/>
    <col min="13570" max="13575" width="4.85546875" style="258" customWidth="1"/>
    <col min="13576" max="13576" width="8.42578125" style="258" bestFit="1" customWidth="1"/>
    <col min="13577" max="13577" width="12.7109375" style="258" customWidth="1"/>
    <col min="13578" max="13578" width="15.42578125" style="258" bestFit="1" customWidth="1"/>
    <col min="13579" max="13581" width="12.7109375" style="258" customWidth="1"/>
    <col min="13582" max="13825" width="9.140625" style="258"/>
    <col min="13826" max="13831" width="4.85546875" style="258" customWidth="1"/>
    <col min="13832" max="13832" width="8.42578125" style="258" bestFit="1" customWidth="1"/>
    <col min="13833" max="13833" width="12.7109375" style="258" customWidth="1"/>
    <col min="13834" max="13834" width="15.42578125" style="258" bestFit="1" customWidth="1"/>
    <col min="13835" max="13837" width="12.7109375" style="258" customWidth="1"/>
    <col min="13838" max="14081" width="9.140625" style="258"/>
    <col min="14082" max="14087" width="4.85546875" style="258" customWidth="1"/>
    <col min="14088" max="14088" width="8.42578125" style="258" bestFit="1" customWidth="1"/>
    <col min="14089" max="14089" width="12.7109375" style="258" customWidth="1"/>
    <col min="14090" max="14090" width="15.42578125" style="258" bestFit="1" customWidth="1"/>
    <col min="14091" max="14093" width="12.7109375" style="258" customWidth="1"/>
    <col min="14094" max="14337" width="9.140625" style="258"/>
    <col min="14338" max="14343" width="4.85546875" style="258" customWidth="1"/>
    <col min="14344" max="14344" width="8.42578125" style="258" bestFit="1" customWidth="1"/>
    <col min="14345" max="14345" width="12.7109375" style="258" customWidth="1"/>
    <col min="14346" max="14346" width="15.42578125" style="258" bestFit="1" customWidth="1"/>
    <col min="14347" max="14349" width="12.7109375" style="258" customWidth="1"/>
    <col min="14350" max="14593" width="9.140625" style="258"/>
    <col min="14594" max="14599" width="4.85546875" style="258" customWidth="1"/>
    <col min="14600" max="14600" width="8.42578125" style="258" bestFit="1" customWidth="1"/>
    <col min="14601" max="14601" width="12.7109375" style="258" customWidth="1"/>
    <col min="14602" max="14602" width="15.42578125" style="258" bestFit="1" customWidth="1"/>
    <col min="14603" max="14605" width="12.7109375" style="258" customWidth="1"/>
    <col min="14606" max="14849" width="9.140625" style="258"/>
    <col min="14850" max="14855" width="4.85546875" style="258" customWidth="1"/>
    <col min="14856" max="14856" width="8.42578125" style="258" bestFit="1" customWidth="1"/>
    <col min="14857" max="14857" width="12.7109375" style="258" customWidth="1"/>
    <col min="14858" max="14858" width="15.42578125" style="258" bestFit="1" customWidth="1"/>
    <col min="14859" max="14861" width="12.7109375" style="258" customWidth="1"/>
    <col min="14862" max="15105" width="9.140625" style="258"/>
    <col min="15106" max="15111" width="4.85546875" style="258" customWidth="1"/>
    <col min="15112" max="15112" width="8.42578125" style="258" bestFit="1" customWidth="1"/>
    <col min="15113" max="15113" width="12.7109375" style="258" customWidth="1"/>
    <col min="15114" max="15114" width="15.42578125" style="258" bestFit="1" customWidth="1"/>
    <col min="15115" max="15117" width="12.7109375" style="258" customWidth="1"/>
    <col min="15118" max="15361" width="9.140625" style="258"/>
    <col min="15362" max="15367" width="4.85546875" style="258" customWidth="1"/>
    <col min="15368" max="15368" width="8.42578125" style="258" bestFit="1" customWidth="1"/>
    <col min="15369" max="15369" width="12.7109375" style="258" customWidth="1"/>
    <col min="15370" max="15370" width="15.42578125" style="258" bestFit="1" customWidth="1"/>
    <col min="15371" max="15373" width="12.7109375" style="258" customWidth="1"/>
    <col min="15374" max="15617" width="9.140625" style="258"/>
    <col min="15618" max="15623" width="4.85546875" style="258" customWidth="1"/>
    <col min="15624" max="15624" width="8.42578125" style="258" bestFit="1" customWidth="1"/>
    <col min="15625" max="15625" width="12.7109375" style="258" customWidth="1"/>
    <col min="15626" max="15626" width="15.42578125" style="258" bestFit="1" customWidth="1"/>
    <col min="15627" max="15629" width="12.7109375" style="258" customWidth="1"/>
    <col min="15630" max="15873" width="9.140625" style="258"/>
    <col min="15874" max="15879" width="4.85546875" style="258" customWidth="1"/>
    <col min="15880" max="15880" width="8.42578125" style="258" bestFit="1" customWidth="1"/>
    <col min="15881" max="15881" width="12.7109375" style="258" customWidth="1"/>
    <col min="15882" max="15882" width="15.42578125" style="258" bestFit="1" customWidth="1"/>
    <col min="15883" max="15885" width="12.7109375" style="258" customWidth="1"/>
    <col min="15886" max="16129" width="9.140625" style="258"/>
    <col min="16130" max="16135" width="4.85546875" style="258" customWidth="1"/>
    <col min="16136" max="16136" width="8.42578125" style="258" bestFit="1" customWidth="1"/>
    <col min="16137" max="16137" width="12.7109375" style="258" customWidth="1"/>
    <col min="16138" max="16138" width="15.42578125" style="258" bestFit="1" customWidth="1"/>
    <col min="16139" max="16141" width="12.7109375" style="258" customWidth="1"/>
    <col min="16142" max="16384" width="9.140625" style="258"/>
  </cols>
  <sheetData>
    <row r="1" spans="1:13" ht="33" customHeight="1">
      <c r="A1" s="497"/>
      <c r="B1" s="497"/>
      <c r="C1" s="497"/>
      <c r="D1" s="497" t="s">
        <v>297</v>
      </c>
      <c r="E1" s="497"/>
      <c r="F1" s="497"/>
      <c r="G1" s="497"/>
      <c r="H1" s="497"/>
      <c r="I1" s="497"/>
      <c r="J1" s="497"/>
      <c r="K1" s="497"/>
      <c r="L1" s="497"/>
      <c r="M1" s="497"/>
    </row>
    <row r="2" spans="1:13" ht="12.75" customHeight="1">
      <c r="A2" s="497"/>
      <c r="B2" s="497"/>
      <c r="C2" s="497"/>
      <c r="D2" s="498" t="str">
        <f>PAVIM.!G2</f>
        <v>PREFEITURA MUNICIPAL DE MARACAJÁ</v>
      </c>
      <c r="E2" s="498"/>
      <c r="F2" s="498"/>
      <c r="G2" s="498"/>
      <c r="H2" s="498"/>
      <c r="I2" s="489" t="str">
        <f>PAVIM.!I2</f>
        <v>BAIRRO: VILA BEATRIZ</v>
      </c>
      <c r="J2" s="489"/>
      <c r="K2" s="489"/>
      <c r="L2" s="268" t="str">
        <f>PAVIM.!K2</f>
        <v>MUNICIPIO: MARACAJÁ</v>
      </c>
      <c r="M2" s="272" t="str">
        <f>PAVIM.!M2</f>
        <v>ESTADO: SANTA CATARINA</v>
      </c>
    </row>
    <row r="3" spans="1:13" ht="12.75" customHeight="1">
      <c r="A3" s="497"/>
      <c r="B3" s="497"/>
      <c r="C3" s="497"/>
      <c r="D3" s="488" t="str">
        <f>PAVIM.!G3</f>
        <v>RUA ELONIR DA SILVEIRA NAZÁRIO</v>
      </c>
      <c r="E3" s="488"/>
      <c r="F3" s="488"/>
      <c r="G3" s="488"/>
      <c r="H3" s="488"/>
      <c r="I3" s="488"/>
      <c r="J3" s="488"/>
      <c r="K3" s="488"/>
      <c r="L3" s="488"/>
      <c r="M3" s="272" t="str">
        <f ca="1">PAVIM.!M3</f>
        <v>DATA: 28/04/26</v>
      </c>
    </row>
    <row r="4" spans="1:13" ht="12.75" customHeight="1">
      <c r="A4" s="286"/>
      <c r="B4" s="259"/>
      <c r="C4" s="259"/>
      <c r="D4" s="259"/>
      <c r="E4" s="259"/>
      <c r="F4" s="259"/>
      <c r="G4" s="259"/>
      <c r="H4" s="259"/>
      <c r="I4" s="259"/>
      <c r="J4" s="260"/>
      <c r="K4" s="260"/>
      <c r="L4" s="260"/>
      <c r="M4" s="287"/>
    </row>
    <row r="5" spans="1:13">
      <c r="A5" s="496" t="s">
        <v>89</v>
      </c>
      <c r="B5" s="496"/>
      <c r="C5" s="496"/>
      <c r="D5" s="496"/>
      <c r="E5" s="496"/>
      <c r="F5" s="496"/>
      <c r="G5" s="496"/>
      <c r="H5" s="496"/>
      <c r="I5" s="496"/>
      <c r="J5" s="496"/>
      <c r="K5" s="496"/>
      <c r="L5" s="496"/>
      <c r="M5" s="496"/>
    </row>
    <row r="6" spans="1:13" ht="13.5" customHeight="1">
      <c r="A6" s="496" t="s">
        <v>97</v>
      </c>
      <c r="B6" s="496"/>
      <c r="C6" s="496"/>
      <c r="D6" s="496" t="s">
        <v>25</v>
      </c>
      <c r="E6" s="496"/>
      <c r="F6" s="496"/>
      <c r="G6" s="266" t="s">
        <v>272</v>
      </c>
      <c r="H6" s="267" t="s">
        <v>2</v>
      </c>
      <c r="I6" s="267" t="s">
        <v>27</v>
      </c>
      <c r="J6" s="267" t="s">
        <v>23</v>
      </c>
      <c r="K6" s="267" t="s">
        <v>93</v>
      </c>
      <c r="L6" s="267" t="s">
        <v>91</v>
      </c>
      <c r="M6" s="267" t="s">
        <v>90</v>
      </c>
    </row>
    <row r="7" spans="1:13" s="262" customFormat="1">
      <c r="A7" s="240">
        <f>PAVIM.!A47</f>
        <v>0</v>
      </c>
      <c r="B7" s="240" t="str">
        <f>PAVIM.!B7</f>
        <v>+</v>
      </c>
      <c r="C7" s="241">
        <f>PAVIM.!C7</f>
        <v>0</v>
      </c>
      <c r="D7" s="240">
        <v>7</v>
      </c>
      <c r="E7" s="240" t="str">
        <f>PAVIM.!E7</f>
        <v>+</v>
      </c>
      <c r="F7" s="241">
        <f>PAVIM.!F7</f>
        <v>17</v>
      </c>
      <c r="G7" s="265" t="str">
        <f>PAVIM.!G7</f>
        <v>RUA JOSÉ MARQUES</v>
      </c>
      <c r="H7" s="240">
        <v>1</v>
      </c>
      <c r="I7" s="261">
        <f t="shared" ref="I7:I16" si="0">D7*20+F7</f>
        <v>157</v>
      </c>
      <c r="J7" s="241">
        <v>0.1</v>
      </c>
      <c r="K7" s="240">
        <v>1</v>
      </c>
      <c r="L7" s="242" t="s">
        <v>287</v>
      </c>
      <c r="M7" s="285">
        <f t="shared" ref="M7:M16" si="1">TRUNC(H7*I7*J7*K7,2)</f>
        <v>15.7</v>
      </c>
    </row>
    <row r="8" spans="1:13" s="262" customFormat="1">
      <c r="A8" s="240">
        <f t="shared" ref="A8:G8" si="2">A7</f>
        <v>0</v>
      </c>
      <c r="B8" s="240" t="str">
        <f t="shared" si="2"/>
        <v>+</v>
      </c>
      <c r="C8" s="241">
        <f t="shared" si="2"/>
        <v>0</v>
      </c>
      <c r="D8" s="240">
        <f t="shared" si="2"/>
        <v>7</v>
      </c>
      <c r="E8" s="240" t="str">
        <f t="shared" si="2"/>
        <v>+</v>
      </c>
      <c r="F8" s="241">
        <f t="shared" si="2"/>
        <v>17</v>
      </c>
      <c r="G8" s="265" t="str">
        <f t="shared" si="2"/>
        <v>RUA JOSÉ MARQUES</v>
      </c>
      <c r="H8" s="240">
        <v>2</v>
      </c>
      <c r="I8" s="261">
        <f t="shared" si="0"/>
        <v>157</v>
      </c>
      <c r="J8" s="241">
        <v>0.1</v>
      </c>
      <c r="K8" s="240">
        <v>1</v>
      </c>
      <c r="L8" s="242" t="s">
        <v>302</v>
      </c>
      <c r="M8" s="285">
        <f t="shared" si="1"/>
        <v>31.4</v>
      </c>
    </row>
    <row r="9" spans="1:13" s="262" customFormat="1">
      <c r="A9" s="240" t="e">
        <f>PAVIM.!#REF!</f>
        <v>#REF!</v>
      </c>
      <c r="B9" s="240" t="str">
        <f>PAVIM.!B8</f>
        <v>+</v>
      </c>
      <c r="C9" s="241">
        <f>PAVIM.!C8</f>
        <v>0</v>
      </c>
      <c r="D9" s="240">
        <f>PAVIM.!D8</f>
        <v>3</v>
      </c>
      <c r="E9" s="240" t="str">
        <f>PAVIM.!E8</f>
        <v>+</v>
      </c>
      <c r="F9" s="241">
        <f>PAVIM.!F8</f>
        <v>10</v>
      </c>
      <c r="G9" s="345" t="str">
        <f>PAVIM.!G8</f>
        <v>RUA VEREADOR FLÁVIO ROCHA</v>
      </c>
      <c r="H9" s="240">
        <v>1</v>
      </c>
      <c r="I9" s="261">
        <f t="shared" si="0"/>
        <v>70</v>
      </c>
      <c r="J9" s="241">
        <v>0.1</v>
      </c>
      <c r="K9" s="240">
        <v>1</v>
      </c>
      <c r="L9" s="242" t="s">
        <v>287</v>
      </c>
      <c r="M9" s="285">
        <f t="shared" si="1"/>
        <v>7</v>
      </c>
    </row>
    <row r="10" spans="1:13" s="262" customFormat="1">
      <c r="A10" s="240" t="e">
        <f t="shared" ref="A10:G10" si="3">A9</f>
        <v>#REF!</v>
      </c>
      <c r="B10" s="240" t="str">
        <f t="shared" si="3"/>
        <v>+</v>
      </c>
      <c r="C10" s="241">
        <f t="shared" si="3"/>
        <v>0</v>
      </c>
      <c r="D10" s="240">
        <f t="shared" si="3"/>
        <v>3</v>
      </c>
      <c r="E10" s="240" t="str">
        <f t="shared" si="3"/>
        <v>+</v>
      </c>
      <c r="F10" s="241">
        <f t="shared" si="3"/>
        <v>10</v>
      </c>
      <c r="G10" s="345" t="str">
        <f t="shared" si="3"/>
        <v>RUA VEREADOR FLÁVIO ROCHA</v>
      </c>
      <c r="H10" s="240">
        <v>2</v>
      </c>
      <c r="I10" s="261">
        <f t="shared" si="0"/>
        <v>70</v>
      </c>
      <c r="J10" s="241">
        <v>0.1</v>
      </c>
      <c r="K10" s="240">
        <v>1</v>
      </c>
      <c r="L10" s="242" t="s">
        <v>302</v>
      </c>
      <c r="M10" s="285">
        <f t="shared" si="1"/>
        <v>14</v>
      </c>
    </row>
    <row r="11" spans="1:13" s="262" customFormat="1">
      <c r="A11" s="240">
        <f>PAVIM.!A48</f>
        <v>0</v>
      </c>
      <c r="B11" s="240" t="str">
        <f>PAVIM.!B48</f>
        <v>+</v>
      </c>
      <c r="C11" s="241">
        <f>PAVIM.!C48</f>
        <v>0</v>
      </c>
      <c r="D11" s="240">
        <f>PAVIM.!D48</f>
        <v>16</v>
      </c>
      <c r="E11" s="240" t="str">
        <f>PAVIM.!E48</f>
        <v>+</v>
      </c>
      <c r="F11" s="241">
        <f>PAVIM.!F48</f>
        <v>13</v>
      </c>
      <c r="G11" s="351" t="str">
        <f>PAVIM.!G48</f>
        <v>RUA VEREADOR FLÁVIO ROCHA</v>
      </c>
      <c r="H11" s="240">
        <v>1</v>
      </c>
      <c r="I11" s="261">
        <f t="shared" si="0"/>
        <v>333</v>
      </c>
      <c r="J11" s="241">
        <v>0.1</v>
      </c>
      <c r="K11" s="240">
        <v>1</v>
      </c>
      <c r="L11" s="242" t="s">
        <v>287</v>
      </c>
      <c r="M11" s="285">
        <f t="shared" si="1"/>
        <v>33.299999999999997</v>
      </c>
    </row>
    <row r="12" spans="1:13" s="262" customFormat="1">
      <c r="A12" s="240">
        <f t="shared" ref="A12:G12" si="4">A11</f>
        <v>0</v>
      </c>
      <c r="B12" s="240" t="str">
        <f t="shared" si="4"/>
        <v>+</v>
      </c>
      <c r="C12" s="241">
        <f t="shared" si="4"/>
        <v>0</v>
      </c>
      <c r="D12" s="240">
        <f t="shared" si="4"/>
        <v>16</v>
      </c>
      <c r="E12" s="240" t="str">
        <f t="shared" si="4"/>
        <v>+</v>
      </c>
      <c r="F12" s="241">
        <f t="shared" si="4"/>
        <v>13</v>
      </c>
      <c r="G12" s="351" t="str">
        <f t="shared" si="4"/>
        <v>RUA VEREADOR FLÁVIO ROCHA</v>
      </c>
      <c r="H12" s="240">
        <v>2</v>
      </c>
      <c r="I12" s="261">
        <f t="shared" si="0"/>
        <v>333</v>
      </c>
      <c r="J12" s="241">
        <v>0.1</v>
      </c>
      <c r="K12" s="240">
        <v>1</v>
      </c>
      <c r="L12" s="242" t="s">
        <v>302</v>
      </c>
      <c r="M12" s="285">
        <f t="shared" si="1"/>
        <v>66.599999999999994</v>
      </c>
    </row>
    <row r="13" spans="1:13" s="262" customFormat="1">
      <c r="A13" s="240">
        <f>PAVIM.!A50</f>
        <v>0</v>
      </c>
      <c r="B13" s="240" t="str">
        <f>PAVIM.!B50</f>
        <v>+</v>
      </c>
      <c r="C13" s="241">
        <f>PAVIM.!C50</f>
        <v>0</v>
      </c>
      <c r="D13" s="240">
        <f>PAVIM.!D50</f>
        <v>6</v>
      </c>
      <c r="E13" s="240" t="str">
        <f>PAVIM.!E50</f>
        <v>+</v>
      </c>
      <c r="F13" s="241">
        <f>PAVIM.!F50</f>
        <v>10</v>
      </c>
      <c r="G13" s="351" t="str">
        <f>PAVIM.!G50</f>
        <v>RUA 156</v>
      </c>
      <c r="H13" s="240">
        <v>1</v>
      </c>
      <c r="I13" s="261">
        <f t="shared" si="0"/>
        <v>130</v>
      </c>
      <c r="J13" s="241">
        <v>0.1</v>
      </c>
      <c r="K13" s="240">
        <v>1</v>
      </c>
      <c r="L13" s="242" t="s">
        <v>287</v>
      </c>
      <c r="M13" s="285">
        <f t="shared" si="1"/>
        <v>13</v>
      </c>
    </row>
    <row r="14" spans="1:13" s="262" customFormat="1">
      <c r="A14" s="240">
        <f>A13</f>
        <v>0</v>
      </c>
      <c r="B14" s="240" t="str">
        <f t="shared" ref="B14:F16" si="5">B13</f>
        <v>+</v>
      </c>
      <c r="C14" s="241">
        <f t="shared" si="5"/>
        <v>0</v>
      </c>
      <c r="D14" s="240">
        <f t="shared" si="5"/>
        <v>6</v>
      </c>
      <c r="E14" s="240" t="str">
        <f t="shared" si="5"/>
        <v>+</v>
      </c>
      <c r="F14" s="241">
        <f t="shared" si="5"/>
        <v>10</v>
      </c>
      <c r="G14" s="351" t="str">
        <f>G13</f>
        <v>RUA 156</v>
      </c>
      <c r="H14" s="240">
        <v>2</v>
      </c>
      <c r="I14" s="261">
        <f t="shared" si="0"/>
        <v>130</v>
      </c>
      <c r="J14" s="241">
        <v>0.1</v>
      </c>
      <c r="K14" s="240">
        <v>1</v>
      </c>
      <c r="L14" s="242" t="s">
        <v>302</v>
      </c>
      <c r="M14" s="285">
        <f t="shared" si="1"/>
        <v>26</v>
      </c>
    </row>
    <row r="15" spans="1:13" s="262" customFormat="1">
      <c r="A15" s="240">
        <f>PAVIM.!A51</f>
        <v>0</v>
      </c>
      <c r="B15" s="240" t="str">
        <f>PAVIM.!B51</f>
        <v>+</v>
      </c>
      <c r="C15" s="241">
        <f>PAVIM.!C51</f>
        <v>0</v>
      </c>
      <c r="D15" s="240">
        <f>PAVIM.!D51</f>
        <v>4</v>
      </c>
      <c r="E15" s="240" t="str">
        <f>PAVIM.!E51</f>
        <v>+</v>
      </c>
      <c r="F15" s="241">
        <f>PAVIM.!F51</f>
        <v>10</v>
      </c>
      <c r="G15" s="351" t="str">
        <f>PAVIM.!G51</f>
        <v>RUA CRICIÚMA</v>
      </c>
      <c r="H15" s="240">
        <v>1</v>
      </c>
      <c r="I15" s="261">
        <f t="shared" si="0"/>
        <v>90</v>
      </c>
      <c r="J15" s="241">
        <v>0.1</v>
      </c>
      <c r="K15" s="240">
        <v>1</v>
      </c>
      <c r="L15" s="242" t="s">
        <v>287</v>
      </c>
      <c r="M15" s="285">
        <f t="shared" si="1"/>
        <v>9</v>
      </c>
    </row>
    <row r="16" spans="1:13" s="262" customFormat="1">
      <c r="A16" s="240">
        <f>A15</f>
        <v>0</v>
      </c>
      <c r="B16" s="240" t="str">
        <f t="shared" si="5"/>
        <v>+</v>
      </c>
      <c r="C16" s="241">
        <f t="shared" si="5"/>
        <v>0</v>
      </c>
      <c r="D16" s="240">
        <f t="shared" si="5"/>
        <v>4</v>
      </c>
      <c r="E16" s="240" t="str">
        <f t="shared" si="5"/>
        <v>+</v>
      </c>
      <c r="F16" s="241">
        <f t="shared" si="5"/>
        <v>10</v>
      </c>
      <c r="G16" s="351" t="str">
        <f>G15</f>
        <v>RUA CRICIÚMA</v>
      </c>
      <c r="H16" s="240">
        <v>2</v>
      </c>
      <c r="I16" s="261">
        <f t="shared" si="0"/>
        <v>90</v>
      </c>
      <c r="J16" s="241">
        <v>0.1</v>
      </c>
      <c r="K16" s="240">
        <v>1</v>
      </c>
      <c r="L16" s="242" t="s">
        <v>302</v>
      </c>
      <c r="M16" s="285">
        <f t="shared" si="1"/>
        <v>18</v>
      </c>
    </row>
    <row r="17" spans="1:15" s="21" customFormat="1" ht="13.5" customHeight="1">
      <c r="A17" s="492" t="s">
        <v>13</v>
      </c>
      <c r="B17" s="492"/>
      <c r="C17" s="492"/>
      <c r="D17" s="492"/>
      <c r="E17" s="492"/>
      <c r="F17" s="492"/>
      <c r="G17" s="492"/>
      <c r="H17" s="492"/>
      <c r="I17" s="492"/>
      <c r="J17" s="492"/>
      <c r="K17" s="492"/>
      <c r="L17" s="492"/>
      <c r="M17" s="229">
        <f>SUM(M7:M16)</f>
        <v>234</v>
      </c>
      <c r="O17" s="263"/>
    </row>
    <row r="18" spans="1:15" s="262" customFormat="1">
      <c r="A18" s="286"/>
      <c r="B18" s="259"/>
      <c r="C18" s="259"/>
      <c r="D18" s="259"/>
      <c r="E18" s="259"/>
      <c r="F18" s="259"/>
      <c r="G18" s="259"/>
      <c r="H18" s="259"/>
      <c r="I18" s="259"/>
      <c r="J18" s="260"/>
      <c r="K18" s="260"/>
      <c r="L18" s="260"/>
      <c r="M18" s="287"/>
    </row>
    <row r="19" spans="1:15">
      <c r="A19" s="496" t="s">
        <v>315</v>
      </c>
      <c r="B19" s="496"/>
      <c r="C19" s="496"/>
      <c r="D19" s="496"/>
      <c r="E19" s="496"/>
      <c r="F19" s="496"/>
      <c r="G19" s="496"/>
      <c r="H19" s="496"/>
      <c r="I19" s="496"/>
      <c r="J19" s="496"/>
      <c r="K19" s="496"/>
      <c r="L19" s="496"/>
      <c r="M19" s="496"/>
    </row>
    <row r="20" spans="1:15" ht="13.5" customHeight="1">
      <c r="A20" s="496" t="s">
        <v>97</v>
      </c>
      <c r="B20" s="496"/>
      <c r="C20" s="496"/>
      <c r="D20" s="496" t="s">
        <v>25</v>
      </c>
      <c r="E20" s="496"/>
      <c r="F20" s="496"/>
      <c r="G20" s="348" t="s">
        <v>272</v>
      </c>
      <c r="H20" s="349" t="s">
        <v>2</v>
      </c>
      <c r="I20" s="349" t="s">
        <v>27</v>
      </c>
      <c r="J20" s="349" t="s">
        <v>23</v>
      </c>
      <c r="K20" s="349" t="s">
        <v>93</v>
      </c>
      <c r="L20" s="349" t="s">
        <v>91</v>
      </c>
      <c r="M20" s="349" t="s">
        <v>90</v>
      </c>
    </row>
    <row r="21" spans="1:15" s="262" customFormat="1">
      <c r="A21" s="240">
        <f>A7</f>
        <v>0</v>
      </c>
      <c r="B21" s="240" t="str">
        <f t="shared" ref="B21:G21" si="6">B7</f>
        <v>+</v>
      </c>
      <c r="C21" s="241">
        <f t="shared" si="6"/>
        <v>0</v>
      </c>
      <c r="D21" s="240">
        <f t="shared" si="6"/>
        <v>7</v>
      </c>
      <c r="E21" s="240" t="str">
        <f t="shared" si="6"/>
        <v>+</v>
      </c>
      <c r="F21" s="241">
        <f t="shared" si="6"/>
        <v>17</v>
      </c>
      <c r="G21" s="335" t="str">
        <f t="shared" si="6"/>
        <v>RUA JOSÉ MARQUES</v>
      </c>
      <c r="H21" s="240">
        <v>1</v>
      </c>
      <c r="I21" s="261">
        <v>3</v>
      </c>
      <c r="J21" s="241">
        <v>0.3</v>
      </c>
      <c r="K21" s="240">
        <v>9</v>
      </c>
      <c r="L21" s="242" t="s">
        <v>312</v>
      </c>
      <c r="M21" s="285">
        <f t="shared" ref="M21:M30" si="7">TRUNC(H21*I21*J21*K21,2)</f>
        <v>8.1</v>
      </c>
    </row>
    <row r="22" spans="1:15" s="262" customFormat="1">
      <c r="A22" s="240">
        <f t="shared" ref="A22:G22" si="8">A21</f>
        <v>0</v>
      </c>
      <c r="B22" s="240" t="str">
        <f t="shared" si="8"/>
        <v>+</v>
      </c>
      <c r="C22" s="241">
        <f t="shared" si="8"/>
        <v>0</v>
      </c>
      <c r="D22" s="240">
        <f t="shared" si="8"/>
        <v>7</v>
      </c>
      <c r="E22" s="240" t="str">
        <f t="shared" si="8"/>
        <v>+</v>
      </c>
      <c r="F22" s="241">
        <f t="shared" si="8"/>
        <v>17</v>
      </c>
      <c r="G22" s="345" t="str">
        <f t="shared" si="8"/>
        <v>RUA JOSÉ MARQUES</v>
      </c>
      <c r="H22" s="240">
        <v>1</v>
      </c>
      <c r="I22" s="261">
        <v>4</v>
      </c>
      <c r="J22" s="241">
        <v>0.3</v>
      </c>
      <c r="K22" s="240">
        <v>2</v>
      </c>
      <c r="L22" s="242" t="s">
        <v>313</v>
      </c>
      <c r="M22" s="285">
        <f t="shared" si="7"/>
        <v>2.4</v>
      </c>
    </row>
    <row r="23" spans="1:15" s="262" customFormat="1">
      <c r="A23" s="240" t="e">
        <f>A9</f>
        <v>#REF!</v>
      </c>
      <c r="B23" s="240" t="str">
        <f t="shared" ref="B23:G23" si="9">B9</f>
        <v>+</v>
      </c>
      <c r="C23" s="241">
        <f t="shared" si="9"/>
        <v>0</v>
      </c>
      <c r="D23" s="240">
        <f t="shared" si="9"/>
        <v>3</v>
      </c>
      <c r="E23" s="240" t="str">
        <f t="shared" si="9"/>
        <v>+</v>
      </c>
      <c r="F23" s="241">
        <f t="shared" si="9"/>
        <v>10</v>
      </c>
      <c r="G23" s="351" t="str">
        <f t="shared" si="9"/>
        <v>RUA VEREADOR FLÁVIO ROCHA</v>
      </c>
      <c r="H23" s="240">
        <v>5</v>
      </c>
      <c r="I23" s="261">
        <v>3</v>
      </c>
      <c r="J23" s="241">
        <v>0.3</v>
      </c>
      <c r="K23" s="240">
        <v>9</v>
      </c>
      <c r="L23" s="242" t="s">
        <v>312</v>
      </c>
      <c r="M23" s="285">
        <f t="shared" si="7"/>
        <v>40.5</v>
      </c>
    </row>
    <row r="24" spans="1:15" s="262" customFormat="1">
      <c r="A24" s="240" t="e">
        <f t="shared" ref="A24:G24" si="10">A23</f>
        <v>#REF!</v>
      </c>
      <c r="B24" s="240" t="str">
        <f t="shared" si="10"/>
        <v>+</v>
      </c>
      <c r="C24" s="241">
        <f t="shared" si="10"/>
        <v>0</v>
      </c>
      <c r="D24" s="240">
        <f t="shared" si="10"/>
        <v>3</v>
      </c>
      <c r="E24" s="240" t="str">
        <f t="shared" si="10"/>
        <v>+</v>
      </c>
      <c r="F24" s="241">
        <f t="shared" si="10"/>
        <v>10</v>
      </c>
      <c r="G24" s="351" t="str">
        <f t="shared" si="10"/>
        <v>RUA VEREADOR FLÁVIO ROCHA</v>
      </c>
      <c r="H24" s="240">
        <v>5</v>
      </c>
      <c r="I24" s="261">
        <v>3.5</v>
      </c>
      <c r="J24" s="241">
        <v>0.3</v>
      </c>
      <c r="K24" s="240">
        <v>2</v>
      </c>
      <c r="L24" s="242" t="s">
        <v>313</v>
      </c>
      <c r="M24" s="285">
        <f t="shared" si="7"/>
        <v>10.5</v>
      </c>
    </row>
    <row r="25" spans="1:15" s="262" customFormat="1">
      <c r="A25" s="240">
        <f>A11</f>
        <v>0</v>
      </c>
      <c r="B25" s="240" t="str">
        <f t="shared" ref="B25:G25" si="11">B11</f>
        <v>+</v>
      </c>
      <c r="C25" s="241">
        <f t="shared" si="11"/>
        <v>0</v>
      </c>
      <c r="D25" s="240">
        <f t="shared" si="11"/>
        <v>16</v>
      </c>
      <c r="E25" s="240" t="str">
        <f t="shared" si="11"/>
        <v>+</v>
      </c>
      <c r="F25" s="241">
        <f t="shared" si="11"/>
        <v>13</v>
      </c>
      <c r="G25" s="351" t="str">
        <f t="shared" si="11"/>
        <v>RUA VEREADOR FLÁVIO ROCHA</v>
      </c>
      <c r="H25" s="240">
        <v>5</v>
      </c>
      <c r="I25" s="261">
        <v>3</v>
      </c>
      <c r="J25" s="241">
        <v>0.3</v>
      </c>
      <c r="K25" s="240">
        <v>9</v>
      </c>
      <c r="L25" s="242" t="s">
        <v>312</v>
      </c>
      <c r="M25" s="285">
        <f t="shared" si="7"/>
        <v>40.5</v>
      </c>
    </row>
    <row r="26" spans="1:15" s="262" customFormat="1">
      <c r="A26" s="240">
        <f t="shared" ref="A26:G26" si="12">A25</f>
        <v>0</v>
      </c>
      <c r="B26" s="240" t="str">
        <f t="shared" si="12"/>
        <v>+</v>
      </c>
      <c r="C26" s="241">
        <f t="shared" si="12"/>
        <v>0</v>
      </c>
      <c r="D26" s="240">
        <f t="shared" si="12"/>
        <v>16</v>
      </c>
      <c r="E26" s="240" t="str">
        <f t="shared" si="12"/>
        <v>+</v>
      </c>
      <c r="F26" s="241">
        <f t="shared" si="12"/>
        <v>13</v>
      </c>
      <c r="G26" s="351" t="str">
        <f t="shared" si="12"/>
        <v>RUA VEREADOR FLÁVIO ROCHA</v>
      </c>
      <c r="H26" s="240">
        <v>5</v>
      </c>
      <c r="I26" s="261">
        <v>3.5</v>
      </c>
      <c r="J26" s="241">
        <v>0.3</v>
      </c>
      <c r="K26" s="240">
        <v>2</v>
      </c>
      <c r="L26" s="242" t="s">
        <v>313</v>
      </c>
      <c r="M26" s="285">
        <f t="shared" si="7"/>
        <v>10.5</v>
      </c>
    </row>
    <row r="27" spans="1:15" s="262" customFormat="1">
      <c r="A27" s="240">
        <f>A13</f>
        <v>0</v>
      </c>
      <c r="B27" s="240" t="str">
        <f t="shared" ref="B27:G27" si="13">B13</f>
        <v>+</v>
      </c>
      <c r="C27" s="241">
        <f t="shared" si="13"/>
        <v>0</v>
      </c>
      <c r="D27" s="240">
        <f t="shared" si="13"/>
        <v>6</v>
      </c>
      <c r="E27" s="240" t="str">
        <f t="shared" si="13"/>
        <v>+</v>
      </c>
      <c r="F27" s="241">
        <f t="shared" si="13"/>
        <v>10</v>
      </c>
      <c r="G27" s="351" t="str">
        <f t="shared" si="13"/>
        <v>RUA 156</v>
      </c>
      <c r="H27" s="240">
        <v>2</v>
      </c>
      <c r="I27" s="261">
        <v>3</v>
      </c>
      <c r="J27" s="241">
        <v>0.3</v>
      </c>
      <c r="K27" s="240">
        <v>9</v>
      </c>
      <c r="L27" s="242" t="s">
        <v>312</v>
      </c>
      <c r="M27" s="285">
        <f t="shared" si="7"/>
        <v>16.2</v>
      </c>
    </row>
    <row r="28" spans="1:15" s="262" customFormat="1">
      <c r="A28" s="240">
        <f t="shared" ref="A28:G28" si="14">A27</f>
        <v>0</v>
      </c>
      <c r="B28" s="240" t="str">
        <f t="shared" si="14"/>
        <v>+</v>
      </c>
      <c r="C28" s="241">
        <f t="shared" si="14"/>
        <v>0</v>
      </c>
      <c r="D28" s="240">
        <f t="shared" si="14"/>
        <v>6</v>
      </c>
      <c r="E28" s="240" t="str">
        <f t="shared" si="14"/>
        <v>+</v>
      </c>
      <c r="F28" s="241">
        <f t="shared" si="14"/>
        <v>10</v>
      </c>
      <c r="G28" s="351" t="str">
        <f t="shared" si="14"/>
        <v>RUA 156</v>
      </c>
      <c r="H28" s="240">
        <v>2</v>
      </c>
      <c r="I28" s="261">
        <v>4</v>
      </c>
      <c r="J28" s="241">
        <v>0.3</v>
      </c>
      <c r="K28" s="240">
        <v>2</v>
      </c>
      <c r="L28" s="242" t="s">
        <v>313</v>
      </c>
      <c r="M28" s="285">
        <f t="shared" si="7"/>
        <v>4.8</v>
      </c>
    </row>
    <row r="29" spans="1:15" s="262" customFormat="1">
      <c r="A29" s="240">
        <f>A15</f>
        <v>0</v>
      </c>
      <c r="B29" s="240" t="str">
        <f t="shared" ref="B29:G29" si="15">B15</f>
        <v>+</v>
      </c>
      <c r="C29" s="241">
        <f t="shared" si="15"/>
        <v>0</v>
      </c>
      <c r="D29" s="240">
        <f t="shared" si="15"/>
        <v>4</v>
      </c>
      <c r="E29" s="240" t="str">
        <f t="shared" si="15"/>
        <v>+</v>
      </c>
      <c r="F29" s="241">
        <f t="shared" si="15"/>
        <v>10</v>
      </c>
      <c r="G29" s="351" t="str">
        <f t="shared" si="15"/>
        <v>RUA CRICIÚMA</v>
      </c>
      <c r="H29" s="240">
        <v>1</v>
      </c>
      <c r="I29" s="261">
        <v>3</v>
      </c>
      <c r="J29" s="241">
        <v>0.3</v>
      </c>
      <c r="K29" s="240">
        <v>9</v>
      </c>
      <c r="L29" s="242" t="s">
        <v>312</v>
      </c>
      <c r="M29" s="285">
        <f t="shared" si="7"/>
        <v>8.1</v>
      </c>
    </row>
    <row r="30" spans="1:15" s="262" customFormat="1">
      <c r="A30" s="240">
        <f t="shared" ref="A30:G30" si="16">A29</f>
        <v>0</v>
      </c>
      <c r="B30" s="240" t="str">
        <f t="shared" si="16"/>
        <v>+</v>
      </c>
      <c r="C30" s="241">
        <f t="shared" si="16"/>
        <v>0</v>
      </c>
      <c r="D30" s="240">
        <f t="shared" si="16"/>
        <v>4</v>
      </c>
      <c r="E30" s="240" t="str">
        <f t="shared" si="16"/>
        <v>+</v>
      </c>
      <c r="F30" s="241">
        <f t="shared" si="16"/>
        <v>10</v>
      </c>
      <c r="G30" s="351" t="str">
        <f t="shared" si="16"/>
        <v>RUA CRICIÚMA</v>
      </c>
      <c r="H30" s="240">
        <v>1</v>
      </c>
      <c r="I30" s="261">
        <v>4</v>
      </c>
      <c r="J30" s="241">
        <v>0.3</v>
      </c>
      <c r="K30" s="240">
        <v>2</v>
      </c>
      <c r="L30" s="242" t="s">
        <v>313</v>
      </c>
      <c r="M30" s="285">
        <f t="shared" si="7"/>
        <v>2.4</v>
      </c>
    </row>
    <row r="31" spans="1:15" s="21" customFormat="1" ht="13.5" customHeight="1">
      <c r="A31" s="492" t="s">
        <v>13</v>
      </c>
      <c r="B31" s="492"/>
      <c r="C31" s="492"/>
      <c r="D31" s="492"/>
      <c r="E31" s="492"/>
      <c r="F31" s="492"/>
      <c r="G31" s="492"/>
      <c r="H31" s="492"/>
      <c r="I31" s="492"/>
      <c r="J31" s="492"/>
      <c r="K31" s="492"/>
      <c r="L31" s="492"/>
      <c r="M31" s="229">
        <f>SUM(M21:M28)</f>
        <v>133.5</v>
      </c>
      <c r="O31" s="263"/>
    </row>
    <row r="32" spans="1:15" s="262" customFormat="1">
      <c r="A32" s="286"/>
      <c r="B32" s="259"/>
      <c r="C32" s="259"/>
      <c r="D32" s="259"/>
      <c r="E32" s="259"/>
      <c r="F32" s="259"/>
      <c r="G32" s="259"/>
      <c r="H32" s="259"/>
      <c r="I32" s="259"/>
      <c r="J32" s="260"/>
      <c r="K32" s="260"/>
      <c r="L32" s="260"/>
      <c r="M32" s="287"/>
    </row>
    <row r="33" spans="1:15" s="262" customFormat="1">
      <c r="A33" s="496" t="s">
        <v>96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</row>
    <row r="34" spans="1:15" s="262" customFormat="1">
      <c r="A34" s="496" t="s">
        <v>97</v>
      </c>
      <c r="B34" s="496"/>
      <c r="C34" s="496"/>
      <c r="D34" s="496" t="s">
        <v>25</v>
      </c>
      <c r="E34" s="496"/>
      <c r="F34" s="496"/>
      <c r="G34" s="266" t="s">
        <v>272</v>
      </c>
      <c r="H34" s="267" t="s">
        <v>2</v>
      </c>
      <c r="I34" s="267" t="s">
        <v>27</v>
      </c>
      <c r="J34" s="267" t="s">
        <v>23</v>
      </c>
      <c r="K34" s="267" t="s">
        <v>87</v>
      </c>
      <c r="L34" s="267" t="s">
        <v>91</v>
      </c>
      <c r="M34" s="267" t="s">
        <v>92</v>
      </c>
    </row>
    <row r="35" spans="1:15" s="262" customFormat="1">
      <c r="A35" s="240" t="e">
        <f>A23</f>
        <v>#REF!</v>
      </c>
      <c r="B35" s="240" t="str">
        <f t="shared" ref="B35:G35" si="17">B23</f>
        <v>+</v>
      </c>
      <c r="C35" s="241">
        <f t="shared" si="17"/>
        <v>0</v>
      </c>
      <c r="D35" s="240">
        <f t="shared" si="17"/>
        <v>3</v>
      </c>
      <c r="E35" s="240" t="str">
        <f t="shared" si="17"/>
        <v>+</v>
      </c>
      <c r="F35" s="241">
        <f t="shared" si="17"/>
        <v>10</v>
      </c>
      <c r="G35" s="265" t="str">
        <f t="shared" si="17"/>
        <v>RUA VEREADOR FLÁVIO ROCHA</v>
      </c>
      <c r="H35" s="243">
        <v>4</v>
      </c>
      <c r="I35" s="241">
        <v>0.6</v>
      </c>
      <c r="J35" s="241">
        <v>0.6</v>
      </c>
      <c r="K35" s="265" t="s">
        <v>28</v>
      </c>
      <c r="L35" s="242" t="s">
        <v>314</v>
      </c>
      <c r="M35" s="284">
        <f>H35</f>
        <v>4</v>
      </c>
    </row>
    <row r="36" spans="1:15" s="262" customFormat="1">
      <c r="A36" s="240">
        <f>A27</f>
        <v>0</v>
      </c>
      <c r="B36" s="240" t="str">
        <f t="shared" ref="B36:G36" si="18">B27</f>
        <v>+</v>
      </c>
      <c r="C36" s="241">
        <f t="shared" si="18"/>
        <v>0</v>
      </c>
      <c r="D36" s="240">
        <f t="shared" si="18"/>
        <v>6</v>
      </c>
      <c r="E36" s="240" t="str">
        <f t="shared" si="18"/>
        <v>+</v>
      </c>
      <c r="F36" s="241">
        <f t="shared" si="18"/>
        <v>10</v>
      </c>
      <c r="G36" s="334" t="str">
        <f t="shared" si="18"/>
        <v>RUA 156</v>
      </c>
      <c r="H36" s="243">
        <v>2</v>
      </c>
      <c r="I36" s="241">
        <v>0.6</v>
      </c>
      <c r="J36" s="241">
        <v>0.6</v>
      </c>
      <c r="K36" s="334" t="s">
        <v>85</v>
      </c>
      <c r="L36" s="242" t="s">
        <v>314</v>
      </c>
      <c r="M36" s="284">
        <f>H36</f>
        <v>2</v>
      </c>
    </row>
    <row r="37" spans="1:15" s="21" customFormat="1" ht="13.5" customHeight="1">
      <c r="A37" s="492" t="s">
        <v>13</v>
      </c>
      <c r="B37" s="492"/>
      <c r="C37" s="492"/>
      <c r="D37" s="492"/>
      <c r="E37" s="492"/>
      <c r="F37" s="492"/>
      <c r="G37" s="492"/>
      <c r="H37" s="492"/>
      <c r="I37" s="492"/>
      <c r="J37" s="492"/>
      <c r="K37" s="492"/>
      <c r="L37" s="492"/>
      <c r="M37" s="310">
        <f>SUM(M35:M36)</f>
        <v>6</v>
      </c>
      <c r="O37" s="263"/>
    </row>
    <row r="38" spans="1:15" s="262" customFormat="1">
      <c r="A38" s="286"/>
      <c r="B38" s="259"/>
      <c r="C38" s="259"/>
      <c r="D38" s="259"/>
      <c r="E38" s="259"/>
      <c r="F38" s="259"/>
      <c r="G38" s="259"/>
      <c r="H38" s="259"/>
      <c r="I38" s="259"/>
      <c r="J38" s="260"/>
      <c r="K38" s="260"/>
      <c r="L38" s="260"/>
      <c r="M38" s="287"/>
    </row>
    <row r="39" spans="1:15" s="262" customFormat="1">
      <c r="A39" s="496" t="s">
        <v>153</v>
      </c>
      <c r="B39" s="496"/>
      <c r="C39" s="496"/>
      <c r="D39" s="496"/>
      <c r="E39" s="496"/>
      <c r="F39" s="496"/>
      <c r="G39" s="496"/>
      <c r="H39" s="496"/>
      <c r="I39" s="496"/>
      <c r="J39" s="496"/>
      <c r="K39" s="496"/>
      <c r="L39" s="496"/>
      <c r="M39" s="496"/>
    </row>
    <row r="40" spans="1:15" s="262" customFormat="1">
      <c r="A40" s="496" t="s">
        <v>97</v>
      </c>
      <c r="B40" s="496"/>
      <c r="C40" s="496"/>
      <c r="D40" s="496" t="s">
        <v>25</v>
      </c>
      <c r="E40" s="496"/>
      <c r="F40" s="496"/>
      <c r="G40" s="266" t="s">
        <v>272</v>
      </c>
      <c r="H40" s="267" t="s">
        <v>2</v>
      </c>
      <c r="I40" s="267" t="s">
        <v>27</v>
      </c>
      <c r="J40" s="267" t="s">
        <v>23</v>
      </c>
      <c r="K40" s="267" t="s">
        <v>87</v>
      </c>
      <c r="L40" s="267" t="s">
        <v>91</v>
      </c>
      <c r="M40" s="267" t="s">
        <v>92</v>
      </c>
    </row>
    <row r="41" spans="1:15" s="262" customFormat="1">
      <c r="A41" s="240" t="e">
        <f>A35</f>
        <v>#REF!</v>
      </c>
      <c r="B41" s="240" t="str">
        <f t="shared" ref="B41:G41" si="19">B35</f>
        <v>+</v>
      </c>
      <c r="C41" s="241">
        <f t="shared" si="19"/>
        <v>0</v>
      </c>
      <c r="D41" s="240">
        <f t="shared" si="19"/>
        <v>3</v>
      </c>
      <c r="E41" s="240" t="str">
        <f t="shared" si="19"/>
        <v>+</v>
      </c>
      <c r="F41" s="241">
        <f t="shared" si="19"/>
        <v>10</v>
      </c>
      <c r="G41" s="265" t="str">
        <f t="shared" si="19"/>
        <v>RUA VEREADOR FLÁVIO ROCHA</v>
      </c>
      <c r="H41" s="240">
        <v>1</v>
      </c>
      <c r="I41" s="240">
        <v>2</v>
      </c>
      <c r="J41" s="240">
        <v>1</v>
      </c>
      <c r="K41" s="265" t="s">
        <v>86</v>
      </c>
      <c r="L41" s="242" t="s">
        <v>150</v>
      </c>
      <c r="M41" s="284">
        <v>1</v>
      </c>
    </row>
    <row r="42" spans="1:15" s="262" customFormat="1">
      <c r="A42" s="492" t="s">
        <v>13</v>
      </c>
      <c r="B42" s="492"/>
      <c r="C42" s="492"/>
      <c r="D42" s="492"/>
      <c r="E42" s="492"/>
      <c r="F42" s="492"/>
      <c r="G42" s="492"/>
      <c r="H42" s="492"/>
      <c r="I42" s="492"/>
      <c r="J42" s="492"/>
      <c r="K42" s="492"/>
      <c r="L42" s="492"/>
      <c r="M42" s="284">
        <f>SUM(M41:M41)</f>
        <v>1</v>
      </c>
    </row>
    <row r="43" spans="1:15">
      <c r="A43" s="283"/>
      <c r="B43" s="283"/>
      <c r="C43" s="283"/>
      <c r="D43" s="283"/>
      <c r="E43" s="283"/>
      <c r="F43" s="283"/>
      <c r="G43" s="283"/>
      <c r="H43" s="283"/>
      <c r="I43" s="283"/>
      <c r="J43" s="283"/>
      <c r="K43" s="283"/>
      <c r="L43" s="283"/>
      <c r="M43" s="283"/>
    </row>
    <row r="44" spans="1:15" s="262" customFormat="1">
      <c r="A44" s="496" t="s">
        <v>153</v>
      </c>
      <c r="B44" s="496"/>
      <c r="C44" s="496"/>
      <c r="D44" s="496"/>
      <c r="E44" s="496"/>
      <c r="F44" s="496"/>
      <c r="G44" s="496"/>
      <c r="H44" s="496"/>
      <c r="I44" s="496"/>
      <c r="J44" s="496"/>
      <c r="K44" s="496"/>
      <c r="L44" s="496"/>
      <c r="M44" s="496"/>
    </row>
    <row r="45" spans="1:15" s="262" customFormat="1">
      <c r="A45" s="496" t="s">
        <v>97</v>
      </c>
      <c r="B45" s="496"/>
      <c r="C45" s="496"/>
      <c r="D45" s="496" t="s">
        <v>25</v>
      </c>
      <c r="E45" s="496"/>
      <c r="F45" s="496"/>
      <c r="G45" s="341" t="s">
        <v>272</v>
      </c>
      <c r="H45" s="342" t="s">
        <v>2</v>
      </c>
      <c r="I45" s="342" t="s">
        <v>27</v>
      </c>
      <c r="J45" s="342" t="s">
        <v>309</v>
      </c>
      <c r="K45" s="342" t="s">
        <v>87</v>
      </c>
      <c r="L45" s="342" t="s">
        <v>91</v>
      </c>
      <c r="M45" s="342" t="s">
        <v>92</v>
      </c>
    </row>
    <row r="46" spans="1:15" s="262" customFormat="1">
      <c r="A46" s="240" t="e">
        <f>A35</f>
        <v>#REF!</v>
      </c>
      <c r="B46" s="240" t="str">
        <f t="shared" ref="B46:H46" si="20">B35</f>
        <v>+</v>
      </c>
      <c r="C46" s="241">
        <f t="shared" si="20"/>
        <v>0</v>
      </c>
      <c r="D46" s="240">
        <f t="shared" si="20"/>
        <v>3</v>
      </c>
      <c r="E46" s="240" t="str">
        <f t="shared" si="20"/>
        <v>+</v>
      </c>
      <c r="F46" s="241">
        <f t="shared" si="20"/>
        <v>10</v>
      </c>
      <c r="G46" s="340" t="str">
        <f t="shared" si="20"/>
        <v>RUA VEREADOR FLÁVIO ROCHA</v>
      </c>
      <c r="H46" s="240">
        <f t="shared" si="20"/>
        <v>4</v>
      </c>
      <c r="I46" s="241">
        <v>0.45</v>
      </c>
      <c r="J46" s="241">
        <v>0.25</v>
      </c>
      <c r="K46" s="340" t="s">
        <v>86</v>
      </c>
      <c r="L46" s="242" t="s">
        <v>310</v>
      </c>
      <c r="M46" s="284">
        <f>H46</f>
        <v>4</v>
      </c>
    </row>
    <row r="47" spans="1:15" s="262" customFormat="1">
      <c r="A47" s="240">
        <f t="shared" ref="A47:H47" si="21">A36</f>
        <v>0</v>
      </c>
      <c r="B47" s="240" t="str">
        <f t="shared" si="21"/>
        <v>+</v>
      </c>
      <c r="C47" s="241">
        <f t="shared" si="21"/>
        <v>0</v>
      </c>
      <c r="D47" s="240">
        <f t="shared" si="21"/>
        <v>6</v>
      </c>
      <c r="E47" s="240" t="str">
        <f t="shared" si="21"/>
        <v>+</v>
      </c>
      <c r="F47" s="241">
        <f t="shared" si="21"/>
        <v>10</v>
      </c>
      <c r="G47" s="345" t="str">
        <f t="shared" si="21"/>
        <v>RUA 156</v>
      </c>
      <c r="H47" s="240">
        <f t="shared" si="21"/>
        <v>2</v>
      </c>
      <c r="I47" s="241">
        <v>0.45</v>
      </c>
      <c r="J47" s="241">
        <v>0.25</v>
      </c>
      <c r="K47" s="345" t="s">
        <v>85</v>
      </c>
      <c r="L47" s="242" t="s">
        <v>310</v>
      </c>
      <c r="M47" s="284">
        <f>H47</f>
        <v>2</v>
      </c>
    </row>
    <row r="48" spans="1:15" s="262" customFormat="1">
      <c r="A48" s="492" t="s">
        <v>13</v>
      </c>
      <c r="B48" s="492"/>
      <c r="C48" s="492"/>
      <c r="D48" s="492"/>
      <c r="E48" s="492"/>
      <c r="F48" s="492"/>
      <c r="G48" s="492"/>
      <c r="H48" s="492"/>
      <c r="I48" s="492"/>
      <c r="J48" s="492"/>
      <c r="K48" s="492"/>
      <c r="L48" s="492"/>
      <c r="M48" s="284">
        <f>SUM(M46:M47)</f>
        <v>6</v>
      </c>
    </row>
  </sheetData>
  <mergeCells count="25">
    <mergeCell ref="A19:M19"/>
    <mergeCell ref="A20:C20"/>
    <mergeCell ref="D20:F20"/>
    <mergeCell ref="A17:L17"/>
    <mergeCell ref="A1:C3"/>
    <mergeCell ref="D1:M1"/>
    <mergeCell ref="I2:K2"/>
    <mergeCell ref="D2:H2"/>
    <mergeCell ref="D3:L3"/>
    <mergeCell ref="A5:M5"/>
    <mergeCell ref="A6:C6"/>
    <mergeCell ref="D6:F6"/>
    <mergeCell ref="A48:L48"/>
    <mergeCell ref="A44:M44"/>
    <mergeCell ref="A45:C45"/>
    <mergeCell ref="D45:F45"/>
    <mergeCell ref="A31:L31"/>
    <mergeCell ref="A42:L42"/>
    <mergeCell ref="A39:M39"/>
    <mergeCell ref="A40:C40"/>
    <mergeCell ref="D40:F40"/>
    <mergeCell ref="A37:L37"/>
    <mergeCell ref="A33:M33"/>
    <mergeCell ref="A34:C34"/>
    <mergeCell ref="D34:F34"/>
  </mergeCells>
  <printOptions horizontalCentered="1"/>
  <pageMargins left="0.78740157480314965" right="0.78740157480314965" top="0.78740157480314965" bottom="0.59055118110236227" header="0" footer="0.19685039370078741"/>
  <pageSetup paperSize="9" scale="67" orientation="portrait" r:id="rId1"/>
  <headerFooter alignWithMargins="0">
    <oddFooter>&amp;CEng° Darcio Pagani Vieira
Crea/SC - 077.222-9</oddFooter>
  </headerFooter>
  <ignoredErrors>
    <ignoredError sqref="A21:G21 A10:G10 A9:G9 A11:G13 A15:G15 A22:G28 A29:G29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showGridLines="0" view="pageLayout" topLeftCell="A22" zoomScaleNormal="85" zoomScaleSheetLayoutView="100" workbookViewId="0">
      <selection activeCell="D43" sqref="D43"/>
    </sheetView>
  </sheetViews>
  <sheetFormatPr defaultRowHeight="15"/>
  <cols>
    <col min="1" max="1" width="9.5703125" customWidth="1"/>
    <col min="2" max="2" width="10.7109375" customWidth="1"/>
    <col min="3" max="3" width="6.85546875" customWidth="1"/>
    <col min="4" max="4" width="64.28515625" customWidth="1"/>
    <col min="5" max="5" width="25.42578125" customWidth="1"/>
    <col min="6" max="6" width="12.28515625" customWidth="1"/>
    <col min="7" max="7" width="10.85546875" customWidth="1"/>
    <col min="8" max="8" width="12" customWidth="1"/>
    <col min="9" max="9" width="12.42578125" customWidth="1"/>
    <col min="10" max="10" width="19.140625" customWidth="1"/>
  </cols>
  <sheetData>
    <row r="1" spans="1:10" ht="14.25" customHeight="1">
      <c r="A1" s="14"/>
      <c r="B1" s="14"/>
      <c r="C1" s="14"/>
      <c r="D1" s="22" t="s">
        <v>29</v>
      </c>
      <c r="E1" s="2"/>
      <c r="F1" s="23" t="s">
        <v>30</v>
      </c>
      <c r="G1" s="2"/>
      <c r="H1" s="2"/>
      <c r="I1" s="2"/>
      <c r="J1" s="14"/>
    </row>
    <row r="2" spans="1:10">
      <c r="A2" s="14"/>
      <c r="B2" s="14"/>
      <c r="C2" s="14"/>
      <c r="D2" s="502" t="s">
        <v>11</v>
      </c>
      <c r="E2" s="503"/>
      <c r="F2" s="311"/>
      <c r="G2" s="312"/>
      <c r="H2" s="312"/>
      <c r="I2" s="313"/>
      <c r="J2" s="14"/>
    </row>
    <row r="3" spans="1:10" ht="14.25" customHeight="1">
      <c r="A3" s="14"/>
      <c r="B3" s="14"/>
      <c r="C3" s="14"/>
      <c r="D3" s="24" t="s">
        <v>31</v>
      </c>
      <c r="E3" s="2"/>
      <c r="F3" s="2"/>
      <c r="G3" s="2"/>
      <c r="H3" s="2"/>
      <c r="I3" s="2"/>
      <c r="J3" s="14"/>
    </row>
    <row r="4" spans="1:10">
      <c r="A4" s="14"/>
      <c r="B4" s="14"/>
      <c r="C4" s="14"/>
      <c r="D4" s="547" t="s">
        <v>176</v>
      </c>
      <c r="E4" s="548"/>
      <c r="F4" s="548"/>
      <c r="G4" s="548"/>
      <c r="H4" s="548"/>
      <c r="I4" s="549"/>
      <c r="J4" s="14"/>
    </row>
    <row r="5" spans="1:10" ht="14.25" customHeight="1">
      <c r="A5" s="14"/>
      <c r="B5" s="14"/>
      <c r="C5" s="14"/>
      <c r="D5" s="23" t="s">
        <v>32</v>
      </c>
      <c r="E5" s="23"/>
      <c r="F5" s="2"/>
      <c r="G5" s="2"/>
      <c r="H5" s="2"/>
      <c r="I5" s="2"/>
      <c r="J5" s="14"/>
    </row>
    <row r="6" spans="1:10">
      <c r="A6" s="14"/>
      <c r="B6" s="14"/>
      <c r="C6" s="14"/>
      <c r="D6" s="314" t="str">
        <f>PAVIM.!G3</f>
        <v>RUA ELONIR DA SILVEIRA NAZÁRIO</v>
      </c>
      <c r="E6" s="550" t="str">
        <f>PAVIM.!I2</f>
        <v>BAIRRO: VILA BEATRIZ</v>
      </c>
      <c r="F6" s="551"/>
      <c r="G6" s="552"/>
      <c r="H6" s="560" t="str">
        <f ca="1">PAVIM.!M3</f>
        <v>DATA: 28/04/26</v>
      </c>
      <c r="I6" s="561"/>
      <c r="J6" s="14"/>
    </row>
    <row r="7" spans="1:10" s="3" customFormat="1" ht="5.25" customHeight="1">
      <c r="A7" s="279"/>
      <c r="B7" s="279"/>
      <c r="C7" s="279"/>
      <c r="D7" s="315"/>
      <c r="E7" s="556"/>
      <c r="F7" s="556"/>
      <c r="G7" s="556"/>
      <c r="H7" s="562"/>
      <c r="I7" s="561"/>
      <c r="J7" s="279"/>
    </row>
    <row r="8" spans="1:10" s="225" customFormat="1" ht="14.25" customHeight="1">
      <c r="A8" s="14"/>
      <c r="B8" s="14"/>
      <c r="C8" s="14"/>
      <c r="D8" s="316" t="str">
        <f>PAVIM.!K2</f>
        <v>MUNICIPIO: MARACAJÁ</v>
      </c>
      <c r="E8" s="557" t="str">
        <f>PAVIM.!M2</f>
        <v>ESTADO: SANTA CATARINA</v>
      </c>
      <c r="F8" s="558"/>
      <c r="G8" s="559"/>
      <c r="H8" s="563"/>
      <c r="I8" s="564"/>
      <c r="J8" s="14"/>
    </row>
    <row r="9" spans="1:10" ht="5.25" customHeight="1">
      <c r="A9" s="14"/>
      <c r="B9" s="14"/>
      <c r="C9" s="14"/>
      <c r="D9" s="14"/>
      <c r="E9" s="14"/>
      <c r="F9" s="14"/>
      <c r="G9" s="14"/>
      <c r="H9" s="14"/>
      <c r="I9" s="14"/>
      <c r="J9" s="14"/>
    </row>
    <row r="10" spans="1:10">
      <c r="A10" s="553" t="s">
        <v>303</v>
      </c>
      <c r="B10" s="554"/>
      <c r="C10" s="554"/>
      <c r="D10" s="554"/>
      <c r="E10" s="554"/>
      <c r="F10" s="554"/>
      <c r="G10" s="554"/>
      <c r="H10" s="554"/>
      <c r="I10" s="554"/>
      <c r="J10" s="554"/>
    </row>
    <row r="11" spans="1:10" ht="5.2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>
      <c r="A12" s="14"/>
      <c r="B12" s="14"/>
      <c r="C12" s="14"/>
      <c r="D12" s="39" t="s">
        <v>33</v>
      </c>
      <c r="E12" s="14"/>
      <c r="F12" s="14"/>
      <c r="G12" s="14"/>
      <c r="H12" s="14"/>
      <c r="I12" s="14"/>
      <c r="J12" s="14"/>
    </row>
    <row r="13" spans="1:10">
      <c r="A13" s="14"/>
      <c r="B13" s="14"/>
      <c r="C13" s="14"/>
      <c r="D13" s="25" t="s">
        <v>88</v>
      </c>
      <c r="E13" s="14"/>
      <c r="F13" s="14"/>
      <c r="G13" s="14"/>
      <c r="H13" s="14"/>
      <c r="I13" s="14"/>
      <c r="J13" s="14"/>
    </row>
    <row r="14" spans="1:10" ht="9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</row>
    <row r="15" spans="1:10">
      <c r="A15" s="14"/>
      <c r="B15" s="14"/>
      <c r="C15" s="555" t="s">
        <v>34</v>
      </c>
      <c r="D15" s="555"/>
      <c r="E15" s="555"/>
      <c r="F15" s="555"/>
      <c r="G15" s="555"/>
      <c r="H15" s="555"/>
      <c r="I15" s="555"/>
      <c r="J15" s="14"/>
    </row>
    <row r="16" spans="1:10" ht="35.25" customHeight="1">
      <c r="A16" s="14"/>
      <c r="B16" s="14"/>
      <c r="C16" s="27" t="s">
        <v>35</v>
      </c>
      <c r="D16" s="27" t="s">
        <v>36</v>
      </c>
      <c r="E16" s="27" t="s">
        <v>37</v>
      </c>
      <c r="F16" s="27" t="s">
        <v>38</v>
      </c>
      <c r="G16" s="288" t="s">
        <v>39</v>
      </c>
      <c r="H16" s="324" t="s">
        <v>40</v>
      </c>
      <c r="I16" s="324" t="s">
        <v>41</v>
      </c>
      <c r="J16" s="14"/>
    </row>
    <row r="17" spans="1:10">
      <c r="A17" s="14"/>
      <c r="B17" s="14"/>
      <c r="C17" s="179">
        <v>1</v>
      </c>
      <c r="D17" s="44" t="s">
        <v>42</v>
      </c>
      <c r="E17" s="179" t="s">
        <v>43</v>
      </c>
      <c r="F17" s="180">
        <v>3.7999999999999999E-2</v>
      </c>
      <c r="G17" s="181" t="s">
        <v>44</v>
      </c>
      <c r="H17" s="180">
        <v>3.7999999999999999E-2</v>
      </c>
      <c r="I17" s="180">
        <v>4.6699999999999998E-2</v>
      </c>
      <c r="J17" s="14"/>
    </row>
    <row r="18" spans="1:10">
      <c r="A18" s="14"/>
      <c r="B18" s="14"/>
      <c r="C18" s="27">
        <v>2</v>
      </c>
      <c r="D18" s="26" t="s">
        <v>45</v>
      </c>
      <c r="E18" s="27" t="s">
        <v>46</v>
      </c>
      <c r="F18" s="28">
        <v>3.2000000000000002E-3</v>
      </c>
      <c r="G18" s="27" t="s">
        <v>44</v>
      </c>
      <c r="H18" s="28">
        <v>3.2000000000000002E-3</v>
      </c>
      <c r="I18" s="28">
        <v>7.4000000000000003E-3</v>
      </c>
      <c r="J18" s="14"/>
    </row>
    <row r="19" spans="1:10">
      <c r="A19" s="14"/>
      <c r="B19" s="14"/>
      <c r="C19" s="27">
        <v>3</v>
      </c>
      <c r="D19" s="26" t="s">
        <v>47</v>
      </c>
      <c r="E19" s="27" t="s">
        <v>48</v>
      </c>
      <c r="F19" s="28">
        <v>5.0000000000000001E-3</v>
      </c>
      <c r="G19" s="27" t="s">
        <v>44</v>
      </c>
      <c r="H19" s="28">
        <v>5.0000000000000001E-3</v>
      </c>
      <c r="I19" s="28">
        <v>9.7000000000000003E-3</v>
      </c>
      <c r="J19" s="29"/>
    </row>
    <row r="20" spans="1:10">
      <c r="A20" s="14"/>
      <c r="B20" s="14"/>
      <c r="C20" s="27">
        <v>4</v>
      </c>
      <c r="D20" s="26" t="s">
        <v>49</v>
      </c>
      <c r="E20" s="27" t="s">
        <v>50</v>
      </c>
      <c r="F20" s="28">
        <v>1.0200000000000001E-2</v>
      </c>
      <c r="G20" s="27" t="s">
        <v>44</v>
      </c>
      <c r="H20" s="28">
        <v>1.0200000000000001E-2</v>
      </c>
      <c r="I20" s="28">
        <v>1.21E-2</v>
      </c>
      <c r="J20" s="29"/>
    </row>
    <row r="21" spans="1:10">
      <c r="A21" s="14"/>
      <c r="B21" s="14"/>
      <c r="C21" s="27">
        <v>5</v>
      </c>
      <c r="D21" s="26" t="s">
        <v>51</v>
      </c>
      <c r="E21" s="27" t="s">
        <v>52</v>
      </c>
      <c r="F21" s="28">
        <v>6.6400000000000001E-2</v>
      </c>
      <c r="G21" s="27" t="s">
        <v>44</v>
      </c>
      <c r="H21" s="28">
        <v>6.6400000000000001E-2</v>
      </c>
      <c r="I21" s="28">
        <v>8.6900000000000005E-2</v>
      </c>
      <c r="J21" s="29"/>
    </row>
    <row r="22" spans="1:10">
      <c r="A22" s="14"/>
      <c r="B22" s="14"/>
      <c r="C22" s="27">
        <v>6</v>
      </c>
      <c r="D22" s="26" t="s">
        <v>53</v>
      </c>
      <c r="E22" s="27" t="s">
        <v>54</v>
      </c>
      <c r="F22" s="28">
        <f>SUM(F23:F26)</f>
        <v>6.6500000000000004E-2</v>
      </c>
      <c r="G22" s="27" t="s">
        <v>44</v>
      </c>
      <c r="H22" s="28">
        <v>3.6499999999999998E-2</v>
      </c>
      <c r="I22" s="28">
        <v>8.6499999999999994E-2</v>
      </c>
      <c r="J22" s="542" t="s">
        <v>55</v>
      </c>
    </row>
    <row r="23" spans="1:10" ht="15" customHeight="1" thickBot="1">
      <c r="A23" s="14"/>
      <c r="B23" s="14"/>
      <c r="C23" s="27" t="s">
        <v>56</v>
      </c>
      <c r="D23" s="26" t="s">
        <v>57</v>
      </c>
      <c r="E23" s="27" t="s">
        <v>57</v>
      </c>
      <c r="F23" s="28">
        <v>6.4999999999999997E-3</v>
      </c>
      <c r="G23" s="27" t="s">
        <v>44</v>
      </c>
      <c r="H23" s="28">
        <v>6.4999999999999997E-3</v>
      </c>
      <c r="I23" s="28">
        <v>6.4999999999999997E-3</v>
      </c>
      <c r="J23" s="542"/>
    </row>
    <row r="24" spans="1:10">
      <c r="A24" s="543" t="s">
        <v>58</v>
      </c>
      <c r="B24" s="545" t="s">
        <v>59</v>
      </c>
      <c r="C24" s="27" t="s">
        <v>60</v>
      </c>
      <c r="D24" s="26" t="s">
        <v>61</v>
      </c>
      <c r="E24" s="27" t="s">
        <v>61</v>
      </c>
      <c r="F24" s="28">
        <v>0.03</v>
      </c>
      <c r="G24" s="27" t="s">
        <v>44</v>
      </c>
      <c r="H24" s="28">
        <v>0.03</v>
      </c>
      <c r="I24" s="28">
        <v>0.03</v>
      </c>
      <c r="J24" s="542"/>
    </row>
    <row r="25" spans="1:10" ht="15.75" thickBot="1">
      <c r="A25" s="544"/>
      <c r="B25" s="546"/>
      <c r="C25" s="27" t="s">
        <v>62</v>
      </c>
      <c r="D25" s="30" t="s">
        <v>63</v>
      </c>
      <c r="E25" s="31" t="s">
        <v>64</v>
      </c>
      <c r="F25" s="32">
        <v>0</v>
      </c>
      <c r="G25" s="27" t="s">
        <v>44</v>
      </c>
      <c r="H25" s="32">
        <v>4.4999999999999998E-2</v>
      </c>
      <c r="I25" s="32">
        <v>4.4999999999999998E-2</v>
      </c>
      <c r="J25" s="33" t="s">
        <v>65</v>
      </c>
    </row>
    <row r="26" spans="1:10" ht="15.75" thickBot="1">
      <c r="A26" s="34">
        <v>0.03</v>
      </c>
      <c r="B26" s="35">
        <v>1</v>
      </c>
      <c r="C26" s="178" t="s">
        <v>66</v>
      </c>
      <c r="D26" s="37" t="s">
        <v>67</v>
      </c>
      <c r="E26" s="36" t="s">
        <v>67</v>
      </c>
      <c r="F26" s="38">
        <v>0.03</v>
      </c>
      <c r="G26" s="27" t="s">
        <v>44</v>
      </c>
      <c r="H26" s="28">
        <v>0.02</v>
      </c>
      <c r="I26" s="28">
        <v>0.05</v>
      </c>
      <c r="J26" s="39"/>
    </row>
    <row r="27" spans="1:10">
      <c r="A27" s="29"/>
      <c r="B27" s="29"/>
      <c r="C27" s="29"/>
      <c r="D27" s="29"/>
      <c r="E27" s="525" t="s">
        <v>68</v>
      </c>
      <c r="F27" s="525"/>
      <c r="G27" s="525"/>
      <c r="H27" s="526" t="s">
        <v>69</v>
      </c>
      <c r="I27" s="527"/>
      <c r="J27" s="29"/>
    </row>
    <row r="28" spans="1:10" ht="12" customHeight="1">
      <c r="A28" s="29"/>
      <c r="B28" s="528" t="s">
        <v>70</v>
      </c>
      <c r="C28" s="529"/>
      <c r="D28" s="530"/>
      <c r="E28" s="29"/>
      <c r="F28" s="29"/>
      <c r="G28" s="29"/>
      <c r="H28" s="29"/>
      <c r="I28" s="29"/>
      <c r="J28" s="14"/>
    </row>
    <row r="29" spans="1:10">
      <c r="A29" s="29"/>
      <c r="B29" s="40"/>
      <c r="C29" s="41"/>
      <c r="D29" s="42"/>
      <c r="E29" s="29"/>
      <c r="F29" s="29"/>
      <c r="G29" s="29"/>
      <c r="H29" s="29"/>
      <c r="I29" s="29"/>
      <c r="J29" s="14"/>
    </row>
    <row r="30" spans="1:10">
      <c r="A30" s="29"/>
      <c r="B30" s="40"/>
      <c r="C30" s="531" t="s">
        <v>71</v>
      </c>
      <c r="D30" s="43" t="s">
        <v>72</v>
      </c>
      <c r="E30" s="532" t="s">
        <v>5</v>
      </c>
      <c r="F30" s="533">
        <f>TRUNC((((1+F17+F18+F19)*(1+F20)*(1+F21))/(1-F22))-1,4)</f>
        <v>0.20730000000000001</v>
      </c>
      <c r="G30" s="534" t="s">
        <v>73</v>
      </c>
      <c r="H30" s="535"/>
      <c r="I30" s="536"/>
      <c r="J30" s="14"/>
    </row>
    <row r="31" spans="1:10">
      <c r="A31" s="29"/>
      <c r="B31" s="40"/>
      <c r="C31" s="531"/>
      <c r="D31" s="41" t="s">
        <v>74</v>
      </c>
      <c r="E31" s="532"/>
      <c r="F31" s="533"/>
      <c r="G31" s="537"/>
      <c r="H31" s="537"/>
      <c r="I31" s="538"/>
      <c r="J31" s="14"/>
    </row>
    <row r="32" spans="1:10" ht="15" customHeight="1">
      <c r="A32" s="29"/>
      <c r="B32" s="44"/>
      <c r="C32" s="45"/>
      <c r="D32" s="46"/>
      <c r="E32" s="29"/>
      <c r="F32" s="29"/>
      <c r="G32" s="539"/>
      <c r="H32" s="540"/>
      <c r="I32" s="541"/>
      <c r="J32" s="14"/>
    </row>
    <row r="33" spans="1:10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34" spans="1:10">
      <c r="A34" s="14"/>
      <c r="B34" s="317"/>
      <c r="C34" s="318"/>
      <c r="D34" s="318"/>
      <c r="E34" s="318"/>
      <c r="F34" s="318"/>
      <c r="G34" s="318"/>
      <c r="H34" s="318"/>
      <c r="I34" s="319"/>
      <c r="J34" s="14"/>
    </row>
    <row r="35" spans="1:10">
      <c r="A35" s="14"/>
      <c r="B35" s="320"/>
      <c r="C35" s="321"/>
      <c r="D35" s="321"/>
      <c r="E35" s="321"/>
      <c r="F35" s="321"/>
      <c r="G35" s="321"/>
      <c r="H35" s="321"/>
      <c r="I35" s="322"/>
      <c r="J35" s="14"/>
    </row>
    <row r="36" spans="1:10">
      <c r="A36" s="14"/>
      <c r="B36" s="14"/>
      <c r="C36" s="14"/>
      <c r="D36" s="14"/>
      <c r="E36" s="14"/>
      <c r="F36" s="14"/>
      <c r="G36" s="14"/>
      <c r="H36" s="14"/>
      <c r="I36" s="14"/>
      <c r="J36" s="14"/>
    </row>
    <row r="37" spans="1:10" ht="15" customHeight="1">
      <c r="A37" s="14"/>
      <c r="B37" s="499" t="s">
        <v>304</v>
      </c>
      <c r="C37" s="500"/>
      <c r="D37" s="500"/>
      <c r="E37" s="500"/>
      <c r="F37" s="500"/>
      <c r="G37" s="500"/>
      <c r="H37" s="500"/>
      <c r="I37" s="501"/>
      <c r="J37" s="14"/>
    </row>
    <row r="38" spans="1:10">
      <c r="A38" s="14"/>
      <c r="B38" s="513" t="s">
        <v>75</v>
      </c>
      <c r="C38" s="513"/>
      <c r="D38" s="513"/>
      <c r="E38" s="513"/>
      <c r="F38" s="513"/>
      <c r="G38" s="513"/>
      <c r="H38" s="513"/>
      <c r="I38" s="513"/>
      <c r="J38" s="14"/>
    </row>
    <row r="39" spans="1:10">
      <c r="A39" s="14"/>
      <c r="B39" s="514" t="s">
        <v>305</v>
      </c>
      <c r="C39" s="514"/>
      <c r="D39" s="514"/>
      <c r="E39" s="514"/>
      <c r="F39" s="514"/>
      <c r="G39" s="514"/>
      <c r="H39" s="514"/>
      <c r="I39" s="514"/>
      <c r="J39" s="14"/>
    </row>
    <row r="40" spans="1:10">
      <c r="A40" s="14"/>
      <c r="B40" s="515" t="s">
        <v>76</v>
      </c>
      <c r="C40" s="515"/>
      <c r="D40" s="515"/>
      <c r="E40" s="515"/>
      <c r="F40" s="515"/>
      <c r="G40" s="515"/>
      <c r="H40" s="515"/>
      <c r="I40" s="515"/>
      <c r="J40" s="14"/>
    </row>
    <row r="41" spans="1:10">
      <c r="A41" s="14"/>
      <c r="B41" s="29"/>
      <c r="C41" s="29"/>
      <c r="D41" s="29"/>
      <c r="E41" s="29"/>
      <c r="F41" s="516" t="s">
        <v>77</v>
      </c>
      <c r="G41" s="517"/>
      <c r="H41" s="517"/>
      <c r="I41" s="518"/>
      <c r="J41" s="14"/>
    </row>
    <row r="42" spans="1:10">
      <c r="A42" s="14"/>
      <c r="B42" s="519"/>
      <c r="C42" s="520"/>
      <c r="D42" s="29"/>
      <c r="E42" s="29"/>
      <c r="F42" s="521" t="s">
        <v>78</v>
      </c>
      <c r="G42" s="522"/>
      <c r="H42" s="522"/>
      <c r="I42" s="523"/>
      <c r="J42" s="14"/>
    </row>
    <row r="43" spans="1:10">
      <c r="A43" s="14"/>
      <c r="B43" s="524"/>
      <c r="C43" s="524"/>
      <c r="D43" s="29"/>
      <c r="E43" s="29"/>
      <c r="F43" s="521"/>
      <c r="G43" s="522"/>
      <c r="H43" s="522"/>
      <c r="I43" s="523"/>
      <c r="J43" s="14"/>
    </row>
    <row r="44" spans="1:10">
      <c r="A44" s="14"/>
      <c r="B44" s="29"/>
      <c r="C44" s="29"/>
      <c r="D44" s="29"/>
      <c r="E44" s="29"/>
      <c r="F44" s="521"/>
      <c r="G44" s="522"/>
      <c r="H44" s="522"/>
      <c r="I44" s="523"/>
      <c r="J44" s="14"/>
    </row>
    <row r="45" spans="1:10">
      <c r="A45" s="14"/>
      <c r="B45" s="29"/>
      <c r="C45" s="29"/>
      <c r="D45" s="47"/>
      <c r="E45" s="29"/>
      <c r="F45" s="48"/>
      <c r="G45" s="49"/>
      <c r="H45" s="49"/>
      <c r="I45" s="50"/>
      <c r="J45" s="14"/>
    </row>
    <row r="46" spans="1:10">
      <c r="A46" s="14"/>
      <c r="B46" s="29"/>
      <c r="C46" s="29"/>
      <c r="D46" s="323" t="s">
        <v>79</v>
      </c>
      <c r="E46" s="29"/>
      <c r="F46" s="51"/>
      <c r="G46" s="52"/>
      <c r="H46" s="52"/>
      <c r="I46" s="53"/>
      <c r="J46" s="14"/>
    </row>
    <row r="47" spans="1:10">
      <c r="A47" s="14"/>
      <c r="B47" s="29"/>
      <c r="C47" s="29"/>
      <c r="D47" s="29" t="s">
        <v>379</v>
      </c>
      <c r="E47" s="29"/>
      <c r="F47" s="504" t="s">
        <v>80</v>
      </c>
      <c r="G47" s="505"/>
      <c r="H47" s="505"/>
      <c r="I47" s="506"/>
      <c r="J47" s="14"/>
    </row>
    <row r="48" spans="1:10">
      <c r="A48" s="14"/>
      <c r="B48" s="29"/>
      <c r="C48" s="29"/>
      <c r="D48" s="29" t="s">
        <v>380</v>
      </c>
      <c r="E48" s="29"/>
      <c r="F48" s="507" t="s">
        <v>81</v>
      </c>
      <c r="G48" s="508"/>
      <c r="H48" s="508"/>
      <c r="I48" s="509"/>
      <c r="J48" s="14"/>
    </row>
    <row r="49" spans="1:10">
      <c r="A49" s="14"/>
      <c r="B49" s="29"/>
      <c r="C49" s="29"/>
      <c r="D49" s="29" t="s">
        <v>82</v>
      </c>
      <c r="E49" s="29"/>
      <c r="F49" s="54" t="s">
        <v>83</v>
      </c>
      <c r="G49" s="55"/>
      <c r="H49" s="55"/>
      <c r="I49" s="56"/>
      <c r="J49" s="14"/>
    </row>
    <row r="50" spans="1:10">
      <c r="A50" s="14"/>
      <c r="B50" s="29"/>
      <c r="C50" s="29"/>
      <c r="D50" s="29"/>
      <c r="E50" s="29"/>
      <c r="F50" s="510" t="s">
        <v>84</v>
      </c>
      <c r="G50" s="511"/>
      <c r="H50" s="511"/>
      <c r="I50" s="512"/>
      <c r="J50" s="14"/>
    </row>
    <row r="51" spans="1:10">
      <c r="A51" s="14"/>
      <c r="B51" s="29"/>
      <c r="C51" s="29"/>
      <c r="D51" s="29"/>
      <c r="E51" s="29"/>
      <c r="F51" s="29"/>
      <c r="G51" s="29"/>
      <c r="H51" s="29"/>
      <c r="I51" s="29"/>
      <c r="J51" s="14"/>
    </row>
  </sheetData>
  <mergeCells count="29">
    <mergeCell ref="D4:I4"/>
    <mergeCell ref="E6:G6"/>
    <mergeCell ref="A10:J10"/>
    <mergeCell ref="C15:I15"/>
    <mergeCell ref="E7:G7"/>
    <mergeCell ref="E8:G8"/>
    <mergeCell ref="H6:I8"/>
    <mergeCell ref="E30:E31"/>
    <mergeCell ref="F30:F31"/>
    <mergeCell ref="G30:I32"/>
    <mergeCell ref="J22:J24"/>
    <mergeCell ref="A24:A25"/>
    <mergeCell ref="B24:B25"/>
    <mergeCell ref="B37:I37"/>
    <mergeCell ref="D2:E2"/>
    <mergeCell ref="F47:I47"/>
    <mergeCell ref="F48:I48"/>
    <mergeCell ref="F50:I50"/>
    <mergeCell ref="B38:I38"/>
    <mergeCell ref="B39:I39"/>
    <mergeCell ref="B40:I40"/>
    <mergeCell ref="F41:I41"/>
    <mergeCell ref="B42:C42"/>
    <mergeCell ref="F42:I44"/>
    <mergeCell ref="B43:C43"/>
    <mergeCell ref="E27:G27"/>
    <mergeCell ref="H27:I27"/>
    <mergeCell ref="B28:D28"/>
    <mergeCell ref="C30:C3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1"/>
  <sheetViews>
    <sheetView showGridLines="0" view="pageBreakPreview" zoomScaleNormal="100" zoomScaleSheetLayoutView="100" workbookViewId="0">
      <selection activeCell="D11" sqref="D11:E11"/>
    </sheetView>
  </sheetViews>
  <sheetFormatPr defaultRowHeight="15"/>
  <cols>
    <col min="1" max="1" width="11.42578125" customWidth="1"/>
    <col min="2" max="2" width="72.28515625" bestFit="1" customWidth="1"/>
    <col min="3" max="4" width="11.42578125" style="1" bestFit="1" customWidth="1"/>
    <col min="5" max="5" width="11.85546875" style="1" bestFit="1" customWidth="1"/>
    <col min="6" max="6" width="10.5703125" style="1" bestFit="1" customWidth="1"/>
    <col min="7" max="7" width="12" style="1" bestFit="1" customWidth="1"/>
    <col min="8" max="8" width="15.140625" customWidth="1"/>
  </cols>
  <sheetData>
    <row r="1" spans="1:8" s="225" customFormat="1">
      <c r="A1" s="225" t="s">
        <v>120</v>
      </c>
      <c r="C1" s="234" t="s">
        <v>122</v>
      </c>
      <c r="D1" s="234"/>
      <c r="E1" s="234"/>
      <c r="F1" s="234"/>
      <c r="G1" s="234"/>
      <c r="H1" s="203" t="s">
        <v>239</v>
      </c>
    </row>
    <row r="2" spans="1:8" s="225" customFormat="1">
      <c r="A2" s="225" t="s">
        <v>121</v>
      </c>
      <c r="C2" s="75">
        <v>44287</v>
      </c>
      <c r="D2" s="234"/>
      <c r="E2" s="235" t="s">
        <v>123</v>
      </c>
      <c r="F2" s="156">
        <v>1</v>
      </c>
      <c r="G2" s="227" t="s">
        <v>10</v>
      </c>
    </row>
    <row r="3" spans="1:8" s="225" customFormat="1">
      <c r="A3" s="2">
        <v>2003579</v>
      </c>
      <c r="B3" s="2" t="s">
        <v>274</v>
      </c>
      <c r="C3" s="234"/>
      <c r="D3" s="234"/>
      <c r="E3" s="234"/>
      <c r="F3" s="234"/>
      <c r="G3" s="234"/>
      <c r="H3" s="235" t="s">
        <v>124</v>
      </c>
    </row>
    <row r="4" spans="1:8" s="225" customFormat="1">
      <c r="A4" s="565" t="s">
        <v>106</v>
      </c>
      <c r="B4" s="565"/>
      <c r="C4" s="578" t="s">
        <v>2</v>
      </c>
      <c r="D4" s="580" t="s">
        <v>113</v>
      </c>
      <c r="E4" s="580"/>
      <c r="F4" s="580" t="s">
        <v>114</v>
      </c>
      <c r="G4" s="580"/>
      <c r="H4" s="578" t="s">
        <v>116</v>
      </c>
    </row>
    <row r="5" spans="1:8" s="225" customFormat="1">
      <c r="A5" s="566"/>
      <c r="B5" s="566"/>
      <c r="C5" s="579"/>
      <c r="D5" s="7" t="s">
        <v>109</v>
      </c>
      <c r="E5" s="7" t="s">
        <v>110</v>
      </c>
      <c r="F5" s="7" t="s">
        <v>111</v>
      </c>
      <c r="G5" s="7" t="s">
        <v>112</v>
      </c>
      <c r="H5" s="579"/>
    </row>
    <row r="6" spans="1:8" s="225" customFormat="1">
      <c r="A6" s="225" t="s">
        <v>275</v>
      </c>
      <c r="B6" s="225" t="s">
        <v>276</v>
      </c>
      <c r="C6" s="76">
        <v>1.6060000000000001E-2</v>
      </c>
      <c r="D6" s="155">
        <v>1</v>
      </c>
      <c r="E6" s="155">
        <v>0</v>
      </c>
      <c r="F6" s="237">
        <v>6.3029999999999999</v>
      </c>
      <c r="G6" s="237">
        <v>0.72219999999999995</v>
      </c>
      <c r="H6" s="72">
        <f>C6*D6*F6+E6*G6</f>
        <v>0.10122618000000001</v>
      </c>
    </row>
    <row r="7" spans="1:8" s="225" customFormat="1">
      <c r="C7" s="234"/>
      <c r="D7" s="234"/>
      <c r="E7" s="234"/>
      <c r="F7" s="234"/>
      <c r="G7" s="235" t="s">
        <v>129</v>
      </c>
      <c r="H7" s="74">
        <f>SUM(H6:H6)</f>
        <v>0.10122618000000001</v>
      </c>
    </row>
    <row r="8" spans="1:8" s="225" customFormat="1">
      <c r="A8" s="12" t="s">
        <v>115</v>
      </c>
      <c r="B8" s="12"/>
      <c r="C8" s="230" t="s">
        <v>2</v>
      </c>
      <c r="D8" s="230" t="s">
        <v>1</v>
      </c>
      <c r="E8" s="569" t="s">
        <v>114</v>
      </c>
      <c r="F8" s="569"/>
      <c r="G8" s="581" t="s">
        <v>116</v>
      </c>
      <c r="H8" s="581"/>
    </row>
    <row r="9" spans="1:8" s="225" customFormat="1">
      <c r="A9" s="225" t="s">
        <v>185</v>
      </c>
      <c r="B9" s="225" t="s">
        <v>186</v>
      </c>
      <c r="C9" s="76">
        <v>0.08</v>
      </c>
      <c r="D9" s="234" t="s">
        <v>119</v>
      </c>
      <c r="E9" s="573">
        <v>26.474499999999999</v>
      </c>
      <c r="F9" s="573"/>
      <c r="G9" s="574">
        <f>C9*E9</f>
        <v>2.1179600000000001</v>
      </c>
      <c r="H9" s="574"/>
    </row>
    <row r="10" spans="1:8" s="225" customFormat="1">
      <c r="A10" s="225" t="s">
        <v>117</v>
      </c>
      <c r="B10" s="225" t="s">
        <v>118</v>
      </c>
      <c r="C10" s="76">
        <v>1.19245</v>
      </c>
      <c r="D10" s="234" t="s">
        <v>119</v>
      </c>
      <c r="E10" s="573">
        <v>21.135400000000001</v>
      </c>
      <c r="F10" s="573"/>
      <c r="G10" s="597">
        <f>C10*E10</f>
        <v>25.20290773</v>
      </c>
      <c r="H10" s="597"/>
    </row>
    <row r="11" spans="1:8" s="225" customFormat="1">
      <c r="C11" s="234"/>
      <c r="D11" s="234"/>
      <c r="E11" s="234"/>
      <c r="F11" s="235" t="s">
        <v>127</v>
      </c>
      <c r="G11" s="597">
        <f>SUM(G9:H10)</f>
        <v>27.32086773</v>
      </c>
      <c r="H11" s="597"/>
    </row>
    <row r="12" spans="1:8" s="225" customFormat="1">
      <c r="A12" s="6"/>
      <c r="B12" s="6"/>
      <c r="C12" s="7"/>
      <c r="D12" s="7"/>
      <c r="E12" s="7"/>
      <c r="F12" s="232" t="s">
        <v>128</v>
      </c>
      <c r="G12" s="583">
        <f>G11+H7</f>
        <v>27.422093910000001</v>
      </c>
      <c r="H12" s="584"/>
    </row>
    <row r="13" spans="1:8" s="225" customFormat="1">
      <c r="C13" s="234"/>
      <c r="D13" s="234"/>
      <c r="E13" s="234"/>
      <c r="F13" s="235" t="s">
        <v>138</v>
      </c>
      <c r="G13" s="239"/>
      <c r="H13" s="238">
        <f>G12/F2</f>
        <v>27.422093910000001</v>
      </c>
    </row>
    <row r="14" spans="1:8" s="225" customFormat="1">
      <c r="C14" s="234"/>
      <c r="D14" s="234"/>
      <c r="E14" s="234"/>
      <c r="F14" s="235" t="s">
        <v>142</v>
      </c>
      <c r="G14" s="239"/>
      <c r="H14" s="238"/>
    </row>
    <row r="15" spans="1:8" s="225" customFormat="1">
      <c r="A15" s="12" t="s">
        <v>125</v>
      </c>
      <c r="B15" s="12"/>
      <c r="C15" s="230" t="s">
        <v>2</v>
      </c>
      <c r="D15" s="230" t="s">
        <v>1</v>
      </c>
      <c r="E15" s="569" t="s">
        <v>215</v>
      </c>
      <c r="F15" s="569"/>
      <c r="G15" s="581" t="s">
        <v>116</v>
      </c>
      <c r="H15" s="581"/>
    </row>
    <row r="16" spans="1:8" s="194" customFormat="1">
      <c r="A16" s="194" t="s">
        <v>252</v>
      </c>
      <c r="B16" s="194" t="s">
        <v>255</v>
      </c>
      <c r="C16" s="192">
        <v>0.29607</v>
      </c>
      <c r="D16" s="196" t="s">
        <v>9</v>
      </c>
      <c r="E16" s="575" t="e">
        <f>#REF!</f>
        <v>#REF!</v>
      </c>
      <c r="F16" s="575"/>
      <c r="G16" s="576" t="e">
        <f>C16*E16</f>
        <v>#REF!</v>
      </c>
      <c r="H16" s="576"/>
    </row>
    <row r="17" spans="1:8" s="194" customFormat="1">
      <c r="A17" s="194" t="s">
        <v>277</v>
      </c>
      <c r="B17" s="194" t="s">
        <v>280</v>
      </c>
      <c r="C17" s="192">
        <v>0.29608000000000001</v>
      </c>
      <c r="D17" s="196" t="s">
        <v>9</v>
      </c>
      <c r="E17" s="575" t="e">
        <f>#REF!</f>
        <v>#REF!</v>
      </c>
      <c r="F17" s="575"/>
      <c r="G17" s="576" t="e">
        <f>C17*E17</f>
        <v>#REF!</v>
      </c>
      <c r="H17" s="576"/>
    </row>
    <row r="18" spans="1:8" s="194" customFormat="1">
      <c r="A18" s="194" t="s">
        <v>278</v>
      </c>
      <c r="B18" s="194" t="s">
        <v>282</v>
      </c>
      <c r="C18" s="192">
        <v>4.0999999999999996</v>
      </c>
      <c r="D18" s="196" t="s">
        <v>12</v>
      </c>
      <c r="E18" s="575" t="e">
        <f>#REF!</f>
        <v>#REF!</v>
      </c>
      <c r="F18" s="575"/>
      <c r="G18" s="576" t="e">
        <f>C18*E18</f>
        <v>#REF!</v>
      </c>
      <c r="H18" s="576"/>
    </row>
    <row r="19" spans="1:8" s="194" customFormat="1">
      <c r="A19" s="194" t="s">
        <v>279</v>
      </c>
      <c r="B19" s="194" t="s">
        <v>281</v>
      </c>
      <c r="C19" s="192">
        <v>1</v>
      </c>
      <c r="D19" s="196" t="s">
        <v>10</v>
      </c>
      <c r="E19" s="575" t="e">
        <f>#REF!</f>
        <v>#REF!</v>
      </c>
      <c r="F19" s="575"/>
      <c r="G19" s="576" t="e">
        <f>C19*E19</f>
        <v>#REF!</v>
      </c>
      <c r="H19" s="576"/>
    </row>
    <row r="20" spans="1:8" s="225" customFormat="1">
      <c r="A20" s="6"/>
      <c r="B20" s="6"/>
      <c r="C20" s="7"/>
      <c r="D20" s="7"/>
      <c r="E20" s="7"/>
      <c r="F20" s="232" t="s">
        <v>126</v>
      </c>
      <c r="G20" s="582" t="e">
        <f>SUM(G16:H19)</f>
        <v>#REF!</v>
      </c>
      <c r="H20" s="582"/>
    </row>
    <row r="21" spans="1:8" s="225" customFormat="1">
      <c r="C21" s="234"/>
      <c r="D21" s="234"/>
      <c r="E21" s="234"/>
      <c r="F21" s="234"/>
      <c r="G21" s="234" t="s">
        <v>137</v>
      </c>
      <c r="H21" s="74" t="e">
        <f>SUM(G20)</f>
        <v>#REF!</v>
      </c>
    </row>
    <row r="22" spans="1:8" s="225" customFormat="1">
      <c r="A22" s="12" t="s">
        <v>130</v>
      </c>
      <c r="B22" s="12"/>
      <c r="C22" s="230" t="s">
        <v>2</v>
      </c>
      <c r="D22" s="230" t="s">
        <v>1</v>
      </c>
      <c r="E22" s="569" t="s">
        <v>114</v>
      </c>
      <c r="F22" s="569"/>
      <c r="G22" s="581" t="s">
        <v>116</v>
      </c>
      <c r="H22" s="581"/>
    </row>
    <row r="23" spans="1:8" s="225" customFormat="1">
      <c r="A23" s="244">
        <v>4805757</v>
      </c>
      <c r="B23" s="6" t="s">
        <v>283</v>
      </c>
      <c r="C23" s="7">
        <v>0.6</v>
      </c>
      <c r="D23" s="7" t="s">
        <v>9</v>
      </c>
      <c r="E23" s="569">
        <v>4.76</v>
      </c>
      <c r="F23" s="569"/>
      <c r="G23" s="232"/>
      <c r="H23" s="231">
        <f>C23*E23</f>
        <v>2.8559999999999999</v>
      </c>
    </row>
    <row r="24" spans="1:8" s="225" customFormat="1">
      <c r="A24" s="6"/>
      <c r="B24" s="6"/>
      <c r="C24" s="7"/>
      <c r="D24" s="7"/>
      <c r="E24" s="7"/>
      <c r="F24" s="232" t="s">
        <v>222</v>
      </c>
      <c r="G24" s="582"/>
      <c r="H24" s="582"/>
    </row>
    <row r="25" spans="1:8" s="225" customFormat="1">
      <c r="A25" s="6"/>
      <c r="B25" s="6"/>
      <c r="C25" s="7"/>
      <c r="D25" s="7"/>
      <c r="E25" s="7"/>
      <c r="F25" s="232" t="s">
        <v>223</v>
      </c>
      <c r="G25" s="583" t="e">
        <f>G24+H14+H13+H21+H23</f>
        <v>#REF!</v>
      </c>
      <c r="H25" s="584"/>
    </row>
    <row r="26" spans="1:8" s="225" customFormat="1">
      <c r="C26" s="234"/>
      <c r="D26" s="234"/>
      <c r="E26" s="234"/>
      <c r="F26" s="235"/>
      <c r="G26" s="239"/>
      <c r="H26" s="238"/>
    </row>
    <row r="27" spans="1:8" s="225" customFormat="1">
      <c r="A27" s="12" t="s">
        <v>132</v>
      </c>
      <c r="B27" s="12"/>
      <c r="C27" s="230" t="s">
        <v>133</v>
      </c>
      <c r="D27" s="230" t="s">
        <v>2</v>
      </c>
      <c r="E27" s="230" t="s">
        <v>1</v>
      </c>
      <c r="F27" s="569" t="s">
        <v>134</v>
      </c>
      <c r="G27" s="569"/>
      <c r="H27" s="233" t="s">
        <v>134</v>
      </c>
    </row>
    <row r="28" spans="1:8" s="225" customFormat="1">
      <c r="A28" s="79" t="s">
        <v>252</v>
      </c>
      <c r="B28" s="82" t="s">
        <v>258</v>
      </c>
      <c r="C28" s="236">
        <v>5914647</v>
      </c>
      <c r="D28" s="158">
        <v>0.44411</v>
      </c>
      <c r="E28" s="236" t="s">
        <v>105</v>
      </c>
      <c r="F28" s="577">
        <v>1.1000000000000001</v>
      </c>
      <c r="G28" s="577"/>
      <c r="H28" s="83">
        <f>D28*F28</f>
        <v>0.48852100000000004</v>
      </c>
    </row>
    <row r="29" spans="1:8" s="225" customFormat="1">
      <c r="A29" s="79" t="s">
        <v>277</v>
      </c>
      <c r="B29" s="82" t="s">
        <v>284</v>
      </c>
      <c r="C29" s="236">
        <v>5914647</v>
      </c>
      <c r="D29" s="158">
        <v>0.44412000000000001</v>
      </c>
      <c r="E29" s="236" t="s">
        <v>105</v>
      </c>
      <c r="F29" s="577">
        <v>1.1000000000000001</v>
      </c>
      <c r="G29" s="577"/>
      <c r="H29" s="83">
        <f>D29*F29</f>
        <v>0.48853200000000008</v>
      </c>
    </row>
    <row r="30" spans="1:8" s="225" customFormat="1" ht="30">
      <c r="A30" s="79" t="s">
        <v>278</v>
      </c>
      <c r="B30" s="82" t="s">
        <v>285</v>
      </c>
      <c r="C30" s="236">
        <v>5914655</v>
      </c>
      <c r="D30" s="158">
        <v>1.0300000000000001E-3</v>
      </c>
      <c r="E30" s="236" t="s">
        <v>105</v>
      </c>
      <c r="F30" s="577">
        <v>26.19</v>
      </c>
      <c r="G30" s="577"/>
      <c r="H30" s="83">
        <f>D30*F30</f>
        <v>2.6975700000000005E-2</v>
      </c>
    </row>
    <row r="31" spans="1:8" s="225" customFormat="1" ht="30">
      <c r="A31" s="79" t="s">
        <v>279</v>
      </c>
      <c r="B31" s="82" t="s">
        <v>286</v>
      </c>
      <c r="C31" s="236">
        <v>5914655</v>
      </c>
      <c r="D31" s="158">
        <v>2.521E-2</v>
      </c>
      <c r="E31" s="236" t="s">
        <v>105</v>
      </c>
      <c r="F31" s="577">
        <v>26.19</v>
      </c>
      <c r="G31" s="577"/>
      <c r="H31" s="83">
        <f>D31*F31</f>
        <v>0.66024990000000006</v>
      </c>
    </row>
    <row r="32" spans="1:8" s="225" customFormat="1">
      <c r="C32" s="234"/>
      <c r="D32" s="234"/>
      <c r="E32" s="234"/>
      <c r="F32" s="234"/>
      <c r="G32" s="235" t="s">
        <v>135</v>
      </c>
      <c r="H32" s="72">
        <f>SUM(H28:H31)</f>
        <v>1.6642786000000003</v>
      </c>
    </row>
    <row r="33" spans="1:8" s="225" customFormat="1">
      <c r="A33" s="565" t="s">
        <v>207</v>
      </c>
      <c r="B33" s="565"/>
      <c r="C33" s="567" t="s">
        <v>2</v>
      </c>
      <c r="D33" s="567" t="s">
        <v>1</v>
      </c>
      <c r="E33" s="569" t="s">
        <v>208</v>
      </c>
      <c r="F33" s="569"/>
      <c r="G33" s="569"/>
      <c r="H33" s="570" t="s">
        <v>134</v>
      </c>
    </row>
    <row r="34" spans="1:8" s="225" customFormat="1">
      <c r="A34" s="566"/>
      <c r="B34" s="566"/>
      <c r="C34" s="568"/>
      <c r="D34" s="568"/>
      <c r="E34" s="7" t="s">
        <v>209</v>
      </c>
      <c r="F34" s="7" t="s">
        <v>210</v>
      </c>
      <c r="G34" s="7" t="s">
        <v>211</v>
      </c>
      <c r="H34" s="571"/>
    </row>
    <row r="35" spans="1:8" s="225" customFormat="1">
      <c r="A35" s="3"/>
      <c r="B35" s="3"/>
      <c r="C35" s="76"/>
      <c r="D35" s="234"/>
      <c r="E35" s="572"/>
      <c r="F35" s="572"/>
      <c r="G35" s="155"/>
      <c r="H35" s="160"/>
    </row>
    <row r="36" spans="1:8" s="225" customFormat="1">
      <c r="A36" s="6"/>
      <c r="B36" s="6"/>
      <c r="C36" s="7"/>
      <c r="D36" s="7"/>
      <c r="E36" s="7"/>
      <c r="F36" s="7"/>
      <c r="G36" s="232" t="s">
        <v>213</v>
      </c>
      <c r="H36" s="161">
        <f>SUM(H35:H35)</f>
        <v>0</v>
      </c>
    </row>
    <row r="37" spans="1:8" s="225" customFormat="1">
      <c r="A37" s="6"/>
      <c r="B37" s="6"/>
      <c r="C37" s="7"/>
      <c r="D37" s="7"/>
      <c r="E37" s="7"/>
      <c r="F37" s="7"/>
      <c r="G37" s="232" t="s">
        <v>136</v>
      </c>
      <c r="H37" s="165" t="e">
        <f>H32+G25+H36</f>
        <v>#REF!</v>
      </c>
    </row>
    <row r="38" spans="1:8" s="225" customFormat="1">
      <c r="A38" s="3"/>
      <c r="B38" s="3"/>
      <c r="C38" s="4"/>
      <c r="D38" s="4"/>
      <c r="E38" s="4"/>
      <c r="F38" s="4"/>
      <c r="G38" s="17"/>
      <c r="H38" s="195"/>
    </row>
    <row r="39" spans="1:8" s="225" customFormat="1">
      <c r="A39" s="3"/>
      <c r="B39" s="3"/>
      <c r="C39" s="4"/>
      <c r="D39" s="4"/>
      <c r="E39" s="4"/>
      <c r="F39" s="4"/>
      <c r="G39" s="17"/>
      <c r="H39" s="195"/>
    </row>
    <row r="40" spans="1:8" s="225" customFormat="1">
      <c r="A40" s="3"/>
      <c r="B40" s="3"/>
      <c r="C40" s="4"/>
      <c r="D40" s="4"/>
      <c r="E40" s="4"/>
      <c r="F40" s="4"/>
      <c r="G40" s="17"/>
      <c r="H40" s="195"/>
    </row>
    <row r="41" spans="1:8">
      <c r="A41" t="s">
        <v>120</v>
      </c>
      <c r="C41" s="183" t="s">
        <v>122</v>
      </c>
      <c r="D41" s="183"/>
      <c r="E41" s="183"/>
      <c r="F41" s="183"/>
      <c r="G41" s="183"/>
      <c r="H41" s="203" t="s">
        <v>240</v>
      </c>
    </row>
    <row r="42" spans="1:8">
      <c r="A42" t="s">
        <v>121</v>
      </c>
      <c r="C42" s="75">
        <v>44287</v>
      </c>
      <c r="D42" s="183"/>
      <c r="E42" s="187" t="s">
        <v>123</v>
      </c>
      <c r="F42" s="156">
        <v>84.62</v>
      </c>
      <c r="G42" s="10" t="s">
        <v>9</v>
      </c>
    </row>
    <row r="43" spans="1:8">
      <c r="A43" s="2">
        <v>4011282</v>
      </c>
      <c r="B43" s="2" t="s">
        <v>241</v>
      </c>
      <c r="C43" s="183"/>
      <c r="D43" s="183"/>
      <c r="E43" s="183"/>
      <c r="F43" s="183"/>
      <c r="G43" s="183"/>
      <c r="H43" s="187" t="s">
        <v>124</v>
      </c>
    </row>
    <row r="44" spans="1:8">
      <c r="A44" s="565" t="s">
        <v>106</v>
      </c>
      <c r="B44" s="565"/>
      <c r="C44" s="578" t="s">
        <v>2</v>
      </c>
      <c r="D44" s="580" t="s">
        <v>113</v>
      </c>
      <c r="E44" s="580"/>
      <c r="F44" s="580" t="s">
        <v>114</v>
      </c>
      <c r="G44" s="580"/>
      <c r="H44" s="578" t="s">
        <v>116</v>
      </c>
    </row>
    <row r="45" spans="1:8">
      <c r="A45" s="566"/>
      <c r="B45" s="566"/>
      <c r="C45" s="579"/>
      <c r="D45" s="7" t="s">
        <v>109</v>
      </c>
      <c r="E45" s="7" t="s">
        <v>110</v>
      </c>
      <c r="F45" s="7" t="s">
        <v>111</v>
      </c>
      <c r="G45" s="7" t="s">
        <v>112</v>
      </c>
      <c r="H45" s="579"/>
    </row>
    <row r="46" spans="1:8">
      <c r="A46" t="s">
        <v>220</v>
      </c>
      <c r="B46" t="s">
        <v>221</v>
      </c>
      <c r="C46" s="76">
        <v>1</v>
      </c>
      <c r="D46" s="155">
        <v>0.76</v>
      </c>
      <c r="E46" s="155">
        <v>0.24</v>
      </c>
      <c r="F46" s="182">
        <v>226.63300000000001</v>
      </c>
      <c r="G46" s="182">
        <v>60.494799999999998</v>
      </c>
      <c r="H46" s="72">
        <f>C46*D46*F46+E46*G46</f>
        <v>186.75983200000002</v>
      </c>
    </row>
    <row r="47" spans="1:8">
      <c r="A47" t="s">
        <v>139</v>
      </c>
      <c r="B47" t="s">
        <v>154</v>
      </c>
      <c r="C47" s="76">
        <v>1</v>
      </c>
      <c r="D47" s="155">
        <v>0.88</v>
      </c>
      <c r="E47" s="155">
        <v>0.12</v>
      </c>
      <c r="F47" s="237">
        <v>151.4177</v>
      </c>
      <c r="G47" s="237">
        <v>72.008300000000006</v>
      </c>
      <c r="H47" s="72">
        <f>C47*D47*F47+E47*G47</f>
        <v>141.88857200000001</v>
      </c>
    </row>
    <row r="48" spans="1:8">
      <c r="A48" t="s">
        <v>140</v>
      </c>
      <c r="B48" t="s">
        <v>216</v>
      </c>
      <c r="C48" s="76">
        <v>1</v>
      </c>
      <c r="D48" s="155">
        <v>0.71</v>
      </c>
      <c r="E48" s="155">
        <v>0.28999999999999998</v>
      </c>
      <c r="F48" s="237">
        <v>146.9331</v>
      </c>
      <c r="G48" s="237">
        <v>60.789700000000003</v>
      </c>
      <c r="H48" s="72">
        <f>C48*D48*F48+E48*G48</f>
        <v>121.95151399999999</v>
      </c>
    </row>
    <row r="49" spans="1:8">
      <c r="C49" s="183"/>
      <c r="D49" s="183"/>
      <c r="E49" s="183"/>
      <c r="F49" s="183"/>
      <c r="G49" s="187" t="s">
        <v>129</v>
      </c>
      <c r="H49" s="74">
        <f>SUM(H46:H48)</f>
        <v>450.599918</v>
      </c>
    </row>
    <row r="50" spans="1:8">
      <c r="A50" s="12" t="s">
        <v>115</v>
      </c>
      <c r="B50" s="12"/>
      <c r="C50" s="185" t="s">
        <v>2</v>
      </c>
      <c r="D50" s="185" t="s">
        <v>1</v>
      </c>
      <c r="E50" s="569" t="s">
        <v>114</v>
      </c>
      <c r="F50" s="569"/>
      <c r="G50" s="581" t="s">
        <v>116</v>
      </c>
      <c r="H50" s="581"/>
    </row>
    <row r="51" spans="1:8">
      <c r="A51" t="s">
        <v>117</v>
      </c>
      <c r="B51" t="s">
        <v>118</v>
      </c>
      <c r="C51" s="76">
        <v>1</v>
      </c>
      <c r="D51" s="183" t="s">
        <v>119</v>
      </c>
      <c r="E51" s="573">
        <v>21.135400000000001</v>
      </c>
      <c r="F51" s="573"/>
      <c r="G51" s="574">
        <f>C51*E51</f>
        <v>21.135400000000001</v>
      </c>
      <c r="H51" s="574"/>
    </row>
    <row r="52" spans="1:8">
      <c r="C52" s="183"/>
      <c r="D52" s="183"/>
      <c r="E52" s="183"/>
      <c r="F52" s="187" t="s">
        <v>127</v>
      </c>
      <c r="G52" s="574">
        <f>SUM(G51)</f>
        <v>21.135400000000001</v>
      </c>
      <c r="H52" s="574"/>
    </row>
    <row r="53" spans="1:8">
      <c r="A53" s="6"/>
      <c r="B53" s="6"/>
      <c r="C53" s="7"/>
      <c r="D53" s="7"/>
      <c r="E53" s="7"/>
      <c r="F53" s="188" t="s">
        <v>128</v>
      </c>
      <c r="G53" s="583">
        <f>G52+H49</f>
        <v>471.73531800000001</v>
      </c>
      <c r="H53" s="584"/>
    </row>
    <row r="54" spans="1:8">
      <c r="C54" s="183"/>
      <c r="D54" s="183"/>
      <c r="E54" s="183"/>
      <c r="F54" s="187" t="s">
        <v>138</v>
      </c>
      <c r="G54" s="189"/>
      <c r="H54" s="184">
        <f>G53/F42</f>
        <v>5.5747496809264945</v>
      </c>
    </row>
    <row r="55" spans="1:8">
      <c r="C55" s="183"/>
      <c r="D55" s="183"/>
      <c r="E55" s="183"/>
      <c r="F55" s="187" t="s">
        <v>142</v>
      </c>
      <c r="G55" s="189"/>
      <c r="H55" s="184">
        <v>8.2699999999999996E-2</v>
      </c>
    </row>
    <row r="56" spans="1:8">
      <c r="A56" s="12" t="s">
        <v>125</v>
      </c>
      <c r="B56" s="12"/>
      <c r="C56" s="185" t="s">
        <v>2</v>
      </c>
      <c r="D56" s="185" t="s">
        <v>1</v>
      </c>
      <c r="E56" s="569" t="s">
        <v>215</v>
      </c>
      <c r="F56" s="569"/>
      <c r="G56" s="581" t="s">
        <v>116</v>
      </c>
      <c r="H56" s="581"/>
    </row>
    <row r="57" spans="1:8" s="194" customFormat="1">
      <c r="A57" s="194" t="s">
        <v>242</v>
      </c>
      <c r="B57" s="194" t="s">
        <v>244</v>
      </c>
      <c r="C57" s="192">
        <v>1.26</v>
      </c>
      <c r="D57" s="196" t="s">
        <v>9</v>
      </c>
      <c r="E57" s="575" t="e">
        <f>#REF!</f>
        <v>#REF!</v>
      </c>
      <c r="F57" s="575"/>
      <c r="G57" s="576" t="e">
        <f>C57*E57</f>
        <v>#REF!</v>
      </c>
      <c r="H57" s="576"/>
    </row>
    <row r="58" spans="1:8" s="194" customFormat="1">
      <c r="A58" s="194" t="s">
        <v>243</v>
      </c>
      <c r="B58" s="194" t="s">
        <v>245</v>
      </c>
      <c r="C58" s="192">
        <v>0.14000000000000001</v>
      </c>
      <c r="D58" s="196" t="s">
        <v>9</v>
      </c>
      <c r="E58" s="575" t="e">
        <f>#REF!</f>
        <v>#REF!</v>
      </c>
      <c r="F58" s="575"/>
      <c r="G58" s="576" t="e">
        <f>C58*E58</f>
        <v>#REF!</v>
      </c>
      <c r="H58" s="576"/>
    </row>
    <row r="59" spans="1:8">
      <c r="A59" s="6"/>
      <c r="B59" s="6"/>
      <c r="C59" s="7"/>
      <c r="D59" s="7"/>
      <c r="E59" s="7"/>
      <c r="F59" s="188" t="s">
        <v>126</v>
      </c>
      <c r="G59" s="582" t="e">
        <f>SUM(G57:H58)</f>
        <v>#REF!</v>
      </c>
      <c r="H59" s="582"/>
    </row>
    <row r="60" spans="1:8">
      <c r="C60" s="183"/>
      <c r="D60" s="183"/>
      <c r="E60" s="183"/>
      <c r="F60" s="183"/>
      <c r="G60" s="183" t="s">
        <v>137</v>
      </c>
      <c r="H60" s="74" t="e">
        <f>SUM(G59)</f>
        <v>#REF!</v>
      </c>
    </row>
    <row r="61" spans="1:8">
      <c r="A61" s="12" t="s">
        <v>130</v>
      </c>
      <c r="B61" s="12"/>
      <c r="C61" s="185" t="s">
        <v>2</v>
      </c>
      <c r="D61" s="185" t="s">
        <v>1</v>
      </c>
      <c r="E61" s="569" t="s">
        <v>114</v>
      </c>
      <c r="F61" s="569"/>
      <c r="G61" s="581" t="s">
        <v>116</v>
      </c>
      <c r="H61" s="581"/>
    </row>
    <row r="62" spans="1:8">
      <c r="A62" s="6"/>
      <c r="B62" s="6"/>
      <c r="C62" s="7"/>
      <c r="D62" s="7"/>
      <c r="E62" s="7"/>
      <c r="F62" s="188" t="s">
        <v>222</v>
      </c>
      <c r="G62" s="582"/>
      <c r="H62" s="582"/>
    </row>
    <row r="63" spans="1:8">
      <c r="A63" s="6"/>
      <c r="B63" s="6"/>
      <c r="C63" s="7"/>
      <c r="D63" s="7"/>
      <c r="E63" s="7"/>
      <c r="F63" s="188" t="s">
        <v>223</v>
      </c>
      <c r="G63" s="583" t="e">
        <f>G62+H55+H54+H60</f>
        <v>#REF!</v>
      </c>
      <c r="H63" s="584"/>
    </row>
    <row r="64" spans="1:8">
      <c r="C64" s="183"/>
      <c r="D64" s="183"/>
      <c r="E64" s="183"/>
      <c r="F64" s="187"/>
      <c r="G64" s="189"/>
      <c r="H64" s="184"/>
    </row>
    <row r="65" spans="1:8">
      <c r="A65" s="12" t="s">
        <v>132</v>
      </c>
      <c r="B65" s="12"/>
      <c r="C65" s="185" t="s">
        <v>133</v>
      </c>
      <c r="D65" s="185" t="s">
        <v>2</v>
      </c>
      <c r="E65" s="185" t="s">
        <v>1</v>
      </c>
      <c r="F65" s="569" t="s">
        <v>134</v>
      </c>
      <c r="G65" s="569"/>
      <c r="H65" s="190" t="s">
        <v>134</v>
      </c>
    </row>
    <row r="66" spans="1:8">
      <c r="A66" s="79" t="s">
        <v>242</v>
      </c>
      <c r="B66" s="82" t="s">
        <v>246</v>
      </c>
      <c r="C66" s="186">
        <v>5914651</v>
      </c>
      <c r="D66" s="158">
        <v>1.89</v>
      </c>
      <c r="E66" s="186" t="s">
        <v>105</v>
      </c>
      <c r="F66" s="577">
        <v>1.58</v>
      </c>
      <c r="G66" s="577"/>
      <c r="H66" s="83">
        <f>D66*F66</f>
        <v>2.9862000000000002</v>
      </c>
    </row>
    <row r="67" spans="1:8">
      <c r="A67" s="79" t="s">
        <v>243</v>
      </c>
      <c r="B67" s="82" t="s">
        <v>247</v>
      </c>
      <c r="C67" s="186">
        <v>5914651</v>
      </c>
      <c r="D67" s="158">
        <v>0.21</v>
      </c>
      <c r="E67" s="186" t="s">
        <v>105</v>
      </c>
      <c r="F67" s="577">
        <v>1.58</v>
      </c>
      <c r="G67" s="577"/>
      <c r="H67" s="83">
        <f>D67*F67</f>
        <v>0.33179999999999998</v>
      </c>
    </row>
    <row r="68" spans="1:8">
      <c r="C68" s="183"/>
      <c r="D68" s="183"/>
      <c r="E68" s="183"/>
      <c r="F68" s="183"/>
      <c r="G68" s="187" t="s">
        <v>135</v>
      </c>
      <c r="H68" s="72">
        <f>SUM(H66:H67)</f>
        <v>3.3180000000000001</v>
      </c>
    </row>
    <row r="69" spans="1:8">
      <c r="A69" s="565" t="s">
        <v>207</v>
      </c>
      <c r="B69" s="565"/>
      <c r="C69" s="567" t="s">
        <v>2</v>
      </c>
      <c r="D69" s="567" t="s">
        <v>1</v>
      </c>
      <c r="E69" s="569" t="s">
        <v>208</v>
      </c>
      <c r="F69" s="569"/>
      <c r="G69" s="569"/>
      <c r="H69" s="570" t="s">
        <v>134</v>
      </c>
    </row>
    <row r="70" spans="1:8">
      <c r="A70" s="566"/>
      <c r="B70" s="566"/>
      <c r="C70" s="568"/>
      <c r="D70" s="568"/>
      <c r="E70" s="7" t="s">
        <v>209</v>
      </c>
      <c r="F70" s="7" t="s">
        <v>210</v>
      </c>
      <c r="G70" s="7" t="s">
        <v>211</v>
      </c>
      <c r="H70" s="571"/>
    </row>
    <row r="71" spans="1:8">
      <c r="A71" s="3"/>
      <c r="B71" s="3"/>
      <c r="C71" s="76"/>
      <c r="D71" s="183"/>
      <c r="E71" s="572"/>
      <c r="F71" s="572"/>
      <c r="G71" s="155"/>
      <c r="H71" s="160"/>
    </row>
    <row r="72" spans="1:8">
      <c r="A72" s="6"/>
      <c r="B72" s="6"/>
      <c r="C72" s="7"/>
      <c r="D72" s="7"/>
      <c r="E72" s="7"/>
      <c r="F72" s="7"/>
      <c r="G72" s="188" t="s">
        <v>213</v>
      </c>
      <c r="H72" s="161">
        <f>SUM(H71:H71)</f>
        <v>0</v>
      </c>
    </row>
    <row r="73" spans="1:8">
      <c r="A73" s="6"/>
      <c r="B73" s="6"/>
      <c r="C73" s="7"/>
      <c r="D73" s="7"/>
      <c r="E73" s="7"/>
      <c r="F73" s="7"/>
      <c r="G73" s="188" t="s">
        <v>136</v>
      </c>
      <c r="H73" s="165" t="e">
        <f>H68+G63+H72</f>
        <v>#REF!</v>
      </c>
    </row>
    <row r="74" spans="1:8">
      <c r="A74" s="3"/>
      <c r="B74" s="3"/>
      <c r="C74" s="4"/>
      <c r="D74" s="4"/>
      <c r="E74" s="4"/>
      <c r="F74" s="4"/>
      <c r="G74" s="17"/>
      <c r="H74" s="195"/>
    </row>
    <row r="75" spans="1:8">
      <c r="A75" s="3"/>
      <c r="B75" s="3"/>
      <c r="C75" s="4"/>
      <c r="D75" s="4"/>
      <c r="E75" s="4"/>
      <c r="F75" s="4"/>
      <c r="G75" s="17"/>
      <c r="H75" s="195"/>
    </row>
    <row r="76" spans="1:8">
      <c r="A76" s="3"/>
      <c r="B76" s="3"/>
      <c r="C76" s="4"/>
      <c r="D76" s="4"/>
      <c r="E76" s="4"/>
      <c r="F76" s="4"/>
      <c r="G76" s="17"/>
      <c r="H76" s="195"/>
    </row>
    <row r="77" spans="1:8">
      <c r="A77" s="3"/>
      <c r="B77" s="3"/>
      <c r="C77" s="4"/>
      <c r="D77" s="4"/>
      <c r="E77" s="4"/>
      <c r="F77" s="4"/>
      <c r="G77" s="17"/>
      <c r="H77" s="195"/>
    </row>
    <row r="78" spans="1:8">
      <c r="A78" s="3"/>
      <c r="B78" s="3"/>
      <c r="C78" s="4"/>
      <c r="D78" s="4"/>
      <c r="E78" s="4"/>
      <c r="F78" s="4"/>
      <c r="G78" s="17"/>
      <c r="H78" s="195"/>
    </row>
    <row r="79" spans="1:8">
      <c r="A79" s="3"/>
      <c r="B79" s="3"/>
      <c r="C79" s="4"/>
      <c r="D79" s="4"/>
      <c r="E79" s="4"/>
      <c r="F79" s="4"/>
      <c r="G79" s="17"/>
      <c r="H79" s="195"/>
    </row>
    <row r="80" spans="1:8">
      <c r="A80" s="3"/>
      <c r="B80" s="3"/>
      <c r="C80" s="4"/>
      <c r="D80" s="4"/>
      <c r="E80" s="4"/>
      <c r="F80" s="4"/>
      <c r="G80" s="17"/>
      <c r="H80" s="195"/>
    </row>
    <row r="81" spans="1:8">
      <c r="A81" t="s">
        <v>120</v>
      </c>
      <c r="C81" s="169" t="s">
        <v>122</v>
      </c>
      <c r="D81" s="169"/>
      <c r="E81" s="169"/>
      <c r="F81" s="169"/>
      <c r="G81" s="169"/>
      <c r="H81" s="203" t="s">
        <v>265</v>
      </c>
    </row>
    <row r="82" spans="1:8">
      <c r="A82" t="s">
        <v>121</v>
      </c>
      <c r="C82" s="75">
        <v>44287</v>
      </c>
      <c r="D82" s="169"/>
      <c r="E82" s="172" t="s">
        <v>123</v>
      </c>
      <c r="F82" s="156">
        <v>113.18</v>
      </c>
      <c r="G82" s="10" t="s">
        <v>9</v>
      </c>
    </row>
    <row r="83" spans="1:8">
      <c r="A83" s="2">
        <v>4011276</v>
      </c>
      <c r="B83" s="2" t="s">
        <v>188</v>
      </c>
      <c r="C83" s="169"/>
      <c r="D83" s="169"/>
      <c r="E83" s="169"/>
      <c r="F83" s="169"/>
      <c r="G83" s="169"/>
      <c r="H83" s="172" t="s">
        <v>124</v>
      </c>
    </row>
    <row r="84" spans="1:8">
      <c r="A84" s="565" t="s">
        <v>106</v>
      </c>
      <c r="B84" s="565"/>
      <c r="C84" s="578" t="s">
        <v>2</v>
      </c>
      <c r="D84" s="580" t="s">
        <v>113</v>
      </c>
      <c r="E84" s="580"/>
      <c r="F84" s="580" t="s">
        <v>114</v>
      </c>
      <c r="G84" s="580"/>
      <c r="H84" s="578" t="s">
        <v>116</v>
      </c>
    </row>
    <row r="85" spans="1:8">
      <c r="A85" s="566"/>
      <c r="B85" s="566"/>
      <c r="C85" s="579"/>
      <c r="D85" s="7" t="s">
        <v>109</v>
      </c>
      <c r="E85" s="7" t="s">
        <v>110</v>
      </c>
      <c r="F85" s="7" t="s">
        <v>111</v>
      </c>
      <c r="G85" s="7" t="s">
        <v>112</v>
      </c>
      <c r="H85" s="579"/>
    </row>
    <row r="86" spans="1:8">
      <c r="A86" t="s">
        <v>220</v>
      </c>
      <c r="B86" t="s">
        <v>221</v>
      </c>
      <c r="C86" s="76">
        <v>1</v>
      </c>
      <c r="D86" s="155">
        <v>0.34</v>
      </c>
      <c r="E86" s="155">
        <v>0.66</v>
      </c>
      <c r="F86" s="234">
        <v>226.63300000000001</v>
      </c>
      <c r="G86" s="234">
        <v>60.494799999999998</v>
      </c>
      <c r="H86" s="72">
        <f>C86*D86*F86+E86*G86</f>
        <v>116.98178800000001</v>
      </c>
    </row>
    <row r="87" spans="1:8">
      <c r="A87" t="s">
        <v>139</v>
      </c>
      <c r="B87" t="s">
        <v>154</v>
      </c>
      <c r="C87" s="76">
        <v>1</v>
      </c>
      <c r="D87" s="155">
        <v>0.65</v>
      </c>
      <c r="E87" s="155">
        <v>0.35</v>
      </c>
      <c r="F87" s="234">
        <v>151.4177</v>
      </c>
      <c r="G87" s="234">
        <v>72.008300000000006</v>
      </c>
      <c r="H87" s="72">
        <f>C87*D87*F87+E87*G87</f>
        <v>123.62441</v>
      </c>
    </row>
    <row r="88" spans="1:8">
      <c r="A88" t="s">
        <v>140</v>
      </c>
      <c r="B88" t="s">
        <v>216</v>
      </c>
      <c r="C88" s="76">
        <v>1</v>
      </c>
      <c r="D88" s="155">
        <v>0.52</v>
      </c>
      <c r="E88" s="155">
        <v>0.48</v>
      </c>
      <c r="F88" s="234">
        <v>146.9331</v>
      </c>
      <c r="G88" s="234">
        <v>60.789700000000003</v>
      </c>
      <c r="H88" s="72">
        <f>C88*D88*F88+E88*G88</f>
        <v>105.58426800000001</v>
      </c>
    </row>
    <row r="89" spans="1:8">
      <c r="C89" s="169"/>
      <c r="D89" s="169"/>
      <c r="E89" s="169"/>
      <c r="F89" s="169"/>
      <c r="G89" s="172" t="s">
        <v>129</v>
      </c>
      <c r="H89" s="74">
        <f>SUM(H86:H88)</f>
        <v>346.19046600000001</v>
      </c>
    </row>
    <row r="90" spans="1:8">
      <c r="A90" s="12" t="s">
        <v>115</v>
      </c>
      <c r="B90" s="12"/>
      <c r="C90" s="167" t="s">
        <v>2</v>
      </c>
      <c r="D90" s="167" t="s">
        <v>1</v>
      </c>
      <c r="E90" s="569" t="s">
        <v>114</v>
      </c>
      <c r="F90" s="569"/>
      <c r="G90" s="581" t="s">
        <v>116</v>
      </c>
      <c r="H90" s="581"/>
    </row>
    <row r="91" spans="1:8">
      <c r="A91" t="s">
        <v>117</v>
      </c>
      <c r="B91" t="s">
        <v>118</v>
      </c>
      <c r="C91" s="76">
        <v>1</v>
      </c>
      <c r="D91" s="169" t="s">
        <v>119</v>
      </c>
      <c r="E91" s="573">
        <v>21.135400000000001</v>
      </c>
      <c r="F91" s="573"/>
      <c r="G91" s="574">
        <f>C91*E91</f>
        <v>21.135400000000001</v>
      </c>
      <c r="H91" s="574"/>
    </row>
    <row r="92" spans="1:8">
      <c r="C92" s="169"/>
      <c r="D92" s="169"/>
      <c r="E92" s="169"/>
      <c r="F92" s="172" t="s">
        <v>127</v>
      </c>
      <c r="G92" s="574">
        <f>SUM(G91)</f>
        <v>21.135400000000001</v>
      </c>
      <c r="H92" s="574"/>
    </row>
    <row r="93" spans="1:8">
      <c r="A93" s="6"/>
      <c r="B93" s="6"/>
      <c r="C93" s="7"/>
      <c r="D93" s="7"/>
      <c r="E93" s="7"/>
      <c r="F93" s="168" t="s">
        <v>128</v>
      </c>
      <c r="G93" s="583">
        <f>G92+H89</f>
        <v>367.32586600000002</v>
      </c>
      <c r="H93" s="584"/>
    </row>
    <row r="94" spans="1:8">
      <c r="C94" s="169"/>
      <c r="D94" s="169"/>
      <c r="E94" s="169"/>
      <c r="F94" s="172" t="s">
        <v>138</v>
      </c>
      <c r="G94" s="171"/>
      <c r="H94" s="170">
        <f>G93/F82</f>
        <v>3.245501555045061</v>
      </c>
    </row>
    <row r="95" spans="1:8">
      <c r="C95" s="169"/>
      <c r="D95" s="169"/>
      <c r="E95" s="169"/>
      <c r="F95" s="172" t="s">
        <v>142</v>
      </c>
      <c r="G95" s="171"/>
      <c r="H95" s="170">
        <v>5.2200000000000003E-2</v>
      </c>
    </row>
    <row r="96" spans="1:8">
      <c r="A96" s="12" t="s">
        <v>125</v>
      </c>
      <c r="B96" s="12"/>
      <c r="C96" s="167" t="s">
        <v>2</v>
      </c>
      <c r="D96" s="167" t="s">
        <v>1</v>
      </c>
      <c r="E96" s="569" t="s">
        <v>215</v>
      </c>
      <c r="F96" s="569"/>
      <c r="G96" s="581" t="s">
        <v>116</v>
      </c>
      <c r="H96" s="581"/>
    </row>
    <row r="97" spans="1:8" s="194" customFormat="1">
      <c r="A97" s="197">
        <v>6416040</v>
      </c>
      <c r="B97" s="194" t="s">
        <v>224</v>
      </c>
      <c r="C97" s="192">
        <v>1.4</v>
      </c>
      <c r="D97" s="196" t="s">
        <v>9</v>
      </c>
      <c r="E97" s="575" t="e">
        <f>#REF!</f>
        <v>#REF!</v>
      </c>
      <c r="F97" s="575"/>
      <c r="G97" s="576" t="e">
        <f>C97*E97</f>
        <v>#REF!</v>
      </c>
      <c r="H97" s="576"/>
    </row>
    <row r="98" spans="1:8">
      <c r="A98" s="6"/>
      <c r="B98" s="6"/>
      <c r="C98" s="7"/>
      <c r="D98" s="7"/>
      <c r="E98" s="7"/>
      <c r="F98" s="168" t="s">
        <v>126</v>
      </c>
      <c r="G98" s="583" t="e">
        <f>SUM(G97)</f>
        <v>#REF!</v>
      </c>
      <c r="H98" s="583"/>
    </row>
    <row r="99" spans="1:8">
      <c r="C99" s="169"/>
      <c r="D99" s="169"/>
      <c r="E99" s="169"/>
      <c r="F99" s="169"/>
      <c r="G99" s="169" t="s">
        <v>137</v>
      </c>
      <c r="H99" s="74" t="e">
        <f>G98+H94+H95</f>
        <v>#REF!</v>
      </c>
    </row>
    <row r="100" spans="1:8">
      <c r="A100" s="12" t="s">
        <v>130</v>
      </c>
      <c r="B100" s="12"/>
      <c r="C100" s="167" t="s">
        <v>2</v>
      </c>
      <c r="D100" s="167" t="s">
        <v>1</v>
      </c>
      <c r="E100" s="569" t="s">
        <v>114</v>
      </c>
      <c r="F100" s="569"/>
      <c r="G100" s="581" t="s">
        <v>116</v>
      </c>
      <c r="H100" s="581"/>
    </row>
    <row r="101" spans="1:8">
      <c r="A101" s="6"/>
      <c r="B101" s="6"/>
      <c r="C101" s="7"/>
      <c r="D101" s="7"/>
      <c r="E101" s="7"/>
      <c r="F101" s="168" t="s">
        <v>222</v>
      </c>
      <c r="G101" s="582">
        <v>0</v>
      </c>
      <c r="H101" s="582"/>
    </row>
    <row r="102" spans="1:8">
      <c r="A102" s="6"/>
      <c r="B102" s="6"/>
      <c r="C102" s="7"/>
      <c r="D102" s="7"/>
      <c r="E102" s="7"/>
      <c r="F102" s="168" t="s">
        <v>223</v>
      </c>
      <c r="G102" s="583">
        <f>SUM(G101)</f>
        <v>0</v>
      </c>
      <c r="H102" s="584"/>
    </row>
    <row r="103" spans="1:8">
      <c r="C103" s="169"/>
      <c r="D103" s="169"/>
      <c r="E103" s="169"/>
      <c r="F103" s="172"/>
      <c r="G103" s="171"/>
      <c r="H103" s="170"/>
    </row>
    <row r="104" spans="1:8">
      <c r="A104" s="12" t="s">
        <v>132</v>
      </c>
      <c r="B104" s="12"/>
      <c r="C104" s="167" t="s">
        <v>133</v>
      </c>
      <c r="D104" s="167" t="s">
        <v>2</v>
      </c>
      <c r="E104" s="167" t="s">
        <v>1</v>
      </c>
      <c r="F104" s="569" t="s">
        <v>134</v>
      </c>
      <c r="G104" s="569"/>
      <c r="H104" s="173" t="s">
        <v>134</v>
      </c>
    </row>
    <row r="105" spans="1:8">
      <c r="A105" s="79"/>
      <c r="B105" s="82"/>
      <c r="C105" s="166"/>
      <c r="D105" s="158"/>
      <c r="E105" s="166"/>
      <c r="F105" s="577"/>
      <c r="G105" s="577"/>
      <c r="H105" s="83"/>
    </row>
    <row r="106" spans="1:8">
      <c r="C106" s="169"/>
      <c r="D106" s="169"/>
      <c r="E106" s="169"/>
      <c r="F106" s="169"/>
      <c r="G106" s="172" t="s">
        <v>135</v>
      </c>
      <c r="H106" s="72">
        <f>SUM(H105:H105)</f>
        <v>0</v>
      </c>
    </row>
    <row r="107" spans="1:8">
      <c r="A107" s="565" t="s">
        <v>207</v>
      </c>
      <c r="B107" s="565"/>
      <c r="C107" s="567" t="s">
        <v>2</v>
      </c>
      <c r="D107" s="567" t="s">
        <v>1</v>
      </c>
      <c r="E107" s="569" t="s">
        <v>208</v>
      </c>
      <c r="F107" s="569"/>
      <c r="G107" s="569"/>
      <c r="H107" s="570" t="s">
        <v>134</v>
      </c>
    </row>
    <row r="108" spans="1:8">
      <c r="A108" s="566"/>
      <c r="B108" s="566"/>
      <c r="C108" s="568"/>
      <c r="D108" s="568"/>
      <c r="E108" s="7" t="s">
        <v>209</v>
      </c>
      <c r="F108" s="7" t="s">
        <v>210</v>
      </c>
      <c r="G108" s="7" t="s">
        <v>211</v>
      </c>
      <c r="H108" s="571"/>
    </row>
    <row r="109" spans="1:8">
      <c r="A109" s="3"/>
      <c r="B109" s="3"/>
      <c r="C109" s="76"/>
      <c r="D109" s="169"/>
      <c r="E109" s="572"/>
      <c r="F109" s="572"/>
      <c r="G109" s="155"/>
      <c r="H109" s="160"/>
    </row>
    <row r="110" spans="1:8">
      <c r="A110" s="6"/>
      <c r="B110" s="6"/>
      <c r="C110" s="7"/>
      <c r="D110" s="7"/>
      <c r="E110" s="7"/>
      <c r="F110" s="7"/>
      <c r="G110" s="168" t="s">
        <v>213</v>
      </c>
      <c r="H110" s="161">
        <f>SUM(H109:H109)</f>
        <v>0</v>
      </c>
    </row>
    <row r="111" spans="1:8">
      <c r="A111" s="6"/>
      <c r="B111" s="6"/>
      <c r="C111" s="7"/>
      <c r="D111" s="7"/>
      <c r="E111" s="7"/>
      <c r="F111" s="7"/>
      <c r="G111" s="168" t="s">
        <v>136</v>
      </c>
      <c r="H111" s="165" t="e">
        <f>H99</f>
        <v>#REF!</v>
      </c>
    </row>
    <row r="112" spans="1:8" hidden="1">
      <c r="A112" t="s">
        <v>120</v>
      </c>
      <c r="C112" s="1" t="s">
        <v>122</v>
      </c>
      <c r="H112" s="203" t="s">
        <v>267</v>
      </c>
    </row>
    <row r="113" spans="1:8" hidden="1">
      <c r="A113" t="s">
        <v>121</v>
      </c>
      <c r="C113" s="75">
        <v>44105</v>
      </c>
      <c r="E113" s="73" t="s">
        <v>123</v>
      </c>
      <c r="F113" s="156">
        <v>84.66</v>
      </c>
      <c r="G113" s="10" t="s">
        <v>105</v>
      </c>
    </row>
    <row r="114" spans="1:8" hidden="1">
      <c r="A114" s="2">
        <v>6416213</v>
      </c>
      <c r="B114" s="2" t="s">
        <v>260</v>
      </c>
      <c r="H114" s="73" t="s">
        <v>124</v>
      </c>
    </row>
    <row r="115" spans="1:8" hidden="1">
      <c r="A115" s="565" t="s">
        <v>106</v>
      </c>
      <c r="B115" s="565"/>
      <c r="C115" s="578" t="s">
        <v>2</v>
      </c>
      <c r="D115" s="580" t="s">
        <v>113</v>
      </c>
      <c r="E115" s="580"/>
      <c r="F115" s="580" t="s">
        <v>114</v>
      </c>
      <c r="G115" s="580"/>
      <c r="H115" s="578" t="s">
        <v>116</v>
      </c>
    </row>
    <row r="116" spans="1:8" hidden="1">
      <c r="A116" s="566"/>
      <c r="B116" s="566"/>
      <c r="C116" s="579"/>
      <c r="D116" s="7" t="s">
        <v>109</v>
      </c>
      <c r="E116" s="7" t="s">
        <v>110</v>
      </c>
      <c r="F116" s="7" t="s">
        <v>111</v>
      </c>
      <c r="G116" s="7" t="s">
        <v>112</v>
      </c>
      <c r="H116" s="579"/>
    </row>
    <row r="117" spans="1:8" hidden="1">
      <c r="A117" t="s">
        <v>189</v>
      </c>
      <c r="B117" t="s">
        <v>107</v>
      </c>
      <c r="C117" s="76">
        <v>1</v>
      </c>
      <c r="D117" s="155">
        <v>1</v>
      </c>
      <c r="E117" s="155">
        <v>0</v>
      </c>
      <c r="F117" s="183">
        <v>35.933799999999998</v>
      </c>
      <c r="G117" s="183">
        <v>18.839099999999998</v>
      </c>
      <c r="H117" s="72">
        <f>C117*D117*F117+E117*G117</f>
        <v>35.933799999999998</v>
      </c>
    </row>
    <row r="118" spans="1:8" hidden="1">
      <c r="A118" t="s">
        <v>190</v>
      </c>
      <c r="B118" t="s">
        <v>249</v>
      </c>
      <c r="C118" s="76">
        <v>1</v>
      </c>
      <c r="D118" s="155">
        <v>0.68</v>
      </c>
      <c r="E118" s="155">
        <v>0.32</v>
      </c>
      <c r="F118" s="183">
        <v>111.4147</v>
      </c>
      <c r="G118" s="183">
        <v>56.344200000000001</v>
      </c>
      <c r="H118" s="72">
        <f>C118*D118*F118+E118*G118</f>
        <v>93.792139999999989</v>
      </c>
    </row>
    <row r="119" spans="1:8" hidden="1">
      <c r="A119" t="s">
        <v>191</v>
      </c>
      <c r="B119" t="s">
        <v>108</v>
      </c>
      <c r="C119" s="76">
        <v>1</v>
      </c>
      <c r="D119" s="155">
        <v>1</v>
      </c>
      <c r="E119" s="155">
        <v>0</v>
      </c>
      <c r="F119" s="183">
        <v>227.08359999999999</v>
      </c>
      <c r="G119" s="183">
        <v>10.2835</v>
      </c>
      <c r="H119" s="72">
        <f>C119*D119*F119+E119*G119</f>
        <v>227.08359999999999</v>
      </c>
    </row>
    <row r="120" spans="1:8" hidden="1">
      <c r="A120" t="s">
        <v>248</v>
      </c>
      <c r="B120" t="s">
        <v>250</v>
      </c>
      <c r="C120" s="76">
        <v>2</v>
      </c>
      <c r="D120" s="155">
        <v>1</v>
      </c>
      <c r="E120" s="155">
        <v>0</v>
      </c>
      <c r="F120" s="183">
        <v>17.8399</v>
      </c>
      <c r="G120" s="183">
        <v>11.3331</v>
      </c>
      <c r="H120" s="72">
        <f>C120*D120*F120+E120*G120</f>
        <v>35.6798</v>
      </c>
    </row>
    <row r="121" spans="1:8" hidden="1">
      <c r="A121" t="s">
        <v>192</v>
      </c>
      <c r="B121" t="s">
        <v>251</v>
      </c>
      <c r="C121" s="76">
        <v>1</v>
      </c>
      <c r="D121" s="155">
        <v>1</v>
      </c>
      <c r="E121" s="155">
        <v>0</v>
      </c>
      <c r="F121" s="183">
        <v>840.28769999999997</v>
      </c>
      <c r="G121" s="183">
        <v>404.66730000000001</v>
      </c>
      <c r="H121" s="72">
        <f>C121*D121*F121+E121*G121</f>
        <v>840.28769999999997</v>
      </c>
    </row>
    <row r="122" spans="1:8" hidden="1">
      <c r="G122" s="73" t="s">
        <v>129</v>
      </c>
      <c r="H122" s="74">
        <f>SUM(H117:H121)</f>
        <v>1232.7770399999999</v>
      </c>
    </row>
    <row r="123" spans="1:8" hidden="1">
      <c r="A123" s="12" t="s">
        <v>115</v>
      </c>
      <c r="B123" s="12"/>
      <c r="C123" s="13" t="s">
        <v>2</v>
      </c>
      <c r="D123" s="13" t="s">
        <v>1</v>
      </c>
      <c r="E123" s="569" t="s">
        <v>114</v>
      </c>
      <c r="F123" s="569"/>
      <c r="G123" s="581" t="s">
        <v>116</v>
      </c>
      <c r="H123" s="581"/>
    </row>
    <row r="124" spans="1:8" hidden="1">
      <c r="A124" t="s">
        <v>117</v>
      </c>
      <c r="B124" t="s">
        <v>118</v>
      </c>
      <c r="C124" s="76">
        <v>4</v>
      </c>
      <c r="D124" s="1" t="s">
        <v>119</v>
      </c>
      <c r="E124" s="573">
        <v>17.998999999999999</v>
      </c>
      <c r="F124" s="573"/>
      <c r="G124" s="574">
        <f>C124*E124</f>
        <v>71.995999999999995</v>
      </c>
      <c r="H124" s="574"/>
    </row>
    <row r="125" spans="1:8" hidden="1">
      <c r="F125" s="73" t="s">
        <v>127</v>
      </c>
      <c r="G125" s="574">
        <f>SUM(G124)</f>
        <v>71.995999999999995</v>
      </c>
      <c r="H125" s="574"/>
    </row>
    <row r="126" spans="1:8" hidden="1">
      <c r="A126" s="6"/>
      <c r="B126" s="6"/>
      <c r="C126" s="7"/>
      <c r="D126" s="7"/>
      <c r="E126" s="7"/>
      <c r="F126" s="81" t="s">
        <v>128</v>
      </c>
      <c r="G126" s="583">
        <f>G125+H122</f>
        <v>1304.77304</v>
      </c>
      <c r="H126" s="584"/>
    </row>
    <row r="127" spans="1:8" hidden="1">
      <c r="F127" s="73" t="s">
        <v>138</v>
      </c>
      <c r="G127" s="77"/>
      <c r="H127" s="78">
        <f>G126/F113</f>
        <v>15.411918733758565</v>
      </c>
    </row>
    <row r="128" spans="1:8" hidden="1">
      <c r="F128" s="73" t="s">
        <v>142</v>
      </c>
      <c r="G128" s="77"/>
      <c r="H128" s="78" t="s">
        <v>20</v>
      </c>
    </row>
    <row r="129" spans="1:8" hidden="1">
      <c r="A129" s="12" t="s">
        <v>125</v>
      </c>
      <c r="B129" s="12"/>
      <c r="C129" s="13" t="s">
        <v>2</v>
      </c>
      <c r="D129" s="13" t="s">
        <v>1</v>
      </c>
      <c r="E129" s="569" t="s">
        <v>215</v>
      </c>
      <c r="F129" s="569"/>
      <c r="G129" s="581" t="s">
        <v>116</v>
      </c>
      <c r="H129" s="581"/>
    </row>
    <row r="130" spans="1:8" s="194" customFormat="1" hidden="1">
      <c r="A130" s="191" t="s">
        <v>194</v>
      </c>
      <c r="B130" s="191" t="s">
        <v>199</v>
      </c>
      <c r="C130" s="198">
        <v>6.275E-2</v>
      </c>
      <c r="D130" s="193" t="s">
        <v>9</v>
      </c>
      <c r="E130" s="591" t="e">
        <f>#REF!</f>
        <v>#REF!</v>
      </c>
      <c r="F130" s="591"/>
      <c r="G130" s="587" t="e">
        <f t="shared" ref="G130:G136" si="0">E130*C130</f>
        <v>#REF!</v>
      </c>
      <c r="H130" s="588"/>
    </row>
    <row r="131" spans="1:8" s="194" customFormat="1" hidden="1">
      <c r="A131" s="191" t="s">
        <v>252</v>
      </c>
      <c r="B131" s="191" t="s">
        <v>255</v>
      </c>
      <c r="C131" s="198">
        <v>6.275E-2</v>
      </c>
      <c r="D131" s="193" t="s">
        <v>9</v>
      </c>
      <c r="E131" s="592" t="e">
        <f>#REF!</f>
        <v>#REF!</v>
      </c>
      <c r="F131" s="592"/>
      <c r="G131" s="587" t="e">
        <f t="shared" si="0"/>
        <v>#REF!</v>
      </c>
      <c r="H131" s="588"/>
    </row>
    <row r="132" spans="1:8" s="194" customFormat="1" hidden="1">
      <c r="A132" s="191" t="s">
        <v>253</v>
      </c>
      <c r="B132" s="191" t="s">
        <v>256</v>
      </c>
      <c r="C132" s="198">
        <v>56.47</v>
      </c>
      <c r="D132" s="193" t="s">
        <v>202</v>
      </c>
      <c r="E132" s="594" t="e">
        <f>#REF!/(20)</f>
        <v>#REF!</v>
      </c>
      <c r="F132" s="594"/>
      <c r="G132" s="587" t="e">
        <f t="shared" si="0"/>
        <v>#REF!</v>
      </c>
      <c r="H132" s="588"/>
    </row>
    <row r="133" spans="1:8" hidden="1">
      <c r="A133" s="3" t="s">
        <v>254</v>
      </c>
      <c r="B133" s="3" t="s">
        <v>257</v>
      </c>
      <c r="C133" s="157">
        <v>5.8819999999999997E-2</v>
      </c>
      <c r="D133" s="4" t="s">
        <v>105</v>
      </c>
      <c r="E133" s="595">
        <v>0</v>
      </c>
      <c r="F133" s="595"/>
      <c r="G133" s="596">
        <f>E133*C133</f>
        <v>0</v>
      </c>
      <c r="H133" s="574"/>
    </row>
    <row r="134" spans="1:8" hidden="1">
      <c r="A134" t="s">
        <v>197</v>
      </c>
      <c r="B134" t="s">
        <v>200</v>
      </c>
      <c r="C134" s="76">
        <v>14</v>
      </c>
      <c r="D134" s="183" t="s">
        <v>203</v>
      </c>
      <c r="E134" s="585">
        <v>3.7974999999999999</v>
      </c>
      <c r="F134" s="585"/>
      <c r="G134" s="596">
        <f>E134*C134</f>
        <v>53.164999999999999</v>
      </c>
      <c r="H134" s="574"/>
    </row>
    <row r="135" spans="1:8" s="202" customFormat="1" hidden="1">
      <c r="A135" s="199" t="s">
        <v>198</v>
      </c>
      <c r="B135" s="199" t="s">
        <v>201</v>
      </c>
      <c r="C135" s="200">
        <v>0.13804</v>
      </c>
      <c r="D135" s="201" t="s">
        <v>9</v>
      </c>
      <c r="E135" s="593" t="e">
        <f>#REF!</f>
        <v>#REF!</v>
      </c>
      <c r="F135" s="593"/>
      <c r="G135" s="589" t="e">
        <f t="shared" si="0"/>
        <v>#REF!</v>
      </c>
      <c r="H135" s="590"/>
    </row>
    <row r="136" spans="1:8" s="194" customFormat="1" hidden="1">
      <c r="A136" s="194" t="s">
        <v>243</v>
      </c>
      <c r="B136" s="194" t="s">
        <v>245</v>
      </c>
      <c r="C136" s="192">
        <v>0.32627</v>
      </c>
      <c r="D136" s="196" t="s">
        <v>9</v>
      </c>
      <c r="E136" s="575" t="e">
        <f>#REF!</f>
        <v>#REF!</v>
      </c>
      <c r="F136" s="575"/>
      <c r="G136" s="587" t="e">
        <f t="shared" si="0"/>
        <v>#REF!</v>
      </c>
      <c r="H136" s="588"/>
    </row>
    <row r="137" spans="1:8" hidden="1">
      <c r="A137" s="6"/>
      <c r="B137" s="6"/>
      <c r="C137" s="7"/>
      <c r="D137" s="7"/>
      <c r="E137" s="7"/>
      <c r="F137" s="149" t="s">
        <v>126</v>
      </c>
      <c r="G137" s="583" t="e">
        <f>SUM(G130:H136)</f>
        <v>#REF!</v>
      </c>
      <c r="H137" s="583"/>
    </row>
    <row r="138" spans="1:8" hidden="1">
      <c r="G138" s="1" t="s">
        <v>137</v>
      </c>
      <c r="H138" s="74" t="e">
        <f>G137+H127</f>
        <v>#REF!</v>
      </c>
    </row>
    <row r="139" spans="1:8" hidden="1">
      <c r="A139" s="12" t="s">
        <v>132</v>
      </c>
      <c r="B139" s="12"/>
      <c r="C139" s="13" t="s">
        <v>133</v>
      </c>
      <c r="D139" s="13" t="s">
        <v>2</v>
      </c>
      <c r="E139" s="13" t="s">
        <v>1</v>
      </c>
      <c r="F139" s="569" t="s">
        <v>134</v>
      </c>
      <c r="G139" s="569"/>
      <c r="H139" s="163" t="s">
        <v>134</v>
      </c>
    </row>
    <row r="140" spans="1:8" hidden="1">
      <c r="A140" s="79" t="s">
        <v>194</v>
      </c>
      <c r="B140" s="82" t="s">
        <v>205</v>
      </c>
      <c r="C140" s="154">
        <v>5914647</v>
      </c>
      <c r="D140" s="158">
        <v>9.4130000000000005E-2</v>
      </c>
      <c r="E140" s="80" t="s">
        <v>105</v>
      </c>
      <c r="F140" s="577">
        <v>0.88</v>
      </c>
      <c r="G140" s="577"/>
      <c r="H140" s="83">
        <f>D140*F140</f>
        <v>8.2834400000000002E-2</v>
      </c>
    </row>
    <row r="141" spans="1:8" hidden="1">
      <c r="A141" s="79" t="s">
        <v>252</v>
      </c>
      <c r="B141" s="82" t="s">
        <v>258</v>
      </c>
      <c r="C141" s="186">
        <v>5914647</v>
      </c>
      <c r="D141" s="158">
        <v>9.4130000000000005E-2</v>
      </c>
      <c r="E141" s="186" t="s">
        <v>105</v>
      </c>
      <c r="F141" s="577">
        <v>0.88</v>
      </c>
      <c r="G141" s="577"/>
      <c r="H141" s="83">
        <f>D141*F141</f>
        <v>8.2834400000000002E-2</v>
      </c>
    </row>
    <row r="142" spans="1:8" hidden="1">
      <c r="A142" s="79" t="s">
        <v>253</v>
      </c>
      <c r="B142" s="82" t="s">
        <v>259</v>
      </c>
      <c r="C142" s="154">
        <v>5914647</v>
      </c>
      <c r="D142" s="158">
        <v>5.6469999999999999E-2</v>
      </c>
      <c r="E142" s="154" t="s">
        <v>105</v>
      </c>
      <c r="F142" s="577">
        <v>9.75</v>
      </c>
      <c r="G142" s="577"/>
      <c r="H142" s="83">
        <f>D142*F142</f>
        <v>0.55058249999999997</v>
      </c>
    </row>
    <row r="143" spans="1:8" hidden="1">
      <c r="A143" s="79" t="s">
        <v>198</v>
      </c>
      <c r="B143" s="82" t="s">
        <v>206</v>
      </c>
      <c r="C143" s="154">
        <v>5914655</v>
      </c>
      <c r="D143" s="158">
        <v>0.20705999999999999</v>
      </c>
      <c r="E143" s="154" t="s">
        <v>105</v>
      </c>
      <c r="F143" s="577">
        <v>0.88</v>
      </c>
      <c r="G143" s="577"/>
      <c r="H143" s="83">
        <f>D143*F143</f>
        <v>0.18221280000000001</v>
      </c>
    </row>
    <row r="144" spans="1:8" hidden="1">
      <c r="A144" s="79" t="s">
        <v>243</v>
      </c>
      <c r="B144" s="82" t="s">
        <v>247</v>
      </c>
      <c r="C144" s="154">
        <v>5914647</v>
      </c>
      <c r="D144" s="158">
        <v>0.48941000000000001</v>
      </c>
      <c r="E144" s="154" t="s">
        <v>105</v>
      </c>
      <c r="F144" s="577">
        <v>0.88</v>
      </c>
      <c r="G144" s="577"/>
      <c r="H144" s="83">
        <f>D144*F144</f>
        <v>0.43068080000000003</v>
      </c>
    </row>
    <row r="145" spans="1:10" hidden="1">
      <c r="G145" s="73" t="s">
        <v>135</v>
      </c>
      <c r="H145" s="72">
        <f>SUM(H140:H144)</f>
        <v>1.3291449</v>
      </c>
    </row>
    <row r="146" spans="1:10" hidden="1">
      <c r="A146" s="565" t="s">
        <v>207</v>
      </c>
      <c r="B146" s="565"/>
      <c r="C146" s="567" t="s">
        <v>2</v>
      </c>
      <c r="D146" s="567" t="s">
        <v>1</v>
      </c>
      <c r="E146" s="569" t="s">
        <v>208</v>
      </c>
      <c r="F146" s="569"/>
      <c r="G146" s="569"/>
      <c r="H146" s="570" t="s">
        <v>134</v>
      </c>
    </row>
    <row r="147" spans="1:10" hidden="1">
      <c r="A147" s="566"/>
      <c r="B147" s="566"/>
      <c r="C147" s="568"/>
      <c r="D147" s="568"/>
      <c r="E147" s="7" t="s">
        <v>209</v>
      </c>
      <c r="F147" s="7" t="s">
        <v>210</v>
      </c>
      <c r="G147" s="7" t="s">
        <v>211</v>
      </c>
      <c r="H147" s="571"/>
    </row>
    <row r="148" spans="1:10" hidden="1">
      <c r="A148" t="s">
        <v>193</v>
      </c>
      <c r="B148" t="s">
        <v>204</v>
      </c>
      <c r="C148" s="76">
        <v>0.49056</v>
      </c>
      <c r="D148" s="153" t="s">
        <v>212</v>
      </c>
      <c r="E148" s="567"/>
      <c r="F148" s="567"/>
      <c r="G148" s="153"/>
      <c r="H148" s="160">
        <f>C148*G148*1.48*30</f>
        <v>0</v>
      </c>
      <c r="I148">
        <v>1480</v>
      </c>
      <c r="J148" t="s">
        <v>217</v>
      </c>
    </row>
    <row r="149" spans="1:10" hidden="1">
      <c r="A149" t="s">
        <v>194</v>
      </c>
      <c r="B149" t="s">
        <v>205</v>
      </c>
      <c r="C149" s="76">
        <v>0.18869</v>
      </c>
      <c r="D149" s="153" t="s">
        <v>212</v>
      </c>
      <c r="E149" s="572"/>
      <c r="F149" s="572"/>
      <c r="G149" s="153"/>
      <c r="H149" s="160">
        <f>C149*G149*1.2*30</f>
        <v>0</v>
      </c>
      <c r="I149">
        <v>1200</v>
      </c>
      <c r="J149" t="s">
        <v>217</v>
      </c>
    </row>
    <row r="150" spans="1:10" hidden="1">
      <c r="A150" t="s">
        <v>195</v>
      </c>
      <c r="B150" t="s">
        <v>218</v>
      </c>
      <c r="C150" s="76">
        <v>5.6599999999999998E-2</v>
      </c>
      <c r="D150" s="153" t="s">
        <v>212</v>
      </c>
      <c r="E150" s="572"/>
      <c r="F150" s="572"/>
      <c r="G150" s="153"/>
      <c r="H150" s="160">
        <f>C150*G150*1.7*30</f>
        <v>0</v>
      </c>
      <c r="I150">
        <v>1700</v>
      </c>
      <c r="J150" t="s">
        <v>217</v>
      </c>
    </row>
    <row r="151" spans="1:10" hidden="1">
      <c r="A151" t="s">
        <v>198</v>
      </c>
      <c r="B151" t="s">
        <v>206</v>
      </c>
      <c r="C151" s="76">
        <v>0.20754</v>
      </c>
      <c r="D151" s="153" t="s">
        <v>212</v>
      </c>
      <c r="E151" s="572"/>
      <c r="F151" s="572"/>
      <c r="G151" s="153"/>
      <c r="H151" s="160">
        <f>C151*G151*1.48*30</f>
        <v>0</v>
      </c>
      <c r="I151">
        <v>1480</v>
      </c>
      <c r="J151" t="s">
        <v>217</v>
      </c>
    </row>
    <row r="152" spans="1:10" hidden="1">
      <c r="A152" s="3" t="s">
        <v>196</v>
      </c>
      <c r="B152" s="3" t="s">
        <v>219</v>
      </c>
      <c r="C152" s="76">
        <f>1-SUM(C148:C151)</f>
        <v>5.6610000000000049E-2</v>
      </c>
      <c r="D152" s="153" t="s">
        <v>212</v>
      </c>
      <c r="E152" s="572"/>
      <c r="F152" s="572"/>
      <c r="G152" s="155"/>
      <c r="H152" s="160">
        <v>0</v>
      </c>
      <c r="I152">
        <v>2500</v>
      </c>
      <c r="J152" t="s">
        <v>217</v>
      </c>
    </row>
    <row r="153" spans="1:10" hidden="1">
      <c r="A153" s="6"/>
      <c r="B153" s="6"/>
      <c r="C153" s="7"/>
      <c r="D153" s="7"/>
      <c r="E153" s="7"/>
      <c r="F153" s="7"/>
      <c r="G153" s="149" t="s">
        <v>213</v>
      </c>
      <c r="H153" s="161">
        <f>SUM(H148:H152)</f>
        <v>0</v>
      </c>
    </row>
    <row r="154" spans="1:10" hidden="1">
      <c r="A154" s="6"/>
      <c r="B154" s="6"/>
      <c r="C154" s="7"/>
      <c r="D154" s="7"/>
      <c r="E154" s="7"/>
      <c r="F154" s="7"/>
      <c r="G154" s="149" t="s">
        <v>136</v>
      </c>
      <c r="H154" s="165" t="e">
        <f>H145+H138+H153</f>
        <v>#REF!</v>
      </c>
    </row>
    <row r="155" spans="1:10" hidden="1">
      <c r="A155" t="s">
        <v>120</v>
      </c>
      <c r="C155" s="153" t="s">
        <v>122</v>
      </c>
      <c r="D155" s="153"/>
      <c r="E155" s="153"/>
      <c r="F155" s="153"/>
      <c r="G155" s="153"/>
      <c r="H155" s="203" t="s">
        <v>266</v>
      </c>
    </row>
    <row r="156" spans="1:10" hidden="1">
      <c r="A156" t="s">
        <v>121</v>
      </c>
      <c r="C156" s="75">
        <v>43831</v>
      </c>
      <c r="D156" s="153"/>
      <c r="E156" s="152" t="s">
        <v>123</v>
      </c>
      <c r="F156" s="156">
        <v>84.66</v>
      </c>
      <c r="G156" s="10" t="s">
        <v>105</v>
      </c>
    </row>
    <row r="157" spans="1:10" hidden="1">
      <c r="A157" s="2">
        <v>4011471</v>
      </c>
      <c r="B157" s="2" t="s">
        <v>261</v>
      </c>
      <c r="C157" s="153"/>
      <c r="D157" s="153"/>
      <c r="E157" s="153"/>
      <c r="F157" s="153"/>
      <c r="G157" s="153"/>
      <c r="H157" s="152" t="s">
        <v>124</v>
      </c>
    </row>
    <row r="158" spans="1:10" hidden="1">
      <c r="A158" s="565" t="s">
        <v>106</v>
      </c>
      <c r="B158" s="565"/>
      <c r="C158" s="578" t="s">
        <v>2</v>
      </c>
      <c r="D158" s="580" t="s">
        <v>113</v>
      </c>
      <c r="E158" s="580"/>
      <c r="F158" s="580" t="s">
        <v>114</v>
      </c>
      <c r="G158" s="580"/>
      <c r="H158" s="578" t="s">
        <v>116</v>
      </c>
    </row>
    <row r="159" spans="1:10" hidden="1">
      <c r="A159" s="566"/>
      <c r="B159" s="566"/>
      <c r="C159" s="579"/>
      <c r="D159" s="7" t="s">
        <v>109</v>
      </c>
      <c r="E159" s="7" t="s">
        <v>110</v>
      </c>
      <c r="F159" s="7" t="s">
        <v>111</v>
      </c>
      <c r="G159" s="7" t="s">
        <v>112</v>
      </c>
      <c r="H159" s="579"/>
    </row>
    <row r="160" spans="1:10" hidden="1">
      <c r="A160" t="s">
        <v>139</v>
      </c>
      <c r="B160" t="s">
        <v>154</v>
      </c>
      <c r="C160" s="76">
        <v>1</v>
      </c>
      <c r="D160" s="155">
        <v>0.6</v>
      </c>
      <c r="E160" s="155">
        <v>0.4</v>
      </c>
      <c r="F160" s="183">
        <v>131.04570000000001</v>
      </c>
      <c r="G160" s="183">
        <v>63.359900000000003</v>
      </c>
      <c r="H160" s="72">
        <f>C160*D160*F160+E160*G160</f>
        <v>103.97138000000001</v>
      </c>
    </row>
    <row r="161" spans="1:8" hidden="1">
      <c r="A161" t="s">
        <v>262</v>
      </c>
      <c r="B161" t="s">
        <v>263</v>
      </c>
      <c r="C161" s="76">
        <v>1</v>
      </c>
      <c r="D161" s="155">
        <v>0.69</v>
      </c>
      <c r="E161" s="155">
        <v>0.31</v>
      </c>
      <c r="F161" s="183">
        <v>158.51349999999999</v>
      </c>
      <c r="G161" s="183">
        <v>60.195999999999998</v>
      </c>
      <c r="H161" s="72">
        <f>C161*D161*F161+E161*G161</f>
        <v>128.03507499999998</v>
      </c>
    </row>
    <row r="162" spans="1:8" hidden="1">
      <c r="A162" t="s">
        <v>141</v>
      </c>
      <c r="B162" t="s">
        <v>155</v>
      </c>
      <c r="C162" s="76">
        <v>1</v>
      </c>
      <c r="D162" s="155">
        <v>1</v>
      </c>
      <c r="E162" s="155">
        <v>0</v>
      </c>
      <c r="F162" s="183">
        <v>164.47130000000001</v>
      </c>
      <c r="G162" s="183">
        <v>72.944400000000002</v>
      </c>
      <c r="H162" s="72">
        <f>C162*D162*F162+E162*G162</f>
        <v>164.47130000000001</v>
      </c>
    </row>
    <row r="163" spans="1:8" hidden="1">
      <c r="C163" s="153"/>
      <c r="D163" s="153"/>
      <c r="E163" s="153"/>
      <c r="F163" s="153"/>
      <c r="G163" s="152" t="s">
        <v>129</v>
      </c>
      <c r="H163" s="74">
        <f>SUM(H160:H162)</f>
        <v>396.477755</v>
      </c>
    </row>
    <row r="164" spans="1:8" hidden="1">
      <c r="C164" s="153"/>
      <c r="D164" s="153"/>
      <c r="E164" s="153"/>
      <c r="F164" s="153"/>
      <c r="G164" s="153"/>
    </row>
    <row r="165" spans="1:8" hidden="1">
      <c r="A165" s="12" t="s">
        <v>115</v>
      </c>
      <c r="B165" s="12"/>
      <c r="C165" s="148" t="s">
        <v>2</v>
      </c>
      <c r="D165" s="148" t="s">
        <v>1</v>
      </c>
      <c r="E165" s="569" t="s">
        <v>114</v>
      </c>
      <c r="F165" s="569"/>
      <c r="G165" s="569" t="s">
        <v>116</v>
      </c>
      <c r="H165" s="569"/>
    </row>
    <row r="166" spans="1:8" hidden="1">
      <c r="A166" t="s">
        <v>117</v>
      </c>
      <c r="B166" t="s">
        <v>118</v>
      </c>
      <c r="C166" s="76">
        <v>8</v>
      </c>
      <c r="D166" s="153" t="s">
        <v>119</v>
      </c>
      <c r="E166" s="585">
        <v>17.998999999999999</v>
      </c>
      <c r="F166" s="585"/>
      <c r="G166" s="586">
        <f>C166*E166</f>
        <v>143.99199999999999</v>
      </c>
      <c r="H166" s="586"/>
    </row>
    <row r="167" spans="1:8" hidden="1">
      <c r="C167" s="153"/>
      <c r="D167" s="153"/>
      <c r="E167" s="153"/>
      <c r="F167" s="152" t="s">
        <v>127</v>
      </c>
      <c r="G167" s="586">
        <f>SUM(G166)</f>
        <v>143.99199999999999</v>
      </c>
      <c r="H167" s="586"/>
    </row>
    <row r="168" spans="1:8" hidden="1">
      <c r="A168" s="6"/>
      <c r="B168" s="6"/>
      <c r="C168" s="7"/>
      <c r="D168" s="7"/>
      <c r="E168" s="7"/>
      <c r="F168" s="149" t="s">
        <v>128</v>
      </c>
      <c r="G168" s="583">
        <f>G167+H163</f>
        <v>540.46975499999996</v>
      </c>
      <c r="H168" s="584"/>
    </row>
    <row r="169" spans="1:8" hidden="1">
      <c r="C169" s="153"/>
      <c r="D169" s="153"/>
      <c r="E169" s="153"/>
      <c r="F169" s="152" t="s">
        <v>138</v>
      </c>
      <c r="G169" s="151"/>
      <c r="H169" s="150">
        <f>G168/F156</f>
        <v>6.3840037207654143</v>
      </c>
    </row>
    <row r="170" spans="1:8" hidden="1">
      <c r="C170" s="153"/>
      <c r="D170" s="153"/>
      <c r="E170" s="153"/>
      <c r="F170" s="152" t="s">
        <v>142</v>
      </c>
      <c r="G170" s="151"/>
      <c r="H170" s="150">
        <v>4.19E-2</v>
      </c>
    </row>
    <row r="171" spans="1:8" hidden="1">
      <c r="C171" s="153"/>
      <c r="D171" s="153"/>
      <c r="E171" s="153"/>
      <c r="F171" s="153"/>
      <c r="G171" s="153"/>
    </row>
    <row r="172" spans="1:8" hidden="1">
      <c r="A172" s="12" t="s">
        <v>125</v>
      </c>
      <c r="B172" s="12"/>
      <c r="C172" s="148" t="s">
        <v>2</v>
      </c>
      <c r="D172" s="148" t="s">
        <v>1</v>
      </c>
      <c r="E172" s="569" t="s">
        <v>114</v>
      </c>
      <c r="F172" s="569"/>
      <c r="G172" s="569" t="s">
        <v>116</v>
      </c>
      <c r="H172" s="569"/>
    </row>
    <row r="173" spans="1:8" hidden="1">
      <c r="C173" s="153"/>
      <c r="D173" s="153"/>
      <c r="E173" s="153"/>
      <c r="F173" s="152" t="s">
        <v>126</v>
      </c>
      <c r="G173" s="596"/>
      <c r="H173" s="574"/>
    </row>
    <row r="174" spans="1:8" hidden="1">
      <c r="C174" s="153"/>
      <c r="D174" s="153"/>
      <c r="E174" s="153"/>
      <c r="F174" s="153"/>
      <c r="G174" s="153"/>
    </row>
    <row r="175" spans="1:8" hidden="1">
      <c r="A175" s="12" t="s">
        <v>130</v>
      </c>
      <c r="B175" s="12"/>
      <c r="C175" s="148" t="s">
        <v>2</v>
      </c>
      <c r="D175" s="148" t="s">
        <v>1</v>
      </c>
      <c r="E175" s="569" t="s">
        <v>114</v>
      </c>
      <c r="F175" s="569"/>
      <c r="G175" s="569" t="s">
        <v>116</v>
      </c>
      <c r="H175" s="569"/>
    </row>
    <row r="176" spans="1:8" hidden="1">
      <c r="A176">
        <v>6416213</v>
      </c>
      <c r="B176" t="s">
        <v>260</v>
      </c>
      <c r="C176" s="153">
        <v>1.02</v>
      </c>
      <c r="D176" s="153" t="s">
        <v>105</v>
      </c>
      <c r="E176" s="585" t="e">
        <f>H154</f>
        <v>#REF!</v>
      </c>
      <c r="F176" s="573"/>
      <c r="G176" s="586" t="e">
        <f>C176*E176</f>
        <v>#REF!</v>
      </c>
      <c r="H176" s="586"/>
    </row>
    <row r="177" spans="1:8" hidden="1">
      <c r="C177" s="153"/>
      <c r="D177" s="153"/>
      <c r="E177" s="153"/>
      <c r="F177" s="152" t="s">
        <v>131</v>
      </c>
      <c r="G177" s="586" t="e">
        <f>SUM(G176)</f>
        <v>#REF!</v>
      </c>
      <c r="H177" s="586"/>
    </row>
    <row r="178" spans="1:8" hidden="1">
      <c r="C178" s="153"/>
      <c r="D178" s="153"/>
      <c r="E178" s="153"/>
      <c r="F178" s="153"/>
      <c r="G178" s="153" t="s">
        <v>137</v>
      </c>
      <c r="H178" s="74" t="e">
        <f>G177+H170+H169</f>
        <v>#REF!</v>
      </c>
    </row>
    <row r="179" spans="1:8" hidden="1">
      <c r="A179" s="12" t="s">
        <v>132</v>
      </c>
      <c r="B179" s="12"/>
      <c r="C179" s="148" t="s">
        <v>133</v>
      </c>
      <c r="D179" s="148" t="s">
        <v>2</v>
      </c>
      <c r="E179" s="148" t="s">
        <v>1</v>
      </c>
      <c r="F179" s="569" t="s">
        <v>134</v>
      </c>
      <c r="G179" s="569"/>
      <c r="H179" s="12" t="s">
        <v>134</v>
      </c>
    </row>
    <row r="180" spans="1:8" ht="30" hidden="1">
      <c r="A180" s="79">
        <v>6416213</v>
      </c>
      <c r="B180" s="82" t="s">
        <v>264</v>
      </c>
      <c r="C180" s="186">
        <v>5914646</v>
      </c>
      <c r="D180" s="154">
        <v>1.02</v>
      </c>
      <c r="E180" s="154" t="s">
        <v>105</v>
      </c>
      <c r="F180" s="577">
        <v>4.3499999999999996</v>
      </c>
      <c r="G180" s="577"/>
      <c r="H180" s="83">
        <f>D180*F180</f>
        <v>4.4369999999999994</v>
      </c>
    </row>
    <row r="181" spans="1:8" hidden="1">
      <c r="C181" s="153"/>
      <c r="D181" s="153"/>
      <c r="E181" s="153"/>
      <c r="F181" s="153"/>
      <c r="G181" s="152" t="s">
        <v>135</v>
      </c>
      <c r="H181" s="72">
        <f>SUM(H180:H180)</f>
        <v>4.4369999999999994</v>
      </c>
    </row>
    <row r="182" spans="1:8" hidden="1">
      <c r="A182" s="565" t="s">
        <v>207</v>
      </c>
      <c r="B182" s="565"/>
      <c r="C182" s="567" t="s">
        <v>2</v>
      </c>
      <c r="D182" s="567" t="s">
        <v>1</v>
      </c>
      <c r="E182" s="569" t="s">
        <v>208</v>
      </c>
      <c r="F182" s="569"/>
      <c r="G182" s="569"/>
      <c r="H182" s="570" t="s">
        <v>134</v>
      </c>
    </row>
    <row r="183" spans="1:8" hidden="1">
      <c r="A183" s="566"/>
      <c r="B183" s="566"/>
      <c r="C183" s="568"/>
      <c r="D183" s="568"/>
      <c r="E183" s="7" t="s">
        <v>209</v>
      </c>
      <c r="F183" s="7" t="s">
        <v>210</v>
      </c>
      <c r="G183" s="7" t="s">
        <v>211</v>
      </c>
      <c r="H183" s="571"/>
    </row>
    <row r="184" spans="1:8" ht="30" hidden="1">
      <c r="A184" s="79">
        <v>6416213</v>
      </c>
      <c r="B184" s="82" t="s">
        <v>264</v>
      </c>
      <c r="C184" s="158">
        <v>1.02</v>
      </c>
      <c r="D184" s="154" t="s">
        <v>212</v>
      </c>
      <c r="E184" s="567"/>
      <c r="F184" s="567"/>
      <c r="G184" s="154"/>
      <c r="H184" s="164">
        <f>C184*G184/2.5*30</f>
        <v>0</v>
      </c>
    </row>
    <row r="185" spans="1:8" hidden="1">
      <c r="A185" s="6"/>
      <c r="B185" s="6"/>
      <c r="C185" s="7"/>
      <c r="D185" s="7"/>
      <c r="E185" s="7"/>
      <c r="F185" s="7"/>
      <c r="G185" s="149" t="s">
        <v>213</v>
      </c>
      <c r="H185" s="161">
        <f>SUM(H184:H184)</f>
        <v>0</v>
      </c>
    </row>
    <row r="186" spans="1:8" hidden="1">
      <c r="A186" s="6"/>
      <c r="B186" s="6"/>
      <c r="C186" s="7"/>
      <c r="D186" s="7"/>
      <c r="E186" s="7"/>
      <c r="F186" s="7"/>
      <c r="G186" s="149" t="s">
        <v>136</v>
      </c>
      <c r="H186" s="159" t="e">
        <f>H181+H178+H185</f>
        <v>#REF!</v>
      </c>
    </row>
    <row r="187" spans="1:8" hidden="1">
      <c r="C187" s="153"/>
      <c r="D187" s="153"/>
      <c r="E187" s="153"/>
      <c r="F187" s="153"/>
      <c r="G187" s="153"/>
    </row>
    <row r="188" spans="1:8" hidden="1">
      <c r="C188" s="153"/>
      <c r="D188" s="153"/>
      <c r="E188" s="153"/>
      <c r="F188" s="153"/>
      <c r="G188" s="152" t="s">
        <v>136</v>
      </c>
      <c r="H188" s="71" t="e">
        <f>ROUNDUP(H186,2)</f>
        <v>#REF!</v>
      </c>
    </row>
    <row r="189" spans="1:8" hidden="1">
      <c r="C189" s="153"/>
      <c r="D189" s="153"/>
      <c r="E189" s="153"/>
      <c r="F189" s="153"/>
      <c r="G189" s="153"/>
    </row>
    <row r="190" spans="1:8" hidden="1">
      <c r="C190" s="153"/>
      <c r="D190" s="153"/>
      <c r="E190" s="153"/>
      <c r="F190" s="153"/>
      <c r="G190" s="153"/>
    </row>
    <row r="191" spans="1:8" hidden="1">
      <c r="C191" s="153"/>
      <c r="D191" s="153"/>
      <c r="E191" s="153"/>
      <c r="F191" s="153"/>
      <c r="G191" s="153"/>
    </row>
  </sheetData>
  <mergeCells count="167">
    <mergeCell ref="E71:F71"/>
    <mergeCell ref="F66:G66"/>
    <mergeCell ref="G52:H52"/>
    <mergeCell ref="E56:F56"/>
    <mergeCell ref="G56:H56"/>
    <mergeCell ref="G59:H59"/>
    <mergeCell ref="E61:F61"/>
    <mergeCell ref="G61:H61"/>
    <mergeCell ref="G62:H62"/>
    <mergeCell ref="F65:G65"/>
    <mergeCell ref="G63:H63"/>
    <mergeCell ref="F67:G67"/>
    <mergeCell ref="G53:H53"/>
    <mergeCell ref="E57:F57"/>
    <mergeCell ref="G57:H57"/>
    <mergeCell ref="E58:F58"/>
    <mergeCell ref="G58:H58"/>
    <mergeCell ref="A69:B70"/>
    <mergeCell ref="C69:C70"/>
    <mergeCell ref="D69:D70"/>
    <mergeCell ref="E69:G69"/>
    <mergeCell ref="H69:H70"/>
    <mergeCell ref="A44:B45"/>
    <mergeCell ref="C44:C45"/>
    <mergeCell ref="D44:E44"/>
    <mergeCell ref="F44:G44"/>
    <mergeCell ref="H44:H45"/>
    <mergeCell ref="E50:F50"/>
    <mergeCell ref="G50:H50"/>
    <mergeCell ref="G51:H51"/>
    <mergeCell ref="E51:F51"/>
    <mergeCell ref="A84:B85"/>
    <mergeCell ref="A4:B5"/>
    <mergeCell ref="C4:C5"/>
    <mergeCell ref="D4:E4"/>
    <mergeCell ref="F4:G4"/>
    <mergeCell ref="H4:H5"/>
    <mergeCell ref="E8:F8"/>
    <mergeCell ref="G8:H8"/>
    <mergeCell ref="E10:F10"/>
    <mergeCell ref="G11:H11"/>
    <mergeCell ref="G12:H12"/>
    <mergeCell ref="E15:F15"/>
    <mergeCell ref="G15:H15"/>
    <mergeCell ref="E16:F16"/>
    <mergeCell ref="G16:H16"/>
    <mergeCell ref="E17:F17"/>
    <mergeCell ref="G17:H17"/>
    <mergeCell ref="G20:H20"/>
    <mergeCell ref="E22:F22"/>
    <mergeCell ref="G22:H22"/>
    <mergeCell ref="G10:H10"/>
    <mergeCell ref="G24:H24"/>
    <mergeCell ref="G25:H25"/>
    <mergeCell ref="F27:G27"/>
    <mergeCell ref="A115:B116"/>
    <mergeCell ref="C115:C116"/>
    <mergeCell ref="D115:E115"/>
    <mergeCell ref="F115:G115"/>
    <mergeCell ref="G98:H98"/>
    <mergeCell ref="F104:G104"/>
    <mergeCell ref="F105:G105"/>
    <mergeCell ref="G92:H92"/>
    <mergeCell ref="G93:H93"/>
    <mergeCell ref="E96:F96"/>
    <mergeCell ref="G96:H96"/>
    <mergeCell ref="A107:B108"/>
    <mergeCell ref="G126:H126"/>
    <mergeCell ref="E129:F129"/>
    <mergeCell ref="G129:H129"/>
    <mergeCell ref="H115:H116"/>
    <mergeCell ref="E123:F123"/>
    <mergeCell ref="G123:H123"/>
    <mergeCell ref="E124:F124"/>
    <mergeCell ref="G124:H124"/>
    <mergeCell ref="G125:H125"/>
    <mergeCell ref="E136:F136"/>
    <mergeCell ref="G137:H137"/>
    <mergeCell ref="F142:G142"/>
    <mergeCell ref="F143:G143"/>
    <mergeCell ref="F144:G144"/>
    <mergeCell ref="H146:H147"/>
    <mergeCell ref="G175:H175"/>
    <mergeCell ref="G177:H177"/>
    <mergeCell ref="G173:H173"/>
    <mergeCell ref="D158:E158"/>
    <mergeCell ref="F158:G158"/>
    <mergeCell ref="H158:H159"/>
    <mergeCell ref="E166:F166"/>
    <mergeCell ref="G166:H166"/>
    <mergeCell ref="G167:H167"/>
    <mergeCell ref="E165:F165"/>
    <mergeCell ref="G165:H165"/>
    <mergeCell ref="G136:H136"/>
    <mergeCell ref="F139:G139"/>
    <mergeCell ref="F140:G140"/>
    <mergeCell ref="F141:G141"/>
    <mergeCell ref="G130:H130"/>
    <mergeCell ref="G131:H131"/>
    <mergeCell ref="G132:H132"/>
    <mergeCell ref="G135:H135"/>
    <mergeCell ref="E130:F130"/>
    <mergeCell ref="E131:F131"/>
    <mergeCell ref="E135:F135"/>
    <mergeCell ref="E132:F132"/>
    <mergeCell ref="E133:F133"/>
    <mergeCell ref="G133:H133"/>
    <mergeCell ref="E134:F134"/>
    <mergeCell ref="G134:H134"/>
    <mergeCell ref="H182:H183"/>
    <mergeCell ref="E184:F184"/>
    <mergeCell ref="E152:F152"/>
    <mergeCell ref="D146:D147"/>
    <mergeCell ref="C146:C147"/>
    <mergeCell ref="A146:B147"/>
    <mergeCell ref="E146:G146"/>
    <mergeCell ref="E148:F151"/>
    <mergeCell ref="A182:B183"/>
    <mergeCell ref="C182:C183"/>
    <mergeCell ref="D182:D183"/>
    <mergeCell ref="E182:G182"/>
    <mergeCell ref="G168:H168"/>
    <mergeCell ref="E172:F172"/>
    <mergeCell ref="G172:H172"/>
    <mergeCell ref="E175:F175"/>
    <mergeCell ref="E176:F176"/>
    <mergeCell ref="G176:H176"/>
    <mergeCell ref="F179:G179"/>
    <mergeCell ref="F180:G180"/>
    <mergeCell ref="A158:B159"/>
    <mergeCell ref="C158:C159"/>
    <mergeCell ref="C84:C85"/>
    <mergeCell ref="D84:E84"/>
    <mergeCell ref="F84:G84"/>
    <mergeCell ref="H84:H85"/>
    <mergeCell ref="E90:F90"/>
    <mergeCell ref="G90:H90"/>
    <mergeCell ref="E91:F91"/>
    <mergeCell ref="G91:H91"/>
    <mergeCell ref="E109:F109"/>
    <mergeCell ref="E100:F100"/>
    <mergeCell ref="G100:H100"/>
    <mergeCell ref="C107:C108"/>
    <mergeCell ref="D107:D108"/>
    <mergeCell ref="E107:G107"/>
    <mergeCell ref="H107:H108"/>
    <mergeCell ref="E97:F97"/>
    <mergeCell ref="G97:H97"/>
    <mergeCell ref="G101:H101"/>
    <mergeCell ref="G102:H102"/>
    <mergeCell ref="A33:B34"/>
    <mergeCell ref="C33:C34"/>
    <mergeCell ref="D33:D34"/>
    <mergeCell ref="E33:G33"/>
    <mergeCell ref="H33:H34"/>
    <mergeCell ref="E35:F35"/>
    <mergeCell ref="E9:F9"/>
    <mergeCell ref="G9:H9"/>
    <mergeCell ref="E18:F18"/>
    <mergeCell ref="G18:H18"/>
    <mergeCell ref="E19:F19"/>
    <mergeCell ref="G19:H19"/>
    <mergeCell ref="E23:F23"/>
    <mergeCell ref="F28:G28"/>
    <mergeCell ref="F29:G29"/>
    <mergeCell ref="F30:G30"/>
    <mergeCell ref="F31:G31"/>
  </mergeCells>
  <printOptions horizontalCentered="1"/>
  <pageMargins left="0.51181102362204722" right="0.51181102362204722" top="0.78740157480314965" bottom="0.59055118110236227" header="0.31496062992125984" footer="0.31496062992125984"/>
  <pageSetup paperSize="9" scale="80" orientation="landscape" r:id="rId1"/>
  <rowBreaks count="3" manualBreakCount="3">
    <brk id="80" max="7" man="1"/>
    <brk id="111" max="7" man="1"/>
    <brk id="154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showGridLines="0" view="pageBreakPreview" zoomScaleNormal="55" zoomScaleSheetLayoutView="100" workbookViewId="0">
      <pane ySplit="5" topLeftCell="A6" activePane="bottomLeft" state="frozen"/>
      <selection activeCell="C26" sqref="C26"/>
      <selection pane="bottomLeft" activeCell="C13" sqref="C13"/>
    </sheetView>
  </sheetViews>
  <sheetFormatPr defaultRowHeight="15"/>
  <cols>
    <col min="1" max="1" width="17.28515625" style="225" customWidth="1"/>
    <col min="2" max="2" width="48.28515625" style="225" bestFit="1" customWidth="1"/>
    <col min="3" max="4" width="13.85546875" style="257" customWidth="1"/>
    <col min="5" max="5" width="22.140625" style="257" bestFit="1" customWidth="1"/>
    <col min="6" max="6" width="12.140625" style="255" bestFit="1" customWidth="1"/>
    <col min="7" max="7" width="49.7109375" style="255" bestFit="1" customWidth="1"/>
    <col min="8" max="8" width="9" style="67" bestFit="1" customWidth="1"/>
    <col min="9" max="9" width="48.28515625" style="225" bestFit="1" customWidth="1"/>
    <col min="10" max="11" width="9.28515625" style="225" bestFit="1" customWidth="1"/>
    <col min="12" max="12" width="8.7109375" style="225" bestFit="1" customWidth="1"/>
    <col min="13" max="13" width="12.28515625" style="225" bestFit="1" customWidth="1"/>
    <col min="14" max="14" width="12.7109375" style="225" bestFit="1" customWidth="1"/>
    <col min="15" max="15" width="16.42578125" style="225" bestFit="1" customWidth="1"/>
    <col min="16" max="16384" width="9.140625" style="225"/>
  </cols>
  <sheetData>
    <row r="1" spans="1:11" ht="35.25" customHeight="1">
      <c r="A1" s="436"/>
      <c r="B1" s="600" t="s">
        <v>227</v>
      </c>
      <c r="C1" s="601"/>
      <c r="D1" s="601"/>
      <c r="E1" s="602"/>
      <c r="F1" s="250"/>
      <c r="G1" s="250"/>
      <c r="H1" s="58"/>
    </row>
    <row r="2" spans="1:11">
      <c r="A2" s="436"/>
      <c r="B2" s="301" t="str">
        <f>PAVIM.!$G$2</f>
        <v>PREFEITURA MUNICIPAL DE MARACAJÁ</v>
      </c>
      <c r="C2" s="598" t="str">
        <f>PAVIM.!$I$2</f>
        <v>BAIRRO: VILA BEATRIZ</v>
      </c>
      <c r="D2" s="598"/>
      <c r="E2" s="302" t="str">
        <f>PAVIM.!$K$2</f>
        <v>MUNICIPIO: MARACAJÁ</v>
      </c>
      <c r="F2" s="251"/>
      <c r="G2" s="251"/>
      <c r="H2" s="228"/>
    </row>
    <row r="3" spans="1:11">
      <c r="A3" s="436"/>
      <c r="B3" s="303" t="str">
        <f>PAVIM.!G3</f>
        <v>RUA ELONIR DA SILVEIRA NAZÁRIO</v>
      </c>
      <c r="C3" s="599" t="str">
        <f>PAVIM.!$M$2</f>
        <v>ESTADO: SANTA CATARINA</v>
      </c>
      <c r="D3" s="599"/>
      <c r="E3" s="304" t="str">
        <f ca="1">PAVIM.!$M$3</f>
        <v>DATA: 28/04/26</v>
      </c>
      <c r="F3" s="251"/>
      <c r="G3" s="251"/>
      <c r="H3" s="228"/>
    </row>
    <row r="4" spans="1:11">
      <c r="A4" s="5"/>
      <c r="B4" s="6"/>
      <c r="C4" s="7"/>
      <c r="D4" s="7"/>
      <c r="E4" s="147"/>
      <c r="F4" s="251"/>
      <c r="G4" s="251"/>
      <c r="H4" s="228"/>
    </row>
    <row r="5" spans="1:11" ht="15.75" customHeight="1">
      <c r="A5" s="352" t="s">
        <v>226</v>
      </c>
      <c r="B5" s="325" t="s">
        <v>225</v>
      </c>
      <c r="C5" s="326">
        <v>45474</v>
      </c>
      <c r="D5" s="326">
        <v>45597</v>
      </c>
      <c r="E5" s="352" t="s">
        <v>151</v>
      </c>
      <c r="F5" s="252"/>
      <c r="G5" s="252"/>
      <c r="H5" s="60"/>
    </row>
    <row r="6" spans="1:11" s="2" customFormat="1">
      <c r="A6" s="176" t="s">
        <v>228</v>
      </c>
      <c r="B6" s="175" t="s">
        <v>152</v>
      </c>
      <c r="C6" s="176">
        <v>574.25699999999995</v>
      </c>
      <c r="D6" s="176">
        <v>581.40700000000004</v>
      </c>
      <c r="E6" s="177">
        <f>D6/C6</f>
        <v>1.0124508712997839</v>
      </c>
      <c r="F6" s="252"/>
      <c r="G6" s="252"/>
      <c r="H6" s="60"/>
      <c r="J6" s="264"/>
      <c r="K6" s="18"/>
    </row>
    <row r="7" spans="1:11">
      <c r="A7" s="176" t="s">
        <v>229</v>
      </c>
      <c r="B7" s="175" t="s">
        <v>153</v>
      </c>
      <c r="C7" s="176">
        <v>264.79700000000003</v>
      </c>
      <c r="D7" s="176">
        <v>267.49599999999998</v>
      </c>
      <c r="E7" s="177">
        <f>D7/C7</f>
        <v>1.0101927136636744</v>
      </c>
      <c r="F7" s="253"/>
      <c r="G7" s="253"/>
      <c r="H7" s="62"/>
    </row>
    <row r="8" spans="1:11" ht="15" customHeight="1">
      <c r="A8" s="354"/>
      <c r="B8" s="8"/>
      <c r="C8" s="354"/>
      <c r="D8" s="354"/>
      <c r="E8" s="354"/>
      <c r="F8" s="253"/>
      <c r="G8" s="253"/>
      <c r="H8" s="62"/>
      <c r="I8" s="2"/>
      <c r="J8" s="2"/>
    </row>
    <row r="9" spans="1:11">
      <c r="A9" s="4"/>
      <c r="B9" s="3"/>
      <c r="C9" s="4"/>
      <c r="D9" s="4"/>
      <c r="E9" s="4"/>
      <c r="F9" s="253"/>
      <c r="G9" s="253"/>
      <c r="H9" s="62"/>
    </row>
    <row r="10" spans="1:11" s="2" customFormat="1">
      <c r="A10" s="4"/>
      <c r="B10" s="3"/>
      <c r="C10" s="4"/>
      <c r="D10" s="4"/>
      <c r="E10" s="4"/>
      <c r="F10" s="252"/>
      <c r="G10" s="252"/>
      <c r="H10" s="60"/>
      <c r="I10" s="225"/>
      <c r="J10" s="225"/>
    </row>
    <row r="11" spans="1:11">
      <c r="A11" s="4"/>
      <c r="B11" s="3"/>
      <c r="C11" s="4"/>
      <c r="D11" s="4"/>
      <c r="E11" s="4"/>
      <c r="F11" s="253"/>
      <c r="G11" s="253"/>
      <c r="H11" s="62"/>
    </row>
    <row r="12" spans="1:11">
      <c r="A12" s="4"/>
      <c r="B12" s="3"/>
      <c r="C12" s="4"/>
      <c r="D12" s="4"/>
      <c r="E12" s="4"/>
      <c r="F12" s="253"/>
      <c r="G12" s="253"/>
      <c r="H12" s="62"/>
    </row>
    <row r="13" spans="1:11">
      <c r="A13" s="4"/>
      <c r="B13" s="3"/>
      <c r="C13" s="4"/>
      <c r="D13" s="4"/>
      <c r="E13" s="4"/>
      <c r="F13" s="253"/>
      <c r="G13" s="253"/>
      <c r="H13" s="62"/>
    </row>
    <row r="14" spans="1:11">
      <c r="A14" s="4"/>
      <c r="B14" s="3"/>
      <c r="C14" s="4"/>
      <c r="D14" s="4"/>
      <c r="E14" s="4"/>
      <c r="F14" s="253"/>
      <c r="G14" s="253"/>
      <c r="H14" s="62"/>
    </row>
    <row r="15" spans="1:11">
      <c r="A15" s="4"/>
      <c r="B15" s="3"/>
      <c r="C15" s="4"/>
      <c r="D15" s="4"/>
      <c r="E15" s="4"/>
      <c r="F15" s="253"/>
      <c r="G15" s="253"/>
      <c r="H15" s="62"/>
    </row>
    <row r="16" spans="1:11">
      <c r="A16" s="4"/>
      <c r="B16" s="3"/>
      <c r="C16" s="4"/>
      <c r="D16" s="4"/>
      <c r="E16" s="4"/>
      <c r="F16" s="253"/>
      <c r="G16" s="253"/>
      <c r="H16" s="62"/>
    </row>
    <row r="17" spans="1:10">
      <c r="A17" s="4"/>
      <c r="B17" s="3"/>
      <c r="C17" s="4"/>
      <c r="D17" s="4"/>
      <c r="E17" s="4"/>
      <c r="F17" s="253"/>
      <c r="G17" s="253"/>
      <c r="H17" s="62"/>
      <c r="I17" s="2"/>
      <c r="J17" s="2"/>
    </row>
    <row r="18" spans="1:10" s="2" customFormat="1">
      <c r="A18" s="4"/>
      <c r="B18" s="3"/>
      <c r="C18" s="4"/>
      <c r="D18" s="4"/>
      <c r="E18" s="4"/>
      <c r="F18" s="252"/>
      <c r="G18" s="252"/>
      <c r="H18" s="60"/>
      <c r="I18" s="225"/>
      <c r="J18" s="225"/>
    </row>
    <row r="19" spans="1:10">
      <c r="A19" s="4"/>
      <c r="B19" s="3"/>
      <c r="C19" s="4"/>
      <c r="D19" s="4"/>
      <c r="E19" s="4"/>
      <c r="F19" s="253"/>
      <c r="G19" s="253"/>
      <c r="H19" s="62"/>
    </row>
    <row r="20" spans="1:10">
      <c r="A20" s="4"/>
      <c r="B20" s="3"/>
      <c r="C20" s="4"/>
      <c r="D20" s="4"/>
      <c r="E20" s="4"/>
      <c r="F20" s="253"/>
      <c r="G20" s="253"/>
      <c r="H20" s="62"/>
    </row>
    <row r="21" spans="1:10">
      <c r="A21" s="4"/>
      <c r="B21" s="3"/>
      <c r="C21" s="4"/>
      <c r="D21" s="4"/>
      <c r="E21" s="4"/>
      <c r="F21" s="254"/>
      <c r="G21" s="254"/>
      <c r="H21" s="63"/>
    </row>
    <row r="22" spans="1:10">
      <c r="A22" s="4"/>
      <c r="B22" s="3"/>
      <c r="C22" s="4"/>
      <c r="D22" s="4"/>
      <c r="E22" s="4"/>
      <c r="F22" s="253"/>
      <c r="G22" s="253"/>
      <c r="H22" s="62"/>
      <c r="I22" s="71"/>
    </row>
    <row r="23" spans="1:10">
      <c r="A23" s="4"/>
      <c r="B23" s="3"/>
      <c r="C23" s="4"/>
      <c r="D23" s="4"/>
      <c r="E23" s="4"/>
      <c r="F23" s="253"/>
      <c r="G23" s="253"/>
      <c r="H23" s="62"/>
      <c r="I23" s="71"/>
    </row>
    <row r="24" spans="1:10">
      <c r="A24" s="4"/>
      <c r="B24" s="3"/>
      <c r="C24" s="4"/>
      <c r="D24" s="4"/>
      <c r="E24" s="4"/>
      <c r="F24" s="253"/>
      <c r="G24" s="253"/>
      <c r="H24" s="62"/>
      <c r="I24" s="71"/>
    </row>
    <row r="25" spans="1:10">
      <c r="A25" s="4"/>
      <c r="B25" s="3"/>
      <c r="C25" s="4"/>
      <c r="D25" s="4"/>
      <c r="E25" s="4"/>
      <c r="F25" s="253"/>
      <c r="G25" s="253"/>
      <c r="H25" s="62"/>
      <c r="I25" s="71"/>
    </row>
    <row r="26" spans="1:10">
      <c r="A26" s="4"/>
      <c r="B26" s="3"/>
      <c r="C26" s="4"/>
      <c r="D26" s="4"/>
      <c r="E26" s="4"/>
      <c r="F26" s="253"/>
      <c r="G26" s="253"/>
      <c r="H26" s="62"/>
      <c r="I26" s="71"/>
    </row>
    <row r="27" spans="1:10">
      <c r="A27" s="4"/>
      <c r="B27" s="3"/>
      <c r="C27" s="4"/>
      <c r="D27" s="4"/>
      <c r="E27" s="4"/>
      <c r="F27" s="253"/>
      <c r="G27" s="253"/>
      <c r="H27" s="62"/>
    </row>
    <row r="28" spans="1:10">
      <c r="A28" s="4"/>
      <c r="B28" s="3"/>
      <c r="C28" s="4"/>
      <c r="D28" s="4"/>
      <c r="E28" s="4"/>
      <c r="I28" s="2"/>
      <c r="J28" s="2"/>
    </row>
    <row r="29" spans="1:10" s="2" customFormat="1">
      <c r="A29" s="4"/>
      <c r="B29" s="3"/>
      <c r="C29" s="4"/>
      <c r="D29" s="4"/>
      <c r="E29" s="4"/>
      <c r="F29" s="252"/>
      <c r="G29" s="252"/>
      <c r="H29" s="60"/>
      <c r="I29" s="225"/>
      <c r="J29" s="225"/>
    </row>
    <row r="30" spans="1:10">
      <c r="A30" s="4"/>
      <c r="B30" s="3"/>
      <c r="C30" s="4"/>
      <c r="D30" s="4"/>
      <c r="E30" s="4"/>
      <c r="F30" s="253"/>
      <c r="G30" s="253"/>
      <c r="H30" s="62"/>
      <c r="I30" s="71"/>
    </row>
    <row r="31" spans="1:10">
      <c r="A31" s="4"/>
      <c r="B31" s="3"/>
      <c r="C31" s="4"/>
      <c r="D31" s="4"/>
      <c r="E31" s="4"/>
      <c r="F31" s="253"/>
      <c r="G31" s="253"/>
      <c r="H31" s="62"/>
      <c r="I31" s="71"/>
    </row>
    <row r="32" spans="1:10">
      <c r="A32" s="4"/>
      <c r="B32" s="3"/>
      <c r="C32" s="4"/>
      <c r="D32" s="4"/>
      <c r="E32" s="4"/>
      <c r="F32" s="253"/>
      <c r="G32" s="253"/>
      <c r="H32" s="62"/>
    </row>
    <row r="33" spans="1:14">
      <c r="A33" s="4"/>
      <c r="B33" s="3"/>
      <c r="C33" s="4"/>
      <c r="D33" s="4"/>
      <c r="E33" s="4"/>
      <c r="F33" s="251"/>
      <c r="G33" s="251"/>
      <c r="H33" s="228"/>
      <c r="K33" s="226"/>
      <c r="L33" s="226"/>
      <c r="M33" s="226"/>
      <c r="N33" s="226"/>
    </row>
    <row r="34" spans="1:14">
      <c r="A34" s="3"/>
      <c r="B34" s="3"/>
      <c r="C34" s="4"/>
      <c r="D34" s="4"/>
      <c r="E34" s="4"/>
      <c r="F34" s="251"/>
      <c r="G34" s="251"/>
      <c r="H34" s="228"/>
      <c r="K34" s="226"/>
      <c r="L34" s="226"/>
      <c r="M34" s="226"/>
      <c r="N34" s="226"/>
    </row>
    <row r="35" spans="1:14">
      <c r="A35" s="3"/>
      <c r="B35" s="3"/>
      <c r="C35" s="4"/>
      <c r="D35" s="4"/>
      <c r="E35" s="4"/>
      <c r="F35" s="251"/>
      <c r="G35" s="251"/>
      <c r="H35" s="228"/>
      <c r="K35" s="226"/>
      <c r="L35" s="226"/>
      <c r="M35" s="226"/>
      <c r="N35" s="226"/>
    </row>
    <row r="36" spans="1:14">
      <c r="A36" s="3"/>
      <c r="B36" s="3"/>
      <c r="C36" s="4"/>
      <c r="D36" s="4"/>
      <c r="E36" s="4"/>
      <c r="F36" s="251"/>
      <c r="G36" s="251"/>
      <c r="H36" s="228"/>
      <c r="K36" s="226"/>
      <c r="L36" s="226"/>
      <c r="M36" s="226"/>
      <c r="N36" s="226"/>
    </row>
    <row r="37" spans="1:14">
      <c r="A37" s="3"/>
      <c r="B37" s="3"/>
      <c r="C37" s="4"/>
      <c r="D37" s="17"/>
      <c r="E37" s="300"/>
      <c r="F37" s="251"/>
      <c r="G37" s="251"/>
      <c r="H37" s="228"/>
      <c r="K37" s="226"/>
      <c r="L37" s="226"/>
      <c r="M37" s="226"/>
      <c r="N37" s="226"/>
    </row>
    <row r="38" spans="1:14">
      <c r="A38" s="3"/>
      <c r="B38" s="3"/>
      <c r="C38" s="4"/>
      <c r="D38" s="4"/>
      <c r="E38" s="4"/>
      <c r="F38" s="251"/>
      <c r="G38" s="251"/>
      <c r="H38" s="228"/>
      <c r="K38" s="226"/>
      <c r="L38" s="226"/>
      <c r="M38" s="226"/>
      <c r="N38" s="226"/>
    </row>
    <row r="39" spans="1:14">
      <c r="C39" s="353"/>
      <c r="D39" s="353"/>
      <c r="E39" s="353"/>
      <c r="F39" s="251"/>
      <c r="G39" s="251"/>
      <c r="H39" s="228"/>
      <c r="K39" s="226"/>
      <c r="L39" s="226"/>
      <c r="M39" s="226"/>
      <c r="N39" s="226"/>
    </row>
    <row r="40" spans="1:14">
      <c r="C40" s="353"/>
      <c r="D40" s="353"/>
      <c r="E40" s="353"/>
      <c r="F40" s="251"/>
      <c r="G40" s="251"/>
      <c r="H40" s="228"/>
      <c r="K40" s="226"/>
      <c r="L40" s="226"/>
      <c r="M40" s="226"/>
      <c r="N40" s="226"/>
    </row>
    <row r="41" spans="1:14">
      <c r="C41" s="353"/>
      <c r="D41" s="353"/>
      <c r="E41" s="353"/>
      <c r="F41" s="251"/>
      <c r="G41" s="251"/>
      <c r="H41" s="228"/>
      <c r="K41" s="226"/>
      <c r="L41" s="226"/>
      <c r="M41" s="226"/>
      <c r="N41" s="226"/>
    </row>
    <row r="42" spans="1:14">
      <c r="C42" s="353"/>
      <c r="D42" s="353"/>
      <c r="E42" s="353"/>
      <c r="F42" s="251"/>
      <c r="G42" s="251"/>
      <c r="H42" s="228"/>
      <c r="K42" s="226"/>
      <c r="L42" s="226"/>
      <c r="M42" s="226"/>
      <c r="N42" s="226"/>
    </row>
    <row r="43" spans="1:14">
      <c r="C43" s="353"/>
      <c r="D43" s="353"/>
      <c r="E43" s="353"/>
      <c r="F43" s="251"/>
      <c r="G43" s="251"/>
      <c r="H43" s="228"/>
      <c r="K43" s="226"/>
      <c r="L43" s="226"/>
      <c r="M43" s="226"/>
      <c r="N43" s="226"/>
    </row>
    <row r="44" spans="1:14">
      <c r="A44" s="4"/>
      <c r="B44" s="3"/>
      <c r="C44" s="4"/>
      <c r="D44" s="4"/>
      <c r="E44" s="4"/>
      <c r="F44" s="251"/>
      <c r="G44" s="251"/>
      <c r="H44" s="228"/>
      <c r="K44" s="226"/>
      <c r="L44" s="226"/>
      <c r="M44" s="226"/>
      <c r="N44" s="226"/>
    </row>
    <row r="45" spans="1:14">
      <c r="A45" s="4"/>
      <c r="B45" s="3"/>
      <c r="C45" s="4"/>
      <c r="D45" s="4"/>
      <c r="E45" s="4"/>
      <c r="F45" s="251"/>
      <c r="G45" s="251"/>
      <c r="H45" s="228"/>
      <c r="K45" s="226"/>
      <c r="L45" s="226"/>
      <c r="M45" s="226"/>
      <c r="N45" s="226"/>
    </row>
    <row r="46" spans="1:14">
      <c r="A46" s="4"/>
      <c r="B46" s="3"/>
      <c r="C46" s="4"/>
      <c r="D46" s="4"/>
      <c r="E46" s="4"/>
      <c r="F46" s="251"/>
      <c r="G46" s="251"/>
      <c r="H46" s="228"/>
      <c r="K46" s="226"/>
      <c r="L46" s="226"/>
      <c r="M46" s="226"/>
      <c r="N46" s="226"/>
    </row>
    <row r="47" spans="1:14">
      <c r="A47" s="4"/>
      <c r="B47" s="3"/>
      <c r="C47" s="4"/>
      <c r="D47" s="4"/>
      <c r="E47" s="4"/>
      <c r="F47" s="251"/>
      <c r="G47" s="251"/>
      <c r="H47" s="228"/>
      <c r="K47" s="226"/>
      <c r="L47" s="226"/>
      <c r="M47" s="226"/>
      <c r="N47" s="226"/>
    </row>
    <row r="48" spans="1:14">
      <c r="A48" s="4"/>
      <c r="B48" s="3"/>
      <c r="C48" s="4"/>
      <c r="D48" s="4"/>
      <c r="E48" s="4"/>
      <c r="F48" s="251"/>
      <c r="G48" s="251"/>
      <c r="H48" s="228"/>
      <c r="K48" s="226"/>
      <c r="L48" s="226"/>
      <c r="M48" s="226"/>
      <c r="N48" s="226"/>
    </row>
    <row r="49" spans="1:14">
      <c r="A49" s="4"/>
      <c r="B49" s="3"/>
      <c r="C49" s="4"/>
      <c r="D49" s="4"/>
      <c r="E49" s="4"/>
      <c r="F49" s="251"/>
      <c r="G49" s="251"/>
      <c r="H49" s="228"/>
      <c r="K49" s="226"/>
      <c r="L49" s="226"/>
      <c r="M49" s="226"/>
      <c r="N49" s="226"/>
    </row>
    <row r="50" spans="1:14">
      <c r="A50" s="4"/>
      <c r="B50" s="3"/>
      <c r="C50" s="4"/>
      <c r="D50" s="4"/>
      <c r="E50" s="4"/>
      <c r="F50" s="251"/>
      <c r="G50" s="251"/>
      <c r="H50" s="228"/>
      <c r="K50" s="226"/>
      <c r="L50" s="226"/>
      <c r="M50" s="226"/>
      <c r="N50" s="226"/>
    </row>
    <row r="51" spans="1:14">
      <c r="A51" s="4"/>
      <c r="B51" s="3"/>
      <c r="C51" s="4"/>
      <c r="D51" s="4"/>
      <c r="E51" s="4"/>
      <c r="F51" s="251"/>
      <c r="G51" s="251"/>
      <c r="H51" s="228"/>
      <c r="K51" s="226"/>
      <c r="L51" s="226"/>
      <c r="M51" s="226"/>
      <c r="N51" s="226"/>
    </row>
    <row r="52" spans="1:14">
      <c r="A52" s="4"/>
      <c r="B52" s="3"/>
      <c r="C52" s="4"/>
      <c r="D52" s="4"/>
      <c r="E52" s="4"/>
      <c r="F52" s="251"/>
      <c r="G52" s="251"/>
      <c r="H52" s="228"/>
      <c r="K52" s="226"/>
      <c r="L52" s="226"/>
      <c r="M52" s="226"/>
      <c r="N52" s="226"/>
    </row>
    <row r="53" spans="1:14">
      <c r="A53" s="4"/>
      <c r="B53" s="3"/>
      <c r="C53" s="4"/>
      <c r="D53" s="4"/>
      <c r="E53" s="4"/>
      <c r="F53" s="251"/>
      <c r="G53" s="251"/>
      <c r="H53" s="228"/>
      <c r="K53" s="226"/>
      <c r="L53" s="226"/>
      <c r="M53" s="226"/>
      <c r="N53" s="226"/>
    </row>
    <row r="54" spans="1:14">
      <c r="A54" s="4"/>
      <c r="B54" s="3"/>
      <c r="C54" s="4"/>
      <c r="D54" s="4"/>
      <c r="E54" s="4"/>
      <c r="F54" s="251"/>
      <c r="G54" s="251"/>
      <c r="H54" s="228"/>
      <c r="K54" s="226"/>
      <c r="L54" s="226"/>
      <c r="M54" s="226"/>
      <c r="N54" s="226"/>
    </row>
    <row r="55" spans="1:14">
      <c r="A55" s="4"/>
      <c r="B55" s="3"/>
      <c r="C55" s="4"/>
      <c r="D55" s="4"/>
      <c r="E55" s="4"/>
      <c r="F55" s="251"/>
      <c r="G55" s="251"/>
      <c r="H55" s="228"/>
      <c r="K55" s="226"/>
      <c r="L55" s="226"/>
      <c r="M55" s="226"/>
      <c r="N55" s="226"/>
    </row>
    <row r="56" spans="1:14">
      <c r="A56" s="4"/>
      <c r="B56" s="3"/>
      <c r="C56" s="4"/>
      <c r="D56" s="4"/>
      <c r="E56" s="4"/>
      <c r="F56" s="251"/>
      <c r="G56" s="251"/>
      <c r="H56" s="228"/>
      <c r="K56" s="226"/>
      <c r="L56" s="226"/>
      <c r="M56" s="226"/>
      <c r="N56" s="226"/>
    </row>
    <row r="57" spans="1:14">
      <c r="A57" s="4"/>
      <c r="B57" s="3"/>
      <c r="C57" s="4"/>
      <c r="D57" s="4"/>
      <c r="E57" s="4"/>
      <c r="F57" s="251"/>
      <c r="G57" s="251"/>
      <c r="H57" s="228"/>
      <c r="K57" s="226"/>
      <c r="L57" s="226"/>
      <c r="M57" s="226"/>
      <c r="N57" s="226"/>
    </row>
    <row r="58" spans="1:14">
      <c r="A58" s="4"/>
      <c r="B58" s="3"/>
      <c r="C58" s="4"/>
      <c r="D58" s="4"/>
      <c r="E58" s="4"/>
      <c r="F58" s="251"/>
      <c r="G58" s="251"/>
      <c r="H58" s="228"/>
      <c r="K58" s="226"/>
      <c r="L58" s="226"/>
      <c r="M58" s="226"/>
      <c r="N58" s="226"/>
    </row>
    <row r="59" spans="1:14">
      <c r="A59" s="4"/>
      <c r="B59" s="3"/>
      <c r="C59" s="4"/>
      <c r="D59" s="4"/>
      <c r="E59" s="4"/>
      <c r="F59" s="251"/>
      <c r="G59" s="251"/>
      <c r="H59" s="228"/>
      <c r="K59" s="226"/>
      <c r="L59" s="226"/>
      <c r="M59" s="226"/>
      <c r="N59" s="226"/>
    </row>
    <row r="60" spans="1:14">
      <c r="A60" s="3"/>
      <c r="B60" s="3"/>
      <c r="C60" s="4"/>
      <c r="D60" s="4"/>
      <c r="E60" s="4"/>
      <c r="F60" s="251"/>
      <c r="G60" s="251"/>
      <c r="H60" s="228"/>
      <c r="K60" s="226"/>
      <c r="L60" s="226"/>
      <c r="M60" s="226"/>
      <c r="N60" s="226"/>
    </row>
    <row r="61" spans="1:14">
      <c r="A61" s="3"/>
      <c r="B61" s="3"/>
      <c r="C61" s="4"/>
      <c r="D61" s="4"/>
      <c r="E61" s="4"/>
      <c r="F61" s="251"/>
      <c r="G61" s="251"/>
      <c r="H61" s="228"/>
    </row>
    <row r="62" spans="1:14">
      <c r="A62" s="3"/>
      <c r="B62" s="3"/>
      <c r="C62" s="4"/>
      <c r="D62" s="4"/>
      <c r="E62" s="4"/>
      <c r="F62" s="251"/>
      <c r="G62" s="251"/>
      <c r="H62" s="228"/>
    </row>
    <row r="63" spans="1:14">
      <c r="A63" s="3"/>
      <c r="B63" s="3"/>
      <c r="C63" s="4"/>
      <c r="D63" s="17"/>
      <c r="E63" s="300"/>
      <c r="F63" s="251"/>
      <c r="G63" s="251"/>
      <c r="H63" s="228"/>
    </row>
    <row r="64" spans="1:14">
      <c r="A64" s="3"/>
      <c r="B64" s="3"/>
      <c r="C64" s="4"/>
      <c r="D64" s="4"/>
      <c r="E64" s="4"/>
      <c r="F64" s="256"/>
      <c r="G64" s="256"/>
      <c r="H64" s="65"/>
    </row>
    <row r="65" spans="1:14" s="227" customFormat="1">
      <c r="A65" s="225"/>
      <c r="B65" s="225"/>
      <c r="C65" s="257"/>
      <c r="D65" s="257"/>
      <c r="E65" s="257"/>
      <c r="F65" s="251"/>
      <c r="G65" s="251"/>
      <c r="H65" s="228"/>
      <c r="I65" s="225"/>
      <c r="J65" s="225"/>
      <c r="K65" s="225"/>
      <c r="L65" s="225"/>
      <c r="M65" s="225"/>
      <c r="N65" s="225"/>
    </row>
    <row r="67" spans="1:14" s="227" customFormat="1">
      <c r="A67" s="225"/>
      <c r="B67" s="225"/>
      <c r="C67" s="257"/>
      <c r="D67" s="257"/>
      <c r="E67" s="257"/>
      <c r="F67" s="255"/>
      <c r="G67" s="255"/>
      <c r="H67" s="67"/>
      <c r="I67" s="225"/>
      <c r="J67" s="225"/>
      <c r="K67" s="225"/>
      <c r="L67" s="225"/>
      <c r="M67" s="225"/>
      <c r="N67" s="225"/>
    </row>
    <row r="68" spans="1:14" s="227" customFormat="1">
      <c r="A68" s="225"/>
      <c r="B68" s="225"/>
      <c r="C68" s="257"/>
      <c r="D68" s="257"/>
      <c r="E68" s="257"/>
      <c r="F68" s="255"/>
      <c r="G68" s="255"/>
      <c r="H68" s="66"/>
      <c r="I68" s="225"/>
      <c r="J68" s="225"/>
      <c r="K68" s="225"/>
      <c r="L68" s="225"/>
      <c r="M68" s="225"/>
      <c r="N68" s="225"/>
    </row>
    <row r="69" spans="1:14" s="227" customFormat="1">
      <c r="A69" s="225"/>
      <c r="B69" s="225"/>
      <c r="C69" s="257"/>
      <c r="D69" s="257"/>
      <c r="E69" s="257"/>
      <c r="F69" s="255"/>
      <c r="G69" s="255"/>
      <c r="H69" s="67"/>
      <c r="I69" s="225"/>
      <c r="J69" s="225"/>
      <c r="K69" s="225"/>
      <c r="L69" s="225"/>
      <c r="M69" s="225"/>
      <c r="N69" s="225"/>
    </row>
  </sheetData>
  <mergeCells count="4">
    <mergeCell ref="C2:D2"/>
    <mergeCell ref="C3:D3"/>
    <mergeCell ref="B1:E1"/>
    <mergeCell ref="A1:A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5" orientation="portrait" r:id="rId1"/>
  <headerFooter>
    <oddFooter>&amp;CEng° Darcio Pagani Vieira
Crea/SC - 077.222-9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showGridLines="0" view="pageBreakPreview" zoomScaleNormal="100" zoomScaleSheetLayoutView="100" workbookViewId="0">
      <selection activeCell="B3" sqref="B3"/>
    </sheetView>
  </sheetViews>
  <sheetFormatPr defaultRowHeight="15"/>
  <cols>
    <col min="1" max="1" width="16.42578125" customWidth="1"/>
    <col min="2" max="2" width="66.28515625" style="225" customWidth="1"/>
    <col min="3" max="3" width="30.42578125" bestFit="1" customWidth="1"/>
    <col min="4" max="4" width="29.85546875" bestFit="1" customWidth="1"/>
    <col min="5" max="5" width="25.28515625" customWidth="1"/>
    <col min="6" max="6" width="9.5703125" bestFit="1" customWidth="1"/>
  </cols>
  <sheetData>
    <row r="1" spans="1:6" ht="49.5" customHeight="1">
      <c r="A1" s="604" t="s">
        <v>300</v>
      </c>
      <c r="B1" s="603" t="s">
        <v>143</v>
      </c>
      <c r="C1" s="603"/>
      <c r="D1" s="603"/>
      <c r="E1" s="295"/>
    </row>
    <row r="2" spans="1:6" ht="15.75" customHeight="1">
      <c r="A2" s="605"/>
      <c r="B2" s="368" t="str">
        <f>PAVIM.!$G$2</f>
        <v>PREFEITURA MUNICIPAL DE MARACAJÁ</v>
      </c>
      <c r="C2" s="369" t="str">
        <f>PAVIM.!$I$2</f>
        <v>BAIRRO: VILA BEATRIZ</v>
      </c>
      <c r="D2" s="369" t="str">
        <f>PAVIM.!$M$2</f>
        <v>ESTADO: SANTA CATARINA</v>
      </c>
      <c r="E2" s="296"/>
    </row>
    <row r="3" spans="1:6" ht="15.75" customHeight="1">
      <c r="A3" s="606"/>
      <c r="B3" s="350" t="str">
        <f>PAVIM.!G3</f>
        <v>RUA ELONIR DA SILVEIRA NAZÁRIO</v>
      </c>
      <c r="C3" s="368" t="str">
        <f>PAVIM.!$K$2</f>
        <v>MUNICIPIO: MARACAJÁ</v>
      </c>
      <c r="D3" s="370" t="str">
        <f ca="1">PAVIM.!$M$3</f>
        <v>DATA: 28/04/26</v>
      </c>
      <c r="E3" s="297"/>
    </row>
    <row r="4" spans="1:6" ht="15.75">
      <c r="A4" s="293"/>
      <c r="B4" s="292"/>
      <c r="C4" s="84"/>
      <c r="D4" s="84"/>
      <c r="E4" s="294"/>
    </row>
    <row r="5" spans="1:6" ht="41.25" customHeight="1">
      <c r="A5" s="291" t="s">
        <v>144</v>
      </c>
      <c r="B5" s="621" t="s">
        <v>145</v>
      </c>
      <c r="C5" s="622"/>
      <c r="D5" s="622"/>
      <c r="E5" s="623"/>
    </row>
    <row r="6" spans="1:6" ht="18.75" customHeight="1">
      <c r="A6" s="327" t="s">
        <v>146</v>
      </c>
      <c r="B6" s="613" t="s">
        <v>147</v>
      </c>
      <c r="C6" s="614"/>
      <c r="D6" s="328" t="s">
        <v>290</v>
      </c>
      <c r="E6" s="329" t="s">
        <v>148</v>
      </c>
    </row>
    <row r="7" spans="1:6" s="225" customFormat="1" ht="18.75" customHeight="1">
      <c r="A7" s="330">
        <v>45597</v>
      </c>
      <c r="B7" s="615" t="s">
        <v>149</v>
      </c>
      <c r="C7" s="616"/>
      <c r="D7" s="289" t="s">
        <v>291</v>
      </c>
      <c r="E7" s="336">
        <v>2.7766967309349</v>
      </c>
      <c r="F7" s="85"/>
    </row>
    <row r="8" spans="1:6" s="225" customFormat="1" ht="18.75" customHeight="1">
      <c r="A8" s="331">
        <v>45597</v>
      </c>
      <c r="B8" s="617" t="s">
        <v>293</v>
      </c>
      <c r="C8" s="618"/>
      <c r="D8" s="162" t="s">
        <v>291</v>
      </c>
      <c r="E8" s="337">
        <v>2.7012410474476498</v>
      </c>
    </row>
    <row r="9" spans="1:6" s="225" customFormat="1">
      <c r="A9" s="332">
        <v>45597</v>
      </c>
      <c r="B9" s="619" t="s">
        <v>214</v>
      </c>
      <c r="C9" s="620"/>
      <c r="D9" s="290" t="s">
        <v>291</v>
      </c>
      <c r="E9" s="338">
        <v>3.6865701861945501</v>
      </c>
    </row>
    <row r="10" spans="1:6" ht="18.75" customHeight="1">
      <c r="A10" s="607" t="s">
        <v>323</v>
      </c>
      <c r="B10" s="608"/>
      <c r="C10" s="608"/>
      <c r="D10" s="608"/>
      <c r="E10" s="609"/>
    </row>
    <row r="11" spans="1:6" s="86" customFormat="1" ht="18.75" customHeight="1">
      <c r="A11" s="610" t="s">
        <v>299</v>
      </c>
      <c r="B11" s="611"/>
      <c r="C11" s="611"/>
      <c r="D11" s="611"/>
      <c r="E11" s="612"/>
    </row>
    <row r="12" spans="1:6">
      <c r="A12" s="8"/>
      <c r="B12" s="8"/>
      <c r="C12" s="8"/>
      <c r="D12" s="8"/>
      <c r="E12" s="8"/>
    </row>
    <row r="13" spans="1:6">
      <c r="A13" s="3"/>
      <c r="B13" s="3"/>
      <c r="C13" s="3"/>
      <c r="D13" s="3"/>
      <c r="E13" s="3"/>
    </row>
    <row r="14" spans="1:6">
      <c r="A14" s="3"/>
      <c r="B14" s="3"/>
      <c r="C14" s="3"/>
      <c r="D14" s="3"/>
      <c r="E14" s="3"/>
    </row>
    <row r="15" spans="1:6">
      <c r="A15" s="3"/>
      <c r="B15" s="3"/>
      <c r="C15" s="3"/>
      <c r="D15" s="3"/>
      <c r="E15" s="3"/>
    </row>
    <row r="16" spans="1:6">
      <c r="A16" s="3"/>
      <c r="B16" s="3"/>
      <c r="C16" s="3"/>
      <c r="D16" s="3"/>
      <c r="E16" s="3"/>
    </row>
    <row r="17" spans="1:5">
      <c r="A17" s="3"/>
      <c r="B17" s="3"/>
      <c r="C17" s="3"/>
      <c r="D17" s="3"/>
      <c r="E17" s="3"/>
    </row>
    <row r="18" spans="1:5">
      <c r="A18" s="3"/>
      <c r="B18" s="3"/>
      <c r="C18" s="3"/>
      <c r="D18" s="3"/>
      <c r="E18" s="3"/>
    </row>
    <row r="19" spans="1:5">
      <c r="A19" s="3"/>
      <c r="B19" s="3"/>
      <c r="C19" s="3"/>
      <c r="D19" s="3"/>
      <c r="E19" s="3"/>
    </row>
    <row r="20" spans="1:5">
      <c r="A20" s="3"/>
      <c r="B20" s="3"/>
      <c r="C20" s="3"/>
      <c r="D20" s="3"/>
      <c r="E20" s="3"/>
    </row>
    <row r="21" spans="1:5" s="225" customFormat="1">
      <c r="A21" s="3"/>
      <c r="B21" s="3"/>
      <c r="C21" s="3"/>
      <c r="D21" s="3"/>
      <c r="E21" s="3"/>
    </row>
    <row r="22" spans="1:5" s="225" customFormat="1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>
      <c r="A27" s="3"/>
      <c r="B27" s="3"/>
      <c r="C27" s="3"/>
      <c r="D27" s="3"/>
      <c r="E27" s="3"/>
    </row>
    <row r="28" spans="1:5">
      <c r="A28" s="3"/>
      <c r="B28" s="3"/>
      <c r="C28" s="3"/>
      <c r="D28" s="3"/>
      <c r="E28" s="3"/>
    </row>
    <row r="29" spans="1:5">
      <c r="A29" s="3"/>
      <c r="B29" s="3"/>
      <c r="C29" s="3"/>
      <c r="D29" s="3"/>
      <c r="E29" s="3"/>
    </row>
    <row r="30" spans="1:5">
      <c r="A30" s="3"/>
      <c r="B30" s="3"/>
      <c r="C30" s="3"/>
      <c r="D30" s="3"/>
      <c r="E30" s="3"/>
    </row>
    <row r="31" spans="1:5">
      <c r="A31" s="3"/>
      <c r="B31" s="3"/>
      <c r="C31" s="3"/>
      <c r="D31" s="3"/>
      <c r="E31" s="3"/>
    </row>
    <row r="32" spans="1:5">
      <c r="A32" s="3"/>
      <c r="B32" s="3"/>
      <c r="C32" s="3"/>
      <c r="D32" s="3"/>
      <c r="E32" s="3"/>
    </row>
    <row r="33" spans="1:5">
      <c r="A33" s="3"/>
      <c r="B33" s="3"/>
      <c r="C33" s="3"/>
      <c r="D33" s="3"/>
      <c r="E33" s="3"/>
    </row>
    <row r="34" spans="1:5">
      <c r="A34" s="3"/>
      <c r="B34" s="3"/>
      <c r="C34" s="3"/>
      <c r="D34" s="3"/>
      <c r="E34" s="3"/>
    </row>
    <row r="35" spans="1:5">
      <c r="A35" s="3"/>
      <c r="B35" s="3"/>
      <c r="C35" s="3"/>
      <c r="D35" s="3"/>
      <c r="E35" s="3"/>
    </row>
  </sheetData>
  <mergeCells count="9">
    <mergeCell ref="B1:D1"/>
    <mergeCell ref="A1:A3"/>
    <mergeCell ref="A10:E10"/>
    <mergeCell ref="A11:E11"/>
    <mergeCell ref="B6:C6"/>
    <mergeCell ref="B7:C7"/>
    <mergeCell ref="B8:C8"/>
    <mergeCell ref="B9:C9"/>
    <mergeCell ref="B5:E5"/>
  </mergeCells>
  <hyperlinks>
    <hyperlink ref="A11" r:id="rId1" display="http://www.anp.gov.br/precos-e-defesa-da-concorrencia/precos/precos-de-distribuicao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80" orientation="landscape" horizontalDpi="300" verticalDpi="300" r:id="rId2"/>
  <headerFooter>
    <oddFooter>&amp;CEng° Darcio Pagani Vieira
Crea/SC - 077.222-9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13</vt:i4>
      </vt:variant>
    </vt:vector>
  </HeadingPairs>
  <TitlesOfParts>
    <vt:vector size="24" baseType="lpstr">
      <vt:lpstr>ORÇAMENTO</vt:lpstr>
      <vt:lpstr>CRONOGRAMA</vt:lpstr>
      <vt:lpstr>TERRAPL.</vt:lpstr>
      <vt:lpstr>DIM. DREN.</vt:lpstr>
      <vt:lpstr>BACIAS</vt:lpstr>
      <vt:lpstr>PAVIM.</vt:lpstr>
      <vt:lpstr>SINALIZAÇÃO</vt:lpstr>
      <vt:lpstr>BDI</vt:lpstr>
      <vt:lpstr>COMP. SICRO</vt:lpstr>
      <vt:lpstr>REAJUSTE</vt:lpstr>
      <vt:lpstr>MAT. BET.</vt:lpstr>
      <vt:lpstr>BDI!Area_de_impressao</vt:lpstr>
      <vt:lpstr>'COMP. SICRO'!Area_de_impressao</vt:lpstr>
      <vt:lpstr>CRONOGRAMA!Area_de_impressao</vt:lpstr>
      <vt:lpstr>'DIM. DREN.'!Area_de_impressao</vt:lpstr>
      <vt:lpstr>'MAT. BET.'!Area_de_impressao</vt:lpstr>
      <vt:lpstr>ORÇAMENTO!Area_de_impressao</vt:lpstr>
      <vt:lpstr>PAVIM.!Area_de_impressao</vt:lpstr>
      <vt:lpstr>REAJUSTE!Area_de_impressao</vt:lpstr>
      <vt:lpstr>SINALIZAÇÃO!Area_de_impressao</vt:lpstr>
      <vt:lpstr>TERRAPL.!Area_de_impressao</vt:lpstr>
      <vt:lpstr>'DIM. DREN.'!Titulos_de_impressao</vt:lpstr>
      <vt:lpstr>PAVIM.!Titulos_de_impressao</vt:lpstr>
      <vt:lpstr>TERRAPL.!Titulos_de_impressao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vinicius mengue</cp:lastModifiedBy>
  <cp:lastPrinted>2026-04-28T11:09:17Z</cp:lastPrinted>
  <dcterms:created xsi:type="dcterms:W3CDTF">2018-05-07T18:41:35Z</dcterms:created>
  <dcterms:modified xsi:type="dcterms:W3CDTF">2026-04-28T11:11:37Z</dcterms:modified>
</cp:coreProperties>
</file>